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filterPrivacy="1"/>
  <xr:revisionPtr revIDLastSave="0" documentId="13_ncr:1_{654D90F5-533D-49E8-8181-911A7B6F4D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áo cáo sản xuấ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0525" i="1" l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</calcChain>
</file>

<file path=xl/sharedStrings.xml><?xml version="1.0" encoding="utf-8"?>
<sst xmlns="http://schemas.openxmlformats.org/spreadsheetml/2006/main" count="71436" uniqueCount="20552">
  <si>
    <t>Công Ty TNHH Tập đoàn công nghiệp Trường Hải (THACO)</t>
  </si>
  <si>
    <t xml:space="preserve">Địa chỉ:  </t>
  </si>
  <si>
    <t xml:space="preserve">Hotline: </t>
  </si>
  <si>
    <t>STT</t>
  </si>
  <si>
    <t>Thời gian</t>
  </si>
  <si>
    <t>Cấp nguồn</t>
  </si>
  <si>
    <t>Dừng khẩn cấp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</si>
  <si>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</si>
  <si>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</si>
  <si>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</si>
  <si>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</si>
  <si>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</si>
  <si>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</si>
  <si>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</si>
  <si>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</si>
  <si>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</si>
  <si>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</si>
  <si>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</si>
  <si>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</si>
  <si>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</si>
  <si>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</si>
  <si>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</si>
  <si>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</si>
  <si>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</si>
  <si>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</si>
  <si>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</si>
  <si>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</si>
  <si>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</si>
  <si>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</si>
  <si>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</si>
  <si>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</si>
  <si>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</si>
  <si>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</si>
  <si>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</si>
  <si>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</si>
  <si>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</si>
  <si>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</si>
  <si>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</si>
  <si>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</si>
  <si>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</si>
  <si>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</si>
  <si>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</si>
  <si>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</si>
  <si>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</si>
  <si>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</si>
  <si>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</si>
  <si>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</si>
  <si>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</si>
  <si>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</si>
  <si>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</si>
  <si>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</si>
  <si>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</si>
  <si>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</si>
  <si>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</si>
  <si>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</si>
  <si>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</si>
  <si>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</si>
  <si>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</si>
  <si>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</si>
  <si>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</si>
  <si>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</si>
  <si>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</si>
  <si>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</si>
  <si>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</si>
  <si>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</si>
  <si>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</si>
  <si>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</si>
  <si>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</si>
  <si>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</si>
  <si>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</si>
  <si>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</si>
  <si>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</si>
  <si>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</si>
  <si>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</si>
  <si>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</si>
  <si>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</si>
  <si>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</si>
  <si>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</si>
  <si>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</si>
  <si>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</si>
  <si>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</si>
  <si>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</si>
  <si>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</si>
  <si>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</si>
  <si>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</si>
  <si>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</si>
  <si>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</si>
  <si>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</si>
  <si>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</si>
  <si>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</si>
  <si>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</si>
  <si>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</si>
  <si>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</si>
  <si>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</si>
  <si>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</si>
  <si>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</si>
  <si>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</si>
  <si>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</si>
  <si>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</si>
  <si>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</si>
  <si>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</si>
  <si>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</si>
  <si>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</si>
  <si>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</si>
  <si>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</si>
  <si>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</si>
  <si>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</si>
  <si>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</si>
  <si>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</si>
  <si>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</si>
  <si>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</si>
  <si>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</si>
  <si>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</si>
  <si>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</si>
  <si>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</si>
  <si>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</si>
  <si>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</si>
  <si>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</si>
  <si>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</si>
  <si>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</si>
  <si>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</si>
  <si>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</si>
  <si>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</si>
  <si>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</si>
  <si>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</si>
  <si>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</si>
  <si>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</si>
  <si>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</si>
  <si>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</si>
  <si>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</si>
  <si>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</si>
  <si>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</si>
  <si>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</si>
  <si>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</si>
  <si>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</si>
  <si>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</si>
  <si>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</si>
  <si>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</si>
  <si>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</si>
  <si>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</si>
  <si>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</si>
  <si>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</si>
  <si>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</si>
  <si>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</si>
  <si>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</si>
  <si>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</si>
  <si>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</si>
  <si>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</si>
  <si>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</si>
  <si>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</si>
  <si>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</si>
  <si>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</si>
  <si>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</si>
  <si>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</si>
  <si>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</si>
  <si>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</si>
  <si>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</si>
  <si>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</si>
  <si>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</si>
  <si>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</si>
  <si>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</si>
  <si>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</si>
  <si>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</si>
  <si>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</si>
  <si>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</si>
  <si>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</si>
  <si>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</si>
  <si>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</si>
  <si>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</si>
  <si>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</si>
  <si>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</si>
  <si>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</si>
  <si>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</si>
  <si>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</si>
  <si>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</si>
  <si>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</si>
  <si>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</si>
  <si>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</si>
  <si>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</si>
  <si>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</si>
  <si>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</si>
  <si>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</si>
  <si>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</si>
  <si>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</si>
  <si>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</si>
  <si>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</si>
  <si>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</si>
  <si>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</si>
  <si>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</si>
  <si>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</si>
  <si>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</si>
  <si>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</si>
  <si>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</si>
  <si>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</si>
  <si>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</si>
  <si>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</si>
  <si>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</si>
  <si>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</si>
  <si>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</si>
  <si>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</si>
  <si>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</si>
  <si>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</si>
  <si>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</si>
  <si>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</si>
  <si>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</si>
  <si>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</si>
  <si>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</si>
  <si>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</si>
  <si>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</si>
  <si>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</si>
  <si>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</si>
  <si>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</si>
  <si>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</si>
  <si>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</si>
  <si>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</si>
  <si>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</si>
  <si>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</si>
  <si>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</si>
  <si>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</si>
  <si>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</si>
  <si>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</si>
  <si>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</si>
  <si>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</si>
  <si>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</si>
  <si>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</si>
  <si>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</si>
  <si>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</si>
  <si>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</si>
  <si>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</si>
  <si>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</si>
  <si>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</si>
  <si>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</si>
  <si>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</si>
  <si>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</si>
  <si>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</si>
  <si>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</si>
  <si>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</si>
  <si>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</si>
  <si>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</si>
  <si>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</si>
  <si>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</si>
  <si>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</si>
  <si>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</si>
  <si>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</si>
  <si>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</si>
  <si>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</si>
  <si>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</si>
  <si>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</si>
  <si>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</si>
  <si>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</si>
  <si>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</si>
  <si>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</si>
  <si>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</si>
  <si>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</si>
  <si>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</si>
  <si>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</si>
  <si>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</si>
  <si>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</si>
  <si>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</si>
  <si>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</si>
  <si>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</si>
  <si>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</si>
  <si>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</si>
  <si>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</si>
  <si>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</si>
  <si>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</si>
  <si>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</si>
  <si>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</si>
  <si>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</si>
  <si>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</si>
  <si>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</si>
  <si>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</si>
  <si>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</si>
  <si>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</si>
  <si>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</si>
  <si>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</si>
  <si>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</si>
  <si>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</si>
  <si>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</si>
  <si>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</si>
  <si>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</si>
  <si>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</si>
  <si>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</si>
  <si>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</si>
  <si>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</si>
  <si>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</si>
  <si>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</si>
  <si>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</si>
  <si>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</si>
  <si>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</si>
  <si>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</si>
  <si>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</si>
  <si>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</si>
  <si>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</si>
  <si>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</si>
  <si>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</si>
  <si>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</si>
  <si>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</si>
  <si>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</si>
  <si>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</si>
  <si>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</si>
  <si>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</si>
  <si>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</si>
  <si>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</si>
  <si>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</si>
  <si>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</si>
  <si>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</si>
  <si>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</si>
  <si>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</si>
  <si>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</si>
  <si>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</si>
  <si>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</si>
  <si>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</si>
  <si>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</si>
  <si>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</si>
  <si>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</si>
  <si>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</si>
  <si>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</si>
  <si>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</si>
  <si>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</si>
  <si>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</si>
  <si>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</si>
  <si>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</si>
  <si>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</si>
  <si>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</si>
  <si>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</si>
  <si>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</si>
  <si>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</si>
  <si>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</si>
  <si>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</si>
  <si>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</si>
  <si>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</si>
  <si>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</si>
  <si>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</si>
  <si>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</si>
  <si>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</si>
  <si>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</si>
  <si>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</si>
  <si>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</si>
  <si>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</si>
  <si>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</si>
  <si>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</si>
  <si>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</si>
  <si>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</si>
  <si>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</si>
  <si>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</si>
  <si>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</si>
  <si>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</si>
  <si>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</si>
  <si>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</si>
  <si>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</si>
  <si>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</si>
  <si>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</si>
  <si>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</si>
  <si>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</si>
  <si>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</si>
  <si>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</si>
  <si>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</si>
  <si>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</si>
  <si>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</si>
  <si>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</si>
  <si>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</si>
  <si>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</si>
  <si>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</si>
  <si>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</si>
  <si>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</si>
  <si>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</si>
  <si>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</si>
  <si>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</si>
  <si>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</si>
  <si>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</si>
  <si>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</si>
  <si>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</si>
  <si>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</si>
  <si>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</si>
  <si>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</si>
  <si>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</si>
  <si>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</si>
  <si>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</si>
  <si>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</si>
  <si>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</si>
  <si>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</si>
  <si>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</si>
  <si>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</si>
  <si>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</si>
  <si>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</si>
  <si>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</si>
  <si>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</si>
  <si>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</si>
  <si>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</si>
  <si>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</si>
  <si>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</si>
  <si>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</si>
  <si>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</si>
  <si>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</si>
  <si>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</si>
  <si>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</si>
  <si>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</si>
  <si>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</si>
  <si>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</si>
  <si>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</si>
  <si>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</si>
  <si>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</si>
  <si>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</si>
  <si>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</si>
  <si>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</si>
  <si>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</si>
  <si>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</si>
  <si>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</si>
  <si>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</si>
  <si>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</si>
  <si>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</si>
  <si>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</si>
  <si>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</si>
  <si>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</si>
  <si>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</si>
  <si>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</si>
  <si>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</si>
  <si>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</si>
  <si>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</si>
  <si>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</si>
  <si>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</si>
  <si>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</si>
  <si>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</si>
  <si>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</si>
  <si>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</si>
  <si>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</si>
  <si>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</si>
  <si>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</si>
  <si>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</si>
  <si>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</si>
  <si>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</si>
  <si>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</si>
  <si>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</si>
  <si>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</si>
  <si>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</si>
  <si>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</si>
  <si>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</si>
  <si>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</si>
  <si>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</si>
  <si>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</si>
  <si>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</si>
  <si>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</si>
  <si>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</si>
  <si>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</si>
  <si>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</si>
  <si>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</si>
  <si>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</si>
  <si>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</si>
  <si>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</si>
  <si>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</si>
  <si>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</si>
  <si>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</si>
  <si>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</si>
  <si>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</si>
  <si>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</si>
  <si>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</si>
  <si>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</si>
  <si>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</si>
  <si>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</si>
  <si>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</si>
  <si>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</si>
  <si>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</si>
  <si>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</si>
  <si>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</si>
  <si>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</si>
  <si>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</si>
  <si>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</si>
  <si>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</si>
  <si>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</si>
  <si>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</si>
  <si>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</si>
  <si>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</si>
  <si>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</si>
  <si>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</si>
  <si>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</si>
  <si>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</si>
  <si>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</si>
  <si>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</si>
  <si>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</si>
  <si>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</si>
  <si>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</si>
  <si>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</si>
  <si>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</si>
  <si>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</si>
  <si>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</si>
  <si>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</si>
  <si>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</si>
  <si>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</si>
  <si>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</si>
  <si>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</si>
  <si>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</si>
  <si>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</si>
  <si>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</si>
  <si>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</si>
  <si>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</si>
  <si>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</si>
  <si>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</si>
  <si>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</si>
  <si>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</si>
  <si>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</si>
  <si>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</si>
  <si>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</si>
  <si>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</si>
  <si>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</si>
  <si>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</si>
  <si>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</si>
  <si>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</si>
  <si>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</si>
  <si>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</si>
  <si>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</si>
  <si>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</si>
  <si>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</si>
  <si>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</si>
  <si>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</si>
  <si>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</si>
  <si>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</si>
  <si>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</si>
  <si>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</si>
  <si>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</si>
  <si>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</si>
  <si>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</si>
  <si>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</si>
  <si>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</si>
  <si>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</si>
  <si>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</si>
  <si>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</si>
  <si>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</si>
  <si>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</si>
  <si>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</si>
  <si>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</si>
  <si>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</si>
  <si>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</si>
  <si>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</si>
  <si>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</si>
  <si>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</si>
  <si>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</si>
  <si>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</si>
  <si>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</si>
  <si>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</si>
  <si>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</si>
  <si>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</si>
  <si>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</si>
  <si>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</si>
  <si>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</si>
  <si>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</si>
  <si>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</si>
  <si>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</si>
  <si>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</si>
  <si>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</si>
  <si>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</si>
  <si>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</si>
  <si>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</si>
  <si>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</si>
  <si>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</si>
  <si>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</si>
  <si>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</si>
  <si>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</si>
  <si>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</si>
  <si>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</si>
  <si>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</si>
  <si>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</si>
  <si>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</si>
  <si>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</si>
  <si>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</si>
  <si>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</si>
  <si>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</si>
  <si>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</si>
  <si>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</si>
  <si>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</si>
  <si>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</si>
  <si>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</si>
  <si>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</si>
  <si>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</si>
  <si>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</si>
  <si>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</si>
  <si>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</si>
  <si>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</si>
  <si>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</si>
  <si>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</si>
  <si>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</si>
  <si>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</si>
  <si>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</si>
  <si>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</si>
  <si>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</si>
  <si>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</si>
  <si>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</si>
  <si>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</si>
  <si>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</si>
  <si>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</si>
  <si>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</si>
  <si>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</si>
  <si>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</si>
  <si>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</si>
  <si>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</si>
  <si>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</si>
  <si>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</si>
  <si>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</si>
  <si>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</si>
  <si>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</si>
  <si>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</si>
  <si>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</si>
  <si>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</si>
  <si>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</si>
  <si>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</si>
  <si>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</si>
  <si>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</si>
  <si>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</si>
  <si>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</si>
  <si>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</si>
  <si>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</si>
  <si>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</si>
  <si>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</si>
  <si>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</si>
  <si>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</si>
  <si>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</si>
  <si>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</si>
  <si>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</si>
  <si>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</si>
  <si>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</si>
  <si>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</si>
  <si>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</si>
  <si>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</si>
  <si>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</si>
  <si>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</si>
  <si>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</si>
  <si>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</si>
  <si>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</si>
  <si>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</si>
  <si>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</si>
  <si>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</si>
  <si>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</si>
  <si>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</si>
  <si>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</si>
  <si>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</si>
  <si>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</si>
  <si>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</si>
  <si>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</si>
  <si>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</si>
  <si>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</si>
  <si>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</si>
  <si>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</si>
  <si>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</si>
  <si>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</si>
  <si>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</si>
  <si>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</si>
  <si>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</si>
  <si>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</si>
  <si>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</si>
  <si>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</si>
  <si>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</si>
  <si>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</si>
  <si>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</si>
  <si>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</si>
  <si>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</si>
  <si>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</si>
  <si>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</si>
  <si>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</si>
  <si>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</si>
  <si>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</si>
  <si>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</si>
  <si>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</si>
  <si>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</si>
  <si>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</si>
  <si>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</si>
  <si>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</si>
  <si>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</si>
  <si>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</si>
  <si>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</si>
  <si>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</si>
  <si>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</si>
  <si>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</si>
  <si>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</si>
  <si>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</si>
  <si>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</si>
  <si>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</si>
  <si>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</si>
  <si>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</si>
  <si>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</si>
  <si>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</si>
  <si>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</si>
  <si>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</si>
  <si>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</si>
  <si>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</si>
  <si>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</si>
  <si>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</si>
  <si>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</si>
  <si>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</si>
  <si>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</si>
  <si>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</si>
  <si>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</si>
  <si>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</si>
  <si>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</si>
  <si>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</si>
  <si>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</si>
  <si>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</si>
  <si>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</si>
  <si>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</si>
  <si>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</si>
  <si>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</si>
  <si>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</si>
  <si>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</si>
  <si>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</si>
  <si>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</si>
  <si>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</si>
  <si>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</si>
  <si>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</si>
  <si>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</si>
  <si>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</si>
  <si>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</si>
  <si>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</si>
  <si>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</si>
  <si>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</si>
  <si>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</si>
  <si>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</si>
  <si>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</si>
  <si>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</si>
  <si>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</si>
  <si>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</si>
  <si>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</si>
  <si>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</si>
  <si>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</si>
  <si>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</si>
  <si>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</si>
  <si>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</si>
  <si>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</si>
  <si>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</si>
  <si>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</si>
  <si>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</si>
  <si>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</si>
  <si>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</si>
  <si>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</si>
  <si>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</si>
  <si>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</si>
  <si>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</si>
  <si>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</si>
  <si>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</si>
  <si>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</si>
  <si>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</si>
  <si>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</si>
  <si>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</si>
  <si>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</si>
  <si>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</si>
  <si>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</si>
  <si>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</si>
  <si>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</si>
  <si>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</si>
  <si>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</si>
  <si>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</si>
  <si>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</si>
  <si>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</si>
  <si>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</si>
  <si>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</si>
  <si>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</si>
  <si>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</si>
  <si>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</si>
  <si>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</si>
  <si>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</si>
  <si>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</si>
  <si>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</si>
  <si>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</si>
  <si>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</si>
  <si>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</si>
  <si>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</si>
  <si>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</si>
  <si>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</si>
  <si>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</si>
  <si>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</si>
  <si>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</si>
  <si>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</si>
  <si>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</si>
  <si>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</si>
  <si>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</si>
  <si>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</si>
  <si>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</si>
  <si>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</si>
  <si>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</si>
  <si>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</si>
  <si>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</si>
  <si>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</si>
  <si>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</si>
  <si>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</si>
  <si>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</si>
  <si>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</si>
  <si>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</si>
  <si>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</si>
  <si>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</si>
  <si>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</si>
  <si>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</si>
  <si>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</si>
  <si>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</si>
  <si>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</si>
  <si>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</si>
  <si>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</si>
  <si>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</si>
  <si>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</si>
  <si>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</si>
  <si>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</si>
  <si>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</si>
  <si>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</si>
  <si>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</si>
  <si>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</si>
  <si>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</si>
  <si>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</si>
  <si>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</si>
  <si>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</si>
  <si>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</si>
  <si>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</si>
  <si>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</si>
  <si>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</si>
  <si>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</si>
  <si>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</si>
  <si>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</si>
  <si>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</si>
  <si>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</si>
  <si>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</si>
  <si>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</si>
  <si>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</si>
  <si>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</si>
  <si>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</si>
  <si>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</si>
  <si>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</si>
  <si>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</si>
  <si>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</si>
  <si>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</si>
  <si>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</si>
  <si>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</si>
  <si>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</si>
  <si>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</si>
  <si>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</si>
  <si>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</si>
  <si>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</si>
  <si>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</si>
  <si>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</si>
  <si>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</si>
  <si>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</si>
  <si>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</si>
  <si>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</si>
  <si>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</si>
  <si>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</si>
  <si>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</si>
  <si>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</si>
  <si>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</si>
  <si>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</si>
  <si>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</si>
  <si>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</si>
  <si>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</si>
  <si>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</si>
  <si>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</si>
  <si>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</si>
  <si>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</si>
  <si>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</si>
  <si>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</si>
  <si>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</si>
  <si>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</si>
  <si>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</si>
  <si>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</si>
  <si>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</si>
  <si>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</si>
  <si>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</si>
  <si>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</si>
  <si>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</si>
  <si>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</si>
  <si>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</si>
  <si>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</si>
  <si>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</si>
  <si>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</si>
  <si>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</si>
  <si>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</si>
  <si>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</si>
  <si>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</si>
  <si>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</si>
  <si>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</si>
  <si>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</si>
  <si>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</si>
  <si>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</si>
  <si>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</si>
  <si>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</si>
  <si>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</si>
  <si>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</si>
  <si>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</si>
  <si>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</si>
  <si>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</si>
  <si>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</si>
  <si>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</si>
  <si>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</si>
  <si>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</si>
  <si>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</si>
  <si>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</si>
  <si>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</si>
  <si>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</si>
  <si>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</si>
  <si>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</si>
  <si>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</si>
  <si>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</si>
  <si>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</si>
  <si>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</si>
  <si>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</si>
  <si>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</si>
  <si>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</si>
  <si>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</si>
  <si>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</si>
  <si>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</si>
  <si>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</si>
  <si>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</si>
  <si>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</si>
  <si>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</si>
  <si>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</si>
  <si>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</si>
  <si>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</si>
  <si>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</si>
  <si>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</si>
  <si>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</si>
  <si>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</si>
  <si>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</si>
  <si>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</si>
  <si>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</si>
  <si>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</si>
  <si>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</si>
  <si>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</si>
  <si>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</si>
  <si>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</si>
  <si>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</si>
  <si>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</si>
  <si>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</si>
  <si>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</si>
  <si>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</si>
  <si>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</si>
  <si>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</si>
  <si>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</si>
  <si>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</si>
  <si>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</si>
  <si>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</si>
  <si>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</si>
  <si>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</si>
  <si>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</si>
  <si>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</si>
  <si>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</si>
  <si>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</si>
  <si>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</si>
  <si>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</si>
  <si>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</si>
  <si>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</si>
  <si>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</si>
  <si>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</si>
  <si>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</si>
  <si>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</si>
  <si>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</si>
  <si>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</si>
  <si>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</si>
  <si>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</si>
  <si>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</si>
  <si>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</si>
  <si>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</si>
  <si>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</si>
  <si>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</si>
  <si>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</si>
  <si>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</si>
  <si>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</si>
  <si>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</si>
  <si>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</si>
  <si>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</si>
  <si>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</si>
  <si>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</si>
  <si>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</si>
  <si>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</si>
  <si>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</si>
  <si>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</si>
  <si>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</si>
  <si>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</si>
  <si>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</si>
  <si>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</si>
  <si>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</si>
  <si>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</si>
  <si>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</si>
  <si>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</si>
  <si>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</si>
  <si>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</si>
  <si>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</si>
  <si>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</si>
  <si>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</si>
  <si>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</si>
  <si>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</si>
  <si>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</si>
  <si>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</si>
  <si>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</si>
  <si>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</si>
  <si>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</si>
  <si>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</si>
  <si>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</si>
  <si>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</si>
  <si>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</si>
  <si>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</si>
  <si>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</si>
  <si>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</si>
  <si>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</si>
  <si>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</si>
  <si>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</si>
  <si>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</si>
  <si>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</si>
  <si>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</si>
  <si>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</si>
  <si>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</si>
  <si>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</si>
  <si>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</si>
  <si>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</si>
  <si>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</si>
  <si>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</si>
  <si>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</si>
  <si>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</si>
  <si>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</si>
  <si>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</si>
  <si>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</si>
  <si>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</si>
  <si>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</si>
  <si>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</si>
  <si>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</si>
  <si>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</si>
  <si>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</si>
  <si>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</si>
  <si>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</si>
  <si>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</si>
  <si>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</si>
  <si>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</si>
  <si>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</si>
  <si>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</si>
  <si>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</si>
  <si>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</si>
  <si>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</si>
  <si>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</si>
  <si>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</si>
  <si>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</si>
  <si>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</si>
  <si>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</si>
  <si>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</si>
  <si>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</si>
  <si>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</si>
  <si>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</si>
  <si>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</si>
  <si>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</si>
  <si>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</si>
  <si>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</si>
  <si>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</si>
  <si>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</si>
  <si>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</si>
  <si>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</si>
  <si>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</si>
  <si>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</si>
  <si>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</si>
  <si>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</si>
  <si>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</si>
  <si>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</si>
  <si>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</si>
  <si>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</si>
  <si>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</si>
  <si>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</si>
  <si>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</si>
  <si>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</si>
  <si>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</si>
  <si>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</si>
  <si>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</si>
  <si>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</si>
  <si>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</si>
  <si>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</si>
  <si>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</si>
  <si>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</si>
  <si>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</si>
  <si>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</si>
  <si>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</si>
  <si>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</si>
  <si>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</si>
  <si>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</si>
  <si>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</si>
  <si>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</si>
  <si>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</si>
  <si>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</si>
  <si>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</si>
  <si>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</si>
  <si>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</si>
  <si>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</si>
  <si>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</si>
  <si>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</si>
  <si>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</si>
  <si>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</si>
  <si>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</si>
  <si>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</si>
  <si>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</si>
  <si>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</si>
  <si>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</si>
  <si>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</si>
  <si>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</si>
  <si>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</si>
  <si>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</si>
  <si>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</si>
  <si>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</si>
  <si>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</si>
  <si>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</si>
  <si>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</si>
  <si>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</si>
  <si>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</si>
  <si>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</si>
  <si>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</si>
  <si>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</si>
  <si>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</si>
  <si>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</si>
  <si>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</si>
  <si>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</si>
  <si>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</si>
  <si>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</si>
  <si>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</si>
  <si>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</si>
  <si>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</si>
  <si>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</si>
  <si>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</si>
  <si>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</si>
  <si>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</si>
  <si>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</si>
  <si>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</si>
  <si>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</si>
  <si>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</si>
  <si>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</si>
  <si>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</si>
  <si>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</si>
  <si>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</si>
  <si>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</si>
  <si>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</si>
  <si>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</si>
  <si>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</si>
  <si>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</si>
  <si>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</si>
  <si>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</si>
  <si>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</si>
  <si>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</si>
  <si>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</si>
  <si>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</si>
  <si>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</si>
  <si>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</si>
  <si>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</si>
  <si>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</si>
  <si>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</si>
  <si>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</si>
  <si>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</si>
  <si>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</si>
  <si>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</si>
  <si>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</si>
  <si>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</si>
  <si>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</si>
  <si>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</si>
  <si>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</si>
  <si>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</si>
  <si>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</si>
  <si>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</si>
  <si>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</si>
  <si>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</si>
  <si>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</si>
  <si>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</si>
  <si>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</si>
  <si>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</si>
  <si>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</si>
  <si>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</si>
  <si>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</si>
  <si>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</si>
  <si>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</si>
  <si>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</si>
  <si>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</si>
  <si>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</si>
  <si>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</si>
  <si>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</si>
  <si>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</si>
  <si>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</si>
  <si>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</si>
  <si>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</si>
  <si>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</si>
  <si>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</si>
  <si>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</si>
  <si>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</si>
  <si>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</si>
  <si>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</si>
  <si>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</si>
  <si>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</si>
  <si>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</si>
  <si>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</si>
  <si>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</si>
  <si>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</si>
  <si>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</si>
  <si>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</si>
  <si>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</si>
  <si>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</si>
  <si>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</si>
  <si>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</si>
  <si>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</si>
  <si>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</si>
  <si>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</si>
  <si>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</si>
  <si>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</si>
  <si>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</si>
  <si>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</si>
  <si>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</si>
  <si>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</si>
  <si>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</si>
  <si>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</si>
  <si>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</si>
  <si>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</si>
  <si>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</si>
  <si>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</si>
  <si>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</si>
  <si>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</si>
  <si>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</si>
  <si>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</si>
  <si>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</si>
  <si>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</si>
  <si>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</si>
  <si>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</si>
  <si>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</si>
  <si>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</si>
  <si>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</si>
  <si>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</si>
  <si>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</si>
  <si>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</si>
  <si>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</si>
  <si>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</si>
  <si>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</si>
  <si>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</si>
  <si>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</si>
  <si>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</si>
  <si>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</si>
  <si>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</si>
  <si>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</si>
  <si>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</si>
  <si>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</si>
  <si>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</si>
  <si>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</si>
  <si>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</si>
  <si>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</si>
  <si>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</si>
  <si>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</si>
  <si>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</si>
  <si>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</si>
  <si>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</si>
  <si>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</si>
  <si>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</si>
  <si>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</si>
  <si>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</si>
  <si>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</si>
  <si>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</si>
  <si>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</si>
  <si>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</si>
  <si>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</si>
  <si>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</si>
  <si>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</si>
  <si>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</si>
  <si>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</si>
  <si>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</si>
  <si>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</si>
  <si>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</si>
  <si>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</si>
  <si>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</si>
  <si>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</si>
  <si>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</si>
  <si>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</si>
  <si>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</si>
  <si>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</si>
  <si>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</si>
  <si>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</si>
  <si>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</si>
  <si>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</si>
  <si>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</si>
  <si>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</si>
  <si>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</si>
  <si>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</si>
  <si>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</si>
  <si>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</si>
  <si>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</si>
  <si>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</si>
  <si>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</si>
  <si>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</si>
  <si>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</si>
  <si>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</si>
  <si>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</si>
  <si>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</si>
  <si>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</si>
  <si>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</si>
  <si>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</si>
  <si>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</si>
  <si>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</si>
  <si>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</si>
  <si>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</si>
  <si>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</si>
  <si>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</si>
  <si>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</si>
  <si>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</si>
  <si>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</si>
  <si>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</si>
  <si>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</si>
  <si>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</si>
  <si>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</si>
  <si>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</si>
  <si>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</si>
  <si>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</si>
  <si>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</si>
  <si>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</si>
  <si>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</si>
  <si>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</si>
  <si>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</si>
  <si>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</si>
  <si>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</si>
  <si>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</si>
  <si>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</si>
  <si>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</si>
  <si>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</si>
  <si>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</si>
  <si>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</si>
  <si>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</si>
  <si>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</si>
  <si>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</si>
  <si>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</si>
  <si>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</si>
  <si>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</si>
  <si>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</si>
  <si>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</si>
  <si>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</si>
  <si>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</si>
  <si>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</si>
  <si>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</si>
  <si>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</si>
  <si>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</si>
  <si>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</si>
  <si>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</si>
  <si>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</si>
  <si>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</si>
  <si>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</si>
  <si>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</si>
  <si>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</si>
  <si>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</si>
  <si>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</si>
  <si>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</si>
  <si>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</si>
  <si>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</si>
  <si>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</si>
  <si>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</si>
  <si>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</si>
  <si>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</si>
  <si>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</si>
  <si>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</si>
  <si>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</si>
  <si>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</si>
  <si>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</si>
  <si>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</si>
  <si>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</si>
  <si>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</si>
  <si>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</si>
  <si>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</si>
  <si>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</si>
  <si>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</si>
  <si>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</si>
  <si>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</si>
  <si>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</si>
  <si>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</si>
  <si>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</si>
  <si>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</si>
  <si>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</si>
  <si>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</si>
  <si>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</si>
  <si>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</si>
  <si>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</si>
  <si>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</si>
  <si>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</si>
  <si>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</si>
  <si>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</si>
  <si>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</si>
  <si>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</si>
  <si>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</si>
  <si>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</si>
  <si>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</si>
  <si>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</si>
  <si>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</si>
  <si>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</si>
  <si>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</si>
  <si>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</si>
  <si>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</si>
  <si>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</si>
  <si>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</si>
  <si>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</si>
  <si>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</si>
  <si>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</si>
  <si>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</si>
  <si>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</si>
  <si>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</si>
  <si>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</si>
  <si>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</si>
  <si>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</si>
  <si>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</si>
  <si>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</si>
  <si>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</si>
  <si>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</si>
  <si>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</si>
  <si>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</si>
  <si>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</si>
  <si>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</si>
  <si>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</si>
  <si>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</si>
  <si>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</si>
  <si>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</si>
  <si>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</si>
  <si>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</si>
  <si>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</si>
  <si>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</si>
  <si>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</si>
  <si>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</si>
  <si>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</si>
  <si>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</si>
  <si>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</si>
  <si>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</si>
  <si>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</si>
  <si>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</si>
  <si>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</si>
  <si>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</si>
  <si>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</si>
  <si>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</si>
  <si>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</si>
  <si>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</si>
  <si>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</si>
  <si>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</si>
  <si>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</si>
  <si>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</si>
  <si>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</si>
  <si>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</si>
  <si>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</si>
  <si>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</si>
  <si>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</si>
  <si>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</si>
  <si>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</si>
  <si>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</si>
  <si>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</si>
  <si>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</si>
  <si>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</si>
  <si>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</si>
  <si>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</si>
  <si>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</si>
  <si>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</si>
  <si>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</si>
  <si>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</si>
  <si>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</si>
  <si>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</si>
  <si>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</si>
  <si>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</si>
  <si>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</si>
  <si>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</si>
  <si>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</si>
  <si>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</si>
  <si>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</si>
  <si>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</si>
  <si>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</si>
  <si>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</si>
  <si>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</si>
  <si>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</si>
  <si>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</si>
  <si>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</si>
  <si>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</si>
  <si>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</si>
  <si>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</si>
  <si>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</si>
  <si>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</si>
  <si>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</si>
  <si>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</si>
  <si>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</si>
  <si>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</si>
  <si>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</si>
  <si>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</si>
  <si>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</si>
  <si>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</si>
  <si>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</si>
  <si>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</si>
  <si>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</si>
  <si>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</si>
  <si>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</si>
  <si>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</si>
  <si>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</si>
  <si>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</si>
  <si>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</si>
  <si>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</si>
  <si>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</si>
  <si>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</si>
  <si>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</si>
  <si>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</si>
  <si>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</si>
  <si>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</si>
  <si>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</si>
  <si>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</si>
  <si>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</si>
  <si>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</si>
  <si>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</si>
  <si>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</si>
  <si>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</si>
  <si>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</si>
  <si>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</si>
  <si>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</si>
  <si>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</si>
  <si>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</si>
  <si>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</si>
  <si>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</si>
  <si>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</si>
  <si>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</si>
  <si>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</si>
  <si>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</si>
  <si>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</si>
  <si>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</si>
  <si>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</si>
  <si>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</si>
  <si>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</si>
  <si>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</si>
  <si>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</si>
  <si>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</si>
  <si>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</si>
  <si>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</si>
  <si>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</si>
  <si>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</si>
  <si>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</si>
  <si>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</si>
  <si>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</si>
  <si>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</si>
  <si>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</si>
  <si>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</si>
  <si>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</si>
  <si>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</si>
  <si>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</si>
  <si>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</si>
  <si>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</si>
  <si>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</si>
  <si>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</si>
  <si>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</si>
  <si>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</si>
  <si>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</si>
  <si>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</si>
  <si>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</si>
  <si>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</si>
  <si>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</si>
  <si>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</si>
  <si>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</si>
  <si>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</si>
  <si>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</si>
  <si>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</si>
  <si>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</si>
  <si>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</si>
  <si>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</si>
  <si>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</si>
  <si>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</si>
  <si>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</si>
  <si>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</si>
  <si>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</si>
  <si>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</si>
  <si>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</si>
  <si>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</si>
  <si>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</si>
  <si>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</si>
  <si>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</si>
  <si>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</si>
  <si>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</si>
  <si>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</si>
  <si>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</si>
  <si>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</si>
  <si>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</si>
  <si>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</si>
  <si>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</si>
  <si>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</si>
  <si>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</si>
  <si>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</si>
  <si>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</si>
  <si>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</si>
  <si>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</si>
  <si>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</si>
  <si>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</si>
  <si>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</si>
  <si>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</si>
  <si>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</si>
  <si>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</si>
  <si>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</si>
  <si>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</si>
  <si>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</si>
  <si>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</si>
  <si>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</si>
  <si>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</si>
  <si>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</si>
  <si>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</si>
  <si>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</si>
  <si>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</si>
  <si>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</si>
  <si>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</si>
  <si>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</si>
  <si>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</si>
  <si>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</si>
  <si>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</si>
  <si>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</si>
  <si>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</si>
  <si>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</si>
  <si>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</si>
  <si>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</si>
  <si>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</si>
  <si>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</si>
  <si>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</si>
  <si>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</si>
  <si>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</si>
  <si>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</si>
  <si>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</si>
  <si>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</si>
  <si>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</si>
  <si>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</si>
  <si>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</si>
  <si>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</si>
  <si>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</si>
  <si>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</si>
  <si>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</si>
  <si>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</si>
  <si>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</si>
  <si>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</si>
  <si>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</si>
  <si>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</si>
  <si>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</si>
  <si>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</si>
  <si>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</si>
  <si>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</si>
  <si>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</si>
  <si>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</si>
  <si>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</si>
  <si>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</si>
  <si>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</si>
  <si>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</si>
  <si>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</si>
  <si>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</si>
  <si>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</si>
  <si>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</si>
  <si>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</si>
  <si>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</si>
  <si>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</si>
  <si>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</si>
  <si>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</si>
  <si>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</si>
  <si>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</si>
  <si>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</si>
  <si>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</si>
  <si>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</si>
  <si>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</si>
  <si>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</si>
  <si>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</si>
  <si>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</si>
  <si>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</si>
  <si>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</si>
  <si>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</si>
  <si>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</si>
  <si>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</si>
  <si>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</si>
  <si>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</si>
  <si>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</si>
  <si>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</si>
  <si>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</si>
  <si>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</si>
  <si>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</si>
  <si>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</si>
  <si>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</si>
  <si>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</si>
  <si>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</si>
  <si>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</si>
  <si>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</si>
  <si>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</si>
  <si>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</si>
  <si>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</si>
  <si>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</si>
  <si>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</si>
  <si>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</si>
  <si>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</si>
  <si>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</si>
  <si>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</si>
  <si>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</si>
  <si>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</si>
  <si>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</si>
  <si>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</si>
  <si>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</si>
  <si>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</si>
  <si>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</si>
  <si>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</si>
  <si>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</si>
  <si>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</si>
  <si>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</si>
  <si>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</si>
  <si>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</si>
  <si>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</si>
  <si>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</si>
  <si>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</si>
  <si>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</si>
  <si>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</si>
  <si>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</si>
  <si>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</si>
  <si>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</si>
  <si>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</si>
  <si>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</si>
  <si>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</si>
  <si>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</si>
  <si>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</si>
  <si>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</si>
  <si>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</si>
  <si>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</si>
  <si>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</si>
  <si>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</si>
  <si>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</si>
  <si>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</si>
  <si>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</si>
  <si>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</si>
  <si>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</si>
  <si>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</si>
  <si>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</si>
  <si>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</si>
  <si>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</si>
  <si>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</si>
  <si>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</si>
  <si>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</si>
  <si>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</si>
  <si>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</si>
  <si>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</si>
  <si>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</si>
  <si>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</si>
  <si>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</si>
  <si>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</si>
  <si>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</si>
  <si>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</si>
  <si>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</si>
  <si>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</si>
  <si>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</si>
  <si>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</si>
  <si>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</si>
  <si>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</si>
  <si>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</si>
  <si>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</si>
  <si>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</si>
  <si>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</si>
  <si>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</si>
  <si>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</si>
  <si>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</si>
  <si>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</si>
  <si>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</si>
  <si>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</si>
  <si>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</si>
  <si>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</si>
  <si>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</si>
  <si>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</si>
  <si>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</si>
  <si>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</si>
  <si>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</si>
  <si>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</si>
  <si>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</si>
  <si>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</si>
  <si>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</si>
  <si>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</si>
  <si>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</si>
  <si>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</si>
  <si>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</si>
  <si>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</si>
  <si>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</si>
  <si>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</si>
  <si>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</si>
  <si>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</si>
  <si>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</si>
  <si>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</si>
  <si>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</si>
  <si>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</si>
  <si>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</si>
  <si>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</si>
  <si>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</si>
  <si>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</si>
  <si>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</si>
  <si>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</si>
  <si>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</si>
  <si>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</si>
  <si>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</si>
  <si>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</si>
  <si>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</si>
  <si>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</si>
  <si>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</si>
  <si>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</si>
  <si>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</si>
  <si>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</si>
  <si>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</si>
  <si>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</si>
  <si>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</si>
  <si>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</si>
  <si>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</si>
  <si>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</si>
  <si>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</si>
  <si>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</si>
  <si>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</si>
  <si>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</si>
  <si>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</si>
  <si>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</si>
  <si>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</si>
  <si>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</si>
  <si>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</si>
  <si>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</si>
  <si>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</si>
  <si>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</si>
  <si>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</si>
  <si>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</si>
  <si>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</si>
  <si>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</si>
  <si>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</si>
  <si>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</si>
  <si>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</si>
  <si>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</si>
  <si>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</si>
  <si>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</si>
  <si>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</si>
  <si>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</si>
  <si>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</si>
  <si>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</si>
  <si>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</si>
  <si>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</si>
  <si>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</si>
  <si>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</si>
  <si>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</si>
  <si>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</si>
  <si>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</si>
  <si>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</si>
  <si>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</si>
  <si>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</si>
  <si>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</si>
  <si>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</si>
  <si>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</si>
  <si>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</si>
  <si>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</si>
  <si>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</si>
  <si>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</si>
  <si>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</si>
  <si>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</si>
  <si>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</si>
  <si>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</si>
  <si>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</si>
  <si>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</si>
  <si>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</si>
  <si>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</si>
  <si>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</si>
  <si>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</si>
  <si>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</si>
  <si>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</si>
  <si>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</si>
  <si>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</si>
  <si>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</si>
  <si>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</si>
  <si>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</si>
  <si>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</si>
  <si>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</si>
  <si>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</si>
  <si>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</si>
  <si>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</si>
  <si>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</si>
  <si>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</si>
  <si>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</si>
  <si>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</si>
  <si>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</si>
  <si>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</si>
  <si>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</si>
  <si>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</si>
  <si>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</si>
  <si>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</si>
  <si>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</si>
  <si>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</si>
  <si>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</si>
  <si>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</si>
  <si>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</si>
  <si>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</si>
  <si>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</si>
  <si>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</si>
  <si>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</si>
  <si>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</si>
  <si>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</si>
  <si>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</si>
  <si>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</si>
  <si>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</si>
  <si>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</si>
  <si>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</si>
  <si>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</si>
  <si>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</si>
  <si>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</si>
  <si>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</si>
  <si>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</si>
  <si>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</si>
  <si>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</si>
  <si>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</si>
  <si>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</si>
  <si>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</si>
  <si>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</si>
  <si>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</si>
  <si>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</si>
  <si>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</si>
  <si>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</si>
  <si>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</si>
  <si>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</si>
  <si>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</si>
  <si>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</si>
  <si>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</si>
  <si>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</si>
  <si>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</si>
  <si>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</si>
  <si>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</si>
  <si>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</si>
  <si>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</si>
  <si>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</si>
  <si>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</si>
  <si>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</si>
  <si>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</si>
  <si>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</si>
  <si>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</si>
  <si>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</si>
  <si>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</si>
  <si>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</si>
  <si>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</si>
  <si>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</si>
  <si>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</si>
  <si>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</si>
  <si>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</si>
  <si>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</si>
  <si>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</si>
  <si>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</si>
  <si>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</si>
  <si>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</si>
  <si>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</si>
  <si>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</si>
  <si>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</si>
  <si>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</si>
  <si>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</si>
  <si>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</si>
  <si>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</si>
  <si>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</si>
  <si>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</si>
  <si>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</si>
  <si>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</si>
  <si>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</si>
  <si>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</si>
  <si>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</si>
  <si>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</si>
  <si>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</si>
  <si>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</si>
  <si>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</si>
  <si>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</si>
  <si>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</si>
  <si>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</si>
  <si>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</si>
  <si>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</si>
  <si>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</si>
  <si>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</si>
  <si>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</si>
  <si>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</si>
  <si>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</si>
  <si>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</si>
  <si>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</si>
  <si>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</si>
  <si>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</si>
  <si>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</si>
  <si>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</si>
  <si>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</si>
  <si>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</si>
  <si>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</si>
  <si>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</si>
  <si>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</si>
  <si>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</si>
  <si>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</si>
  <si>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</si>
  <si>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</si>
  <si>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</si>
  <si>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</si>
  <si>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</si>
  <si>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</si>
  <si>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</si>
  <si>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</si>
  <si>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</si>
  <si>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</si>
  <si>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</si>
  <si>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</si>
  <si>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</si>
  <si>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</si>
  <si>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</si>
  <si>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</si>
  <si>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</si>
  <si>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</si>
  <si>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</si>
  <si>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</si>
  <si>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</si>
  <si>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</si>
  <si>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</si>
  <si>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</si>
  <si>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</si>
  <si>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</si>
  <si>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</si>
  <si>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</si>
  <si>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</si>
  <si>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</si>
  <si>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</si>
  <si>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</si>
  <si>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</si>
  <si>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</si>
  <si>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</si>
  <si>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</si>
  <si>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</si>
  <si>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</si>
  <si>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</si>
  <si>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</si>
  <si>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</si>
  <si>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</si>
  <si>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</si>
  <si>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</si>
  <si>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</si>
  <si>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</si>
  <si>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</si>
  <si>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</si>
  <si>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</si>
  <si>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</si>
  <si>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</si>
  <si>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</si>
  <si>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</si>
  <si>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</si>
  <si>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</si>
  <si>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</si>
  <si>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</si>
  <si>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</si>
  <si>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</si>
  <si>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</si>
  <si>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</si>
  <si>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</si>
  <si>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</si>
  <si>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</si>
  <si>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</si>
  <si>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</si>
  <si>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</si>
  <si>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</si>
  <si>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</si>
  <si>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</si>
  <si>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</si>
  <si>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</si>
  <si>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</si>
  <si>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</si>
  <si>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</si>
  <si>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</si>
  <si>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</si>
  <si>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</si>
  <si>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</si>
  <si>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</si>
  <si>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</si>
  <si>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</si>
  <si>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</si>
  <si>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</si>
  <si>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</si>
  <si>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</si>
  <si>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</si>
  <si>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</si>
  <si>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</si>
  <si>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</si>
  <si>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</si>
  <si>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</si>
  <si>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</si>
  <si>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</si>
  <si>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</si>
  <si>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</si>
  <si>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</si>
  <si>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</si>
  <si>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</si>
  <si>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</si>
  <si>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</si>
  <si>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</si>
  <si>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</si>
  <si>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</si>
  <si>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</si>
  <si>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</si>
  <si>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</si>
  <si>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</si>
  <si>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</si>
  <si>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</si>
  <si>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</si>
  <si>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</si>
  <si>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</si>
  <si>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</si>
  <si>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</si>
  <si>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</si>
  <si>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</si>
  <si>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</si>
  <si>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</si>
  <si>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</si>
  <si>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</si>
  <si>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</si>
  <si>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</si>
  <si>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</si>
  <si>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</si>
  <si>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</si>
  <si>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</si>
  <si>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</si>
  <si>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</si>
  <si>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</si>
  <si>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</si>
  <si>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</si>
  <si>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</si>
  <si>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</si>
  <si>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</si>
  <si>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</si>
  <si>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</si>
  <si>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</si>
  <si>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</si>
  <si>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</si>
  <si>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</si>
  <si>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</si>
  <si>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</si>
  <si>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</si>
  <si>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</si>
  <si>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</si>
  <si>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</si>
  <si>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</si>
  <si>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</si>
  <si>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</si>
  <si>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</si>
  <si>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</si>
  <si>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</si>
  <si>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</si>
  <si>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</si>
  <si>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</si>
  <si>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</si>
  <si>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</si>
  <si>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</si>
  <si>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</si>
  <si>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</si>
  <si>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</si>
  <si>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</si>
  <si>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</si>
  <si>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</si>
  <si>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</si>
  <si>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</si>
  <si>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</si>
  <si>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</si>
  <si>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</si>
  <si>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</si>
  <si>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</si>
  <si>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</si>
  <si>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</si>
  <si>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</si>
  <si>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</si>
  <si>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</si>
  <si>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</si>
  <si>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</si>
  <si>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</si>
  <si>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</si>
  <si>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</si>
  <si>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</si>
  <si>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</si>
  <si>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</si>
  <si>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</si>
  <si>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</si>
  <si>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</si>
  <si>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</si>
  <si>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</si>
  <si>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</si>
  <si>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</si>
  <si>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</si>
  <si>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</si>
  <si>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</si>
  <si>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</si>
  <si>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</si>
  <si>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</si>
  <si>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</si>
  <si>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</si>
  <si>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</si>
  <si>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</si>
  <si>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</si>
  <si>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</si>
  <si>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</si>
  <si>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</si>
  <si>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</si>
  <si>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</si>
  <si>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</si>
  <si>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</si>
  <si>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</si>
  <si>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</si>
  <si>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</si>
  <si>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</si>
  <si>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</si>
  <si>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</si>
  <si>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</si>
  <si>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</si>
  <si>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</si>
  <si>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</si>
  <si>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</si>
  <si>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</si>
  <si>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</si>
  <si>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</si>
  <si>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</si>
  <si>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</si>
  <si>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</si>
  <si>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</si>
  <si>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</si>
  <si>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</si>
  <si>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</si>
  <si>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</si>
  <si>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</si>
  <si>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</si>
  <si>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</si>
  <si>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</si>
  <si>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</si>
  <si>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</si>
  <si>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</si>
  <si>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</si>
  <si>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</si>
  <si>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</si>
  <si>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</si>
  <si>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</si>
  <si>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</si>
  <si>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</si>
  <si>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</si>
  <si>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</si>
  <si>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</si>
  <si>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</si>
  <si>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</si>
  <si>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</si>
  <si>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</si>
  <si>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</si>
  <si>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</si>
  <si>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</si>
  <si>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</si>
  <si>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</si>
  <si>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</si>
  <si>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</si>
  <si>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</si>
  <si>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</si>
  <si>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</si>
  <si>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</si>
  <si>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</si>
  <si>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</si>
  <si>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</si>
  <si>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</si>
  <si>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</si>
  <si>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</si>
  <si>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</si>
  <si>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</si>
  <si>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</si>
  <si>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</si>
  <si>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</si>
  <si>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</si>
  <si>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</si>
  <si>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</si>
  <si>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</si>
  <si>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</si>
  <si>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</si>
  <si>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</si>
  <si>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</si>
  <si>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</si>
  <si>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</si>
  <si>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</si>
  <si>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</si>
  <si>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</si>
  <si>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</si>
  <si>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</si>
  <si>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</si>
  <si>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</si>
  <si>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</si>
  <si>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</si>
  <si>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</si>
  <si>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</si>
  <si>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</si>
  <si>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</si>
  <si>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</si>
  <si>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</si>
  <si>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</si>
  <si>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</si>
  <si>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</si>
  <si>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</si>
  <si>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</si>
  <si>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</si>
  <si>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</si>
  <si>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</si>
  <si>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</si>
  <si>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</si>
  <si>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</si>
  <si>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</si>
  <si>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</si>
  <si>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</si>
  <si>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</si>
  <si>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</si>
  <si>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</si>
  <si>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</si>
  <si>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</si>
  <si>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</si>
  <si>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</si>
  <si>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</si>
  <si>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</si>
  <si>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</si>
  <si>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</si>
  <si>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</si>
  <si>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</si>
  <si>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</si>
  <si>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</si>
  <si>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</si>
  <si>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</si>
  <si>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</si>
  <si>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</si>
  <si>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</si>
  <si>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</si>
  <si>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</si>
  <si>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</si>
  <si>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</si>
  <si>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</si>
  <si>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</si>
  <si>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</si>
  <si>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</si>
  <si>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</si>
  <si>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</si>
  <si>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</si>
  <si>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</si>
  <si>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</si>
  <si>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</si>
  <si>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</si>
  <si>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</si>
  <si>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</si>
  <si>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</si>
  <si>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</si>
  <si>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</si>
  <si>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</si>
  <si>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</si>
  <si>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</si>
  <si>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</si>
  <si>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</si>
  <si>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</si>
  <si>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</si>
  <si>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</si>
  <si>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</si>
  <si>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</si>
  <si>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</si>
  <si>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</si>
  <si>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</si>
  <si>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</si>
  <si>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</si>
  <si>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</si>
  <si>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</si>
  <si>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</si>
  <si>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</si>
  <si>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</si>
  <si>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</si>
  <si>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</si>
  <si>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</si>
  <si>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</si>
  <si>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</si>
  <si>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</si>
  <si>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</si>
  <si>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</si>
  <si>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</si>
  <si>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</si>
  <si>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</si>
  <si>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</si>
  <si>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</si>
  <si>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</si>
  <si>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</si>
  <si>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</si>
  <si>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</si>
  <si>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</si>
  <si>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</si>
  <si>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</si>
  <si>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</si>
  <si>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</si>
  <si>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</si>
  <si>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</si>
  <si>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</si>
  <si>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</si>
  <si>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</si>
  <si>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</si>
  <si>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</si>
  <si>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</si>
  <si>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</si>
  <si>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</si>
  <si>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</si>
  <si>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</si>
  <si>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</si>
  <si>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</si>
  <si>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</si>
  <si>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</si>
  <si>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</si>
  <si>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</si>
  <si>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</si>
  <si>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</si>
  <si>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</si>
  <si>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</si>
  <si>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</si>
  <si>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</si>
  <si>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</si>
  <si>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</si>
  <si>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</si>
  <si>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</si>
  <si>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</si>
  <si>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</si>
  <si>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</si>
  <si>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</si>
  <si>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</si>
  <si>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</si>
  <si>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</si>
  <si>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</si>
  <si>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</si>
  <si>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</si>
  <si>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</si>
  <si>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</si>
  <si>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</si>
  <si>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</si>
  <si>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</si>
  <si>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</si>
  <si>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</si>
  <si>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</si>
  <si>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</si>
  <si>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</si>
  <si>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</si>
  <si>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</si>
  <si>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</si>
  <si>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</si>
  <si>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</si>
  <si>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</si>
  <si>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</si>
  <si>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</si>
  <si>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</si>
  <si>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</si>
  <si>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</si>
  <si>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</si>
  <si>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</si>
  <si>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</si>
  <si>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</si>
  <si>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</si>
  <si>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</si>
  <si>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</si>
  <si>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</si>
  <si>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</si>
  <si>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</si>
  <si>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</si>
  <si>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</si>
  <si>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</si>
  <si>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</si>
  <si>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</si>
  <si>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</si>
  <si>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</si>
  <si>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</si>
  <si>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</si>
  <si>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</si>
  <si>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</si>
  <si>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</si>
  <si>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</si>
  <si>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</si>
  <si>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</si>
  <si>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</si>
  <si>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</si>
  <si>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</si>
  <si>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</si>
  <si>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</si>
  <si>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</si>
  <si>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</si>
  <si>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</si>
  <si>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</si>
  <si>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</si>
  <si>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</si>
  <si>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</si>
  <si>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</si>
  <si>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</si>
  <si>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</si>
  <si>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</si>
  <si>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</si>
  <si>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</si>
  <si>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</si>
  <si>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</si>
  <si>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</si>
  <si>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</si>
  <si>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</si>
  <si>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</si>
  <si>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</si>
  <si>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</si>
  <si>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</si>
  <si>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</si>
  <si>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</si>
  <si>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</si>
  <si>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</si>
  <si>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</si>
  <si>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</si>
  <si>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</si>
  <si>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</si>
  <si>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</si>
  <si>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</si>
  <si>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</si>
  <si>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</si>
  <si>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</si>
  <si>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</si>
  <si>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</si>
  <si>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</si>
  <si>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</si>
  <si>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</si>
  <si>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</si>
  <si>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</si>
  <si>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</si>
  <si>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</si>
  <si>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</si>
  <si>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</si>
  <si>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</si>
  <si>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</si>
  <si>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</si>
  <si>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</si>
  <si>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</si>
  <si>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</si>
  <si>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</si>
  <si>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</si>
  <si>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</si>
  <si>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</si>
  <si>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</si>
  <si>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</si>
  <si>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</si>
  <si>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</si>
  <si>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</si>
  <si>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</si>
  <si>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</si>
  <si>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</si>
  <si>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</si>
  <si>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</si>
  <si>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</si>
  <si>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</si>
  <si>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</si>
  <si>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</si>
  <si>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</si>
  <si>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</si>
  <si>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</si>
  <si>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</si>
  <si>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</si>
  <si>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</si>
  <si>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</si>
  <si>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</si>
  <si>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</si>
  <si>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</si>
  <si>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</si>
  <si>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</si>
  <si>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</si>
  <si>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</si>
  <si>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</si>
  <si>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</si>
  <si>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</si>
  <si>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</si>
  <si>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</si>
  <si>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</si>
  <si>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</si>
  <si>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</si>
  <si>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</si>
  <si>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</si>
  <si>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</si>
  <si>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</si>
  <si>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</si>
  <si>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</si>
  <si>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</si>
  <si>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</si>
  <si>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</si>
  <si>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</si>
  <si>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</si>
  <si>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</si>
  <si>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</si>
  <si>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</si>
  <si>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</si>
  <si>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</si>
  <si>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</si>
  <si>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</si>
  <si>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</si>
  <si>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</si>
  <si>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</si>
  <si>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</si>
  <si>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</si>
  <si>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</si>
  <si>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</si>
  <si>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</si>
  <si>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</si>
  <si>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</si>
  <si>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</si>
  <si>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</si>
  <si>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</si>
  <si>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</si>
  <si>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</si>
  <si>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</si>
  <si>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</si>
  <si>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</si>
  <si>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</si>
  <si>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</si>
  <si>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</si>
  <si>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</si>
  <si>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</si>
  <si>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</si>
  <si>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</si>
  <si>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</si>
  <si>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</si>
  <si>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</si>
  <si>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</si>
  <si>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</si>
  <si>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</si>
  <si>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</si>
  <si>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</si>
  <si>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</si>
  <si>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</si>
  <si>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</si>
  <si>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</si>
  <si>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</si>
  <si>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</si>
  <si>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</si>
  <si>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</si>
  <si>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</si>
  <si>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</si>
  <si>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</si>
  <si>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</si>
  <si>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</si>
  <si>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</si>
  <si>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</si>
  <si>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</si>
  <si>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</si>
  <si>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</si>
  <si>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</si>
  <si>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</si>
  <si>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</si>
  <si>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</si>
  <si>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</si>
  <si>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</si>
  <si>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</si>
  <si>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</si>
  <si>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</si>
  <si>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</si>
  <si>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</si>
  <si>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</si>
  <si>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</si>
  <si>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</si>
  <si>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</si>
  <si>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</si>
  <si>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</si>
  <si>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</si>
  <si>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</si>
  <si>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</si>
  <si>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</si>
  <si>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</si>
  <si>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</si>
  <si>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</si>
  <si>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</si>
  <si>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</si>
  <si>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</si>
  <si>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</si>
  <si>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</si>
  <si>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</si>
  <si>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</si>
  <si>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</si>
  <si>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</si>
  <si>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</si>
  <si>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</si>
  <si>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</si>
  <si>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</si>
  <si>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</si>
  <si>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</si>
  <si>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</si>
  <si>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</si>
  <si>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</si>
  <si>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</si>
  <si>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</si>
  <si>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</si>
  <si>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</si>
  <si>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</si>
  <si>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</si>
  <si>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</si>
  <si>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</si>
  <si>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</si>
  <si>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</si>
  <si>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</si>
  <si>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</si>
  <si>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</si>
  <si>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</si>
  <si>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</si>
  <si>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</si>
  <si>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</si>
  <si>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</si>
  <si>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</si>
  <si>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</si>
  <si>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</si>
  <si>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</si>
  <si>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</si>
  <si>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</si>
  <si>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</si>
  <si>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</si>
  <si>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</si>
  <si>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</si>
  <si>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</si>
  <si>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</si>
  <si>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</si>
  <si>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</si>
  <si>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</si>
  <si>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</si>
  <si>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</si>
  <si>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</si>
  <si>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</si>
  <si>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</si>
  <si>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</si>
  <si>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</si>
  <si>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</si>
  <si>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</si>
  <si>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</si>
  <si>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</si>
  <si>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</si>
  <si>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</si>
  <si>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</si>
  <si>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</si>
  <si>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</si>
  <si>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</si>
  <si>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</si>
  <si>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</si>
  <si>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</si>
  <si>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</si>
  <si>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</si>
  <si>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</si>
  <si>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</si>
  <si>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</si>
  <si>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</si>
  <si>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</si>
  <si>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</si>
  <si>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</si>
  <si>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</si>
  <si>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</si>
  <si>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</si>
  <si>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</si>
  <si>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</si>
  <si>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</si>
  <si>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</si>
  <si>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</si>
  <si>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</si>
  <si>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</si>
  <si>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</si>
  <si>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</si>
  <si>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</si>
  <si>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</si>
  <si>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</si>
  <si>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</si>
  <si>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</si>
  <si>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</si>
  <si>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</si>
  <si>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</si>
  <si>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</si>
  <si>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</si>
  <si>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</si>
  <si>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</si>
  <si>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</si>
  <si>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</si>
  <si>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</si>
  <si>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</si>
  <si>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</si>
  <si>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</si>
  <si>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</si>
  <si>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</si>
  <si>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</si>
  <si>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</si>
  <si>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</si>
  <si>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</si>
  <si>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</si>
  <si>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</si>
  <si>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</si>
  <si>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</si>
  <si>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</si>
  <si>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</si>
  <si>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</si>
  <si>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</si>
  <si>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</si>
  <si>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</si>
  <si>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</si>
  <si>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</si>
  <si>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</si>
  <si>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</si>
  <si>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</si>
  <si>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</si>
  <si>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</si>
  <si>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</si>
  <si>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</si>
  <si>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</si>
  <si>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</si>
  <si>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</si>
  <si>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</si>
  <si>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</si>
  <si>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</si>
  <si>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</si>
  <si>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</si>
  <si>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</si>
  <si>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</si>
  <si>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</si>
  <si>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</si>
  <si>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</si>
  <si>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</si>
  <si>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</si>
  <si>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</si>
  <si>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</si>
  <si>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</si>
  <si>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</si>
  <si>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</si>
  <si>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</si>
  <si>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</si>
  <si>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</si>
  <si>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</si>
  <si>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</si>
  <si>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</si>
  <si>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</si>
  <si>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</si>
  <si>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</si>
  <si>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</si>
  <si>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</si>
  <si>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</si>
  <si>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</si>
  <si>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</si>
  <si>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</si>
  <si>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</si>
  <si>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</si>
  <si>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</si>
  <si>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</si>
  <si>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</si>
  <si>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</si>
  <si>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</si>
  <si>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</si>
  <si>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</si>
  <si>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</si>
  <si>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</si>
  <si>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</si>
  <si>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</si>
  <si>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</si>
  <si>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</si>
  <si>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</si>
  <si>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</si>
  <si>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</si>
  <si>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</si>
  <si>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</si>
  <si>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</si>
  <si>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</si>
  <si>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</si>
  <si>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</si>
  <si>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</si>
  <si>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</si>
  <si>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</si>
  <si>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</si>
  <si>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</si>
  <si>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</si>
  <si>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</si>
  <si>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</si>
  <si>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</si>
  <si>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</si>
  <si>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</si>
  <si>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</si>
  <si>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</si>
  <si>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</si>
  <si>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</si>
  <si>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</si>
  <si>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</si>
  <si>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</si>
  <si>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</si>
  <si>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</si>
  <si>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</si>
  <si>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</si>
  <si>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</si>
  <si>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</si>
  <si>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</si>
  <si>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</si>
  <si>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</si>
  <si>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</si>
  <si>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</si>
  <si>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</si>
  <si>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</si>
  <si>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</si>
  <si>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</si>
  <si>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</si>
  <si>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</si>
  <si>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</si>
  <si>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</si>
  <si>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</si>
  <si>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</si>
  <si>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</si>
  <si>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</si>
  <si>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</si>
  <si>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</si>
  <si>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</si>
  <si>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</si>
  <si>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</si>
  <si>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</si>
  <si>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</si>
  <si>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</si>
  <si>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</si>
  <si>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</si>
  <si>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</si>
  <si>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</si>
  <si>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</si>
  <si>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</si>
  <si>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</si>
  <si>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</si>
  <si>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</si>
  <si>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</si>
  <si>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</si>
  <si>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</si>
  <si>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</si>
  <si>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</si>
  <si>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</si>
  <si>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</si>
  <si>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</si>
  <si>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</si>
  <si>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</si>
  <si>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</si>
  <si>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</si>
  <si>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</si>
  <si>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</si>
  <si>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</si>
  <si>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</si>
  <si>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</si>
  <si>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</si>
  <si>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</si>
  <si>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</si>
  <si>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</si>
  <si>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</si>
  <si>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</si>
  <si>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</si>
  <si>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</si>
  <si>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</si>
  <si>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</si>
  <si>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</si>
  <si>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</si>
  <si>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</si>
  <si>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</si>
  <si>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</si>
  <si>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</si>
  <si>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</si>
  <si>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</si>
  <si>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</si>
  <si>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</si>
  <si>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</si>
  <si>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</si>
  <si>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</si>
  <si>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</si>
  <si>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</si>
  <si>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</si>
  <si>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</si>
  <si>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</si>
  <si>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</si>
  <si>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</si>
  <si>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</si>
  <si>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</si>
  <si>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</si>
  <si>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</si>
  <si>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</si>
  <si>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</si>
  <si>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</si>
  <si>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</si>
  <si>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</si>
  <si>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</si>
  <si>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</si>
  <si>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</si>
  <si>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</si>
  <si>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</si>
  <si>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</si>
  <si>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</si>
  <si>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</si>
  <si>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</si>
  <si>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</si>
  <si>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</si>
  <si>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</si>
  <si>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</si>
  <si>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</si>
  <si>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</si>
  <si>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</si>
  <si>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</si>
  <si>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</si>
  <si>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</si>
  <si>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</si>
  <si>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</si>
  <si>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</si>
  <si>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</si>
  <si>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</si>
  <si>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</si>
  <si>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</si>
  <si>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</si>
  <si>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</si>
  <si>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</si>
  <si>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</si>
  <si>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</si>
  <si>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</si>
  <si>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</si>
  <si>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</si>
  <si>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</si>
  <si>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</si>
  <si>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</si>
  <si>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</si>
  <si>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</si>
  <si>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</si>
  <si>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</si>
  <si>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</si>
  <si>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</si>
  <si>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</si>
  <si>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</si>
  <si>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</si>
  <si>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</si>
  <si>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</si>
  <si>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</si>
  <si>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</si>
  <si>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</si>
  <si>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</si>
  <si>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</si>
  <si>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</si>
  <si>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</si>
  <si>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</si>
  <si>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</si>
  <si>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</si>
  <si>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</si>
  <si>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</si>
  <si>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</si>
  <si>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</si>
  <si>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</si>
  <si>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</si>
  <si>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</si>
  <si>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</si>
  <si>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</si>
  <si>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</si>
  <si>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</si>
  <si>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</si>
  <si>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</si>
  <si>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</si>
  <si>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</si>
  <si>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</si>
  <si>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</si>
  <si>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</si>
  <si>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</si>
  <si>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</si>
  <si>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</si>
  <si>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</si>
  <si>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</si>
  <si>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</si>
  <si>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</si>
  <si>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</si>
  <si>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</si>
  <si>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</si>
  <si>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</si>
  <si>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</si>
  <si>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</si>
  <si>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</si>
  <si>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</si>
  <si>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</si>
  <si>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</si>
  <si>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</si>
  <si>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</si>
  <si>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</si>
  <si>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</si>
  <si>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</si>
  <si>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</si>
  <si>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</si>
  <si>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</si>
  <si>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</si>
  <si>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</si>
  <si>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</si>
  <si>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</si>
  <si>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</si>
  <si>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</si>
  <si>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</si>
  <si>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</si>
  <si>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</si>
  <si>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</si>
  <si>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</si>
  <si>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</si>
  <si>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</si>
  <si>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</si>
  <si>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</si>
  <si>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</si>
  <si>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</si>
  <si>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</si>
  <si>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</si>
  <si>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</si>
  <si>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</si>
  <si>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</si>
  <si>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</si>
  <si>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</si>
  <si>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</si>
  <si>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</si>
  <si>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</si>
  <si>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</si>
  <si>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</si>
  <si>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</si>
  <si>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</si>
  <si>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</si>
  <si>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</si>
  <si>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</si>
  <si>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</si>
  <si>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</si>
  <si>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</si>
  <si>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</si>
  <si>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</si>
  <si>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</si>
  <si>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</si>
  <si>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</si>
  <si>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</si>
  <si>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</si>
  <si>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</si>
  <si>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</si>
  <si>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</si>
  <si>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</si>
  <si>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</si>
  <si>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</si>
  <si>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</si>
  <si>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</si>
  <si>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</si>
  <si>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</si>
  <si>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</si>
  <si>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</si>
  <si>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</si>
  <si>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</si>
  <si>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</si>
  <si>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</si>
  <si>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</si>
  <si>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</si>
  <si>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</si>
  <si>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</si>
  <si>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</si>
  <si>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</si>
  <si>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</si>
  <si>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</si>
  <si>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</si>
  <si>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</si>
  <si>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</si>
  <si>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</si>
  <si>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</si>
  <si>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</si>
  <si>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</si>
  <si>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</si>
  <si>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</si>
  <si>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</si>
  <si>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</si>
  <si>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</si>
  <si>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</si>
  <si>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</si>
  <si>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</si>
  <si>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</si>
  <si>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</si>
  <si>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</si>
  <si>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</si>
  <si>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</si>
  <si>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</si>
  <si>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</si>
  <si>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</si>
  <si>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</si>
  <si>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</si>
  <si>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</si>
  <si>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</si>
  <si>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</si>
  <si>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</si>
  <si>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</si>
  <si>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</si>
  <si>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</si>
  <si>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</si>
  <si>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</si>
  <si>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</si>
  <si>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</si>
  <si>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</si>
  <si>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</si>
  <si>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</si>
  <si>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</si>
  <si>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</si>
  <si>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</si>
  <si>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</si>
  <si>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</si>
  <si>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</si>
  <si>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</si>
  <si>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</si>
  <si>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</si>
  <si>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</si>
  <si>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</si>
  <si>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</si>
  <si>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</si>
  <si>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</si>
  <si>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</si>
  <si>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</si>
  <si>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</si>
  <si>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</si>
  <si>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</si>
  <si>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</si>
  <si>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</si>
  <si>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</si>
  <si>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</si>
  <si>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</si>
  <si>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</si>
  <si>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</si>
  <si>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</si>
  <si>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</si>
  <si>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</si>
  <si>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</si>
  <si>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</si>
  <si>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</si>
  <si>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</si>
  <si>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</si>
  <si>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</si>
  <si>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</si>
  <si>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</si>
  <si>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</si>
  <si>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</si>
  <si>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</si>
  <si>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</si>
  <si>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</si>
  <si>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</si>
  <si>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</si>
  <si>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</si>
  <si>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</si>
  <si>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</si>
  <si>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</si>
  <si>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</si>
  <si>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</si>
  <si>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</si>
  <si>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</si>
  <si>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</si>
  <si>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</si>
  <si>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</si>
  <si>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</si>
  <si>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</si>
  <si>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</si>
  <si>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</si>
  <si>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</si>
  <si>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</si>
  <si>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</si>
  <si>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</si>
  <si>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</si>
  <si>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</si>
  <si>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</si>
  <si>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</si>
  <si>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</si>
  <si>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</si>
  <si>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</si>
  <si>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</si>
  <si>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</si>
  <si>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</si>
  <si>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</si>
  <si>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</si>
  <si>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</si>
  <si>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</si>
  <si>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</si>
  <si>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</si>
  <si>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</si>
  <si>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</si>
  <si>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</si>
  <si>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</si>
  <si>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</si>
  <si>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</si>
  <si>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</si>
  <si>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</si>
  <si>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</si>
  <si>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</si>
  <si>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</si>
  <si>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</si>
  <si>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</si>
  <si>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</si>
  <si>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</si>
  <si>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</si>
  <si>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</si>
  <si>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</si>
  <si>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</si>
  <si>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</si>
  <si>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</si>
  <si>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</si>
  <si>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</si>
  <si>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</si>
  <si>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</si>
  <si>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</si>
  <si>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</si>
  <si>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</si>
  <si>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</si>
  <si>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</si>
  <si>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</si>
  <si>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</si>
  <si>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</si>
  <si>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</si>
  <si>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</si>
  <si>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</si>
  <si>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</si>
  <si>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</si>
  <si>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</si>
  <si>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</si>
  <si>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</si>
  <si>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</si>
  <si>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</si>
  <si>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</si>
  <si>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</si>
  <si>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</si>
  <si>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</si>
  <si>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</si>
  <si>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</si>
  <si>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</si>
  <si>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</si>
  <si>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</si>
  <si>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</si>
  <si>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</si>
  <si>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</si>
  <si>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</si>
  <si>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</si>
  <si>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</si>
  <si>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</si>
  <si>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</si>
  <si>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</si>
  <si>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</si>
  <si>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</si>
  <si>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</si>
  <si>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</si>
  <si>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</si>
  <si>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</si>
  <si>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</si>
  <si>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</si>
  <si>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</si>
  <si>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</si>
  <si>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</si>
  <si>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</si>
  <si>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</si>
  <si>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</si>
  <si>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</si>
  <si>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</si>
  <si>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</si>
  <si>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</si>
  <si>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</si>
  <si>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</si>
  <si>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</si>
  <si>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</si>
  <si>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</si>
  <si>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</si>
  <si>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</si>
  <si>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</si>
  <si>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</si>
  <si>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</si>
  <si>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</si>
  <si>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</si>
  <si>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</si>
  <si>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</si>
  <si>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</si>
  <si>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</si>
  <si>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</si>
  <si>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</si>
  <si>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</si>
  <si>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</si>
  <si>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</si>
  <si>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</si>
  <si>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</si>
  <si>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</si>
  <si>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</si>
  <si>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</si>
  <si>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</si>
  <si>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</si>
  <si>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</si>
  <si>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</si>
  <si>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</si>
  <si>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</si>
  <si>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</si>
  <si>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</si>
  <si>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</si>
  <si>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</si>
  <si>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</si>
  <si>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</si>
  <si>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</si>
  <si>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</si>
  <si>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</si>
  <si>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</si>
  <si>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</si>
  <si>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</si>
  <si>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</si>
  <si>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</si>
  <si>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</si>
  <si>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</si>
  <si>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</si>
  <si>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</si>
  <si>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</si>
  <si>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</si>
  <si>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</si>
  <si>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</si>
  <si>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</si>
  <si>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</si>
  <si>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</si>
  <si>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</si>
  <si>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</si>
  <si>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</si>
  <si>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</si>
  <si>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</si>
  <si>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</si>
  <si>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</si>
  <si>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</si>
  <si>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</si>
  <si>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</si>
  <si>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</si>
  <si>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</si>
  <si>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</si>
  <si>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</si>
  <si>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</si>
  <si>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</si>
  <si>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</si>
  <si>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</si>
  <si>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</si>
  <si>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</si>
  <si>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</si>
  <si>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</si>
  <si>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</si>
  <si>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</si>
  <si>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</si>
  <si>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</si>
  <si>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</si>
  <si>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</si>
  <si>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</si>
  <si>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</si>
  <si>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</si>
  <si>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</si>
  <si>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</si>
  <si>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</si>
  <si>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</si>
  <si>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</si>
  <si>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</si>
  <si>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</si>
  <si>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</si>
  <si>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</si>
  <si>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</si>
  <si>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</si>
  <si>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</si>
  <si>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</si>
  <si>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</si>
  <si>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</si>
  <si>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</si>
  <si>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</si>
  <si>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</si>
  <si>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</si>
  <si>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</si>
  <si>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</si>
  <si>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</si>
  <si>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</si>
  <si>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</si>
  <si>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</si>
  <si>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</si>
  <si>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</si>
  <si>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</si>
  <si>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</si>
  <si>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</si>
  <si>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</si>
  <si>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</si>
  <si>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</si>
  <si>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</si>
  <si>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</si>
  <si>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</si>
  <si>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</si>
  <si>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</si>
  <si>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</si>
  <si>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</si>
  <si>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</si>
  <si>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</si>
  <si>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</si>
  <si>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</si>
  <si>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</si>
  <si>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</si>
  <si>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</si>
  <si>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</si>
  <si>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</si>
  <si>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</si>
  <si>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</si>
  <si>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</si>
  <si>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</si>
  <si>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</si>
  <si>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</si>
  <si>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</si>
  <si>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</si>
  <si>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</si>
  <si>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</si>
  <si>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</si>
  <si>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</si>
  <si>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</si>
  <si>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</si>
  <si>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</si>
  <si>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</si>
  <si>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</si>
  <si>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</si>
  <si>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</si>
  <si>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</si>
  <si>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</si>
  <si>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</si>
  <si>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</si>
  <si>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</si>
  <si>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</si>
  <si>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</si>
  <si>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</si>
  <si>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</si>
  <si>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</si>
  <si>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</si>
  <si>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</si>
  <si>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</si>
  <si>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</si>
  <si>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</si>
  <si>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</si>
  <si>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</si>
  <si>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</si>
  <si>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</si>
  <si>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</si>
  <si>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</si>
  <si>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</si>
  <si>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</si>
  <si>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</si>
  <si>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</si>
  <si>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</si>
  <si>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</si>
  <si>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</si>
  <si>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</si>
  <si>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</si>
  <si>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</si>
  <si>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</si>
  <si>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</si>
  <si>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</si>
  <si>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</si>
  <si>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</si>
  <si>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</si>
  <si>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</si>
  <si>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</si>
  <si>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</si>
  <si>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</si>
  <si>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</si>
  <si>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</si>
  <si>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</si>
  <si>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</si>
  <si>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</si>
  <si>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</si>
  <si>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</si>
  <si>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</si>
  <si>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</si>
  <si>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</si>
  <si>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</si>
  <si>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</si>
  <si>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</si>
  <si>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</si>
  <si>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</si>
  <si>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</si>
  <si>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</si>
  <si>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</si>
  <si>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</si>
  <si>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</si>
  <si>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</si>
  <si>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</si>
  <si>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</si>
  <si>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</si>
  <si>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</si>
  <si>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</si>
  <si>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</si>
  <si>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</si>
  <si>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</si>
  <si>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</si>
  <si>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</si>
  <si>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</si>
  <si>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</si>
  <si>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</si>
  <si>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</si>
  <si>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</si>
  <si>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</si>
  <si>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</si>
  <si>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</si>
  <si>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</si>
  <si>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</si>
  <si>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</si>
  <si>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</si>
  <si>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</si>
  <si>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</si>
  <si>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</si>
  <si>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</si>
  <si>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</si>
  <si>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</si>
  <si>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</si>
  <si>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</si>
  <si>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</si>
  <si>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</si>
  <si>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</si>
  <si>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</si>
  <si>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</si>
  <si>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</si>
  <si>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</si>
  <si>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</si>
  <si>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</si>
  <si>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</si>
  <si>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</si>
  <si>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</si>
  <si>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</si>
  <si>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</si>
  <si>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</si>
  <si>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</si>
  <si>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</si>
  <si>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</si>
  <si>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</si>
  <si>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</si>
  <si>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</si>
  <si>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</si>
  <si>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</si>
  <si>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</si>
  <si>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</si>
  <si>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</si>
  <si>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</si>
  <si>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</si>
  <si>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</si>
  <si>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</si>
  <si>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</si>
  <si>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</si>
  <si>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</si>
  <si>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</si>
  <si>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</si>
  <si>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</si>
  <si>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</si>
  <si>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</si>
  <si>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</si>
  <si>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</si>
  <si>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</si>
  <si>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</si>
  <si>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</si>
  <si>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</si>
  <si>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</si>
  <si>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</si>
  <si>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</si>
  <si>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</si>
  <si>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</si>
  <si>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</si>
  <si>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</si>
  <si>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</si>
  <si>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</si>
  <si>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</si>
  <si>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</si>
  <si>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</si>
  <si>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</si>
  <si>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</si>
  <si>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</si>
  <si>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</si>
  <si>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</si>
  <si>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</si>
  <si>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</si>
  <si>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</si>
  <si>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</si>
  <si>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</si>
  <si>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</si>
  <si>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</si>
  <si>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</si>
  <si>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</si>
  <si>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</si>
  <si>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</si>
  <si>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</si>
  <si>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</si>
  <si>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</si>
  <si>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</si>
  <si>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</si>
  <si>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</si>
  <si>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</si>
  <si>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</si>
  <si>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</si>
  <si>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</si>
  <si>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</si>
  <si>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</si>
  <si>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</si>
  <si>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</si>
  <si>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</si>
  <si>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</si>
  <si>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</si>
  <si>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</si>
  <si>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</si>
  <si>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</si>
  <si>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</si>
  <si>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</si>
  <si>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</si>
  <si>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</si>
  <si>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</si>
  <si>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</si>
  <si>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</si>
  <si>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</si>
  <si>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</si>
  <si>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</si>
  <si>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</si>
  <si>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</si>
  <si>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</si>
  <si>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</si>
  <si>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</si>
  <si>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</si>
  <si>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</si>
  <si>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</si>
  <si>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</si>
  <si>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</si>
  <si>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</si>
  <si>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</si>
  <si>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</si>
  <si>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</si>
  <si>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</si>
  <si>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</si>
  <si>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</si>
  <si>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</si>
  <si>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</si>
  <si>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</si>
  <si>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</si>
  <si>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</si>
  <si>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</si>
  <si>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</si>
  <si>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</si>
  <si>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</si>
  <si>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</si>
  <si>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</si>
  <si>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</si>
  <si>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</si>
  <si>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</si>
  <si>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</si>
  <si>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</si>
  <si>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</si>
  <si>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</si>
  <si>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</si>
  <si>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</si>
  <si>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</si>
  <si>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</si>
  <si>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</si>
  <si>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</si>
  <si>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</si>
  <si>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</si>
  <si>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</si>
  <si>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</si>
  <si>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</si>
  <si>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</si>
  <si>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</si>
  <si>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</si>
  <si>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</si>
  <si>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</si>
  <si>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</si>
  <si>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</si>
  <si>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</si>
  <si>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</si>
  <si>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</si>
  <si>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</si>
  <si>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</si>
  <si>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</si>
  <si>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</si>
  <si>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</si>
  <si>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</si>
  <si>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</si>
  <si>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</si>
  <si>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</si>
  <si>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</si>
  <si>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</si>
  <si>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</si>
  <si>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</si>
  <si>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</si>
  <si>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</si>
  <si>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</si>
  <si>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</si>
  <si>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</si>
  <si>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</si>
  <si>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</si>
  <si>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</si>
  <si>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</si>
  <si>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</si>
  <si>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</si>
  <si>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</si>
  <si>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</si>
  <si>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</si>
  <si>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</si>
  <si>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</si>
  <si>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</si>
  <si>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</si>
  <si>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</si>
  <si>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</si>
  <si>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</si>
  <si>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</si>
  <si>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</si>
  <si>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</si>
  <si>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</si>
  <si>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</si>
  <si>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</si>
  <si>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</si>
  <si>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</si>
  <si>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</si>
  <si>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</si>
  <si>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</si>
  <si>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</si>
  <si>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</si>
  <si>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</si>
  <si>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</si>
  <si>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</si>
  <si>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</si>
  <si>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</si>
  <si>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</si>
  <si>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</si>
  <si>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</si>
  <si>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</si>
  <si>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</si>
  <si>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</si>
  <si>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</si>
  <si>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</si>
  <si>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</si>
  <si>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</si>
  <si>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</si>
  <si>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</si>
  <si>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</si>
  <si>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</si>
  <si>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</si>
  <si>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</si>
  <si>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</si>
  <si>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</si>
  <si>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</si>
  <si>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</si>
  <si>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</si>
  <si>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</si>
  <si>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</si>
  <si>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</si>
  <si>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</si>
  <si>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</si>
  <si>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</si>
  <si>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</si>
  <si>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</si>
  <si>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</si>
  <si>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</si>
  <si>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</si>
  <si>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</si>
  <si>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</si>
  <si>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</si>
  <si>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</si>
  <si>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</si>
  <si>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</si>
  <si>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</si>
  <si>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</si>
  <si>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</si>
  <si>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</si>
  <si>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</si>
  <si>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</si>
  <si>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</si>
  <si>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</si>
  <si>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</si>
  <si>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</si>
  <si>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</si>
  <si>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</si>
  <si>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</si>
  <si>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</si>
  <si>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</si>
  <si>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</si>
  <si>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</si>
  <si>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</si>
  <si>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</si>
  <si>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</si>
  <si>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</si>
  <si>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</si>
  <si>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</si>
  <si>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</si>
  <si>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</si>
  <si>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</si>
  <si>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</si>
  <si>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</si>
  <si>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</si>
  <si>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</si>
  <si>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</si>
  <si>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</si>
  <si>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</si>
  <si>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</si>
  <si>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</si>
  <si>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</si>
  <si>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</si>
  <si>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</si>
  <si>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</si>
  <si>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</si>
  <si>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</si>
  <si>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</si>
  <si>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</si>
  <si>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</si>
  <si>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</si>
  <si>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</si>
  <si>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</si>
  <si>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</si>
  <si>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</si>
  <si>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</si>
  <si>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</si>
  <si>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</si>
  <si>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</si>
  <si>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</si>
  <si>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</si>
  <si>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</si>
  <si>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</si>
  <si>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</si>
  <si>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</si>
  <si>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</si>
  <si>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</si>
  <si>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</si>
  <si>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</si>
  <si>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</si>
  <si>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</si>
  <si>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</si>
  <si>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</si>
  <si>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</si>
  <si>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</si>
  <si>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</si>
  <si>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</si>
  <si>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</si>
  <si>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</si>
  <si>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</si>
  <si>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</si>
  <si>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</si>
  <si>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</si>
  <si>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</si>
  <si>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</si>
  <si>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</si>
  <si>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</si>
  <si>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</si>
  <si>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</si>
  <si>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</si>
  <si>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</si>
  <si>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</si>
  <si>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</si>
  <si>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</si>
  <si>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</si>
  <si>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</si>
  <si>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</si>
  <si>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</si>
  <si>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</si>
  <si>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</si>
  <si>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</si>
  <si>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</si>
  <si>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</si>
  <si>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</si>
  <si>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</si>
  <si>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</si>
  <si>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</si>
  <si>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</si>
  <si>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</si>
  <si>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</si>
  <si>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</si>
  <si>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</si>
  <si>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</si>
  <si>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</si>
  <si>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</si>
  <si>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</si>
  <si>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</si>
  <si>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</si>
  <si>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</si>
  <si>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</si>
  <si>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</si>
  <si>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</si>
  <si>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</si>
  <si>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</si>
  <si>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</si>
  <si>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</si>
  <si>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</si>
  <si>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</si>
  <si>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</si>
  <si>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</si>
  <si>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</si>
  <si>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</si>
  <si>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</si>
  <si>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</si>
  <si>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</si>
  <si>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</si>
  <si>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</si>
  <si>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</si>
  <si>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</si>
  <si>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</si>
  <si>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</si>
  <si>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</si>
  <si>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</si>
  <si>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</si>
  <si>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</si>
  <si>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</si>
  <si>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</si>
  <si>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</si>
  <si>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</si>
  <si>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</si>
  <si>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</si>
  <si>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</si>
  <si>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</si>
  <si>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</si>
  <si>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</si>
  <si>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</si>
  <si>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</si>
  <si>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</si>
  <si>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</si>
  <si>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</si>
  <si>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</si>
  <si>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</si>
  <si>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</si>
  <si>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</si>
  <si>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</si>
  <si>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</si>
  <si>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</si>
  <si>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</si>
  <si>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</si>
  <si>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</si>
  <si>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</si>
  <si>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</si>
  <si>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</si>
  <si>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</si>
  <si>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</si>
  <si>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</si>
  <si>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</si>
  <si>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</si>
  <si>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</si>
  <si>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</si>
  <si>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</si>
  <si>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</si>
  <si>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</si>
  <si>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</si>
  <si>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</si>
  <si>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</si>
  <si>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</si>
  <si>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</si>
  <si>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</si>
  <si>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</si>
  <si>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</si>
  <si>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</si>
  <si>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</si>
  <si>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</si>
  <si>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</si>
  <si>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</si>
  <si>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</si>
  <si>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</si>
  <si>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</si>
  <si>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</si>
  <si>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</si>
  <si>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</si>
  <si>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</si>
  <si>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</si>
  <si>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</si>
  <si>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</si>
  <si>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</si>
  <si>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</si>
  <si>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</si>
  <si>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</si>
  <si>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</si>
  <si>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</si>
  <si>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</si>
  <si>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</si>
  <si>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</si>
  <si>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</si>
  <si>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</si>
  <si>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</si>
  <si>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</si>
  <si>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</si>
  <si>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</si>
  <si>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</si>
  <si>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</si>
  <si>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</si>
  <si>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</si>
  <si>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</si>
  <si>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</si>
  <si>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</si>
  <si>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</si>
  <si>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</si>
  <si>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</si>
  <si>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</si>
  <si>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</si>
  <si>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</si>
  <si>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</si>
  <si>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</si>
  <si>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</si>
  <si>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</si>
  <si>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</si>
  <si>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</si>
  <si>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</si>
  <si>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</si>
  <si>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</si>
  <si>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</si>
  <si>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</si>
  <si>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</si>
  <si>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</si>
  <si>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</si>
  <si>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</si>
  <si>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</si>
  <si>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</si>
  <si>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</si>
  <si>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</si>
  <si>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</si>
  <si>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</si>
  <si>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</si>
  <si>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</si>
  <si>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</si>
  <si>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</si>
  <si>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</si>
  <si>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</si>
  <si>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</si>
  <si>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</si>
  <si>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</si>
  <si>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</si>
  <si>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</si>
  <si>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</si>
  <si>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</si>
  <si>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</si>
  <si>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</si>
  <si>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</si>
  <si>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</si>
  <si>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</si>
  <si>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</si>
  <si>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</si>
  <si>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</si>
  <si>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</si>
  <si>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</si>
  <si>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</si>
  <si>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</si>
  <si>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</si>
  <si>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</si>
  <si>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</si>
  <si>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</si>
  <si>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</si>
  <si>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</si>
  <si>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</si>
  <si>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</si>
  <si>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</si>
  <si>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</si>
  <si>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</si>
  <si>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</si>
  <si>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</si>
  <si>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</si>
  <si>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</si>
  <si>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</si>
  <si>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</si>
  <si>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</si>
  <si>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</si>
  <si>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</si>
  <si>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</si>
  <si>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</si>
  <si>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</si>
  <si>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</si>
  <si>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</si>
  <si>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</si>
  <si>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</si>
  <si>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</si>
  <si>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</si>
  <si>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</si>
  <si>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</si>
  <si>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</si>
  <si>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</si>
  <si>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</si>
  <si>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</si>
  <si>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</si>
  <si>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</si>
  <si>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</si>
  <si>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</si>
  <si>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</si>
  <si>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</si>
  <si>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</si>
  <si>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</si>
  <si>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</si>
  <si>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</si>
  <si>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</si>
  <si>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</si>
  <si>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</si>
  <si>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</si>
  <si>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</si>
  <si>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</si>
  <si>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</si>
  <si>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</si>
  <si>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</si>
  <si>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</si>
  <si>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</si>
  <si>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</si>
  <si>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</si>
  <si>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</si>
  <si>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</si>
  <si>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</si>
  <si>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</si>
  <si>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</si>
  <si>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</si>
  <si>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</si>
  <si>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</si>
  <si>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</si>
  <si>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</si>
  <si>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</si>
  <si>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</si>
  <si>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</si>
  <si>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</si>
  <si>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</si>
  <si>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</si>
  <si>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</si>
  <si>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</si>
  <si>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</si>
  <si>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</si>
  <si>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</si>
  <si>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</si>
  <si>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</si>
  <si>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</si>
  <si>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</si>
  <si>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</si>
  <si>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</si>
  <si>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</si>
  <si>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</si>
  <si>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</si>
  <si>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</si>
  <si>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</si>
  <si>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</si>
  <si>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</si>
  <si>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</si>
  <si>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</si>
  <si>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</si>
  <si>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</si>
  <si>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</si>
  <si>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</si>
  <si>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</si>
  <si>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</si>
  <si>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</si>
  <si>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</si>
  <si>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</si>
  <si>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</si>
  <si>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</si>
  <si>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</si>
  <si>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</si>
  <si>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</si>
  <si>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</si>
  <si>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</si>
  <si>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</si>
  <si>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</si>
  <si>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</si>
  <si>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</si>
  <si>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</si>
  <si>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</si>
  <si>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</si>
  <si>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</si>
  <si>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</si>
  <si>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</si>
  <si>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</si>
  <si>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</si>
  <si>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</si>
  <si>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</si>
  <si>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</si>
  <si>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</si>
  <si>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</si>
  <si>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</si>
  <si>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</si>
  <si>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</si>
  <si>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</si>
  <si>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</si>
  <si>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</si>
  <si>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</si>
  <si>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</si>
  <si>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</si>
  <si>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</si>
  <si>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</si>
  <si>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</si>
  <si>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</si>
  <si>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</si>
  <si>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</si>
  <si>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</si>
  <si>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</si>
  <si>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</si>
  <si>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</si>
  <si>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</si>
  <si>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</si>
  <si>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</si>
  <si>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</si>
  <si>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</si>
  <si>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</si>
  <si>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</si>
  <si>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</si>
  <si>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</si>
  <si>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</si>
  <si>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</si>
  <si>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</si>
  <si>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</si>
  <si>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</si>
  <si>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</si>
  <si>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</si>
  <si>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</si>
  <si>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</si>
  <si>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</si>
  <si>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</si>
  <si>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</si>
  <si>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</si>
  <si>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</si>
  <si>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</si>
  <si>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</si>
  <si>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</si>
  <si>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</si>
  <si>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</si>
  <si>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</si>
  <si>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</si>
  <si>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</si>
  <si>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</si>
  <si>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</si>
  <si>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</si>
  <si>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</si>
  <si>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</si>
  <si>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</si>
  <si>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</si>
  <si>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</si>
  <si>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</si>
  <si>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</si>
  <si>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</si>
  <si>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</si>
  <si>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</si>
  <si>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</si>
  <si>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</si>
  <si>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</si>
  <si>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</si>
  <si>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</si>
  <si>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</si>
  <si>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</si>
  <si>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</si>
  <si>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</si>
  <si>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</si>
  <si>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</si>
  <si>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</si>
  <si>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</si>
  <si>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</si>
  <si>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</si>
  <si>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</si>
  <si>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</si>
  <si>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</si>
  <si>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</si>
  <si>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</si>
  <si>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</si>
  <si>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</si>
  <si>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</si>
  <si>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</si>
  <si>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</si>
  <si>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</si>
  <si>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</si>
  <si>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</si>
  <si>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</si>
  <si>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</si>
  <si>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</si>
  <si>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</si>
  <si>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</si>
  <si>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</si>
  <si>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</si>
  <si>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</si>
  <si>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</si>
  <si>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</si>
  <si>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</si>
  <si>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</si>
  <si>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</si>
  <si>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</si>
  <si>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</si>
  <si>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</si>
  <si>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</si>
  <si>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</si>
  <si>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</si>
  <si>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</si>
  <si>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</si>
  <si>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</si>
  <si>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</si>
  <si>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</si>
  <si>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</si>
  <si>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</si>
  <si>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</si>
  <si>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</si>
  <si>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</si>
  <si>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</si>
  <si>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</si>
  <si>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</si>
  <si>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</si>
  <si>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</si>
  <si>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</si>
  <si>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</si>
  <si>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</si>
  <si>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</si>
  <si>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</si>
  <si>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</si>
  <si>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</si>
  <si>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</si>
  <si>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</si>
  <si>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</si>
  <si>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</si>
  <si>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</si>
  <si>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</si>
  <si>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</si>
  <si>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</si>
  <si>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</si>
  <si>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</si>
  <si>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</si>
  <si>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</si>
  <si>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</si>
  <si>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</si>
  <si>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</si>
  <si>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</si>
  <si>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</si>
  <si>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</si>
  <si>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</si>
  <si>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</si>
  <si>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</si>
  <si>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</si>
  <si>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</si>
  <si>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</si>
  <si>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</si>
  <si>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</si>
  <si>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</si>
  <si>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</si>
  <si>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</si>
  <si>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</si>
  <si>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</si>
  <si>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</si>
  <si>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</si>
  <si>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</si>
  <si>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</si>
  <si>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</si>
  <si>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</si>
  <si>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</si>
  <si>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</si>
  <si>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</si>
  <si>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</si>
  <si>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</si>
  <si>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</si>
  <si>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</si>
  <si>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</si>
  <si>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</si>
  <si>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</si>
  <si>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</si>
  <si>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</si>
  <si>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</si>
  <si>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</si>
  <si>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</si>
  <si>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</si>
  <si>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</si>
  <si>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</si>
  <si>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</si>
  <si>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</si>
  <si>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</si>
  <si>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</si>
  <si>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</si>
  <si>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</si>
  <si>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</si>
  <si>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</si>
  <si>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</si>
  <si>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</si>
  <si>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</si>
  <si>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</si>
  <si>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</si>
  <si>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</si>
  <si>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</si>
  <si>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</si>
  <si>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</si>
  <si>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</si>
  <si>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</si>
  <si>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</si>
  <si>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</si>
  <si>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</si>
  <si>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</si>
  <si>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</si>
  <si>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</si>
  <si>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</si>
  <si>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</si>
  <si>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</si>
  <si>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</si>
  <si>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</si>
  <si>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</si>
  <si>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</si>
  <si>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</si>
  <si>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</si>
  <si>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</si>
  <si>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</si>
  <si>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</si>
  <si>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</si>
  <si>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</si>
  <si>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</si>
  <si>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</si>
  <si>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</si>
  <si>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</si>
  <si>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</si>
  <si>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</si>
  <si>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</si>
  <si>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</si>
  <si>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</si>
  <si>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</si>
  <si>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</si>
  <si>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</si>
  <si>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</si>
  <si>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</si>
  <si>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</si>
  <si>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</si>
  <si>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</si>
  <si>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</si>
  <si>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</si>
  <si>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</si>
  <si>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</si>
  <si>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</si>
  <si>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</si>
  <si>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</si>
  <si>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</si>
  <si>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</si>
  <si>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</si>
  <si>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</si>
  <si>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</si>
  <si>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</si>
  <si>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</si>
  <si>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</si>
  <si>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</si>
  <si>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</si>
  <si>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</si>
  <si>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</si>
  <si>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</si>
  <si>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</si>
  <si>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</si>
  <si>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</si>
  <si>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</si>
  <si>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</si>
  <si>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</si>
  <si>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</si>
  <si>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</si>
  <si>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</si>
  <si>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</si>
  <si>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</si>
  <si>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</si>
  <si>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</si>
  <si>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</si>
  <si>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</si>
  <si>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</si>
  <si>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</si>
  <si>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</si>
  <si>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</si>
  <si>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</si>
  <si>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</si>
  <si>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</si>
  <si>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</si>
  <si>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</si>
  <si>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</si>
  <si>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</si>
  <si>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</si>
  <si>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</si>
  <si>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</si>
  <si>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</si>
  <si>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</si>
  <si>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</si>
  <si>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</si>
  <si>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</si>
  <si>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</si>
  <si>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</si>
  <si>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</si>
  <si>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</si>
  <si>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</si>
  <si>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</si>
  <si>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</si>
  <si>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</si>
  <si>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</si>
  <si>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</si>
  <si>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</si>
  <si>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</si>
  <si>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</si>
  <si>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</si>
  <si>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</si>
  <si>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</si>
  <si>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</si>
  <si>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</si>
  <si>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</si>
  <si>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</si>
  <si>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</si>
  <si>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</si>
  <si>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</si>
  <si>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</si>
  <si>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</si>
  <si>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</si>
  <si>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</si>
  <si>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</si>
  <si>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</si>
  <si>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</si>
  <si>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</si>
  <si>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</si>
  <si>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</si>
  <si>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</si>
  <si>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</si>
  <si>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</si>
  <si>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</si>
  <si>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</si>
  <si>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</si>
  <si>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</si>
  <si>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</si>
  <si>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</si>
  <si>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</si>
  <si>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</si>
  <si>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</si>
  <si>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</si>
  <si>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</si>
  <si>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</si>
  <si>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</si>
  <si>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</si>
  <si>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</si>
  <si>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</si>
  <si>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</si>
  <si>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</si>
  <si>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</si>
  <si>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</si>
  <si>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</si>
  <si>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</si>
  <si>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</si>
  <si>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</si>
  <si>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</si>
  <si>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</si>
  <si>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</si>
  <si>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</si>
  <si>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</si>
  <si>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</si>
  <si>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</si>
  <si>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</si>
  <si>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</si>
  <si>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</si>
  <si>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</si>
  <si>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</si>
  <si>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</si>
  <si>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</si>
  <si>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</si>
  <si>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</si>
  <si>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</si>
  <si>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</si>
  <si>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</si>
  <si>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</si>
  <si>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</si>
  <si>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</si>
  <si>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</si>
  <si>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</si>
  <si>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</si>
  <si>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</si>
  <si>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</si>
  <si>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</si>
  <si>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</si>
  <si>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</si>
  <si>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</si>
  <si>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</si>
  <si>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</si>
  <si>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</si>
  <si>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</si>
  <si>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</si>
  <si>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</si>
  <si>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</si>
  <si>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</si>
  <si>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</si>
  <si>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</si>
  <si>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</si>
  <si>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</si>
  <si>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</si>
  <si>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</si>
  <si>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</si>
  <si>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</si>
  <si>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</si>
  <si>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</si>
  <si>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</si>
  <si>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</si>
  <si>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</si>
  <si>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</si>
  <si>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</si>
  <si>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</si>
  <si>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</si>
  <si>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</si>
  <si>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</si>
  <si>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</si>
  <si>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</si>
  <si>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</si>
  <si>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</si>
  <si>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</si>
  <si>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</si>
  <si>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</si>
  <si>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</si>
  <si>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</si>
  <si>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</si>
  <si>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</si>
  <si>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</si>
  <si>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</si>
  <si>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</si>
  <si>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</si>
  <si>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</si>
  <si>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</si>
  <si>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</si>
  <si>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</si>
  <si>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</si>
  <si>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</si>
  <si>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</si>
  <si>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</si>
  <si>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</si>
  <si>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</si>
  <si>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</si>
  <si>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</si>
  <si>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</si>
  <si>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</si>
  <si>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</si>
  <si>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</si>
  <si>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</si>
  <si>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</si>
  <si>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</si>
  <si>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</si>
  <si>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</si>
  <si>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</si>
  <si>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</si>
  <si>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</si>
  <si>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</si>
  <si>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</si>
  <si>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</si>
  <si>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</si>
  <si>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</si>
  <si>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</si>
  <si>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</si>
  <si>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</si>
  <si>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</si>
  <si>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</si>
  <si>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</si>
  <si>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</si>
  <si>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</si>
  <si>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</si>
  <si>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</si>
  <si>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</si>
  <si>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</si>
  <si>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</si>
  <si>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</si>
  <si>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</si>
  <si>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</si>
  <si>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</si>
  <si>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</si>
  <si>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</si>
  <si>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</si>
  <si>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</si>
  <si>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</si>
  <si>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</si>
  <si>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</si>
  <si>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</si>
  <si>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</si>
  <si>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</si>
  <si>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</si>
  <si>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</si>
  <si>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</si>
  <si>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</si>
  <si>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</si>
  <si>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</si>
  <si>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</si>
  <si>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</si>
  <si>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</si>
  <si>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</si>
  <si>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</si>
  <si>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</si>
  <si>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</si>
  <si>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</si>
  <si>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</si>
  <si>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</si>
  <si>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</si>
  <si>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</si>
  <si>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</si>
  <si>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</si>
  <si>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</si>
  <si>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</si>
  <si>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</si>
  <si>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</si>
  <si>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</si>
  <si>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</si>
  <si>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</si>
  <si>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</si>
  <si>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</si>
  <si>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</si>
  <si>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</si>
  <si>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</si>
  <si>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</si>
  <si>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</si>
  <si>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</si>
  <si>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</si>
  <si>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</si>
  <si>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</si>
  <si>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</si>
  <si>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</si>
  <si>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</si>
  <si>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</si>
  <si>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</si>
  <si>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</si>
  <si>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</si>
  <si>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</si>
  <si>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</si>
  <si>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</si>
  <si>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</si>
  <si>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</si>
  <si>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</si>
  <si>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</si>
  <si>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</si>
  <si>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</si>
  <si>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</si>
  <si>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</si>
  <si>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</si>
  <si>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</si>
  <si>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</si>
  <si>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</si>
  <si>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</si>
  <si>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</si>
  <si>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</si>
  <si>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</si>
  <si>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</si>
  <si>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</si>
  <si>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</si>
  <si>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</si>
  <si>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</si>
  <si>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</si>
  <si>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</si>
  <si>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</si>
  <si>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</si>
  <si>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</si>
  <si>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</si>
  <si>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</si>
  <si>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</si>
  <si>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</si>
  <si>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</si>
  <si>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</si>
  <si>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</si>
  <si>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</si>
  <si>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</si>
  <si>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</si>
  <si>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</si>
  <si>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</si>
  <si>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</si>
  <si>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</si>
  <si>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</si>
  <si>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</si>
  <si>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</si>
  <si>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</si>
  <si>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</si>
  <si>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</si>
  <si>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</si>
  <si>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</si>
  <si>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</si>
  <si>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</si>
  <si>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</si>
  <si>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</si>
  <si>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</si>
  <si>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</si>
  <si>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</si>
  <si>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</si>
  <si>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</si>
  <si>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</si>
  <si>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</si>
  <si>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</si>
  <si>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</si>
  <si>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</si>
  <si>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</si>
  <si>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</si>
  <si>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</si>
  <si>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</si>
  <si>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</si>
  <si>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</si>
  <si>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</si>
  <si>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</si>
  <si>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</si>
  <si>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</si>
  <si>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</si>
  <si>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</si>
  <si>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</si>
  <si>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</si>
  <si>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</si>
  <si>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</si>
  <si>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</si>
  <si>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</si>
  <si>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</si>
  <si>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</si>
  <si>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</si>
  <si>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</si>
  <si>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</si>
  <si>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</si>
  <si>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</si>
  <si>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</si>
  <si>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</si>
  <si>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</si>
  <si>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</si>
  <si>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</si>
  <si>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</si>
  <si>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</si>
  <si>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</si>
  <si>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</si>
  <si>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</si>
  <si>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</si>
  <si>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</si>
  <si>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</si>
  <si>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</si>
  <si>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</si>
  <si>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</si>
  <si>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</si>
  <si>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</si>
  <si>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</si>
  <si>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</si>
  <si>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</si>
  <si>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</si>
  <si>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</si>
  <si>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</si>
  <si>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</si>
  <si>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</si>
  <si>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</si>
  <si>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</si>
  <si>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</si>
  <si>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</si>
  <si>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</si>
  <si>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</si>
  <si>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</si>
  <si>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</si>
  <si>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</si>
  <si>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</si>
  <si>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</si>
  <si>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</si>
  <si>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</si>
  <si>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</si>
  <si>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</si>
  <si>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</si>
  <si>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</si>
  <si>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</si>
  <si>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</si>
  <si>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</si>
  <si>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</si>
  <si>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</si>
  <si>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</si>
  <si>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</si>
  <si>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</si>
  <si>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</si>
  <si>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</si>
  <si>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</si>
  <si>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</si>
  <si>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</si>
  <si>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</si>
  <si>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</si>
  <si>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</si>
  <si>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</si>
  <si>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</si>
  <si>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</si>
  <si>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</si>
  <si>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</si>
  <si>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</si>
  <si>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</si>
  <si>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</si>
  <si>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</si>
  <si>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</si>
  <si>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</si>
  <si>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</si>
  <si>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</si>
  <si>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</si>
  <si>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</si>
  <si>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</si>
  <si>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</si>
  <si>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</si>
  <si>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</si>
  <si>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</si>
  <si>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</si>
  <si>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</si>
  <si>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</si>
  <si>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</si>
  <si>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</si>
  <si>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</si>
  <si>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</si>
  <si>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</si>
  <si>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</si>
  <si>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</si>
  <si>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</si>
  <si>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</si>
  <si>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</si>
  <si>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</si>
  <si>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</si>
  <si>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</si>
  <si>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</si>
  <si>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</si>
  <si>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</si>
  <si>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</si>
  <si>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</si>
  <si>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</si>
  <si>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</si>
  <si>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</si>
  <si>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</si>
  <si>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</si>
  <si>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</si>
  <si>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</si>
  <si>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</si>
  <si>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</si>
  <si>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</si>
  <si>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</si>
  <si>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</si>
  <si>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</si>
  <si>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</si>
  <si>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</si>
  <si>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</si>
  <si>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</si>
  <si>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</si>
  <si>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</si>
  <si>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</si>
  <si>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</si>
  <si>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</si>
  <si>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</si>
  <si>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</si>
  <si>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</si>
  <si>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</si>
  <si>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</si>
  <si>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</si>
  <si>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</si>
  <si>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</si>
  <si>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</si>
  <si>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</si>
  <si>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</si>
  <si>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</si>
  <si>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</si>
  <si>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</si>
  <si>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</si>
  <si>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</si>
  <si>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</si>
  <si>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</si>
  <si>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</si>
  <si>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</si>
  <si>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</si>
  <si>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</si>
  <si>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</si>
  <si>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</si>
  <si>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</si>
  <si>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</si>
  <si>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</si>
  <si>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</si>
  <si>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</si>
  <si>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</si>
  <si>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</si>
  <si>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</si>
  <si>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</si>
  <si>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</si>
  <si>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</si>
  <si>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</si>
  <si>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</si>
  <si>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</si>
  <si>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</si>
  <si>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</si>
  <si>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</si>
  <si>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</si>
  <si>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</si>
  <si>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</si>
  <si>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</si>
  <si>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</si>
  <si>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</si>
  <si>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</si>
  <si>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</si>
  <si>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</si>
  <si>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</si>
  <si>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</si>
  <si>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</si>
  <si>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</si>
  <si>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</si>
  <si>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</si>
  <si>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</si>
  <si>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</si>
  <si>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</si>
  <si>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</si>
  <si>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</si>
  <si>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</si>
  <si>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</si>
  <si>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</si>
  <si>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</si>
  <si>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</si>
  <si>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</si>
  <si>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</si>
  <si>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</si>
  <si>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</si>
  <si>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</si>
  <si>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</si>
  <si>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</si>
  <si>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</si>
  <si>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</si>
  <si>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</si>
  <si>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</si>
  <si>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</si>
  <si>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</si>
  <si>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</si>
  <si>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</si>
  <si>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</si>
  <si>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</si>
  <si>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</si>
  <si>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</si>
  <si>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</si>
  <si>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</si>
  <si>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</si>
  <si>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</si>
  <si>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</si>
  <si>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</si>
  <si>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</si>
  <si>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</si>
  <si>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</si>
  <si>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</si>
  <si>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</si>
  <si>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</si>
  <si>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</si>
  <si>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</si>
  <si>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</si>
  <si>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</si>
  <si>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</si>
  <si>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</si>
  <si>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</si>
  <si>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</si>
  <si>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</si>
  <si>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</si>
  <si>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</si>
  <si>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</si>
  <si>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</si>
  <si>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</si>
  <si>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</si>
  <si>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</si>
  <si>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</si>
  <si>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</si>
  <si>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</si>
  <si>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</si>
  <si>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</si>
  <si>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</si>
  <si>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</si>
  <si>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</si>
  <si>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</si>
  <si>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</si>
  <si>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</si>
  <si>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</si>
  <si>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</si>
  <si>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</si>
  <si>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</si>
  <si>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</si>
  <si>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</si>
  <si>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</si>
  <si>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</si>
  <si>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</si>
  <si>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</si>
  <si>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</si>
  <si>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</si>
  <si>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</si>
  <si>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</si>
  <si>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</si>
  <si>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</si>
  <si>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</si>
  <si>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</si>
  <si>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</si>
  <si>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</si>
  <si>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</si>
  <si>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</si>
  <si>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</si>
  <si>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</si>
  <si>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</si>
  <si>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</si>
  <si>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</si>
  <si>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</si>
  <si>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</si>
  <si>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</si>
  <si>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</si>
  <si>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</si>
  <si>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</si>
  <si>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</si>
  <si>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</si>
  <si>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</si>
  <si>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</si>
  <si>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</si>
  <si>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</si>
  <si>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</si>
  <si>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</si>
  <si>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</si>
  <si>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</si>
  <si>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</si>
  <si>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</si>
  <si>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</si>
  <si>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</si>
  <si>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</si>
  <si>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</si>
  <si>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</si>
  <si>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</si>
  <si>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</si>
  <si>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</si>
  <si>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</si>
  <si>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</si>
  <si>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</si>
  <si>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</si>
  <si>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</si>
  <si>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</si>
  <si>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</si>
  <si>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</si>
  <si>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</si>
  <si>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</si>
  <si>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</si>
  <si>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</si>
  <si>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</si>
  <si>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</si>
  <si>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</si>
  <si>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</si>
  <si>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</si>
  <si>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</si>
  <si>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</si>
  <si>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</si>
  <si>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</si>
  <si>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</si>
  <si>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</si>
  <si>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</si>
  <si>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</si>
  <si>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</si>
  <si>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</si>
  <si>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</si>
  <si>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</si>
  <si>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</si>
  <si>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</si>
  <si>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</si>
  <si>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</si>
  <si>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</si>
  <si>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</si>
  <si>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</si>
  <si>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</si>
  <si>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</si>
  <si>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</si>
  <si>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</si>
  <si>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</si>
  <si>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</si>
  <si>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</si>
  <si>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</si>
  <si>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</si>
  <si>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</si>
  <si>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</si>
  <si>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</si>
  <si>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</si>
  <si>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</si>
  <si>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</si>
  <si>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</si>
  <si>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</si>
  <si>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</si>
  <si>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</si>
  <si>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</si>
  <si>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</si>
  <si>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</si>
  <si>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</si>
  <si>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</si>
  <si>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</si>
  <si>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</si>
  <si>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</si>
  <si>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</si>
  <si>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</si>
  <si>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</si>
  <si>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</si>
  <si>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</si>
  <si>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</si>
  <si>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</si>
  <si>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</si>
  <si>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</si>
  <si>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</si>
  <si>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</si>
  <si>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</si>
  <si>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</si>
  <si>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</si>
  <si>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</si>
  <si>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</si>
  <si>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</si>
  <si>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</si>
  <si>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</si>
  <si>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</si>
  <si>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</si>
  <si>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</si>
  <si>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</si>
  <si>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</si>
  <si>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</si>
  <si>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</si>
  <si>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</si>
  <si>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</si>
  <si>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</si>
  <si>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</si>
  <si>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</si>
  <si>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</si>
  <si>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</si>
  <si>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</si>
  <si>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</si>
  <si>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</si>
  <si>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</si>
  <si>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</si>
  <si>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</si>
  <si>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</si>
  <si>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</si>
  <si>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</si>
  <si>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</si>
  <si>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</si>
  <si>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</si>
  <si>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</si>
  <si>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</si>
  <si>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</si>
  <si>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</si>
  <si>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</si>
  <si>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</si>
  <si>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</si>
  <si>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</si>
  <si>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</si>
  <si>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</si>
  <si>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</si>
  <si>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</si>
  <si>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</si>
  <si>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</si>
  <si>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</si>
  <si>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</si>
  <si>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</si>
  <si>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</si>
  <si>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</si>
  <si>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</si>
  <si>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</si>
  <si>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</si>
  <si>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</si>
  <si>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</si>
  <si>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</si>
  <si>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</si>
  <si>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</si>
  <si>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</si>
  <si>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</si>
  <si>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</si>
  <si>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</si>
  <si>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</si>
  <si>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</si>
  <si>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</si>
  <si>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</si>
  <si>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</si>
  <si>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</si>
  <si>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</si>
  <si>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</si>
  <si>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</si>
  <si>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</si>
  <si>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</si>
  <si>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</si>
  <si>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</si>
  <si>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</si>
  <si>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</si>
  <si>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</si>
  <si>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</si>
  <si>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</si>
  <si>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</si>
  <si>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</si>
  <si>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</si>
  <si>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</si>
  <si>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</si>
  <si>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</si>
  <si>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</si>
  <si>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</si>
  <si>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</si>
  <si>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</si>
  <si>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</si>
  <si>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</si>
  <si>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</si>
  <si>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</si>
  <si>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</si>
  <si>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</si>
  <si>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</si>
  <si>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</si>
  <si>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</si>
  <si>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</si>
  <si>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</si>
  <si>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</si>
  <si>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</si>
  <si>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</si>
  <si>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</si>
  <si>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</si>
  <si>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</si>
  <si>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</si>
  <si>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</si>
  <si>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</si>
  <si>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</si>
  <si>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</si>
  <si>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</si>
  <si>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</si>
  <si>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</si>
  <si>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</si>
  <si>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</si>
  <si>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</si>
  <si>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</si>
  <si>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</si>
  <si>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</si>
  <si>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</si>
  <si>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</si>
  <si>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</si>
  <si>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</si>
  <si>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</si>
  <si>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</si>
  <si>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</si>
  <si>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</si>
  <si>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</si>
  <si>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</si>
  <si>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</si>
  <si>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</si>
  <si>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</si>
  <si>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</si>
  <si>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</si>
  <si>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</si>
  <si>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</si>
  <si>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</si>
  <si>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</si>
  <si>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</si>
  <si>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</si>
  <si>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</si>
  <si>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</si>
  <si>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</si>
  <si>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</si>
  <si>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</si>
  <si>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</si>
  <si>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</si>
  <si>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</si>
  <si>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</si>
  <si>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</si>
  <si>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</si>
  <si>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</si>
  <si>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</si>
  <si>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</si>
  <si>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</si>
  <si>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</si>
  <si>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</si>
  <si>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</si>
  <si>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</si>
  <si>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</si>
  <si>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</si>
  <si>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</si>
  <si>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</si>
  <si>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</si>
  <si>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</si>
  <si>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</si>
  <si>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</si>
  <si>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</si>
  <si>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</si>
  <si>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</si>
  <si>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</si>
  <si>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</si>
  <si>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</si>
  <si>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</si>
  <si>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</si>
  <si>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</si>
  <si>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</si>
  <si>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</si>
  <si>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</si>
  <si>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</si>
  <si>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</si>
  <si>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</si>
  <si>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</si>
  <si>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</si>
  <si>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</si>
  <si>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</si>
  <si>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</si>
  <si>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</si>
  <si>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</si>
  <si>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</si>
  <si>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</si>
  <si>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</si>
  <si>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</si>
  <si>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</si>
  <si>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</si>
  <si>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</si>
  <si>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</si>
  <si>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</si>
  <si>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</si>
  <si>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</si>
  <si>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</si>
  <si>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</si>
  <si>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</si>
  <si>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</si>
  <si>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</si>
  <si>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</si>
  <si>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</si>
  <si>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</si>
  <si>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</si>
  <si>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</si>
  <si>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</si>
  <si>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</si>
  <si>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</si>
  <si>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</si>
  <si>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</si>
  <si>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</si>
  <si>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</si>
  <si>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</si>
  <si>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</si>
  <si>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</si>
  <si>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</si>
  <si>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</si>
  <si>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</si>
  <si>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</si>
  <si>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</si>
  <si>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</si>
  <si>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</si>
  <si>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</si>
  <si>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</si>
  <si>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</si>
  <si>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</si>
  <si>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</si>
  <si>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</si>
  <si>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</si>
  <si>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</si>
  <si>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</si>
  <si>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</si>
  <si>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</si>
  <si>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</si>
  <si>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</si>
  <si>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</si>
  <si>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</si>
  <si>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</si>
  <si>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</si>
  <si>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</si>
  <si>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</si>
  <si>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</si>
  <si>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</si>
  <si>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</si>
  <si>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</si>
  <si>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</si>
  <si>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</si>
  <si>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</si>
  <si>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</si>
  <si>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</si>
  <si>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</si>
  <si>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</si>
  <si>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</si>
  <si>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</si>
  <si>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</si>
  <si>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</si>
  <si>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</si>
  <si>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</si>
  <si>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</si>
  <si>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</si>
  <si>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</si>
  <si>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</si>
  <si>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</si>
  <si>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</si>
  <si>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</si>
  <si>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</si>
  <si>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</si>
  <si>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</si>
  <si>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</si>
  <si>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</si>
  <si>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</si>
  <si>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</si>
  <si>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</si>
  <si>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</si>
  <si>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</si>
  <si>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</si>
  <si>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</si>
  <si>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</si>
  <si>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</si>
  <si>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</si>
  <si>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</si>
  <si>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</si>
  <si>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</si>
  <si>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</si>
  <si>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</si>
  <si>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</si>
  <si>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</si>
  <si>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</si>
  <si>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</si>
  <si>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</si>
  <si>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</si>
  <si>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</si>
  <si>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</si>
  <si>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</si>
  <si>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</si>
  <si>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</si>
  <si>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</si>
  <si>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</si>
  <si>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</si>
  <si>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</si>
  <si>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</si>
  <si>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</si>
  <si>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</si>
  <si>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</si>
  <si>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</si>
  <si>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</si>
  <si>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</si>
  <si>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</si>
  <si>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</si>
  <si>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</si>
  <si>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</si>
  <si>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</si>
  <si>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</si>
  <si>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</si>
  <si>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</si>
  <si>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</si>
  <si>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</si>
  <si>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</si>
  <si>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</si>
  <si>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</si>
  <si>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</si>
  <si>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</si>
  <si>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</si>
  <si>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</si>
  <si>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</si>
  <si>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</si>
  <si>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</si>
  <si>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</si>
  <si>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</si>
  <si>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</si>
  <si>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</si>
  <si>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</si>
  <si>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</si>
  <si>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</si>
  <si>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</si>
  <si>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</si>
  <si>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</si>
  <si>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</si>
  <si>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</si>
  <si>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</si>
  <si>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</si>
  <si>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</si>
  <si>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</si>
  <si>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</si>
  <si>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</si>
  <si>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</si>
  <si>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</si>
  <si>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</si>
  <si>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</si>
  <si>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</si>
  <si>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</si>
  <si>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</si>
  <si>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</si>
  <si>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</si>
  <si>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</si>
  <si>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</si>
  <si>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</si>
  <si>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</si>
  <si>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</si>
  <si>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</si>
  <si>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</si>
  <si>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</si>
  <si>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</si>
  <si>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</si>
  <si>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</si>
  <si>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</si>
  <si>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</si>
  <si>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</si>
  <si>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</si>
  <si>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</si>
  <si>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</si>
  <si>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</si>
  <si>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</si>
  <si>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</si>
  <si>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</si>
  <si>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</si>
  <si>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</si>
  <si>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</si>
  <si>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</si>
  <si>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</si>
  <si>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</si>
  <si>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</si>
  <si>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</si>
  <si>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</si>
  <si>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</si>
  <si>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</si>
  <si>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</si>
  <si>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</si>
  <si>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</si>
  <si>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</si>
  <si>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</si>
  <si>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</si>
  <si>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</si>
  <si>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</si>
  <si>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</si>
  <si>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</si>
  <si>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</si>
  <si>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</si>
  <si>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</si>
  <si>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</si>
  <si>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</si>
  <si>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</si>
  <si>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</si>
  <si>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</si>
  <si>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</si>
  <si>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</si>
  <si>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</si>
  <si>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</si>
  <si>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</si>
  <si>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</si>
  <si>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</si>
  <si>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</si>
  <si>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</si>
  <si>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</si>
  <si>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</si>
  <si>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</si>
  <si>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</si>
  <si>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</si>
  <si>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</si>
  <si>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</si>
  <si>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</si>
  <si>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</si>
  <si>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</si>
  <si>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</si>
  <si>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</si>
  <si>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</si>
  <si>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</si>
  <si>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</si>
  <si>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</si>
  <si>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</si>
  <si>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</si>
  <si>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</si>
  <si>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</si>
  <si>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</si>
  <si>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</si>
  <si>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</si>
  <si>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</si>
  <si>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</si>
  <si>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</si>
  <si>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</si>
  <si>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</si>
  <si>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</si>
  <si>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</si>
  <si>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</si>
  <si>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</si>
  <si>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</si>
  <si>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</si>
  <si>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</si>
  <si>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</si>
  <si>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</si>
  <si>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</si>
  <si>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</si>
  <si>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</si>
  <si>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</si>
  <si>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</si>
  <si>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</si>
  <si>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</si>
  <si>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</si>
  <si>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</si>
  <si>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</si>
  <si>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</si>
  <si>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</si>
  <si>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</si>
  <si>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</si>
  <si>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</si>
  <si>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</si>
  <si>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</si>
  <si>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</si>
  <si>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</si>
  <si>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</si>
  <si>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</si>
  <si>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</si>
  <si>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</si>
  <si>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</si>
  <si>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</si>
  <si>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</si>
  <si>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</si>
  <si>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</si>
  <si>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</si>
  <si>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</si>
  <si>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</si>
  <si>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</si>
  <si>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</si>
  <si>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</si>
  <si>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</si>
  <si>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</si>
  <si>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</si>
  <si>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</si>
  <si>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</si>
  <si>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</si>
  <si>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</si>
  <si>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</si>
  <si>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</si>
  <si>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</si>
  <si>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</si>
  <si>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</si>
  <si>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</si>
  <si>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</si>
  <si>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</si>
  <si>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</si>
  <si>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</si>
  <si>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</si>
  <si>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</si>
  <si>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</si>
  <si>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</si>
  <si>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</si>
  <si>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</si>
  <si>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</si>
  <si>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</si>
  <si>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</si>
  <si>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</si>
  <si>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</si>
  <si>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</si>
  <si>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</si>
  <si>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</si>
  <si>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</si>
  <si>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</si>
  <si>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</si>
  <si>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</si>
  <si>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</si>
  <si>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</si>
  <si>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</si>
  <si>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</si>
  <si>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</si>
  <si>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</si>
  <si>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</si>
  <si>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</si>
  <si>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</si>
  <si>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</si>
  <si>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</si>
  <si>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</si>
  <si>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</si>
  <si>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</si>
  <si>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</si>
  <si>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</si>
  <si>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</si>
  <si>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</si>
  <si>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</si>
  <si>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</si>
  <si>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</si>
  <si>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</si>
  <si>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</si>
  <si>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</si>
  <si>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</si>
  <si>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</si>
  <si>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</si>
  <si>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</si>
  <si>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</si>
  <si>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</si>
  <si>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</si>
  <si>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</si>
  <si>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</si>
  <si>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</si>
  <si>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</si>
  <si>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</si>
  <si>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</si>
  <si>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</si>
  <si>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</si>
  <si>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</si>
  <si>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</si>
  <si>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</si>
  <si>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</si>
  <si>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</si>
  <si>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</si>
  <si>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</si>
  <si>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</si>
  <si>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</si>
  <si>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</si>
  <si>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</si>
  <si>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</si>
  <si>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</si>
  <si>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</si>
  <si>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</si>
  <si>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</si>
  <si>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</si>
  <si>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</si>
  <si>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</si>
  <si>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</si>
  <si>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</si>
  <si>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</si>
  <si>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</si>
  <si>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</si>
  <si>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</si>
  <si>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</si>
  <si>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</si>
  <si>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</si>
  <si>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</si>
  <si>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</si>
  <si>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</si>
  <si>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</si>
  <si>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</si>
  <si>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</si>
  <si>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</si>
  <si>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</si>
  <si>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</si>
  <si>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</si>
  <si>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</si>
  <si>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</si>
  <si>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</si>
  <si>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</si>
  <si>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</si>
  <si>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</si>
  <si>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</si>
  <si>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</si>
  <si>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</si>
  <si>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</si>
  <si>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</si>
  <si>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</si>
  <si>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</si>
  <si>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</si>
  <si>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</si>
  <si>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</si>
  <si>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</si>
  <si>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</si>
  <si>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</si>
  <si>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</si>
  <si>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</si>
  <si>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</si>
  <si>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</si>
  <si>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</si>
  <si>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</si>
  <si>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</si>
  <si>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</si>
  <si>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</si>
  <si>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</si>
  <si>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</si>
  <si>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</si>
  <si>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</si>
  <si>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</si>
  <si>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</si>
  <si>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</si>
  <si>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</si>
  <si>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</si>
  <si>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</si>
  <si>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</si>
  <si>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</si>
  <si>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</si>
  <si>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</si>
  <si>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</si>
  <si>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</si>
  <si>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</si>
  <si>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</si>
  <si>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</si>
  <si>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</si>
  <si>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</si>
  <si>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</si>
  <si>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</si>
  <si>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</si>
  <si>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</si>
  <si>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</si>
  <si>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</si>
  <si>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</si>
  <si>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</si>
  <si>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</si>
  <si>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</si>
  <si>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</si>
  <si>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</si>
  <si>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</si>
  <si>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</si>
  <si>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</si>
  <si>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</si>
  <si>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</si>
  <si>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</si>
  <si>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</si>
  <si>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</si>
  <si>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</si>
  <si>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</si>
  <si>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</si>
  <si>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</si>
  <si>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</si>
  <si>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</si>
  <si>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</si>
  <si>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</si>
  <si>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</si>
  <si>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</si>
  <si>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</si>
  <si>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</si>
  <si>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</si>
  <si>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</si>
  <si>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</si>
  <si>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</si>
  <si>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</si>
  <si>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</si>
  <si>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</si>
  <si>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</si>
  <si>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</si>
  <si>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</si>
  <si>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</si>
  <si>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</si>
  <si>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</si>
  <si>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</si>
  <si>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</si>
  <si>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</si>
  <si>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</si>
  <si>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</si>
  <si>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</si>
  <si>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</si>
  <si>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</si>
  <si>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</si>
  <si>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</si>
  <si>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</si>
  <si>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</si>
  <si>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</si>
  <si>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</si>
  <si>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</si>
  <si>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</si>
  <si>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</si>
  <si>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</si>
  <si>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</si>
  <si>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</si>
  <si>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</si>
  <si>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</si>
  <si>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</si>
  <si>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</si>
  <si>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</si>
  <si>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</si>
  <si>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</si>
  <si>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</si>
  <si>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</si>
  <si>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</si>
  <si>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</si>
  <si>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</si>
  <si>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</si>
  <si>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</si>
  <si>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</si>
  <si>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</si>
  <si>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</si>
  <si>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</si>
  <si>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</si>
  <si>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</si>
  <si>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</si>
  <si>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</si>
  <si>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</si>
  <si>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</si>
  <si>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</si>
  <si>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</si>
  <si>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</si>
  <si>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</si>
  <si>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</si>
  <si>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</si>
  <si>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</si>
  <si>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</si>
  <si>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</si>
  <si>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</si>
  <si>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</si>
  <si>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</si>
  <si>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</si>
  <si>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</si>
  <si>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</si>
  <si>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</si>
  <si>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</si>
  <si>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</si>
  <si>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</si>
  <si>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</si>
  <si>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</si>
  <si>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</si>
  <si>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</si>
  <si>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</si>
  <si>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</si>
  <si>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</si>
  <si>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</si>
  <si>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</si>
  <si>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</si>
  <si>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</si>
  <si>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</si>
  <si>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</si>
  <si>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</si>
  <si>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</si>
  <si>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</si>
  <si>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</si>
  <si>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</si>
  <si>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</si>
  <si>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</si>
  <si>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</si>
  <si>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</si>
  <si>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</si>
  <si>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</si>
  <si>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</si>
  <si>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</si>
  <si>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</si>
  <si>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</si>
  <si>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</si>
  <si>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</si>
  <si>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</si>
  <si>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</si>
  <si>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</si>
  <si>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</si>
  <si>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</si>
  <si>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</si>
  <si>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</si>
  <si>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</si>
  <si>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</si>
  <si>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</si>
  <si>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</si>
  <si>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</si>
  <si>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</si>
  <si>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</si>
  <si>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</si>
  <si>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</si>
  <si>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</si>
  <si>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</si>
  <si>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</si>
  <si>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</si>
  <si>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</si>
  <si>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</si>
  <si>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</si>
  <si>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</si>
  <si>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</si>
  <si>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</si>
  <si>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</si>
  <si>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</si>
  <si>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</si>
  <si>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</si>
  <si>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</si>
  <si>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</si>
  <si>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</si>
  <si>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</si>
  <si>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</si>
  <si>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</si>
  <si>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</si>
  <si>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</si>
  <si>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</si>
  <si>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</si>
  <si>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</si>
  <si>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</si>
  <si>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</si>
  <si>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</si>
  <si>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</si>
  <si>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</si>
  <si>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</si>
  <si>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</si>
  <si>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</si>
  <si>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</si>
  <si>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</si>
  <si>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</si>
  <si>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</si>
  <si>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</si>
  <si>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</si>
  <si>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</si>
  <si>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</si>
  <si>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</si>
  <si>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</si>
  <si>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</si>
  <si>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</si>
  <si>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</si>
  <si>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</si>
  <si>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</si>
  <si>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</si>
  <si>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</si>
  <si>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</si>
  <si>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</si>
  <si>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</si>
  <si>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</si>
  <si>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</si>
  <si>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</si>
  <si>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</si>
  <si>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</si>
  <si>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</si>
  <si>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</si>
  <si>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</si>
  <si>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</si>
  <si>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</si>
  <si>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</si>
  <si>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</si>
  <si>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</si>
  <si>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</si>
  <si>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</si>
  <si>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</si>
  <si>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</si>
  <si>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</si>
  <si>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</si>
  <si>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</si>
  <si>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</si>
  <si>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</si>
  <si>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</si>
  <si>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</si>
  <si>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</si>
  <si>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</si>
  <si>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</si>
  <si>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</si>
  <si>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</si>
  <si>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</si>
  <si>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</si>
  <si>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</si>
  <si>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</si>
  <si>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</si>
  <si>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</si>
  <si>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</si>
  <si>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</si>
  <si>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</si>
  <si>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</si>
  <si>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</si>
  <si>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</si>
  <si>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</si>
  <si>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</si>
  <si>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</si>
  <si>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</si>
  <si>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</si>
  <si>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</si>
  <si>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</si>
  <si>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</si>
  <si>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</si>
  <si>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</si>
  <si>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</si>
  <si>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</si>
  <si>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</si>
  <si>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</si>
  <si>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</si>
  <si>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</si>
  <si>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</si>
  <si>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</si>
  <si>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</si>
  <si>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</si>
  <si>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</si>
  <si>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</si>
  <si>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</si>
  <si>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</si>
  <si>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</si>
  <si>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</si>
  <si>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</si>
  <si>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</si>
  <si>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</si>
  <si>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</si>
  <si>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</si>
  <si>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</si>
  <si>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</si>
  <si>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</si>
  <si>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</si>
  <si>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</si>
  <si>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</si>
  <si>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</si>
  <si>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</si>
  <si>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</si>
  <si>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</si>
  <si>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</si>
  <si>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</si>
  <si>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</si>
  <si>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</si>
  <si>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</si>
  <si>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</si>
  <si>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</si>
  <si>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</si>
  <si>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</si>
  <si>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</si>
  <si>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</si>
  <si>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</si>
  <si>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</si>
  <si>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</si>
  <si>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</si>
  <si>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</si>
  <si>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</si>
  <si>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</si>
  <si>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</si>
  <si>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</si>
  <si>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</si>
  <si>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</si>
  <si>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</si>
  <si>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</si>
  <si>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</si>
  <si>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</si>
  <si>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</si>
  <si>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</si>
  <si>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</si>
  <si>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</si>
  <si>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</si>
  <si>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</si>
  <si>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</si>
  <si>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</si>
  <si>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</si>
  <si>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</si>
  <si>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</si>
  <si>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</si>
  <si>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</si>
  <si>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</si>
  <si>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</si>
  <si>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</si>
  <si>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</si>
  <si>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</si>
  <si>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</si>
  <si>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</si>
  <si>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</si>
  <si>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</si>
  <si>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</si>
  <si>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</si>
  <si>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</si>
  <si>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</si>
  <si>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</si>
  <si>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</si>
  <si>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</si>
  <si>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</si>
  <si>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</si>
  <si>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</si>
  <si>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</si>
  <si>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</si>
  <si>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</si>
  <si>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</si>
  <si>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</si>
  <si>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</si>
  <si>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</si>
  <si>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</si>
  <si>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</si>
  <si>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</si>
  <si>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</si>
  <si>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</si>
  <si>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</si>
  <si>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</si>
  <si>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</si>
  <si>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</si>
  <si>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</si>
  <si>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</si>
  <si>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</si>
  <si>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</si>
  <si>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</si>
  <si>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</si>
  <si>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</si>
  <si>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</si>
  <si>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</si>
  <si>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</si>
  <si>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</si>
  <si>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</si>
  <si>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</si>
  <si>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</si>
  <si>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</si>
  <si>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</si>
  <si>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</si>
  <si>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</si>
  <si>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</si>
  <si>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</si>
  <si>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</si>
  <si>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</si>
  <si>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</si>
  <si>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</si>
  <si>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</si>
  <si>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</si>
  <si>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</si>
  <si>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</si>
  <si>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</si>
  <si>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</si>
  <si>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</si>
  <si>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</si>
  <si>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</si>
  <si>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</si>
  <si>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</si>
  <si>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</si>
  <si>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</si>
  <si>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</si>
  <si>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</si>
  <si>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</si>
  <si>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</si>
  <si>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</si>
  <si>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</si>
  <si>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</si>
  <si>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</si>
  <si>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</si>
  <si>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</si>
  <si>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</si>
  <si>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</si>
  <si>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</si>
  <si>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</si>
  <si>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</si>
  <si>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</si>
  <si>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</si>
  <si>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</si>
  <si>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</si>
  <si>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</si>
  <si>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</si>
  <si>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</si>
  <si>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</si>
  <si>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</si>
  <si>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</si>
  <si>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</si>
  <si>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</si>
  <si>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</si>
  <si>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</si>
  <si>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</si>
  <si>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</si>
  <si>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</si>
  <si>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</si>
  <si>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</si>
  <si>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</si>
  <si>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</si>
  <si>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</si>
  <si>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</si>
  <si>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</si>
  <si>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</si>
  <si>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</si>
  <si>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</si>
  <si>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</si>
  <si>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</si>
  <si>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</si>
  <si>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</si>
  <si>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</si>
  <si>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</si>
  <si>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</si>
  <si>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</si>
  <si>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</si>
  <si>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</si>
  <si>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</si>
  <si>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</si>
  <si>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</si>
  <si>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</si>
  <si>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</si>
  <si>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</si>
  <si>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</si>
  <si>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</si>
  <si>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</si>
  <si>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</si>
  <si>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</si>
  <si>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</si>
  <si>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</si>
  <si>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</si>
  <si>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</si>
  <si>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</si>
  <si>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</si>
  <si>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</si>
  <si>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</si>
  <si>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</si>
  <si>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</si>
  <si>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</si>
  <si>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</si>
  <si>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</si>
  <si>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</si>
  <si>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</si>
  <si>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</si>
  <si>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</si>
  <si>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</si>
  <si>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</si>
  <si>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</si>
  <si>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</si>
  <si>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</si>
  <si>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</si>
  <si>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</si>
  <si>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</si>
  <si>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</si>
  <si>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</si>
  <si>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</si>
  <si>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</si>
  <si>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</si>
  <si>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</si>
  <si>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</si>
  <si>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</si>
  <si>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</si>
  <si>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</si>
  <si>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</si>
  <si>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</si>
  <si>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</si>
  <si>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</si>
  <si>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</si>
  <si>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</si>
  <si>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</si>
  <si>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</si>
  <si>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</si>
  <si>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</si>
  <si>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</si>
  <si>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</si>
  <si>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</si>
  <si>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</si>
  <si>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</si>
  <si>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</si>
  <si>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</si>
  <si>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</si>
  <si>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</si>
  <si>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</si>
  <si>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</si>
  <si>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</si>
  <si>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</si>
  <si>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</si>
  <si>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</si>
  <si>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</si>
  <si>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</si>
  <si>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</si>
  <si>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</si>
  <si>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</si>
  <si>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</si>
  <si>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</si>
  <si>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</si>
  <si>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</si>
  <si>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</si>
  <si>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</si>
  <si>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</si>
  <si>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</si>
  <si>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</si>
  <si>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</si>
  <si>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</si>
  <si>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</si>
  <si>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</si>
  <si>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</si>
  <si>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</si>
  <si>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</si>
  <si>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</si>
  <si>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</si>
  <si>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</si>
  <si>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</si>
  <si>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</si>
  <si>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</si>
  <si>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</si>
  <si>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</si>
  <si>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</si>
  <si>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</si>
  <si>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</si>
  <si>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</si>
  <si>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</si>
  <si>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</si>
  <si>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</si>
  <si>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</si>
  <si>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</si>
  <si>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</si>
  <si>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</si>
  <si>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</si>
  <si>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</si>
  <si>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</si>
  <si>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</si>
  <si>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</si>
  <si>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</si>
  <si>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</si>
  <si>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</si>
  <si>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</si>
  <si>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</si>
  <si>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</si>
  <si>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</si>
  <si>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</si>
  <si>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</si>
  <si>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</si>
  <si>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</si>
  <si>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</si>
  <si>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</si>
  <si>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</si>
  <si>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</si>
  <si>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</si>
  <si>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</si>
  <si>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</si>
  <si>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</si>
  <si>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</si>
  <si>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</si>
  <si>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</si>
  <si>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</si>
  <si>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</si>
  <si>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</si>
  <si>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</si>
  <si>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</si>
  <si>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</si>
  <si>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</si>
  <si>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</si>
  <si>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</si>
  <si>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</si>
  <si>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</si>
  <si>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</si>
  <si>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</si>
  <si>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</si>
  <si>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</si>
  <si>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</si>
  <si>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</si>
  <si>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</si>
  <si>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</si>
  <si>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</si>
  <si>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</si>
  <si>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</si>
  <si>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</si>
  <si>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</si>
  <si>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</si>
  <si>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</si>
  <si>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</si>
  <si>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</si>
  <si>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</si>
  <si>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</si>
  <si>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</si>
  <si>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</si>
  <si>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</si>
  <si>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</si>
  <si>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</si>
  <si>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</si>
  <si>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</si>
  <si>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</si>
  <si>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</si>
  <si>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</si>
  <si>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</si>
  <si>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</si>
  <si>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</si>
  <si>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</si>
  <si>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</si>
  <si>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</si>
  <si>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</si>
  <si>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</si>
  <si>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</si>
  <si>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</si>
  <si>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</si>
  <si>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</si>
  <si>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</si>
  <si>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</si>
  <si>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</si>
  <si>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</si>
  <si>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</si>
  <si>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</si>
  <si>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</si>
  <si>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</si>
  <si>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</si>
  <si>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</si>
  <si>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</si>
  <si>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</si>
  <si>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</si>
  <si>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</si>
  <si>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</si>
  <si>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</si>
  <si>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</si>
  <si>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</si>
  <si>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</si>
  <si>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</si>
  <si>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</si>
  <si>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</si>
  <si>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</si>
  <si>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</si>
  <si>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</si>
  <si>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</si>
  <si>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</si>
  <si>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</si>
  <si>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</si>
  <si>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</si>
  <si>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</si>
  <si>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</si>
  <si>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</si>
  <si>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</si>
  <si>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</si>
  <si>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</si>
  <si>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</si>
  <si>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</si>
  <si>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</si>
  <si>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</si>
  <si>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</si>
  <si>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</si>
  <si>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</si>
  <si>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</si>
  <si>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</si>
  <si>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</si>
  <si>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</si>
  <si>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</si>
  <si>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</si>
  <si>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</si>
  <si>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</si>
  <si>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</si>
  <si>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</si>
  <si>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</si>
  <si>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</si>
  <si>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</si>
  <si>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</si>
  <si>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</si>
  <si>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</si>
  <si>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</si>
  <si>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</si>
  <si>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</si>
  <si>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</si>
  <si>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</si>
  <si>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</si>
  <si>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</si>
  <si>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</si>
  <si>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</si>
  <si>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</si>
  <si>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</si>
  <si>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</si>
  <si>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</si>
  <si>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</si>
  <si>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</si>
  <si>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</si>
  <si>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</si>
  <si>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</si>
  <si>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</si>
  <si>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</si>
  <si>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</si>
  <si>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</si>
  <si>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</si>
  <si>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</si>
  <si>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</si>
  <si>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</si>
  <si>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</si>
  <si>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</si>
  <si>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</si>
  <si>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</si>
  <si>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</si>
  <si>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</si>
  <si>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</si>
  <si>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</si>
  <si>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</si>
  <si>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</si>
  <si>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</si>
  <si>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</si>
  <si>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</si>
  <si>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</si>
  <si>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</si>
  <si>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</si>
  <si>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</si>
  <si>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</si>
  <si>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</si>
  <si>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</si>
  <si>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</si>
  <si>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</si>
  <si>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</si>
  <si>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</si>
  <si>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</si>
  <si>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</si>
  <si>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</si>
  <si>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</si>
  <si>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</si>
  <si>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</si>
  <si>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</si>
  <si>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</si>
  <si>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</si>
  <si>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</si>
  <si>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</si>
  <si>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</si>
  <si>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</si>
  <si>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</si>
  <si>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</si>
  <si>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</si>
  <si>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</si>
  <si>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</si>
  <si>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</si>
  <si>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</si>
  <si>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</si>
  <si>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</si>
  <si>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</si>
  <si>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</si>
  <si>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</si>
  <si>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</si>
  <si>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</si>
  <si>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</si>
  <si>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</si>
  <si>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</si>
  <si>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</si>
  <si>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</si>
  <si>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</si>
  <si>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</si>
  <si>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</si>
  <si>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</si>
  <si>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</si>
  <si>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</si>
  <si>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</si>
  <si>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</si>
  <si>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</si>
  <si>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</si>
  <si>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</si>
  <si>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</si>
  <si>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</si>
  <si>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</si>
  <si>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</si>
  <si>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</si>
  <si>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</si>
  <si>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</si>
  <si>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</si>
  <si>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</si>
  <si>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</si>
  <si>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</si>
  <si>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</si>
  <si>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</si>
  <si>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</si>
  <si>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</si>
  <si>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</si>
  <si>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</si>
  <si>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</si>
  <si>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</si>
  <si>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</si>
  <si>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</si>
  <si>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</si>
  <si>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</si>
  <si>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</si>
  <si>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</si>
  <si>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</si>
  <si>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</si>
  <si>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</si>
  <si>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</si>
  <si>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</si>
  <si>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</si>
  <si>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</si>
  <si>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</si>
  <si>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</si>
  <si>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</si>
  <si>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</si>
  <si>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</si>
  <si>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</si>
  <si>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</si>
  <si>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</si>
  <si>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</si>
  <si>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</si>
  <si>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</si>
  <si>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</si>
  <si>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</si>
  <si>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</si>
  <si>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</si>
  <si>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</si>
  <si>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</si>
  <si>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</si>
  <si>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</si>
  <si>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</si>
  <si>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</si>
  <si>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</si>
  <si>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</si>
  <si>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</si>
  <si>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</si>
  <si>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</si>
  <si>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</si>
  <si>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</si>
  <si>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</si>
  <si>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</si>
  <si>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</si>
  <si>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</si>
  <si>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</si>
  <si>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</si>
  <si>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</si>
  <si>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</si>
  <si>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</si>
  <si>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</si>
  <si>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</si>
  <si>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</si>
  <si>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</si>
  <si>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</si>
  <si>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</si>
  <si>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</si>
  <si>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</si>
  <si>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</si>
  <si>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</si>
  <si>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</si>
  <si>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</si>
  <si>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</si>
  <si>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</si>
  <si>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</si>
  <si>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</si>
  <si>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</si>
  <si>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</si>
  <si>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</si>
  <si>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</si>
  <si>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</si>
  <si>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</si>
  <si>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</si>
  <si>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</si>
  <si>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</si>
  <si>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</si>
  <si>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</si>
  <si>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</si>
  <si>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</si>
  <si>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</si>
  <si>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</si>
  <si>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</si>
  <si>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</si>
  <si>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</si>
  <si>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</si>
  <si>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</si>
  <si>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</si>
  <si>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</si>
  <si>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</si>
  <si>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</si>
  <si>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</si>
  <si>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</si>
  <si>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</si>
  <si>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</si>
  <si>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</si>
  <si>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</si>
  <si>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</si>
  <si>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</si>
  <si>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</si>
  <si>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</si>
  <si>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</si>
  <si>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</si>
  <si>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</si>
  <si>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</si>
  <si>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</si>
  <si>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</si>
  <si>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</si>
  <si>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</si>
  <si>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</si>
  <si>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</si>
  <si>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</si>
  <si>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</si>
  <si>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</si>
  <si>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</si>
  <si>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</si>
  <si>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</si>
  <si>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</si>
  <si>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</si>
  <si>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</si>
  <si>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</si>
  <si>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</si>
  <si>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</si>
  <si>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</si>
  <si>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</si>
  <si>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</si>
  <si>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</si>
  <si>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</si>
  <si>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</si>
  <si>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</si>
  <si>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</si>
  <si>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</si>
  <si>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</si>
  <si>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</si>
  <si>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</si>
  <si>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</si>
  <si>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</si>
  <si>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</si>
  <si>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</si>
  <si>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</si>
  <si>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</si>
  <si>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</si>
  <si>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</si>
  <si>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</si>
  <si>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</si>
  <si>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</si>
  <si>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</si>
  <si>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</si>
  <si>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</si>
  <si>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</si>
  <si>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</si>
  <si>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</si>
  <si>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</si>
  <si>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</si>
  <si>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</si>
  <si>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</si>
  <si>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</si>
  <si>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</si>
  <si>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</si>
  <si>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</si>
  <si>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</si>
  <si>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</si>
  <si>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</si>
  <si>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</si>
  <si>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</si>
  <si>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</si>
  <si>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</si>
  <si>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</si>
  <si>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</si>
  <si>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</si>
  <si>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</si>
  <si>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</si>
  <si>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</si>
  <si>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</si>
  <si>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</si>
  <si>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</si>
  <si>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</si>
  <si>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</si>
  <si>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</si>
  <si>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</si>
  <si>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</si>
  <si>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</si>
  <si>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</si>
  <si>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</si>
  <si>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</si>
  <si>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</si>
  <si>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</si>
  <si>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</si>
  <si>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</si>
  <si>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</si>
  <si>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</si>
  <si>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</si>
  <si>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</si>
  <si>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</si>
  <si>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</si>
  <si>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</si>
  <si>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</si>
  <si>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</si>
  <si>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</si>
  <si>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</si>
  <si>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</si>
  <si>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</si>
  <si>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</si>
  <si>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</si>
  <si>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</si>
  <si>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</si>
  <si>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</si>
  <si>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</si>
  <si>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</si>
  <si>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</si>
  <si>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</si>
  <si>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</si>
  <si>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</si>
  <si>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</si>
  <si>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</si>
  <si>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</si>
  <si>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</si>
  <si>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</si>
  <si>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</si>
  <si>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</si>
  <si>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</si>
  <si>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</si>
  <si>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</si>
  <si>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</si>
  <si>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</si>
  <si>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</si>
  <si>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</si>
  <si>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</si>
  <si>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</si>
  <si>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</si>
  <si>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</si>
  <si>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</si>
  <si>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</si>
  <si>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</si>
  <si>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</si>
  <si>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</si>
  <si>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</si>
  <si>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</si>
  <si>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</si>
  <si>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</si>
  <si>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</si>
  <si>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</si>
  <si>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</si>
  <si>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</si>
  <si>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</si>
  <si>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</si>
  <si>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</si>
  <si>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</si>
  <si>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</si>
  <si>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</si>
  <si>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</si>
  <si>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</si>
  <si>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</si>
  <si>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</si>
  <si>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</si>
  <si>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</si>
  <si>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</si>
  <si>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</si>
  <si>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</si>
  <si>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</si>
  <si>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</si>
  <si>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</si>
  <si>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</si>
  <si>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</si>
  <si>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</si>
  <si>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</si>
  <si>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</si>
  <si>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</si>
  <si>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</si>
  <si>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</si>
  <si>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</si>
  <si>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</si>
  <si>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</si>
  <si>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</si>
  <si>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</si>
  <si>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</si>
  <si>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</si>
  <si>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</si>
  <si>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</si>
  <si>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</si>
  <si>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</si>
  <si>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</si>
  <si>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</si>
  <si>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</si>
  <si>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</si>
  <si>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</si>
  <si>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</si>
  <si>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</si>
  <si>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</si>
  <si>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</si>
  <si>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</si>
  <si>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</si>
  <si>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</si>
  <si>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</si>
  <si>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</si>
  <si>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</si>
  <si>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</si>
  <si>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</si>
  <si>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</si>
  <si>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</si>
  <si>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</si>
  <si>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</si>
  <si>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</si>
  <si>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</si>
  <si>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</si>
  <si>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</si>
  <si>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</si>
  <si>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</si>
  <si>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</si>
  <si>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</si>
  <si>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</si>
  <si>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</si>
  <si>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</si>
  <si>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</si>
  <si>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</si>
  <si>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</si>
  <si>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</si>
  <si>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</si>
  <si>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</si>
  <si>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</si>
  <si>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</si>
  <si>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</si>
  <si>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</si>
  <si>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</si>
  <si>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</si>
  <si>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</si>
  <si>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</si>
  <si>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</si>
  <si>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</si>
  <si>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</si>
  <si>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</si>
  <si>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</si>
  <si>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</si>
  <si>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</si>
  <si>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</si>
  <si>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</si>
  <si>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</si>
  <si>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</si>
  <si>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</si>
  <si>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</si>
  <si>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</si>
  <si>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</si>
  <si>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</si>
  <si>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</si>
  <si>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</si>
  <si>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</si>
  <si>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</si>
  <si>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</si>
  <si>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</si>
  <si>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</si>
  <si>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</si>
  <si>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</si>
  <si>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</si>
  <si>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</si>
  <si>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</si>
  <si>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</si>
  <si>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</si>
  <si>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</si>
  <si>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</si>
  <si>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</si>
  <si>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</si>
  <si>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</si>
  <si>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</si>
  <si>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</si>
  <si>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</si>
  <si>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</si>
  <si>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</si>
  <si>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</si>
  <si>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</si>
  <si>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</si>
  <si>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</si>
  <si>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</si>
  <si>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</si>
  <si>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</si>
  <si>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</si>
  <si>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</si>
  <si>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</si>
  <si>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</si>
  <si>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</si>
  <si>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</si>
  <si>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</si>
  <si>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</si>
  <si>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</si>
  <si>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</si>
  <si>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</si>
  <si>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</si>
  <si>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</si>
  <si>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</si>
  <si>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</si>
  <si>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</si>
  <si>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</si>
  <si>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</si>
  <si>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</si>
  <si>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</si>
  <si>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</si>
  <si>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</si>
  <si>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</si>
  <si>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</si>
  <si>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</si>
  <si>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</si>
  <si>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</si>
  <si>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</si>
  <si>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</si>
  <si>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</si>
  <si>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</si>
  <si>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</si>
  <si>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</si>
  <si>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</si>
  <si>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</si>
  <si>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</si>
  <si>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</si>
  <si>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</si>
  <si>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</si>
  <si>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</si>
  <si>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</si>
  <si>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</si>
  <si>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</si>
  <si>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</si>
  <si>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</si>
  <si>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</si>
  <si>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</si>
  <si>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</si>
  <si>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</si>
  <si>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</si>
  <si>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</si>
  <si>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</si>
  <si>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</si>
  <si>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</si>
  <si>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</si>
  <si>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</si>
  <si>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</si>
  <si>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</si>
  <si>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</si>
  <si>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</si>
  <si>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</si>
  <si>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</si>
  <si>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</si>
  <si>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</si>
  <si>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</si>
  <si>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</si>
  <si>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</si>
  <si>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</si>
  <si>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</si>
  <si>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</si>
  <si>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</si>
  <si>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</si>
  <si>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</si>
  <si>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</si>
  <si>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</si>
  <si>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</si>
  <si>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</si>
  <si>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</si>
  <si>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</si>
  <si>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</si>
  <si>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</si>
  <si>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</si>
  <si>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</si>
  <si>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</si>
  <si>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</si>
  <si>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</si>
  <si>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</si>
  <si>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</si>
  <si>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</si>
  <si>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</si>
  <si>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</si>
  <si>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</si>
  <si>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</si>
  <si>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</si>
  <si>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</si>
  <si>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</si>
  <si>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</si>
  <si>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</si>
  <si>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</si>
  <si>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</si>
  <si>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</si>
  <si>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</si>
  <si>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</si>
  <si>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</si>
  <si>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</si>
  <si>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</si>
  <si>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</si>
  <si>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</si>
  <si>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</si>
  <si>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</si>
  <si>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</si>
  <si>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</si>
  <si>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</si>
  <si>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</si>
  <si>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</si>
  <si>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</si>
  <si>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</si>
  <si>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</si>
  <si>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</si>
  <si>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</si>
  <si>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</si>
  <si>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</si>
  <si>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</si>
  <si>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</si>
  <si>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</si>
  <si>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</si>
  <si>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</si>
  <si>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</si>
  <si>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</si>
  <si>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</si>
  <si>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</si>
  <si>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</si>
  <si>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</si>
  <si>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</si>
  <si>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</si>
  <si>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</si>
  <si>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</si>
  <si>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</si>
  <si>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</si>
  <si>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</si>
  <si>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</si>
  <si>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</si>
  <si>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</si>
  <si>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</si>
  <si>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</si>
  <si>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</si>
  <si>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</si>
  <si>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</si>
  <si>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</si>
  <si>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</si>
  <si>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</si>
  <si>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</si>
  <si>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</si>
  <si>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</si>
  <si>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</si>
  <si>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</si>
  <si>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</si>
  <si>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</si>
  <si>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</si>
  <si>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</si>
  <si>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</si>
  <si>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</si>
  <si>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</si>
  <si>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</si>
  <si>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</si>
  <si>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</si>
  <si>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</si>
  <si>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</si>
  <si>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</si>
  <si>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</si>
  <si>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</si>
  <si>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</si>
  <si>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</si>
  <si>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</si>
  <si>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</si>
  <si>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</si>
  <si>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</si>
  <si>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</si>
  <si>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</si>
  <si>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</si>
  <si>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</si>
  <si>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</si>
  <si>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</si>
  <si>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</si>
  <si>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</si>
  <si>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</si>
  <si>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</si>
  <si>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</si>
  <si>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</si>
  <si>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</si>
  <si>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</si>
  <si>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</si>
  <si>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</si>
  <si>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</si>
  <si>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</si>
  <si>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</si>
  <si>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</si>
  <si>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</si>
  <si>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</si>
  <si>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</si>
  <si>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</si>
  <si>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</si>
  <si>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</si>
  <si>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</si>
  <si>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</si>
  <si>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</si>
  <si>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</si>
  <si>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</si>
  <si>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</si>
  <si>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</si>
  <si>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</si>
  <si>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</si>
  <si>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</si>
  <si>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</si>
  <si>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</si>
  <si>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</si>
  <si>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</si>
  <si>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</si>
  <si>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</si>
  <si>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</si>
  <si>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</si>
  <si>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</si>
  <si>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</si>
  <si>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</si>
  <si>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</si>
  <si>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</si>
  <si>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</si>
  <si>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</si>
  <si>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</si>
  <si>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</si>
  <si>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</si>
  <si>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</si>
  <si>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</si>
  <si>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</si>
  <si>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</si>
  <si>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</si>
  <si>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</si>
  <si>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</si>
  <si>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</si>
  <si>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</si>
  <si>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</si>
  <si>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</si>
  <si>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</si>
  <si>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</si>
  <si>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</si>
  <si>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</si>
  <si>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</si>
  <si>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</si>
  <si>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</si>
  <si>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</si>
  <si>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</si>
  <si>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</si>
  <si>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</si>
  <si>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</si>
  <si>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</si>
  <si>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</si>
  <si>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</si>
  <si>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</si>
  <si>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</si>
  <si>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</si>
  <si>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</si>
  <si>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</si>
  <si>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</si>
  <si>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</si>
  <si>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</si>
  <si>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</si>
  <si>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</si>
  <si>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</si>
  <si>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</si>
  <si>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</si>
  <si>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</si>
  <si>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</si>
  <si>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</si>
  <si>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</si>
  <si>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</si>
  <si>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</si>
  <si>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</si>
  <si>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</si>
  <si>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</si>
  <si>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</si>
  <si>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</si>
  <si>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</si>
  <si>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</si>
  <si>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</si>
  <si>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</si>
  <si>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</si>
  <si>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</si>
  <si>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</si>
  <si>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</si>
  <si>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</si>
  <si>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</si>
  <si>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</si>
  <si>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</si>
  <si>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</si>
  <si>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</si>
  <si>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</si>
  <si>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</si>
  <si>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</si>
  <si>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</si>
  <si>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</si>
  <si>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</si>
  <si>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</si>
  <si>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</si>
  <si>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</si>
  <si>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</si>
  <si>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</si>
  <si>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</si>
  <si>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</si>
  <si>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</si>
  <si>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</si>
  <si>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</si>
  <si>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</si>
  <si>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</si>
  <si>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</si>
  <si>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</si>
  <si>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</si>
  <si>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</si>
  <si>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</si>
  <si>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</si>
  <si>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</si>
  <si>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</si>
  <si>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</si>
  <si>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</si>
  <si>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</si>
  <si>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</si>
  <si>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</si>
  <si>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</si>
  <si>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</si>
  <si>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</si>
  <si>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</si>
  <si>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</si>
  <si>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</si>
  <si>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</si>
  <si>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</si>
  <si>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</si>
  <si>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</si>
  <si>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</si>
  <si>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</si>
  <si>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</si>
  <si>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</si>
  <si>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</si>
  <si>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</si>
  <si>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</si>
  <si>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</si>
  <si>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</si>
  <si>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</si>
  <si>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</si>
  <si>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</si>
  <si>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</si>
  <si>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</si>
  <si>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</si>
  <si>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</si>
  <si>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</si>
  <si>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</si>
  <si>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</si>
  <si>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</si>
  <si>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</si>
  <si>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</si>
  <si>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</si>
  <si>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</si>
  <si>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</si>
  <si>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</si>
  <si>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</si>
  <si>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</si>
  <si>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</si>
  <si>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</si>
  <si>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</si>
  <si>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</si>
  <si>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</si>
  <si>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</si>
  <si>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</si>
  <si>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</si>
  <si>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</si>
  <si>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</si>
  <si>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</si>
  <si>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</si>
  <si>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</si>
  <si>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</si>
  <si>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</si>
  <si>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</si>
  <si>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</si>
  <si>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</si>
  <si>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</si>
  <si>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</si>
  <si>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</si>
  <si>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</si>
  <si>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</si>
  <si>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</si>
  <si>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</si>
  <si>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</si>
  <si>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</si>
  <si>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</si>
  <si>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</si>
  <si>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</si>
  <si>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</si>
  <si>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</si>
  <si>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</si>
  <si>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</si>
  <si>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</si>
  <si>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</si>
  <si>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</si>
  <si>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</si>
  <si>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</si>
  <si>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</si>
  <si>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</si>
  <si>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</si>
  <si>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</si>
  <si>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</si>
  <si>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</si>
  <si>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</si>
  <si>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</si>
  <si>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</si>
  <si>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</si>
  <si>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</si>
  <si>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</si>
  <si>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</si>
  <si>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</si>
  <si>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</si>
  <si>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</si>
  <si>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</si>
  <si>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</si>
  <si>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</si>
  <si>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</si>
  <si>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</si>
  <si>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</si>
  <si>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</si>
  <si>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</si>
  <si>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</si>
  <si>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</si>
  <si>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</si>
  <si>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</si>
  <si>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</si>
  <si>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</si>
  <si>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</si>
  <si>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</si>
  <si>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</si>
  <si>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</si>
  <si>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</si>
  <si>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</si>
  <si>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</si>
  <si>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</si>
  <si>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</si>
  <si>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</si>
  <si>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</si>
  <si>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</si>
  <si>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</si>
  <si>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</si>
  <si>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</si>
  <si>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</si>
  <si>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</si>
  <si>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</si>
  <si>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</si>
  <si>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</si>
  <si>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</si>
  <si>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</si>
  <si>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</si>
  <si>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</si>
  <si>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</si>
  <si>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</si>
  <si>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</si>
  <si>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</si>
  <si>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</si>
  <si>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</si>
  <si>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</si>
  <si>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</si>
  <si>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</si>
  <si>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</si>
  <si>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</si>
  <si>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</si>
  <si>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</si>
  <si>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</si>
  <si>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</si>
  <si>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</si>
  <si>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</si>
  <si>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</si>
  <si>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</si>
  <si>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</si>
  <si>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</si>
  <si>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</si>
  <si>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</si>
  <si>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</si>
  <si>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</si>
  <si>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</si>
  <si>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</si>
  <si>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</si>
  <si>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</si>
  <si>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</si>
  <si>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</si>
  <si>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</si>
  <si>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</si>
  <si>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</si>
  <si>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</si>
  <si>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</si>
  <si>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</si>
  <si>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</si>
  <si>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</si>
  <si>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</si>
  <si>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</si>
  <si>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</si>
  <si>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</si>
  <si>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</si>
  <si>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</si>
  <si>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</si>
  <si>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</si>
  <si>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</si>
  <si>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</si>
  <si>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</si>
  <si>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</si>
  <si>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</si>
  <si>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</si>
  <si>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</si>
  <si>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</si>
  <si>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</si>
  <si>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</si>
  <si>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</si>
  <si>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</si>
  <si>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</si>
  <si>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</si>
  <si>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</si>
  <si>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</si>
  <si>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</si>
  <si>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</si>
  <si>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</si>
  <si>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</si>
  <si>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</si>
  <si>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</si>
  <si>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</si>
  <si>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</si>
  <si>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</si>
  <si>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</si>
  <si>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</si>
  <si>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</si>
  <si>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</si>
  <si>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</si>
  <si>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</si>
  <si>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</si>
  <si>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</si>
  <si>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</si>
  <si>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</si>
  <si>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</si>
  <si>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</si>
  <si>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</si>
  <si>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</si>
  <si>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</si>
  <si>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</si>
  <si>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</si>
  <si>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</si>
  <si>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</si>
  <si>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</si>
  <si>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</si>
  <si>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</si>
  <si>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</si>
  <si>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</si>
  <si>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</si>
  <si>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</si>
  <si>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</si>
  <si>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</si>
  <si>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</si>
  <si>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</si>
  <si>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</si>
  <si>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</si>
  <si>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</si>
  <si>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</si>
  <si>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</si>
  <si>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</si>
  <si>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</si>
  <si>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</si>
  <si>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</si>
  <si>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</si>
  <si>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</si>
  <si>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</si>
  <si>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</si>
  <si>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</si>
  <si>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</si>
  <si>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</si>
  <si>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</si>
  <si>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</si>
  <si>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</si>
  <si>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</si>
  <si>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</si>
  <si>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</si>
  <si>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</si>
  <si>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</si>
  <si>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</si>
  <si>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</si>
  <si>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</si>
  <si>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</si>
  <si>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</si>
  <si>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</si>
  <si>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</si>
  <si>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</si>
  <si>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</si>
  <si>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</si>
  <si>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</si>
  <si>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</si>
  <si>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</si>
  <si>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</si>
  <si>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</si>
  <si>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</si>
  <si>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</si>
  <si>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</si>
  <si>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</si>
  <si>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</si>
  <si>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</si>
  <si>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</si>
  <si>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</si>
  <si>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</si>
  <si>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</si>
  <si>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</si>
  <si>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</si>
  <si>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</si>
  <si>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</si>
  <si>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</si>
  <si>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</si>
  <si>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</si>
  <si>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</si>
  <si>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</si>
  <si>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</si>
  <si>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</si>
  <si>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</si>
  <si>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</si>
  <si>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</si>
  <si>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</si>
  <si>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</si>
  <si>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</si>
  <si>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</si>
  <si>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</si>
  <si>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</si>
  <si>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</si>
  <si>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</si>
  <si>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</si>
  <si>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</si>
  <si>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</si>
  <si>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</si>
  <si>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</si>
  <si>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</si>
  <si>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</si>
  <si>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</si>
  <si>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</si>
  <si>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</si>
  <si>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</si>
  <si>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</si>
  <si>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</si>
  <si>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</si>
  <si>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</si>
  <si>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</si>
  <si>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</si>
  <si>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</si>
  <si>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</si>
  <si>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</si>
  <si>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</si>
  <si>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</si>
  <si>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</si>
  <si>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</si>
  <si>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</si>
  <si>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</si>
  <si>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</si>
  <si>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</si>
  <si>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</si>
  <si>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</si>
  <si>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</si>
  <si>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</si>
  <si>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</si>
  <si>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</si>
  <si>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</si>
  <si>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</si>
  <si>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</si>
  <si>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</si>
  <si>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</si>
  <si>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</si>
  <si>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</si>
  <si>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</si>
  <si>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</si>
  <si>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</si>
  <si>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</si>
  <si>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</si>
  <si>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</si>
  <si>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</si>
  <si>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</si>
  <si>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</si>
  <si>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</si>
  <si>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</si>
  <si>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</si>
  <si>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</si>
  <si>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</si>
  <si>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</si>
  <si>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</si>
  <si>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</si>
  <si>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</si>
  <si>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</si>
  <si>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</si>
  <si>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</si>
  <si>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</si>
  <si>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</si>
  <si>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</si>
  <si>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</si>
  <si>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</si>
  <si>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</si>
  <si>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</si>
  <si>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</si>
  <si>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</si>
  <si>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</si>
  <si>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</si>
  <si>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</si>
  <si>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</si>
  <si>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</si>
  <si>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</si>
  <si>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</si>
  <si>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</si>
  <si>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</si>
  <si>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</si>
  <si>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</si>
  <si>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</si>
  <si>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</si>
  <si>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</si>
  <si>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</si>
  <si>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</si>
  <si>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</si>
  <si>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</si>
  <si>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</si>
  <si>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</si>
  <si>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</si>
  <si>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</si>
  <si>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</si>
  <si>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</si>
  <si>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</si>
  <si>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</si>
  <si>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</si>
  <si>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</si>
  <si>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</si>
  <si>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</si>
  <si>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</si>
  <si>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</si>
  <si>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</si>
  <si>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</si>
  <si>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</si>
  <si>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</si>
  <si>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</si>
  <si>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</si>
  <si>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</si>
  <si>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</si>
  <si>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</si>
  <si>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</si>
  <si>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</si>
  <si>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</si>
  <si>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</si>
  <si>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</si>
  <si>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</si>
  <si>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</si>
  <si>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</si>
  <si>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</si>
  <si>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</si>
  <si>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</si>
  <si>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</si>
  <si>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</si>
  <si>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</si>
  <si>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</si>
  <si>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</si>
  <si>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</si>
  <si>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</si>
  <si>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</si>
  <si>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</si>
  <si>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</si>
  <si>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</si>
  <si>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</si>
  <si>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</si>
  <si>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</si>
  <si>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</si>
  <si>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</si>
  <si>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</si>
  <si>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</si>
  <si>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</si>
  <si>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</si>
  <si>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</si>
  <si>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</si>
  <si>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</si>
  <si>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</si>
  <si>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</si>
  <si>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</si>
  <si>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</si>
  <si>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</si>
  <si>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</si>
  <si>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</si>
  <si>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</si>
  <si>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</si>
  <si>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</si>
  <si>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</si>
  <si>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</si>
  <si>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</si>
  <si>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</si>
  <si>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</si>
  <si>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</si>
  <si>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</si>
  <si>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</si>
  <si>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</si>
  <si>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</si>
  <si>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</si>
  <si>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</si>
  <si>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</si>
  <si>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</si>
  <si>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</si>
  <si>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</si>
  <si>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</si>
  <si>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</si>
  <si>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</si>
  <si>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</si>
  <si>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</si>
  <si>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</si>
  <si>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</si>
  <si>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</si>
  <si>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</si>
  <si>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</si>
  <si>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</si>
  <si>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</si>
  <si>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</si>
  <si>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</si>
  <si>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</si>
  <si>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</si>
  <si>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</si>
  <si>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</si>
  <si>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</si>
  <si>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</si>
  <si>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</si>
  <si>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</si>
  <si>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</si>
  <si>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</si>
  <si>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</si>
  <si>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</si>
  <si>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</si>
  <si>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</si>
  <si>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</si>
  <si>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</si>
  <si>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</si>
  <si>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</si>
  <si>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</si>
  <si>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</si>
  <si>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</si>
  <si>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</si>
  <si>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</si>
  <si>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</si>
  <si>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</si>
  <si>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</si>
  <si>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</si>
  <si>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</si>
  <si>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</si>
  <si>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</si>
  <si>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</si>
  <si>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</si>
  <si>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</si>
  <si>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</si>
  <si>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</si>
  <si>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</si>
  <si>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</si>
  <si>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</si>
  <si>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</si>
  <si>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</si>
  <si>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</si>
  <si>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</si>
  <si>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</si>
  <si>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</si>
  <si>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</si>
  <si>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</si>
  <si>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</si>
  <si>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</si>
  <si>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</si>
  <si>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</si>
  <si>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</si>
  <si>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</si>
  <si>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</si>
  <si>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</si>
  <si>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</si>
  <si>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</si>
  <si>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</si>
  <si>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</si>
  <si>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</si>
  <si>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</si>
  <si>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</si>
  <si>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</si>
  <si>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</si>
  <si>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</si>
  <si>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</si>
  <si>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</si>
  <si>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</si>
  <si>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</si>
  <si>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</si>
  <si>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</si>
  <si>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</si>
  <si>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</si>
  <si>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</si>
  <si>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</si>
  <si>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</si>
  <si>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</si>
  <si>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</si>
  <si>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</si>
  <si>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</si>
  <si>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</si>
  <si>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</si>
  <si>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</si>
  <si>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</si>
  <si>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</si>
  <si>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</si>
  <si>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</si>
  <si>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</si>
  <si>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</si>
  <si>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</si>
  <si>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</si>
  <si>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</si>
  <si>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</si>
  <si>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</si>
  <si>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</si>
  <si>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</si>
  <si>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</si>
  <si>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</si>
  <si>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</si>
  <si>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</si>
  <si>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</si>
  <si>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</si>
  <si>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</si>
  <si>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</si>
  <si>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</si>
  <si>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</si>
  <si>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</si>
  <si>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</si>
  <si>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</si>
  <si>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</si>
  <si>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</si>
  <si>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</si>
  <si>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</si>
  <si>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</si>
  <si>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</si>
  <si>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</si>
  <si>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</si>
  <si>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</si>
  <si>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</si>
  <si>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</si>
  <si>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</si>
  <si>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</si>
  <si>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</si>
  <si>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</si>
  <si>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</si>
  <si>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</si>
  <si>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</si>
  <si>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</si>
  <si>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</si>
  <si>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</si>
  <si>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</si>
  <si>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</si>
  <si>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</si>
  <si>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</si>
  <si>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</si>
  <si>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</si>
  <si>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</si>
  <si>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</si>
  <si>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</si>
  <si>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</si>
  <si>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</si>
  <si>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</si>
  <si>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</si>
  <si>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</si>
  <si>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</si>
  <si>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</si>
  <si>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</si>
  <si>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</si>
  <si>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</si>
  <si>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</si>
  <si>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</si>
  <si>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</si>
  <si>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</si>
  <si>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</si>
  <si>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</si>
  <si>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</si>
  <si>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</si>
  <si>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</si>
  <si>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</si>
  <si>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</si>
  <si>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</si>
  <si>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</si>
  <si>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</si>
  <si>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</si>
  <si>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</si>
  <si>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</si>
  <si>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</si>
  <si>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</si>
  <si>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</si>
  <si>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</si>
  <si>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</si>
  <si>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</si>
  <si>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</si>
  <si>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</si>
  <si>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</si>
  <si>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</si>
  <si>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</si>
  <si>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</si>
  <si>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</si>
  <si>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</si>
  <si>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</si>
  <si>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</si>
  <si>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</si>
  <si>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</si>
  <si>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</si>
  <si>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</si>
  <si>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</si>
  <si>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</si>
  <si>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</si>
  <si>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</si>
  <si>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</si>
  <si>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</si>
  <si>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</si>
  <si>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</si>
  <si>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</si>
  <si>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</si>
  <si>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</si>
  <si>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</si>
  <si>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</si>
  <si>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</si>
  <si>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</si>
  <si>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</si>
  <si>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</si>
  <si>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</si>
  <si>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</si>
  <si>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</si>
  <si>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</si>
  <si>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</si>
  <si>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</si>
  <si>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</si>
  <si>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</si>
  <si>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</si>
  <si>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</si>
  <si>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</si>
  <si>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</si>
  <si>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</si>
  <si>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</si>
  <si>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</si>
  <si>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</si>
  <si>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</si>
  <si>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</si>
  <si>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</si>
  <si>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</si>
  <si>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</si>
  <si>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</si>
  <si>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</si>
  <si>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</si>
  <si>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</si>
  <si>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</si>
  <si>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</si>
  <si>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</si>
  <si>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</si>
  <si>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</si>
  <si>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</si>
  <si>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</si>
  <si>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</si>
  <si>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</si>
  <si>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</si>
  <si>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</si>
  <si>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</si>
  <si>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</si>
  <si>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</si>
  <si>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</si>
  <si>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</si>
  <si>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</si>
  <si>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</si>
  <si>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</si>
  <si>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</si>
  <si>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</si>
  <si>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</si>
  <si>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</si>
  <si>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</si>
  <si>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</si>
  <si>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</si>
  <si>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</si>
  <si>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</si>
  <si>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</si>
  <si>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</si>
  <si>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</si>
  <si>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</si>
  <si>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</si>
  <si>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</si>
  <si>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</si>
  <si>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</si>
  <si>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</si>
  <si>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</si>
  <si>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</si>
  <si>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</si>
  <si>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</si>
  <si>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</si>
  <si>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</si>
  <si>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</si>
  <si>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</si>
  <si>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</si>
  <si>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</si>
  <si>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</si>
  <si>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</si>
  <si>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</si>
  <si>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</si>
  <si>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</si>
  <si>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</si>
  <si>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</si>
  <si>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</si>
  <si>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</si>
  <si>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</si>
  <si>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</si>
  <si>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</si>
  <si>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</si>
  <si>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</si>
  <si>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</si>
  <si>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</si>
  <si>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</si>
  <si>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</si>
  <si>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</si>
  <si>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</si>
  <si>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</si>
  <si>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</si>
  <si>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</si>
  <si>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</si>
  <si>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</si>
  <si>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</si>
  <si>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</si>
  <si>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</si>
  <si>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</si>
  <si>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</si>
  <si>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</si>
  <si>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</si>
  <si>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</si>
  <si>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</si>
  <si>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</si>
  <si>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</si>
  <si>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</si>
  <si>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</si>
  <si>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</si>
  <si>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</si>
  <si>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</si>
  <si>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</si>
  <si>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</si>
  <si>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</si>
  <si>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</si>
  <si>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</si>
  <si>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</si>
  <si>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</si>
  <si>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</si>
  <si>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</si>
  <si>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</si>
  <si>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</si>
  <si>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</si>
  <si>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</si>
  <si>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</si>
  <si>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</si>
  <si>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</si>
  <si>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</si>
  <si>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</si>
  <si>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</si>
  <si>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</si>
  <si>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</si>
  <si>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</si>
  <si>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</si>
  <si>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</si>
  <si>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</si>
  <si>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</si>
  <si>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</si>
  <si>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</si>
  <si>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</si>
  <si>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</si>
  <si>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</si>
  <si>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</si>
  <si>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</si>
  <si>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</si>
  <si>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</si>
  <si>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</si>
  <si>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</si>
  <si>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</si>
  <si>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</si>
  <si>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</si>
  <si>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</si>
  <si>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</si>
  <si>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</si>
  <si>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</si>
  <si>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</si>
  <si>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</si>
  <si>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</si>
  <si>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</si>
  <si>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</si>
  <si>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</si>
  <si>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</si>
  <si>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</si>
  <si>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</si>
  <si>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</si>
  <si>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</si>
  <si>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</si>
  <si>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</si>
  <si>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</si>
  <si>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</si>
  <si>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</si>
  <si>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</si>
  <si>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</si>
  <si>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</si>
  <si>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</si>
  <si>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</si>
  <si>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</si>
  <si>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</si>
  <si>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</si>
  <si>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</si>
  <si>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</si>
  <si>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</si>
  <si>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</si>
  <si>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</si>
  <si>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</si>
  <si>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</si>
  <si>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</si>
  <si>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</si>
  <si>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</si>
  <si>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</si>
  <si>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</si>
  <si>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</si>
  <si>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</si>
  <si>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</si>
  <si>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</si>
  <si>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</si>
  <si>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</si>
  <si>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</si>
  <si>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</si>
  <si>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</si>
  <si>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</si>
  <si>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</si>
  <si>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</si>
  <si>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</si>
  <si>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</si>
  <si>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</si>
  <si>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</si>
  <si>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</si>
  <si>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</si>
  <si>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</si>
  <si>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</si>
  <si>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</si>
  <si>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</si>
  <si>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</si>
  <si>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</si>
  <si>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</si>
  <si>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</si>
  <si>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</si>
  <si>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</si>
  <si>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</si>
  <si>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</si>
  <si>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</si>
  <si>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</si>
  <si>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</si>
  <si>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</si>
  <si>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</si>
  <si>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</si>
  <si>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</si>
  <si>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</si>
  <si>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</si>
  <si>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</si>
  <si>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</si>
  <si>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</si>
  <si>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</si>
  <si>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</si>
  <si>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</si>
  <si>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</si>
  <si>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</si>
  <si>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</si>
  <si>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</si>
  <si>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</si>
  <si>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</si>
  <si>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</si>
  <si>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</si>
  <si>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</si>
  <si>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</si>
  <si>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</si>
  <si>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</si>
  <si>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</si>
  <si>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</si>
  <si>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</si>
  <si>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</si>
  <si>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</si>
  <si>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</si>
  <si>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</si>
  <si>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</si>
  <si>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</si>
  <si>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</si>
  <si>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</si>
  <si>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</si>
  <si>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</si>
  <si>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</si>
  <si>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</si>
  <si>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</si>
  <si>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</si>
  <si>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</si>
  <si>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</si>
  <si>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</si>
  <si>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</si>
  <si>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</si>
  <si>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</si>
  <si>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</si>
  <si>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</si>
  <si>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</si>
  <si>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</si>
  <si>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</si>
  <si>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</si>
  <si>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</si>
  <si>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</si>
  <si>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</si>
  <si>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</si>
  <si>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</si>
  <si>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</si>
  <si>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</si>
  <si>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</si>
  <si>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</si>
  <si>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</si>
  <si>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</si>
  <si>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</si>
  <si>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</si>
  <si>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</si>
  <si>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</si>
  <si>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</si>
  <si>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</si>
  <si>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</si>
  <si>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</si>
  <si>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</si>
  <si>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</si>
  <si>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</si>
  <si>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</si>
  <si>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</si>
  <si>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</si>
  <si>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</si>
  <si>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</si>
  <si>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</si>
  <si>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</si>
  <si>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</si>
  <si>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</si>
  <si>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</si>
  <si>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</si>
  <si>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</si>
  <si>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</si>
  <si>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</si>
  <si>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</si>
  <si>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</si>
  <si>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</si>
  <si>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</si>
  <si>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</si>
  <si>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</si>
  <si>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</si>
  <si>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</si>
  <si>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</si>
  <si>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</si>
  <si>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</si>
  <si>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</si>
  <si>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</si>
  <si>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</si>
  <si>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</si>
  <si>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</si>
  <si>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</si>
  <si>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</si>
  <si>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</si>
  <si>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</si>
  <si>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</si>
  <si>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</si>
  <si>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</si>
  <si>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</si>
  <si>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</si>
  <si>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</si>
  <si>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</si>
  <si>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</si>
  <si>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</si>
  <si>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</si>
  <si>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</si>
  <si>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</si>
  <si>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</si>
  <si>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</si>
  <si>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</si>
  <si>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</si>
  <si>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</si>
  <si>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</si>
  <si>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</si>
  <si>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</si>
  <si>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</si>
  <si>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</si>
  <si>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</si>
  <si>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</si>
  <si>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</si>
  <si>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</si>
  <si>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</si>
  <si>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</si>
  <si>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</si>
  <si>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</si>
  <si>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</si>
  <si>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</si>
  <si>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</si>
  <si>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</si>
  <si>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</si>
  <si>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</si>
  <si>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</si>
  <si>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</si>
  <si>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</si>
  <si>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</si>
  <si>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</si>
  <si>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</si>
  <si>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</si>
  <si>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</si>
  <si>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</si>
  <si>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</si>
  <si>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</si>
  <si>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</si>
  <si>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</si>
  <si>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</si>
  <si>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</si>
  <si>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</si>
  <si>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</si>
  <si>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</si>
  <si>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</si>
  <si>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</si>
  <si>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</si>
  <si>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</si>
  <si>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</si>
  <si>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</si>
  <si>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</si>
  <si>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</si>
  <si>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</si>
  <si>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</si>
  <si>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</si>
  <si>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</si>
  <si>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</si>
  <si>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</si>
  <si>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</si>
  <si>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</si>
  <si>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</si>
  <si>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</si>
  <si>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</si>
  <si>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</si>
  <si>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</si>
  <si>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</si>
  <si>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</si>
  <si>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</si>
  <si>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</si>
  <si>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</si>
  <si>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</si>
  <si>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</si>
  <si>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</si>
  <si>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</si>
  <si>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</si>
  <si>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</si>
  <si>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</si>
  <si>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</si>
  <si>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</si>
  <si>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</si>
  <si>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</si>
  <si>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</si>
  <si>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</si>
  <si>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</si>
  <si>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</si>
  <si>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</si>
  <si>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</si>
  <si>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</si>
  <si>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</si>
  <si>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</si>
  <si>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</si>
  <si>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</si>
  <si>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</si>
  <si>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</si>
  <si>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</si>
  <si>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</si>
  <si>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</si>
  <si>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</si>
  <si>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</si>
  <si>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</si>
  <si>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</si>
  <si>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</si>
  <si>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</si>
  <si>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</si>
  <si>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</si>
  <si>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</si>
  <si>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</si>
  <si>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</si>
  <si>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</si>
  <si>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</si>
  <si>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</si>
  <si>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</si>
  <si>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</si>
  <si>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</si>
  <si>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</si>
  <si>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</si>
  <si>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</si>
  <si>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</si>
  <si>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</si>
  <si>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</si>
  <si>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</si>
  <si>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</si>
  <si>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</si>
  <si>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</si>
  <si>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</si>
  <si>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</si>
  <si>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</si>
  <si>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</si>
  <si>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</si>
  <si>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</si>
  <si>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</si>
  <si>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</si>
  <si>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</si>
  <si>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</si>
  <si>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</si>
  <si>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</si>
  <si>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</si>
  <si>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</si>
  <si>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</si>
  <si>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</si>
  <si>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</si>
  <si>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</si>
  <si>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</si>
  <si>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</si>
  <si>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</si>
  <si>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</si>
  <si>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</si>
  <si>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</si>
  <si>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</si>
  <si>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</si>
  <si>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</si>
  <si>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</si>
  <si>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</si>
  <si>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</si>
  <si>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</si>
  <si>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</si>
  <si>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</si>
  <si>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</si>
  <si>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</si>
  <si>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</si>
  <si>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</si>
  <si>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</si>
  <si>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</si>
  <si>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</si>
  <si>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</si>
  <si>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</si>
  <si>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</si>
  <si>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</si>
  <si>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</si>
  <si>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</si>
  <si>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</si>
  <si>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</si>
  <si>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</si>
  <si>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</si>
  <si>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</si>
  <si>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</si>
  <si>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</si>
  <si>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</si>
  <si>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</si>
  <si>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</si>
  <si>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</si>
  <si>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</si>
  <si>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</si>
  <si>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</si>
  <si>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</si>
  <si>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</si>
  <si>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</si>
  <si>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</si>
  <si>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</si>
  <si>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</si>
  <si>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</si>
  <si>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</si>
  <si>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</si>
  <si>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</si>
  <si>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</si>
  <si>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</si>
  <si>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</si>
  <si>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</si>
  <si>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</si>
  <si>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</si>
  <si>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</si>
  <si>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</si>
  <si>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</si>
  <si>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</si>
  <si>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</si>
  <si>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</si>
  <si>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</si>
  <si>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</si>
  <si>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</si>
  <si>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</si>
  <si>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</si>
  <si>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</si>
  <si>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</si>
  <si>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</si>
  <si>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</si>
  <si>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</si>
  <si>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</si>
  <si>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</si>
  <si>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</si>
  <si>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</si>
  <si>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</si>
  <si>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</si>
  <si>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</si>
  <si>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</si>
  <si>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</si>
  <si>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</si>
  <si>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</si>
  <si>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</si>
  <si>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</si>
  <si>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</si>
  <si>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</si>
  <si>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</si>
  <si>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</si>
  <si>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</si>
  <si>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</si>
  <si>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</si>
  <si>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</si>
  <si>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</si>
  <si>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</si>
  <si>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</si>
  <si>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</si>
  <si>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</si>
  <si>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</si>
  <si>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</si>
  <si>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</si>
  <si>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</si>
  <si>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</si>
  <si>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</si>
  <si>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</si>
  <si>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</si>
  <si>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</si>
  <si>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</si>
  <si>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</si>
  <si>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</si>
  <si>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</si>
  <si>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</si>
  <si>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</si>
  <si>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</si>
  <si>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</si>
  <si>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</si>
  <si>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</si>
  <si>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</si>
  <si>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</si>
  <si>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</si>
  <si>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</si>
  <si>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</si>
  <si>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</si>
  <si>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</si>
  <si>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</si>
  <si>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</si>
  <si>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</si>
  <si>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</si>
  <si>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</si>
  <si>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</si>
  <si>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</si>
  <si>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</si>
  <si>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</si>
  <si>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</si>
  <si>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</si>
  <si>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</si>
  <si>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</si>
  <si>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</si>
  <si>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</si>
  <si>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</si>
  <si>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</si>
  <si>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</si>
  <si>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</si>
  <si>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</si>
  <si>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</si>
  <si>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</si>
  <si>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</si>
  <si>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</si>
  <si>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</si>
  <si>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</si>
  <si>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</si>
  <si>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</si>
  <si>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</si>
  <si>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</si>
  <si>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</si>
  <si>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</si>
  <si>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</si>
  <si>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</si>
  <si>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</si>
  <si>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</si>
  <si>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</si>
  <si>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</si>
  <si>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</si>
  <si>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</si>
  <si>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</si>
  <si>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</si>
  <si>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</si>
  <si>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</si>
  <si>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</si>
  <si>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</si>
  <si>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</si>
  <si>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</si>
  <si>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</si>
  <si>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</si>
  <si>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</si>
  <si>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</si>
  <si>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</si>
  <si>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</si>
  <si>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</si>
  <si>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</si>
  <si>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</si>
  <si>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</si>
  <si>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</si>
  <si>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</si>
  <si>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</si>
  <si>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</si>
  <si>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</si>
  <si>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</si>
  <si>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</si>
  <si>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</si>
  <si>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</si>
  <si>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</si>
  <si>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</si>
  <si>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</si>
  <si>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</si>
  <si>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</si>
  <si>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</si>
  <si>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</si>
  <si>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</si>
  <si>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</si>
  <si>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</si>
  <si>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</si>
  <si>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</si>
  <si>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</si>
  <si>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</si>
  <si>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</si>
  <si>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</si>
  <si>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</si>
  <si>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</si>
  <si>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</si>
  <si>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</si>
  <si>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</si>
  <si>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</si>
  <si>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</si>
  <si>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</si>
  <si>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</si>
  <si>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</si>
  <si>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</si>
  <si>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</si>
  <si>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</si>
  <si>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</si>
  <si>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</si>
  <si>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</si>
  <si>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</si>
  <si>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</si>
  <si>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</si>
  <si>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</si>
  <si>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</si>
  <si>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</si>
  <si>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</si>
  <si>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</si>
  <si>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</si>
  <si>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</si>
  <si>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</si>
  <si>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</si>
  <si>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</si>
  <si>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</si>
  <si>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</si>
  <si>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</si>
  <si>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</si>
  <si>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</si>
  <si>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</si>
  <si>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</si>
  <si>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</si>
  <si>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</si>
  <si>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</si>
  <si>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</si>
  <si>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</si>
  <si>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</si>
  <si>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</si>
  <si>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</si>
  <si>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</si>
  <si>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</si>
  <si>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</si>
  <si>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</si>
  <si>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</si>
  <si>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</si>
  <si>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</si>
  <si>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</si>
  <si>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</si>
  <si>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</si>
  <si>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</si>
  <si>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</si>
  <si>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</si>
  <si>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</si>
  <si>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</si>
  <si>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</si>
  <si>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</si>
  <si>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</si>
  <si>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</si>
  <si>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</si>
  <si>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</si>
  <si>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</si>
  <si>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</si>
  <si>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</si>
  <si>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</si>
  <si>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</si>
  <si>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</si>
  <si>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</si>
  <si>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</si>
  <si>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</si>
  <si>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</si>
  <si>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</si>
  <si>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</si>
  <si>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</si>
  <si>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</si>
  <si>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</si>
  <si>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</si>
  <si>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</si>
  <si>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</si>
  <si>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</si>
  <si>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</si>
  <si>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</si>
  <si>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</si>
  <si>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</si>
  <si>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</si>
  <si>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</si>
  <si>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</si>
  <si>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</si>
  <si>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</si>
  <si>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</si>
  <si>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</si>
  <si>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</si>
  <si>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</si>
  <si>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</si>
  <si>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</si>
  <si>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</si>
  <si>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</si>
  <si>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</si>
  <si>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</si>
  <si>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</si>
  <si>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</si>
  <si>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</si>
  <si>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</si>
  <si>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</si>
  <si>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</si>
  <si>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</si>
  <si>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</si>
  <si>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</si>
  <si>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</si>
  <si>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</si>
  <si>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</si>
  <si>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</si>
  <si>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</si>
  <si>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</si>
  <si>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</si>
  <si>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</si>
  <si>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</si>
  <si>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</si>
  <si>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</si>
  <si>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</si>
  <si>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</si>
  <si>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</si>
  <si>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</si>
  <si>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</si>
  <si>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</si>
  <si>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</si>
  <si>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</si>
  <si>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</si>
  <si>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</si>
  <si>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</si>
  <si>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</si>
  <si>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</si>
  <si>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</si>
  <si>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</si>
  <si>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</si>
  <si>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</si>
  <si>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</si>
  <si>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</si>
  <si>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</si>
  <si>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</si>
  <si>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</si>
  <si>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</si>
  <si>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</si>
  <si>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</si>
  <si>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</si>
  <si>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</si>
  <si>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</si>
  <si>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</si>
  <si>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</si>
  <si>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</si>
  <si>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</si>
  <si>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</si>
  <si>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</si>
  <si>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</si>
  <si>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</si>
  <si>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</si>
  <si>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</si>
  <si>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</si>
  <si>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</si>
  <si>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</si>
  <si>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</si>
  <si>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</si>
  <si>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</si>
  <si>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</si>
  <si>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</si>
  <si>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</si>
  <si>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</si>
  <si>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</si>
  <si>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</si>
  <si>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</si>
  <si>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</si>
  <si>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</si>
  <si>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</si>
  <si>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</si>
  <si>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</si>
  <si>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</si>
  <si>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</si>
  <si>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</si>
  <si>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</si>
  <si>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</si>
  <si>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</si>
  <si>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</si>
  <si>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</si>
  <si>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</si>
  <si>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</si>
  <si>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</si>
  <si>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</si>
  <si>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</si>
  <si>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</si>
  <si>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</si>
  <si>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</si>
  <si>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</si>
  <si>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</si>
  <si>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</si>
  <si>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</si>
  <si>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</si>
  <si>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</si>
  <si>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</si>
  <si>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</si>
  <si>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</si>
  <si>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</si>
  <si>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</si>
  <si>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</si>
  <si>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</si>
  <si>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</si>
  <si>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</si>
  <si>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</si>
  <si>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</si>
  <si>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</si>
  <si>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</si>
  <si>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</si>
  <si>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</si>
  <si>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</si>
  <si>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</si>
  <si>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</si>
  <si>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</si>
  <si>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</si>
  <si>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</si>
  <si>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</si>
  <si>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</si>
  <si>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</si>
  <si>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</si>
  <si>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</si>
  <si>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</si>
  <si>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</si>
  <si>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</si>
  <si>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</si>
  <si>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</si>
  <si>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</si>
  <si>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</si>
  <si>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</si>
  <si>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</si>
  <si>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</si>
  <si>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</si>
  <si>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</si>
  <si>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</si>
  <si>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</si>
  <si>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</si>
  <si>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</si>
  <si>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</si>
  <si>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</si>
  <si>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</si>
  <si>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</si>
  <si>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</si>
  <si>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</si>
  <si>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</si>
  <si>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</si>
  <si>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</si>
  <si>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</si>
  <si>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</si>
  <si>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</si>
  <si>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</si>
  <si>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</si>
  <si>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</si>
  <si>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</si>
  <si>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</si>
  <si>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</si>
  <si>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</si>
  <si>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</si>
  <si>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</si>
  <si>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</si>
  <si>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</si>
  <si>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</si>
  <si>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</si>
  <si>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</si>
  <si>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</si>
  <si>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</si>
  <si>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</si>
  <si>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</si>
  <si>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</si>
  <si>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</si>
  <si>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</si>
  <si>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</si>
  <si>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</si>
  <si>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</si>
  <si>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</si>
  <si>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</si>
  <si>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</si>
  <si>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</si>
  <si>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</si>
  <si>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</si>
  <si>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</si>
  <si>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</si>
  <si>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</si>
  <si>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</si>
  <si>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</si>
  <si>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</si>
  <si>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</si>
  <si>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</si>
  <si>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</si>
  <si>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</si>
  <si>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</si>
  <si>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</si>
  <si>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</si>
  <si>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</si>
  <si>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</si>
  <si>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</si>
  <si>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</si>
  <si>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</si>
  <si>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</si>
  <si>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</si>
  <si>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</si>
  <si>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</si>
  <si>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</si>
  <si>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</si>
  <si>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</si>
  <si>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</si>
  <si>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</si>
  <si>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</si>
  <si>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</si>
  <si>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</si>
  <si>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</si>
  <si>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</si>
  <si>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</si>
  <si>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</si>
  <si>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</si>
  <si>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</si>
  <si>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</si>
  <si>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</si>
  <si>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</si>
  <si>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</si>
  <si>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</si>
  <si>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</si>
  <si>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</si>
  <si>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</si>
  <si>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</si>
  <si>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</si>
  <si>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</si>
  <si>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</si>
  <si>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</si>
  <si>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</si>
  <si>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</si>
  <si>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</si>
  <si>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</si>
  <si>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</si>
  <si>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</si>
  <si>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</si>
  <si>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</si>
  <si>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</si>
  <si>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</si>
  <si>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</si>
  <si>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</si>
  <si>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</si>
  <si>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</si>
  <si>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</si>
  <si>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</si>
  <si>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</si>
  <si>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</si>
  <si>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</si>
  <si>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</si>
  <si>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</si>
  <si>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</si>
  <si>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</si>
  <si>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</si>
  <si>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</si>
  <si>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</si>
  <si>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</si>
  <si>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</si>
  <si>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</si>
  <si>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</si>
  <si>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</si>
  <si>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</si>
  <si>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</si>
  <si>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</si>
  <si>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</si>
  <si>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</si>
  <si>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</si>
  <si>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</si>
  <si>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</si>
  <si>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</si>
  <si>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</si>
  <si>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</si>
  <si>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</si>
  <si>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</si>
  <si>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</si>
  <si>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</si>
  <si>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</si>
  <si>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</si>
  <si>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</si>
  <si>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</si>
  <si>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</si>
  <si>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</si>
  <si>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</si>
  <si>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</si>
  <si>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</si>
  <si>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</si>
  <si>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</si>
  <si>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</si>
  <si>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</si>
  <si>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</si>
  <si>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</si>
  <si>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</si>
  <si>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</si>
  <si>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</si>
  <si>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</si>
  <si>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</si>
  <si>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</si>
  <si>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</si>
  <si>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</si>
  <si>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</si>
  <si>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</si>
  <si>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</si>
  <si>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</si>
  <si>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</si>
  <si>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</si>
  <si>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</si>
  <si>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</si>
  <si>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</si>
  <si>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</si>
  <si>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</si>
  <si>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</si>
  <si>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</si>
  <si>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</si>
  <si>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</si>
  <si>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</si>
  <si>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</si>
  <si>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</si>
  <si>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</si>
  <si>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</si>
  <si>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</si>
  <si>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</si>
  <si>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</si>
  <si>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</si>
  <si>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</si>
  <si>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</si>
  <si>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</si>
  <si>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</si>
  <si>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</si>
  <si>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</si>
  <si>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</si>
  <si>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</si>
  <si>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</si>
  <si>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</si>
  <si>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</si>
  <si>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</si>
  <si>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</si>
  <si>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</si>
  <si>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</si>
  <si>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</si>
  <si>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</si>
  <si>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</si>
  <si>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</si>
  <si>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</si>
  <si>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</si>
  <si>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</si>
  <si>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</si>
  <si>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</si>
  <si>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</si>
  <si>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</si>
  <si>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</si>
  <si>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</si>
  <si>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</si>
  <si>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</si>
  <si>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</si>
  <si>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</si>
  <si>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</si>
  <si>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</si>
  <si>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</si>
  <si>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</si>
  <si>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</si>
  <si>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</si>
  <si>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</si>
  <si>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</si>
  <si>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</si>
  <si>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</si>
  <si>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</si>
  <si>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</si>
  <si>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</si>
  <si>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</si>
  <si>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</si>
  <si>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</si>
  <si>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</si>
  <si>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</si>
  <si>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</si>
  <si>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</si>
  <si>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</si>
  <si>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</si>
  <si>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</si>
  <si>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</si>
  <si>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</si>
  <si>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</si>
  <si>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</si>
  <si>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</si>
  <si>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</si>
  <si>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</si>
  <si>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</si>
  <si>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</si>
  <si>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</si>
  <si>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</si>
  <si>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</si>
  <si>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</si>
  <si>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</si>
  <si>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</si>
  <si>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</si>
  <si>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</si>
  <si>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</si>
  <si>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</si>
  <si>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</si>
  <si>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</si>
  <si>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</si>
  <si>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</si>
  <si>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</si>
  <si>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</si>
  <si>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</si>
  <si>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</si>
  <si>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</si>
  <si>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</si>
  <si>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</si>
  <si>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</si>
  <si>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</si>
  <si>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</si>
  <si>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</si>
  <si>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</si>
  <si>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</si>
  <si>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</si>
  <si>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</si>
  <si>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</si>
  <si>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</si>
  <si>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</si>
  <si>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</si>
  <si>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</si>
  <si>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</si>
  <si>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</si>
  <si>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</si>
  <si>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</si>
  <si>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</si>
  <si>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</si>
  <si>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</si>
  <si>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</si>
  <si>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</si>
  <si>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</si>
  <si>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</si>
  <si>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</si>
  <si>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</si>
  <si>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</si>
  <si>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</si>
  <si>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</si>
  <si>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</si>
  <si>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</si>
  <si>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</si>
  <si>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</si>
  <si>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</si>
  <si>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</si>
  <si>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</si>
  <si>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</si>
  <si>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</si>
  <si>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</si>
  <si>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</si>
  <si>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</si>
  <si>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</si>
  <si>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</si>
  <si>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</si>
  <si>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</si>
  <si>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</si>
  <si>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</si>
  <si>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</si>
  <si>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</si>
  <si>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</si>
  <si>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</si>
  <si>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</si>
  <si>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</si>
  <si>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</si>
  <si>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</si>
  <si>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</si>
  <si>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</si>
  <si>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</si>
  <si>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</si>
  <si>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</si>
  <si>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</si>
  <si>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</si>
  <si>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</si>
  <si>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</si>
  <si>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</si>
  <si>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</si>
  <si>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</si>
  <si>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</si>
  <si>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</si>
  <si>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</si>
  <si>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</si>
  <si>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</si>
  <si>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</si>
  <si>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</si>
  <si>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</si>
  <si>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</si>
  <si>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</si>
  <si>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</si>
  <si>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</si>
  <si>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</si>
  <si>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</si>
  <si>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</si>
  <si>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</si>
  <si>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</si>
  <si>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</si>
  <si>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</si>
  <si>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</si>
  <si>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</si>
  <si>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</si>
  <si>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</si>
  <si>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</si>
  <si>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</si>
  <si>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</si>
  <si>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</si>
  <si>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</si>
  <si>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</si>
  <si>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</si>
  <si>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</si>
  <si>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</si>
  <si>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</si>
  <si>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</si>
  <si>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</si>
  <si>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</si>
  <si>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</si>
  <si>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</si>
  <si>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</si>
  <si>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</si>
  <si>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</si>
  <si>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</si>
  <si>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</si>
  <si>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</si>
  <si>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</si>
  <si>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</si>
  <si>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</si>
  <si>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</si>
  <si>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</si>
  <si>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</si>
  <si>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</si>
  <si>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</si>
  <si>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</si>
  <si>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</si>
  <si>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</si>
  <si>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</si>
  <si>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</si>
  <si>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</si>
  <si>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</si>
  <si>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</si>
  <si>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</si>
  <si>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</si>
  <si>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</si>
  <si>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</si>
  <si>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</si>
  <si>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</si>
  <si>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</si>
  <si>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</si>
  <si>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</si>
  <si>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</si>
  <si>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</si>
  <si>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</si>
  <si>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</si>
  <si>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</si>
  <si>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</si>
  <si>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</si>
  <si>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</si>
  <si>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</si>
  <si>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</si>
  <si>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</si>
  <si>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</si>
  <si>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</si>
  <si>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</si>
  <si>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</si>
  <si>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</si>
  <si>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</si>
  <si>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</si>
  <si>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</si>
  <si>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</si>
  <si>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</si>
  <si>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</si>
  <si>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</si>
  <si>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</si>
  <si>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</si>
  <si>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</si>
  <si>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</si>
  <si>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</si>
  <si>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</si>
  <si>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</si>
  <si>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</si>
  <si>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</si>
  <si>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</si>
  <si>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</si>
  <si>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</si>
  <si>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</si>
  <si>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</si>
  <si>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</si>
  <si>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</si>
  <si>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</si>
  <si>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</si>
  <si>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</si>
  <si>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</si>
  <si>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</si>
  <si>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</si>
  <si>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</si>
  <si>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</si>
  <si>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</si>
  <si>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</si>
  <si>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</si>
  <si>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</si>
  <si>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</si>
  <si>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</si>
  <si>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</si>
  <si>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</si>
  <si>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</si>
  <si>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</si>
  <si>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</si>
  <si>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</si>
  <si>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</si>
  <si>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</si>
  <si>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</si>
  <si>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</si>
  <si>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</si>
  <si>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</si>
  <si>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</si>
  <si>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</si>
  <si>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</si>
  <si>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</si>
  <si>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</si>
  <si>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</si>
  <si>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</si>
  <si>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</si>
  <si>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</si>
  <si>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</si>
  <si>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</si>
  <si>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</si>
  <si>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</si>
  <si>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</si>
  <si>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</si>
  <si>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</si>
  <si>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</si>
  <si>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</si>
  <si>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</si>
  <si>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</si>
  <si>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</si>
  <si>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</si>
  <si>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</si>
  <si>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</si>
  <si>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</si>
  <si>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</si>
  <si>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</si>
  <si>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</si>
  <si>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</si>
  <si>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</si>
  <si>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</si>
  <si>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</si>
  <si>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</si>
  <si>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</si>
  <si>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</si>
  <si>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</si>
  <si>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</si>
  <si>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</si>
  <si>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</si>
  <si>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</si>
  <si>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</si>
  <si>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</si>
  <si>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</si>
  <si>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</si>
  <si>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</si>
  <si>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</si>
  <si>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</si>
  <si>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</si>
  <si>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</si>
  <si>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</si>
  <si>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</si>
  <si>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</si>
  <si>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</si>
  <si>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</si>
  <si>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</si>
  <si>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</si>
  <si>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</si>
  <si>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</si>
  <si>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</si>
  <si>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</si>
  <si>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</si>
  <si>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</si>
  <si>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</si>
  <si>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</si>
  <si>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</si>
  <si>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</si>
  <si>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</si>
  <si>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</si>
  <si>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</si>
  <si>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</si>
  <si>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</si>
  <si>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</si>
  <si>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</si>
  <si>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</si>
  <si>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</si>
  <si>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</si>
  <si>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</si>
  <si>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</si>
  <si>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</si>
  <si>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</si>
  <si>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</si>
  <si>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</si>
  <si>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</si>
  <si>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</si>
  <si>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</si>
  <si>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</si>
  <si>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</si>
  <si>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</si>
  <si>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</si>
  <si>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</si>
  <si>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</si>
  <si>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</si>
  <si>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</si>
  <si>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</si>
  <si>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</si>
  <si>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</si>
  <si>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</si>
  <si>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</si>
  <si>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</si>
  <si>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</si>
  <si>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</si>
  <si>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</si>
  <si>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</si>
  <si>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</si>
  <si>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</si>
  <si>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</si>
  <si>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</si>
  <si>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</si>
  <si>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</si>
  <si>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</si>
  <si>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</si>
  <si>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</si>
  <si>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</si>
  <si>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</si>
  <si>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</si>
  <si>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</si>
  <si>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</si>
  <si>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</si>
  <si>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</si>
  <si>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</si>
  <si>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</si>
  <si>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</si>
  <si>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</si>
  <si>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</si>
  <si>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</si>
  <si>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</si>
  <si>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</si>
  <si>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</si>
  <si>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</si>
  <si>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</si>
  <si>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</si>
  <si>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</si>
  <si>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</si>
  <si>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</si>
  <si>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</si>
  <si>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</si>
  <si>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</si>
  <si>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</si>
  <si>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</si>
  <si>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</si>
  <si>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</si>
  <si>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</si>
  <si>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</si>
  <si>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</si>
  <si>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</si>
  <si>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</si>
  <si>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</si>
  <si>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</si>
  <si>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</si>
  <si>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</si>
  <si>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</si>
  <si>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</si>
  <si>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</si>
  <si>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</si>
  <si>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</si>
  <si>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</si>
  <si>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</si>
  <si>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</si>
  <si>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</si>
  <si>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</si>
  <si>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</si>
  <si>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</si>
  <si>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</si>
  <si>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</si>
  <si>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</si>
  <si>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</si>
  <si>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</si>
  <si>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</si>
  <si>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</si>
  <si>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</si>
  <si>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</si>
  <si>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</si>
  <si>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</si>
  <si>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</si>
  <si>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</si>
  <si>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</si>
  <si>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</si>
  <si>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</si>
  <si>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</si>
  <si>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</si>
  <si>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</si>
  <si>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</si>
  <si>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</si>
  <si>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</si>
  <si>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</si>
  <si>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</si>
  <si>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</si>
  <si>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</si>
  <si>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</si>
  <si>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</si>
  <si>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</si>
  <si>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</si>
  <si>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</si>
  <si>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</si>
  <si>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</si>
  <si>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</si>
  <si>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</si>
  <si>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</si>
  <si>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</si>
  <si>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</si>
  <si>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</si>
  <si>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</si>
  <si>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</si>
  <si>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</si>
  <si>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</si>
  <si>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</si>
  <si>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</si>
  <si>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</si>
  <si>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</si>
  <si>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</si>
  <si>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</si>
  <si>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</si>
  <si>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</si>
  <si>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</si>
  <si>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</si>
  <si>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</si>
  <si>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</si>
  <si>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</si>
  <si>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</si>
  <si>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</si>
  <si>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</si>
  <si>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</si>
  <si>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</si>
  <si>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</si>
  <si>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</si>
  <si>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</si>
  <si>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</si>
  <si>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</si>
  <si>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</si>
  <si>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</si>
  <si>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</si>
  <si>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</si>
  <si>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</si>
  <si>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</si>
  <si>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</si>
  <si>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</si>
  <si>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</si>
  <si>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</si>
  <si>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</si>
  <si>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</si>
  <si>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</si>
  <si>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</si>
  <si>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</si>
  <si>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</si>
  <si>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</si>
  <si>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</si>
  <si>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</si>
  <si>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</si>
  <si>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</si>
  <si>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</si>
  <si>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</si>
  <si>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</si>
  <si>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</si>
  <si>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</si>
  <si>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</si>
  <si>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</si>
  <si>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</si>
  <si>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</si>
  <si>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</si>
  <si>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</si>
  <si>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</si>
  <si>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</si>
  <si>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</si>
  <si>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</si>
  <si>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</si>
  <si>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</si>
  <si>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</si>
  <si>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</si>
  <si>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</si>
  <si>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</si>
  <si>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</si>
  <si>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</si>
  <si>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</si>
  <si>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</si>
  <si>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</si>
  <si>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</si>
  <si>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</si>
  <si>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</si>
  <si>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</si>
  <si>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</si>
  <si>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</si>
  <si>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</si>
  <si>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</si>
  <si>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</si>
  <si>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</si>
  <si>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</si>
  <si>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</si>
  <si>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</si>
  <si>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</si>
  <si>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</si>
  <si>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</si>
  <si>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</si>
  <si>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</si>
  <si>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</si>
  <si>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</si>
  <si>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</si>
  <si>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</si>
  <si>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</si>
  <si>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</si>
  <si>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</si>
  <si>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</si>
  <si>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</si>
  <si>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</si>
  <si>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</si>
  <si>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</si>
  <si>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</si>
  <si>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</si>
  <si>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</si>
  <si>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</si>
  <si>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</si>
  <si>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</si>
  <si>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</si>
  <si>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</si>
  <si>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</si>
  <si>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</si>
  <si>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</si>
  <si>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</si>
  <si>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</si>
  <si>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</si>
  <si>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</si>
  <si>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</si>
  <si>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</si>
  <si>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</si>
  <si>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</si>
  <si>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</si>
  <si>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</si>
  <si>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</si>
  <si>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</si>
  <si>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</si>
  <si>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</si>
  <si>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</si>
  <si>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</si>
  <si>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</si>
  <si>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</si>
  <si>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</si>
  <si>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</si>
  <si>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</si>
  <si>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</si>
  <si>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</si>
  <si>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</si>
  <si>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</si>
  <si>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</si>
  <si>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</si>
  <si>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</si>
  <si>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</si>
  <si>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</si>
  <si>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</si>
  <si>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</si>
  <si>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</si>
  <si>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</si>
  <si>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</si>
  <si>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</si>
  <si>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</si>
  <si>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</si>
  <si>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</si>
  <si>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</si>
  <si>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</si>
  <si>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</si>
  <si>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</si>
  <si>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</si>
  <si>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</si>
  <si>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</si>
  <si>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</si>
  <si>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</si>
  <si>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</si>
  <si>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</si>
  <si>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</si>
  <si>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</si>
  <si>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</si>
  <si>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</si>
  <si>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</si>
  <si>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</si>
  <si>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</si>
  <si>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</si>
  <si>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</si>
  <si>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</si>
  <si>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</si>
  <si>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</si>
  <si>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</si>
  <si>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</si>
  <si>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</si>
  <si>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</si>
  <si>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</si>
  <si>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</si>
  <si>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</si>
  <si>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</si>
  <si>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</si>
  <si>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</si>
  <si>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</si>
  <si>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</si>
  <si>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</si>
  <si>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</si>
  <si>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</si>
  <si>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</si>
  <si>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</si>
  <si>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</si>
  <si>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</si>
  <si>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</si>
  <si>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</si>
  <si>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</si>
  <si>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</si>
  <si>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</si>
  <si>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</si>
  <si>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</si>
  <si>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</si>
  <si>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</si>
  <si>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</si>
  <si>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</si>
  <si>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</si>
  <si>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</si>
  <si>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</si>
  <si>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</si>
  <si>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</si>
  <si>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</si>
  <si>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</si>
  <si>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</si>
  <si>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</si>
  <si>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</si>
  <si>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</si>
  <si>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</si>
  <si>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</si>
  <si>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</si>
  <si>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</si>
  <si>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</si>
  <si>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</si>
  <si>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</si>
  <si>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</si>
  <si>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</si>
  <si>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</si>
  <si>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</si>
  <si>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</si>
  <si>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</si>
  <si>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</si>
  <si>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</si>
  <si>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</si>
  <si>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</si>
  <si>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</si>
  <si>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</si>
  <si>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</si>
  <si>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</si>
  <si>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</si>
  <si>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</si>
  <si>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</si>
  <si>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</si>
  <si>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</si>
  <si>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</si>
  <si>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</si>
  <si>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</si>
  <si>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</si>
  <si>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</si>
  <si>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</si>
  <si>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</si>
  <si>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</si>
  <si>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</si>
  <si>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</si>
  <si>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</si>
  <si>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</si>
  <si>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</si>
  <si>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</si>
  <si>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</si>
  <si>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</si>
  <si>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</si>
  <si>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</si>
  <si>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</si>
  <si>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</si>
  <si>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</si>
  <si>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</si>
  <si>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</si>
  <si>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</si>
  <si>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</si>
  <si>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</si>
  <si>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</si>
  <si>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</si>
  <si>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</si>
  <si>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</si>
  <si>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</si>
  <si>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</si>
  <si>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</si>
  <si>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</si>
  <si>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</si>
  <si>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</si>
  <si>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</si>
  <si>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</si>
  <si>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</si>
  <si>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</si>
  <si>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</si>
  <si>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</si>
  <si>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</si>
  <si>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</si>
  <si>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</si>
  <si>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</si>
  <si>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</si>
  <si>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</si>
  <si>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</si>
  <si>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</si>
  <si>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</si>
  <si>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</si>
  <si>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</si>
  <si>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</si>
  <si>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</si>
  <si>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</si>
  <si>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</si>
  <si>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</si>
  <si>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</si>
  <si>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</si>
  <si>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</si>
  <si>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</si>
  <si>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</si>
  <si>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</si>
  <si>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</si>
  <si>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</si>
  <si>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</si>
  <si>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</si>
  <si>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</si>
  <si>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</si>
  <si>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</si>
  <si>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</si>
  <si>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</si>
  <si>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</si>
  <si>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</si>
  <si>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</si>
  <si>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</si>
  <si>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</si>
  <si>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</si>
  <si>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</si>
  <si>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</si>
  <si>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</si>
  <si>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</si>
  <si>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</si>
  <si>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</si>
  <si>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</si>
  <si>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</si>
  <si>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</si>
  <si>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</si>
  <si>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</si>
  <si>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</si>
  <si>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</si>
  <si>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</si>
  <si>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</si>
  <si>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</si>
  <si>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</si>
  <si>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</si>
  <si>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</si>
  <si>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</si>
  <si>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</si>
  <si>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</si>
  <si>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</si>
  <si>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</si>
  <si>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</si>
  <si>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</si>
  <si>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</si>
  <si>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</si>
  <si>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</si>
  <si>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</si>
  <si>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</si>
  <si>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</si>
  <si>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</si>
  <si>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</si>
  <si>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</si>
  <si>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</si>
  <si>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</si>
  <si>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</si>
  <si>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</si>
  <si>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</si>
  <si>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</si>
  <si>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</si>
  <si>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</si>
  <si>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</si>
  <si>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</si>
  <si>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</si>
  <si>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</si>
  <si>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</si>
  <si>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</si>
  <si>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</si>
  <si>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</si>
  <si>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</si>
  <si>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</si>
  <si>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</si>
  <si>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</si>
  <si>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</si>
  <si>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</si>
  <si>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</si>
  <si>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</si>
  <si>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</si>
  <si>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</si>
  <si>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</si>
  <si>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</si>
  <si>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</si>
  <si>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</si>
  <si>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</si>
  <si>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</si>
  <si>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</si>
  <si>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</si>
  <si>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</si>
  <si>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</si>
  <si>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</si>
  <si>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</si>
  <si>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</si>
  <si>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</si>
  <si>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</si>
  <si>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</si>
  <si>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</si>
  <si>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</si>
  <si>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</si>
  <si>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</si>
  <si>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</si>
  <si>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</si>
  <si>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</si>
  <si>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</si>
  <si>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</si>
  <si>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</si>
  <si>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</si>
  <si>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</si>
  <si>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</si>
  <si>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</si>
  <si>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</si>
  <si>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</si>
  <si>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</si>
  <si>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</si>
  <si>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</si>
  <si>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</si>
  <si>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</si>
  <si>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</si>
  <si>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</si>
  <si>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</si>
  <si>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</si>
  <si>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</si>
  <si>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</si>
  <si>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</si>
  <si>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</si>
  <si>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</si>
  <si>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</si>
  <si>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</si>
  <si>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</si>
  <si>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</si>
  <si>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</si>
  <si>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</si>
  <si>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</si>
  <si>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</si>
  <si>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</si>
  <si>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</si>
  <si>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</si>
  <si>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</si>
  <si>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</si>
  <si>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</si>
  <si>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</si>
  <si>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</si>
  <si>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</si>
  <si>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</si>
  <si>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</si>
  <si>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</si>
  <si>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</si>
  <si>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</si>
  <si>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</si>
  <si>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</si>
  <si>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</si>
  <si>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</si>
  <si>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</si>
  <si>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</si>
  <si>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</si>
  <si>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</si>
  <si>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</si>
  <si>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</si>
  <si>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</si>
  <si>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</si>
  <si>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</si>
  <si>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</si>
  <si>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</si>
  <si>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</si>
  <si>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</si>
  <si>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</si>
  <si>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</si>
  <si>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</si>
  <si>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</si>
  <si>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</si>
  <si>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</si>
  <si>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</si>
  <si>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</si>
  <si>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</si>
  <si>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</si>
  <si>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</si>
  <si>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</si>
  <si>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</si>
  <si>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</si>
  <si>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</si>
  <si>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</si>
  <si>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</si>
  <si>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</si>
  <si>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</si>
  <si>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</si>
  <si>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</si>
  <si>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</si>
  <si>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</si>
  <si>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</si>
  <si>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</si>
  <si>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</si>
  <si>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</si>
  <si>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</si>
  <si>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</si>
  <si>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</si>
  <si>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</si>
  <si>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</si>
  <si>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</si>
  <si>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</si>
  <si>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</si>
  <si>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</si>
  <si>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</si>
  <si>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</si>
  <si>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</si>
  <si>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</si>
  <si>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</si>
  <si>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</si>
  <si>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</si>
  <si>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</si>
  <si>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</si>
  <si>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</si>
  <si>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</si>
  <si>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</si>
  <si>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</si>
  <si>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</si>
  <si>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</si>
  <si>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</si>
  <si>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</si>
  <si>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</si>
  <si>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</si>
  <si>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</si>
  <si>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</si>
  <si>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</si>
  <si>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</si>
  <si>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</si>
  <si>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</si>
  <si>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</si>
  <si>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</si>
  <si>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</si>
  <si>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</si>
  <si>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</si>
  <si>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</si>
  <si>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</si>
  <si>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</si>
  <si>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</si>
  <si>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</si>
  <si>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</si>
  <si>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</si>
  <si>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</si>
  <si>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</si>
  <si>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</si>
  <si>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</si>
  <si>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</si>
  <si>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</si>
  <si>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</si>
  <si>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</si>
  <si>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</si>
  <si>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</si>
  <si>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</si>
  <si>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</si>
  <si>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</si>
  <si>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</si>
  <si>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</si>
  <si>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</si>
  <si>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</si>
  <si>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</si>
  <si>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</si>
  <si>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</si>
  <si>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</si>
  <si>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</si>
  <si>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</si>
  <si>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</si>
  <si>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</si>
  <si>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</si>
  <si>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</si>
  <si>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</si>
  <si>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</si>
  <si>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</si>
  <si>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</si>
  <si>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</si>
  <si>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</si>
  <si>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</si>
  <si>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</si>
  <si>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</si>
  <si>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</si>
  <si>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</si>
  <si>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</si>
  <si>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</si>
  <si>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</si>
  <si>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</si>
  <si>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</si>
  <si>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</si>
  <si>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</si>
  <si>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</si>
  <si>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</si>
  <si>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</si>
  <si>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</si>
  <si>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</si>
  <si>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</si>
  <si>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</si>
  <si>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</si>
  <si>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</si>
  <si>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</si>
  <si>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</si>
  <si>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</si>
  <si>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</si>
  <si>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</si>
  <si>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</si>
  <si>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</si>
  <si>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</si>
  <si>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</si>
  <si>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</si>
  <si>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</si>
  <si>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</si>
  <si>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</si>
  <si>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</si>
  <si>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</si>
  <si>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</si>
  <si>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</si>
  <si>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</si>
  <si>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</si>
  <si>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</si>
  <si>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</si>
  <si>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</si>
  <si>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</si>
  <si>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</si>
  <si>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</si>
  <si>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</si>
  <si>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</si>
  <si>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</si>
  <si>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</si>
  <si>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</si>
  <si>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</si>
  <si>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</si>
  <si>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</si>
  <si>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</si>
  <si>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</si>
  <si>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</si>
  <si>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</si>
  <si>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</si>
  <si>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</si>
  <si>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</si>
  <si>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</si>
  <si>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</si>
  <si>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</si>
  <si>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</si>
  <si>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</si>
  <si>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</si>
  <si>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</si>
  <si>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</si>
  <si>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</si>
  <si>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</si>
  <si>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</si>
  <si>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</si>
  <si>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</si>
  <si>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</si>
  <si>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</si>
  <si>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</si>
  <si>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</si>
  <si>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</si>
  <si>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</si>
  <si>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</si>
  <si>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</si>
  <si>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</si>
  <si>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</si>
  <si>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</si>
  <si>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</si>
  <si>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</si>
  <si>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</si>
  <si>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</si>
  <si>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</si>
  <si>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</si>
  <si>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</si>
  <si>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</si>
  <si>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</si>
  <si>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</si>
  <si>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</si>
  <si>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</si>
  <si>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</si>
  <si>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</si>
  <si>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</si>
  <si>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</si>
  <si>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</si>
  <si>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</si>
  <si>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</si>
  <si>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</si>
  <si>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</si>
  <si>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</si>
  <si>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</si>
  <si>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</si>
  <si>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</si>
  <si>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</si>
  <si>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</si>
  <si>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</si>
  <si>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</si>
  <si>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</si>
  <si>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</si>
  <si>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</si>
  <si>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</si>
  <si>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</si>
  <si>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</si>
  <si>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</si>
  <si>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</si>
  <si>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</si>
  <si>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</si>
  <si>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</si>
  <si>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</si>
  <si>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</si>
  <si>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</si>
  <si>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</si>
  <si>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</si>
  <si>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</si>
  <si>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</si>
  <si>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</si>
  <si>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</si>
  <si>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</si>
  <si>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</si>
  <si>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</si>
  <si>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</si>
  <si>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</si>
  <si>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</si>
  <si>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</si>
  <si>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</si>
  <si>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</si>
  <si>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</si>
  <si>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</si>
  <si>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</si>
  <si>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</si>
  <si>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</si>
  <si>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</si>
  <si>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</si>
  <si>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</si>
  <si>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</si>
  <si>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</si>
  <si>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</si>
  <si>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</si>
  <si>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</si>
  <si>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</si>
  <si>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</si>
  <si>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</si>
  <si>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</si>
  <si>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</si>
  <si>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</si>
  <si>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</si>
  <si>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</si>
  <si>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</si>
  <si>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</si>
  <si>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</si>
  <si>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</si>
  <si>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</si>
  <si>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</si>
  <si>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</si>
  <si>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</si>
  <si>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</si>
  <si>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</si>
  <si>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</si>
  <si>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</si>
  <si>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</si>
  <si>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</si>
  <si>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</si>
  <si>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</si>
  <si>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</si>
  <si>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</si>
  <si>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</si>
  <si>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</si>
  <si>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</si>
  <si>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</si>
  <si>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</si>
  <si>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</si>
  <si>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</si>
  <si>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</si>
  <si>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</si>
  <si>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</si>
  <si>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</si>
  <si>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</si>
  <si>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</si>
  <si>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</si>
  <si>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</si>
  <si>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</si>
  <si>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</si>
  <si>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</si>
  <si>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</si>
  <si>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</si>
  <si>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</si>
  <si>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</si>
  <si>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</si>
  <si>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</si>
  <si>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</si>
  <si>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</si>
  <si>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</si>
  <si>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</si>
  <si>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</si>
  <si>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</si>
  <si>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</si>
  <si>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</si>
  <si>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</si>
  <si>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</si>
  <si>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</si>
  <si>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</si>
  <si>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</si>
  <si>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</si>
  <si>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</si>
  <si>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</si>
  <si>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</si>
  <si>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</si>
  <si>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</si>
  <si>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</si>
  <si>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</si>
  <si>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</si>
  <si>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</si>
  <si>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</si>
  <si>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</si>
  <si>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</si>
  <si>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</si>
  <si>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</si>
  <si>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</si>
  <si>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</si>
  <si>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</si>
  <si>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</si>
  <si>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</si>
  <si>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</si>
  <si>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</si>
  <si>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</si>
  <si>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</si>
  <si>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</si>
  <si>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</si>
  <si>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</si>
  <si>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</si>
  <si>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</si>
  <si>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</si>
  <si>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</si>
  <si>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</si>
  <si>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</si>
  <si>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</si>
  <si>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</si>
  <si>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</si>
  <si>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</si>
  <si>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</si>
  <si>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</si>
  <si>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</si>
  <si>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</si>
  <si>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</si>
  <si>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</si>
  <si>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</si>
  <si>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</si>
  <si>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</si>
  <si>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</si>
  <si>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</si>
  <si>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</si>
  <si>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</si>
  <si>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</si>
  <si>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</si>
  <si>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</si>
  <si>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</si>
  <si>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</si>
  <si>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</si>
  <si>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</si>
  <si>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</si>
  <si>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</si>
  <si>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</si>
  <si>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</si>
  <si>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</si>
  <si>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</si>
  <si>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</si>
  <si>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</si>
  <si>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</si>
  <si>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</si>
  <si>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</si>
  <si>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</si>
  <si>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</si>
  <si>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</si>
  <si>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</si>
  <si>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</si>
  <si>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</si>
  <si>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</si>
  <si>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</si>
  <si>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</si>
  <si>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</si>
  <si>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</si>
  <si>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</si>
  <si>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</si>
  <si>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</si>
  <si>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</si>
  <si>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</si>
  <si>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</si>
  <si>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</si>
  <si>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</si>
  <si>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</si>
  <si>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</si>
  <si>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</si>
  <si>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</si>
  <si>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</si>
  <si>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</si>
  <si>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</si>
  <si>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</si>
  <si>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</si>
  <si>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</si>
  <si>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</si>
  <si>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</si>
  <si>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</si>
  <si>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</si>
  <si>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</si>
  <si>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</si>
  <si>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</si>
  <si>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</si>
  <si>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</si>
  <si>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</si>
  <si>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</si>
  <si>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</si>
  <si>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</si>
  <si>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</si>
  <si>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</si>
  <si>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</si>
  <si>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</si>
  <si>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</si>
  <si>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</si>
  <si>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</si>
  <si>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</si>
  <si>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</si>
  <si>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</si>
  <si>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</si>
  <si>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</si>
  <si>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</si>
  <si>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</si>
  <si>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</si>
  <si>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</si>
  <si>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</si>
  <si>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</si>
  <si>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</si>
  <si>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</si>
  <si>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</si>
  <si>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</si>
  <si>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</si>
  <si>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</si>
  <si>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</si>
  <si>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</si>
  <si>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</si>
  <si>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</si>
  <si>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</si>
  <si>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</si>
  <si>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</si>
  <si>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</si>
  <si>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</si>
  <si>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</si>
  <si>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</si>
  <si>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</si>
  <si>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</si>
  <si>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</si>
  <si>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</si>
  <si>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</si>
  <si>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</si>
  <si>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</si>
  <si>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</si>
  <si>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</si>
  <si>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</si>
  <si>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</si>
  <si>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</si>
  <si>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</si>
  <si>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</si>
  <si>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</si>
  <si>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</si>
  <si>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</si>
  <si>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</si>
  <si>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</si>
  <si>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</si>
  <si>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</si>
  <si>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</si>
  <si>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</si>
  <si>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</si>
  <si>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</si>
  <si>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</si>
  <si>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</si>
  <si>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</si>
  <si>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</si>
  <si>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</si>
  <si>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</si>
  <si>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</si>
  <si>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</si>
  <si>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</si>
  <si>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</si>
  <si>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</si>
  <si>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</si>
  <si>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</si>
  <si>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</si>
  <si>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</si>
  <si>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</si>
  <si>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</si>
  <si>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</si>
  <si>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</si>
  <si>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</si>
  <si>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</si>
  <si>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</si>
  <si>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</si>
  <si>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</si>
  <si>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</si>
  <si>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</si>
  <si>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</si>
  <si>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</si>
  <si>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</si>
  <si>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</si>
  <si>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</si>
  <si>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</si>
  <si>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</si>
  <si>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</si>
  <si>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</si>
  <si>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</si>
  <si>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</si>
  <si>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</si>
  <si>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</si>
  <si>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</si>
  <si>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</si>
  <si>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</si>
  <si>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</si>
  <si>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</si>
  <si>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</si>
  <si>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</si>
  <si>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</si>
  <si>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</si>
  <si>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</si>
  <si>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</si>
  <si>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</si>
  <si>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</si>
  <si>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</si>
  <si>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</si>
  <si>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</si>
  <si>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</si>
  <si>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</si>
  <si>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</si>
  <si>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</si>
  <si>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</si>
  <si>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</si>
  <si>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</si>
  <si>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</si>
  <si>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</si>
  <si>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</si>
  <si>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</si>
  <si>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</si>
  <si>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</si>
  <si>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</si>
  <si>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</si>
  <si>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</si>
  <si>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</si>
  <si>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</si>
  <si>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</si>
  <si>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</si>
  <si>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</si>
  <si>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</si>
  <si>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</si>
  <si>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</si>
  <si>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</si>
  <si>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</si>
  <si>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</si>
  <si>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</si>
  <si>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</si>
  <si>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</si>
  <si>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</si>
  <si>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</si>
  <si>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</si>
  <si>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</si>
  <si>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</si>
  <si>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</si>
  <si>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</si>
  <si>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</si>
  <si>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</si>
  <si>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</si>
  <si>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</si>
  <si>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</si>
  <si>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</si>
  <si>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</si>
  <si>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</si>
  <si>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</si>
  <si>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</si>
  <si>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</si>
  <si>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</si>
  <si>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</si>
  <si>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</si>
  <si>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</si>
  <si>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</si>
  <si>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</si>
  <si>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</si>
  <si>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</si>
  <si>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</si>
  <si>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</si>
  <si>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</si>
  <si>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</si>
  <si>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</si>
  <si>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</si>
  <si>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</si>
  <si>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</si>
  <si>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</si>
  <si>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</si>
  <si>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</si>
  <si>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</si>
  <si>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</si>
  <si>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</si>
  <si>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</si>
  <si>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</si>
  <si>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</si>
  <si>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</si>
  <si>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</si>
  <si>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</si>
  <si>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</si>
  <si>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</si>
  <si>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</si>
  <si>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</si>
  <si>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</si>
  <si>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</si>
  <si>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</si>
  <si>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</si>
  <si>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</si>
  <si>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</si>
  <si>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</si>
  <si>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</si>
  <si>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</si>
  <si>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</si>
  <si>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</si>
  <si>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</si>
  <si>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</si>
  <si>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</si>
  <si>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</si>
  <si>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</si>
  <si>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</si>
  <si>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</si>
  <si>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</si>
  <si>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</si>
  <si>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</si>
  <si>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</si>
  <si>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</si>
  <si>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</si>
  <si>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</si>
  <si>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</si>
  <si>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</si>
  <si>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</si>
  <si>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</si>
  <si>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</si>
  <si>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</si>
  <si>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</si>
  <si>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</si>
  <si>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</si>
  <si>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</si>
  <si>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</si>
  <si>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</si>
  <si>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</si>
  <si>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</si>
  <si>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</si>
  <si>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</si>
  <si>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</si>
  <si>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</si>
  <si>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</si>
  <si>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</si>
  <si>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</si>
  <si>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</si>
  <si>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</si>
  <si>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</si>
  <si>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</si>
  <si>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</si>
  <si>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</si>
  <si>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</si>
  <si>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</si>
  <si>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</si>
  <si>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</si>
  <si>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</si>
  <si>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</si>
  <si>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</si>
  <si>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</si>
  <si>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</si>
  <si>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</si>
  <si>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</si>
  <si>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</si>
  <si>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</si>
  <si>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</si>
  <si>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</si>
  <si>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</si>
  <si>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</si>
  <si>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</si>
  <si>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</si>
  <si>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</si>
  <si>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</si>
  <si>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</si>
  <si>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</si>
  <si>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</si>
  <si>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</si>
  <si>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</si>
  <si>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</si>
  <si>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</si>
  <si>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</si>
  <si>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</si>
  <si>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</si>
  <si>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</si>
  <si>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</si>
  <si>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</si>
  <si>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</si>
  <si>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</si>
  <si>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</si>
  <si>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</si>
  <si>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</si>
  <si>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</si>
  <si>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</si>
  <si>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</si>
  <si>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</si>
  <si>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</si>
  <si>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</si>
  <si>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</si>
  <si>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</si>
  <si>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</si>
  <si>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</si>
  <si>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</si>
  <si>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</si>
  <si>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</si>
  <si>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</si>
  <si>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</si>
  <si>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</si>
  <si>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</si>
  <si>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</si>
  <si>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</si>
  <si>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</si>
  <si>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</si>
  <si>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</si>
  <si>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</si>
  <si>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</si>
  <si>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</si>
  <si>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</si>
  <si>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</si>
  <si>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</si>
  <si>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</si>
  <si>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</si>
  <si>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</si>
  <si>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</si>
  <si>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</si>
  <si>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</si>
  <si>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</si>
  <si>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</si>
  <si>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</si>
  <si>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</si>
  <si>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</si>
  <si>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</si>
  <si>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</si>
  <si>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</si>
  <si>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</si>
  <si>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</si>
  <si>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</si>
  <si>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</si>
  <si>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</si>
  <si>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</si>
  <si>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</si>
  <si>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</si>
  <si>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</si>
  <si>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</si>
  <si>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</si>
  <si>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</si>
  <si>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</si>
  <si>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</si>
  <si>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</si>
  <si>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</si>
  <si>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</si>
  <si>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</si>
  <si>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</si>
  <si>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</si>
  <si>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</si>
  <si>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</si>
  <si>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</si>
  <si>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</si>
  <si>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</si>
  <si>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</si>
  <si>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</si>
  <si>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</si>
  <si>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</si>
  <si>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</si>
  <si>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</si>
  <si>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</si>
  <si>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</si>
  <si>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</si>
  <si>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</si>
  <si>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</si>
  <si>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</si>
  <si>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</si>
  <si>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</si>
  <si>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</si>
  <si>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</si>
  <si>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</si>
  <si>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</si>
  <si>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</si>
  <si>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</si>
  <si>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</si>
  <si>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</si>
  <si>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</si>
  <si>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</si>
  <si>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</si>
  <si>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</si>
  <si>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</si>
  <si>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</si>
  <si>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</si>
  <si>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</si>
  <si>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</si>
  <si>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</si>
  <si>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</si>
  <si>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</si>
  <si>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</si>
  <si>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</si>
  <si>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</si>
  <si>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</si>
  <si>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</si>
  <si>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</si>
  <si>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</si>
  <si>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</si>
  <si>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</si>
  <si>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</si>
  <si>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</si>
  <si>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</si>
  <si>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</si>
  <si>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</si>
  <si>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</si>
  <si>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</si>
  <si>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</si>
  <si>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</si>
  <si>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</si>
  <si>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</si>
  <si>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</si>
  <si>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</si>
  <si>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</si>
  <si>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</si>
  <si>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</si>
  <si>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</si>
  <si>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</si>
  <si>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</si>
  <si>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</si>
  <si>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</si>
  <si>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</si>
  <si>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</si>
  <si>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</si>
  <si>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</si>
  <si>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</si>
  <si>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</si>
  <si>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</si>
  <si>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</si>
  <si>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</si>
  <si>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</si>
  <si>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</si>
  <si>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</si>
  <si>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</si>
  <si>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</si>
  <si>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</si>
  <si>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</si>
  <si>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</si>
  <si>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</si>
  <si>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</si>
  <si>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</si>
  <si>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</si>
  <si>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</si>
  <si>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</si>
  <si>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</si>
  <si>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</si>
  <si>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</si>
  <si>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</si>
  <si>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</si>
  <si>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</si>
  <si>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</si>
  <si>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</si>
  <si>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</si>
  <si>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</si>
  <si>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</si>
  <si>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</si>
  <si>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</si>
  <si>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</si>
  <si>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</si>
  <si>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</si>
  <si>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</si>
  <si>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</si>
  <si>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</si>
  <si>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</si>
  <si>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</si>
  <si>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</si>
  <si>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</si>
  <si>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</si>
  <si>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</si>
  <si>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</si>
  <si>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</si>
  <si>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</si>
  <si>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</si>
  <si>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</si>
  <si>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</si>
  <si>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</si>
  <si>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</si>
  <si>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</si>
  <si>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</si>
  <si>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</si>
  <si>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</si>
  <si>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</si>
  <si>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</si>
  <si>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</si>
  <si>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</si>
  <si>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</si>
  <si>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</si>
  <si>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</si>
  <si>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</si>
  <si>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</si>
  <si>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</si>
  <si>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</si>
  <si>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</si>
  <si>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</si>
  <si>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</si>
  <si>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</si>
  <si>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</si>
  <si>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</si>
  <si>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</si>
  <si>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</si>
  <si>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</si>
  <si>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</si>
  <si>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</si>
  <si>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</si>
  <si>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</si>
  <si>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</si>
  <si>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</si>
  <si>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</si>
  <si>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</si>
  <si>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</si>
  <si>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</si>
  <si>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</si>
  <si>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</si>
  <si>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</si>
  <si>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</si>
  <si>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</si>
  <si>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</si>
  <si>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</si>
  <si>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</si>
  <si>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</si>
  <si>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</si>
  <si>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</si>
  <si>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</si>
  <si>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</si>
  <si>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</si>
  <si>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</si>
  <si>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</si>
  <si>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</si>
  <si>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</si>
  <si>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</si>
  <si>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</si>
  <si>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</si>
  <si>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</si>
  <si>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</si>
  <si>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</si>
  <si>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</si>
  <si>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</si>
  <si>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</si>
  <si>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</si>
  <si>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</si>
  <si>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</si>
  <si>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</si>
  <si>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</si>
  <si>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</si>
  <si>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</si>
  <si>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</si>
  <si>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</si>
  <si>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</si>
  <si>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</si>
  <si>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</si>
  <si>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</si>
  <si>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</si>
  <si>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</si>
  <si>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</si>
  <si>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</si>
  <si>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</si>
  <si>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</si>
  <si>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</si>
  <si>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</si>
  <si>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</si>
  <si>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</si>
  <si>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</si>
  <si>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</si>
  <si>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</si>
  <si>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</si>
  <si>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</si>
  <si>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</si>
  <si>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</si>
  <si>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</si>
  <si>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</si>
  <si>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</si>
  <si>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</si>
  <si>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</si>
  <si>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</si>
  <si>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</si>
  <si>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</si>
  <si>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</si>
  <si>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</si>
  <si>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</si>
  <si>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</si>
  <si>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</si>
  <si>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</si>
  <si>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</si>
  <si>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</si>
  <si>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</si>
  <si>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</si>
  <si>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</si>
  <si>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</si>
  <si>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</si>
  <si>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</si>
  <si>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</si>
  <si>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</si>
  <si>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</si>
  <si>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</si>
  <si>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</si>
  <si>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</si>
  <si>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</si>
  <si>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</si>
  <si>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</si>
  <si>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</si>
  <si>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</si>
  <si>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</si>
  <si>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</si>
  <si>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</si>
  <si>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</si>
  <si>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</si>
  <si>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</si>
  <si>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</si>
  <si>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</si>
  <si>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</si>
  <si>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</si>
  <si>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</si>
  <si>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</si>
  <si>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</si>
  <si>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</si>
  <si>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</si>
  <si>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</si>
  <si>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</si>
  <si>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</si>
  <si>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</si>
  <si>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</si>
  <si>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</si>
  <si>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</si>
  <si>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</si>
  <si>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</si>
  <si>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</si>
  <si>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</si>
  <si>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</si>
  <si>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</si>
  <si>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</si>
  <si>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</si>
  <si>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</si>
  <si>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</si>
  <si>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</si>
  <si>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</si>
  <si>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</si>
  <si>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</si>
  <si>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</si>
  <si>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</si>
  <si>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</si>
  <si>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</si>
  <si>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</si>
  <si>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</si>
  <si>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</si>
  <si>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</si>
  <si>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</si>
  <si>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</si>
  <si>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</si>
  <si>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</si>
  <si>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</si>
  <si>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</si>
  <si>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</si>
  <si>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</si>
  <si>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</si>
  <si>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</si>
  <si>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</si>
  <si>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</si>
  <si>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</si>
  <si>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</si>
  <si>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</si>
  <si>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</si>
  <si>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</si>
  <si>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</si>
  <si>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</si>
  <si>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</si>
  <si>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</si>
  <si>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</si>
  <si>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</si>
  <si>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</si>
  <si>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</si>
  <si>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</si>
  <si>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</si>
  <si>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</si>
  <si>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</si>
  <si>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</si>
  <si>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</si>
  <si>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</si>
  <si>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</si>
  <si>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</si>
  <si>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</si>
  <si>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</si>
  <si>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</si>
  <si>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</si>
  <si>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</si>
  <si>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</si>
  <si>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</si>
  <si>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</si>
  <si>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</si>
  <si>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</si>
  <si>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</si>
  <si>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</si>
  <si>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</si>
  <si>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</si>
  <si>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</si>
  <si>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</si>
  <si>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</si>
  <si>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</si>
  <si>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</si>
  <si>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</si>
  <si>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</si>
  <si>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</si>
  <si>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</si>
  <si>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</si>
  <si>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</si>
  <si>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</si>
  <si>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</si>
  <si>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</si>
  <si>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</si>
  <si>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</si>
  <si>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</si>
  <si>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</si>
  <si>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</si>
  <si>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</si>
  <si>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</si>
  <si>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</si>
  <si>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</si>
  <si>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</si>
  <si>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</si>
  <si>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</si>
  <si>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</si>
  <si>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</si>
  <si>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</si>
  <si>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</si>
  <si>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</si>
  <si>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</si>
  <si>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</si>
  <si>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</si>
  <si>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</si>
  <si>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</si>
  <si>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</si>
  <si>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</si>
  <si>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</si>
  <si>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</si>
  <si>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</si>
  <si>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</si>
  <si>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</si>
  <si>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</si>
  <si>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</si>
  <si>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</si>
  <si>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</si>
  <si>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</si>
  <si>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</si>
  <si>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</si>
  <si>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</si>
  <si>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</si>
  <si>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</si>
  <si>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</si>
  <si>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</si>
  <si>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</si>
  <si>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</si>
  <si>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</si>
  <si>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</si>
  <si>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</si>
  <si>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</si>
  <si>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</si>
  <si>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</si>
  <si>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</si>
  <si>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</si>
  <si>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</si>
  <si>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</si>
  <si>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</si>
  <si>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</si>
  <si>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</si>
  <si>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</si>
  <si>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</si>
  <si>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</si>
  <si>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</si>
  <si>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</si>
  <si>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</si>
  <si>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</si>
  <si>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</si>
  <si>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</si>
  <si>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</si>
  <si>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</si>
  <si>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</si>
  <si>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</si>
  <si>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</si>
  <si>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</si>
  <si>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</si>
  <si>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</si>
  <si>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</si>
  <si>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</si>
  <si>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</si>
  <si>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</si>
  <si>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</si>
  <si>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</si>
  <si>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</si>
  <si>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</si>
  <si>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</si>
  <si>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</si>
  <si>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</si>
  <si>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</si>
  <si>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</si>
  <si>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</si>
  <si>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</si>
  <si>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</si>
  <si>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</si>
  <si>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</si>
  <si>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</si>
  <si>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</si>
  <si>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</si>
  <si>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</si>
  <si>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</si>
  <si>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</si>
  <si>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</si>
  <si>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</si>
  <si>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</si>
  <si>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</si>
  <si>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</si>
  <si>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</si>
  <si>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</si>
  <si>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</si>
  <si>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</si>
  <si>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</si>
  <si>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</si>
  <si>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</si>
  <si>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</si>
  <si>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</si>
  <si>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</si>
  <si>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</si>
  <si>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</si>
  <si>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</si>
  <si>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</si>
  <si>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</si>
  <si>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</si>
  <si>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</si>
  <si>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</si>
  <si>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</si>
  <si>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</si>
  <si>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</si>
  <si>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</si>
  <si>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</si>
  <si>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</si>
  <si>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</si>
  <si>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</si>
  <si>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</si>
  <si>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</si>
  <si>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</si>
  <si>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</si>
  <si>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</si>
  <si>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</si>
  <si>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</si>
  <si>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</si>
  <si>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</si>
  <si>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</si>
  <si>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</si>
  <si>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</si>
  <si>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</si>
  <si>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</si>
  <si>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</si>
  <si>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</si>
  <si>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</si>
  <si>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</si>
  <si>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</si>
  <si>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</si>
  <si>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</si>
  <si>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</si>
  <si>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</si>
  <si>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</si>
  <si>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</si>
  <si>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</si>
  <si>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</si>
  <si>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</si>
  <si>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</si>
  <si>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</si>
  <si>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</si>
  <si>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</si>
  <si>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</si>
  <si>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</si>
  <si>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</si>
  <si>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</si>
  <si>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</si>
  <si>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</si>
  <si>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</si>
  <si>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</si>
  <si>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</si>
  <si>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</si>
  <si>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</si>
  <si>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</si>
  <si>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</si>
  <si>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</si>
  <si>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</si>
  <si>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</si>
  <si>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</si>
  <si>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</si>
  <si>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</si>
  <si>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</si>
  <si>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</si>
  <si>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</si>
  <si>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</si>
  <si>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</si>
  <si>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</si>
  <si>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</si>
  <si>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</si>
  <si>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</si>
  <si>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</si>
  <si>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</si>
  <si>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</si>
  <si>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</si>
  <si>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</si>
  <si>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</si>
  <si>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</si>
  <si>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</si>
  <si>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</si>
  <si>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</si>
  <si>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</si>
  <si>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</si>
  <si>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</si>
  <si>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</si>
  <si>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</si>
  <si>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</si>
  <si>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</si>
  <si>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</si>
  <si>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</si>
  <si>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</si>
  <si>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</si>
  <si>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</si>
  <si>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</si>
  <si>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</si>
  <si>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</si>
  <si>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</si>
  <si>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</si>
  <si>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</si>
  <si>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</si>
  <si>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</si>
  <si>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</si>
  <si>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</si>
  <si>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</si>
  <si>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</si>
  <si>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</si>
  <si>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</si>
  <si>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</si>
  <si>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</si>
  <si>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</si>
  <si>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</si>
  <si>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</si>
  <si>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</si>
  <si>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</si>
  <si>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</si>
  <si>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</si>
  <si>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</si>
  <si>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</si>
  <si>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</si>
  <si>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</si>
  <si>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</si>
  <si>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</si>
  <si>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</si>
  <si>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</si>
  <si>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</si>
  <si>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</si>
  <si>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</si>
  <si>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</si>
  <si>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</si>
  <si>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</si>
  <si>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</si>
  <si>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</si>
  <si>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</si>
  <si>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</si>
  <si>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</si>
  <si>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</si>
  <si>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</si>
  <si>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</si>
  <si>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</si>
  <si>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</si>
  <si>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</si>
  <si>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</si>
  <si>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</si>
  <si>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</si>
  <si>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</si>
  <si>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</si>
  <si>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</si>
  <si>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</si>
  <si>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</si>
  <si>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</si>
  <si>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</si>
  <si>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</si>
  <si>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</si>
  <si>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</si>
  <si>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</si>
  <si>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</si>
  <si>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</si>
  <si>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</si>
  <si>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</si>
  <si>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</si>
  <si>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</si>
  <si>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</si>
  <si>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</si>
  <si>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</si>
  <si>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</si>
  <si>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</si>
  <si>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</si>
  <si>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</si>
  <si>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</si>
  <si>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</si>
  <si>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</si>
  <si>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</si>
  <si>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</si>
  <si>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</si>
  <si>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</si>
  <si>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</si>
  <si>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</si>
  <si>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</si>
  <si>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</si>
  <si>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</si>
  <si>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</si>
  <si>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</si>
  <si>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</si>
  <si>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</si>
  <si>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</si>
  <si>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</si>
  <si>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</si>
  <si>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</si>
  <si>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</si>
  <si>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</si>
  <si>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</si>
  <si>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</si>
  <si>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</si>
  <si>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</si>
  <si>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</si>
  <si>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</si>
  <si>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</si>
  <si>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</si>
  <si>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</si>
  <si>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</si>
  <si>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</si>
  <si>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</si>
  <si>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</si>
  <si>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</si>
  <si>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</si>
  <si>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</si>
  <si>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</si>
  <si>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</si>
  <si>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</si>
  <si>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</si>
  <si>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</si>
  <si>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</si>
  <si>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</si>
  <si>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</si>
  <si>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</si>
  <si>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</si>
  <si>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</si>
  <si>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</si>
  <si>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</si>
  <si>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</si>
  <si>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</si>
  <si>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</si>
  <si>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</si>
  <si>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</si>
  <si>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</si>
  <si>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</si>
  <si>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</si>
  <si>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</si>
  <si>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</si>
  <si>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</si>
  <si>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</si>
  <si>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</si>
  <si>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</si>
  <si>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</si>
  <si>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</si>
  <si>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</si>
  <si>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</si>
  <si>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</si>
  <si>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</si>
  <si>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</si>
  <si>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</si>
  <si>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</si>
  <si>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</si>
  <si>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</si>
  <si>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</si>
  <si>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</si>
  <si>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</si>
  <si>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</si>
  <si>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</si>
  <si>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</si>
  <si>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</si>
  <si>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</si>
  <si>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</si>
  <si>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</si>
  <si>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</si>
  <si>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</si>
  <si>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</si>
  <si>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</si>
  <si>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</si>
  <si>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</si>
  <si>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</si>
  <si>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</si>
  <si>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</si>
  <si>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</si>
  <si>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</si>
  <si>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</si>
  <si>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</si>
  <si>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</si>
  <si>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</si>
  <si>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</si>
  <si>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</si>
  <si>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</si>
  <si>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</si>
  <si>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</si>
  <si>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</si>
  <si>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</si>
  <si>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</si>
  <si>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</si>
  <si>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</si>
  <si>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</si>
  <si>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</si>
  <si>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</si>
  <si>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</si>
  <si>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</si>
  <si>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</si>
  <si>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</si>
  <si>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</si>
  <si>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</si>
  <si>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</si>
  <si>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</si>
  <si>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</si>
  <si>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</si>
  <si>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</si>
  <si>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</si>
  <si>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</si>
  <si>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</si>
  <si>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</si>
  <si>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</si>
  <si>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</si>
  <si>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</si>
  <si>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</si>
  <si>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</si>
  <si>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</si>
  <si>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</si>
  <si>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</si>
  <si>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</si>
  <si>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</si>
  <si>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</si>
  <si>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</si>
  <si>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</si>
  <si>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</si>
  <si>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</si>
  <si>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</si>
  <si>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</si>
  <si>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</si>
  <si>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</si>
  <si>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</si>
  <si>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</si>
  <si>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</si>
  <si>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</si>
  <si>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</si>
  <si>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</si>
  <si>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</si>
  <si>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</si>
  <si>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</si>
  <si>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</si>
  <si>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</si>
  <si>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</si>
  <si>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</si>
  <si>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</si>
  <si>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</si>
  <si>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</si>
  <si>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</si>
  <si>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</si>
  <si>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</si>
  <si>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</si>
  <si>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</si>
  <si>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</si>
  <si>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</si>
  <si>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</si>
  <si>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</si>
  <si>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</si>
  <si>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</si>
  <si>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</si>
  <si>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</si>
  <si>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</si>
  <si>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</si>
  <si>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</si>
  <si>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</si>
  <si>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</si>
  <si>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</si>
  <si>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</si>
  <si>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</si>
  <si>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</si>
  <si>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</si>
  <si>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</si>
  <si>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</si>
  <si>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</si>
  <si>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</si>
  <si>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</si>
  <si>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</si>
  <si>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</si>
  <si>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</si>
  <si>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</si>
  <si>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</si>
  <si>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</si>
  <si>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</si>
  <si>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</si>
  <si>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</si>
  <si>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</si>
  <si>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</si>
  <si>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</si>
  <si>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</si>
  <si>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</si>
  <si>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</si>
  <si>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</si>
  <si>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</si>
  <si>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</si>
  <si>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</si>
  <si>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</si>
  <si>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</si>
  <si>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</si>
  <si>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</si>
  <si>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</si>
  <si>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</si>
  <si>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</si>
  <si>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</si>
  <si>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</si>
  <si>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</si>
  <si>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</si>
  <si>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</si>
  <si>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</si>
  <si>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</si>
  <si>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</si>
  <si>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</si>
  <si>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</si>
  <si>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</si>
  <si>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</si>
  <si>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</si>
  <si>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</si>
  <si>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</si>
  <si>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</si>
  <si>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</si>
  <si>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</si>
  <si>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</si>
  <si>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</si>
  <si>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</si>
  <si>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</si>
  <si>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</si>
  <si>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</si>
  <si>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</si>
  <si>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</si>
  <si>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</si>
  <si>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</si>
  <si>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</si>
  <si>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</si>
  <si>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</si>
  <si>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</si>
  <si>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</si>
  <si>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</si>
  <si>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</si>
  <si>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</si>
  <si>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</si>
  <si>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</si>
  <si>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</si>
  <si>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</si>
  <si>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</si>
  <si>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</si>
  <si>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</si>
  <si>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</si>
  <si>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</si>
  <si>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</si>
  <si>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</si>
  <si>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</si>
  <si>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</si>
  <si>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</si>
  <si>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</si>
  <si>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</si>
  <si>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</si>
  <si>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</si>
  <si>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</si>
  <si>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</si>
  <si>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</si>
  <si>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</si>
  <si>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</si>
  <si>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</si>
  <si>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</si>
  <si>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</si>
  <si>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</si>
  <si>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</si>
  <si>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</si>
  <si>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</si>
  <si>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</si>
  <si>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</si>
  <si>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</si>
  <si>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</si>
  <si>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</si>
  <si>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</si>
  <si>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</si>
  <si>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</si>
  <si>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</si>
  <si>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</si>
  <si>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</si>
  <si>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</si>
  <si>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</si>
  <si>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</si>
  <si>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</si>
  <si>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</si>
  <si>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</si>
  <si>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</si>
  <si>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</si>
  <si>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</si>
  <si>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</si>
  <si>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</si>
  <si>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</si>
  <si>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</si>
  <si>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</si>
  <si>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</si>
  <si>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</si>
  <si>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</si>
  <si>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</si>
  <si>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</si>
  <si>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</si>
  <si>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</si>
  <si>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</si>
  <si>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</si>
  <si>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</si>
  <si>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</si>
  <si>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</si>
  <si>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</si>
  <si>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</si>
  <si>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</si>
  <si>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</si>
  <si>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</si>
  <si>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</si>
  <si>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</si>
  <si>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</si>
  <si>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</si>
  <si>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</si>
  <si>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</si>
  <si>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</si>
  <si>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</si>
  <si>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</si>
  <si>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</si>
  <si>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</si>
  <si>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</si>
  <si>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</si>
  <si>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</si>
  <si>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</si>
  <si>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</si>
  <si>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</si>
  <si>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</si>
  <si>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</si>
  <si>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</si>
  <si>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</si>
  <si>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</si>
  <si>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</si>
  <si>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</si>
  <si>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</si>
  <si>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</si>
  <si>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</si>
  <si>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</si>
  <si>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</si>
  <si>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</si>
  <si>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</si>
  <si>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</si>
  <si>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</si>
  <si>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</si>
  <si>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</si>
  <si>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</si>
  <si>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</si>
  <si>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</si>
  <si>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</si>
  <si>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</si>
  <si>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</si>
  <si>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</si>
  <si>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</si>
  <si>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</si>
  <si>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</si>
  <si>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</si>
  <si>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</si>
  <si>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</si>
  <si>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</si>
  <si>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</si>
  <si>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</si>
  <si>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</si>
  <si>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</si>
  <si>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</si>
  <si>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</si>
  <si>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</si>
  <si>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</si>
  <si>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</si>
  <si>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</si>
  <si>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</si>
  <si>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</si>
  <si>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</si>
  <si>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</si>
  <si>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</si>
  <si>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</si>
  <si>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</si>
  <si>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</si>
  <si>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</si>
  <si>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</si>
  <si>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</si>
  <si>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</si>
  <si>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</si>
  <si>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</si>
  <si>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</si>
  <si>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</si>
  <si>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</si>
  <si>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</si>
  <si>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</si>
  <si>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</si>
  <si>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</si>
  <si>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</si>
  <si>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</si>
  <si>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</si>
  <si>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</si>
  <si>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</si>
  <si>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</si>
  <si>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</si>
  <si>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</si>
  <si>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</si>
  <si>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</si>
  <si>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</si>
  <si>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</si>
  <si>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</si>
  <si>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</si>
  <si>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</si>
  <si>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</si>
  <si>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</si>
  <si>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</si>
  <si>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</si>
  <si>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</si>
  <si>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</si>
  <si>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</si>
  <si>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</si>
  <si>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</si>
  <si>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</si>
  <si>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</si>
  <si>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</si>
  <si>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</si>
  <si>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</si>
  <si>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</si>
  <si>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</si>
  <si>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</si>
  <si>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</si>
  <si>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</si>
  <si>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</si>
  <si>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</si>
  <si>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</si>
  <si>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</si>
  <si>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</si>
  <si>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</si>
  <si>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</si>
  <si>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</si>
  <si>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</si>
  <si>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</si>
  <si>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</si>
  <si>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</si>
  <si>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</si>
  <si>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</si>
  <si>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</si>
  <si>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</si>
  <si>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</si>
  <si>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</si>
  <si>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</si>
  <si>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</si>
  <si>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</si>
  <si>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</si>
  <si>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</si>
  <si>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</si>
  <si>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</si>
  <si>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</si>
  <si>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</si>
  <si>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</si>
  <si>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</si>
  <si>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</si>
  <si>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</si>
  <si>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</si>
  <si>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</si>
  <si>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</si>
  <si>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</si>
  <si>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</si>
  <si>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</si>
  <si>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</si>
  <si>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</si>
  <si>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</si>
  <si>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</si>
  <si>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</si>
  <si>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</si>
  <si>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</si>
  <si>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</si>
  <si>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</si>
  <si>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</si>
  <si>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</si>
  <si>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</si>
  <si>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</si>
  <si>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</si>
  <si>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</si>
  <si>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</si>
  <si>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</si>
  <si>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</si>
  <si>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</si>
  <si>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</si>
  <si>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</si>
  <si>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</si>
  <si>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</si>
  <si>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</si>
  <si>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</si>
  <si>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</si>
  <si>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</si>
  <si>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</si>
  <si>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</si>
  <si>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</si>
  <si>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</si>
  <si>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</si>
  <si>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</si>
  <si>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</si>
  <si>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</si>
  <si>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</si>
  <si>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</si>
  <si>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</si>
  <si>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</si>
  <si>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</si>
  <si>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</si>
  <si>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</si>
  <si>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</si>
  <si>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</si>
  <si>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</si>
  <si>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</si>
  <si>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</si>
  <si>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</si>
  <si>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</si>
  <si>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</si>
  <si>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</si>
  <si>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</si>
  <si>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</si>
  <si>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</si>
  <si>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</si>
  <si>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</si>
  <si>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</si>
  <si>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</si>
  <si>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</si>
  <si>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</si>
  <si>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</si>
  <si>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</si>
  <si>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</si>
  <si>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</si>
  <si>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</si>
  <si>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</si>
  <si>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</si>
  <si>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</si>
  <si>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</si>
  <si>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</si>
  <si>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</si>
  <si>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</si>
  <si>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</si>
  <si>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</si>
  <si>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</si>
  <si>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</si>
  <si>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</si>
  <si>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</si>
  <si>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</si>
  <si>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</si>
  <si>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</si>
  <si>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</si>
  <si>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</si>
  <si>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</si>
  <si>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</si>
  <si>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</si>
  <si>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</si>
  <si>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</si>
  <si>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</si>
  <si>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</si>
  <si>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</si>
  <si>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</si>
  <si>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</si>
  <si>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</si>
  <si>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</si>
  <si>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</si>
  <si>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</si>
  <si>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</si>
  <si>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</si>
  <si>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</si>
  <si>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</si>
  <si>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</si>
  <si>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</si>
  <si>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</si>
  <si>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</si>
  <si>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</si>
  <si>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</si>
  <si>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</si>
  <si>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</si>
  <si>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</si>
  <si>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</si>
  <si>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</si>
  <si>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</si>
  <si>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</si>
  <si>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</si>
  <si>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</si>
  <si>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</si>
  <si>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</si>
  <si>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</si>
  <si>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</si>
  <si>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</si>
  <si>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</si>
  <si>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</si>
  <si>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</si>
  <si>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</si>
  <si>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</si>
  <si>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</si>
  <si>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</si>
  <si>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</si>
  <si>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</si>
  <si>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</si>
  <si>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</si>
  <si>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</si>
  <si>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</si>
  <si>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</si>
  <si>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</si>
  <si>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</si>
  <si>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</si>
  <si>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</si>
  <si>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</si>
  <si>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</si>
  <si>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</si>
  <si>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</si>
  <si>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</si>
  <si>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</si>
  <si>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</si>
  <si>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</si>
  <si>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</si>
  <si>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</si>
  <si>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</si>
  <si>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</si>
  <si>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</si>
  <si>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</si>
  <si>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</si>
  <si>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</si>
  <si>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</si>
  <si>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</si>
  <si>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</si>
  <si>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</si>
  <si>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</si>
  <si>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</si>
  <si>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</si>
  <si>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</si>
  <si>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</si>
  <si>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</si>
  <si>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</si>
  <si>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</si>
  <si>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</si>
  <si>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</si>
  <si>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</si>
  <si>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</si>
  <si>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</si>
  <si>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</si>
  <si>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</si>
  <si>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</si>
  <si>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</si>
  <si>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</si>
  <si>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</si>
  <si>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</si>
  <si>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</si>
  <si>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</si>
  <si>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</si>
  <si>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</si>
  <si>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</si>
  <si>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</si>
  <si>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</si>
  <si>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</si>
  <si>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</si>
  <si>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</si>
  <si>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</si>
  <si>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</si>
  <si>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</si>
  <si>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</si>
  <si>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</si>
  <si>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</si>
  <si>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</si>
  <si>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</si>
  <si>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</si>
  <si>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</si>
  <si>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</si>
  <si>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</si>
  <si>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</si>
  <si>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</si>
  <si>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</si>
  <si>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</si>
  <si>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</si>
  <si>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</si>
  <si>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</si>
  <si>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</si>
  <si>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</si>
  <si>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</si>
  <si>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</si>
  <si>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</si>
  <si>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</si>
  <si>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</si>
  <si>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</si>
  <si>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</si>
  <si>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</si>
  <si>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</si>
  <si>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</si>
  <si>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</si>
  <si>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</si>
  <si>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</si>
  <si>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</si>
  <si>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</si>
  <si>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</si>
  <si>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</si>
  <si>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</si>
  <si>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</si>
  <si>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</si>
  <si>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</si>
  <si>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</si>
  <si>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</si>
  <si>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</si>
  <si>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</si>
  <si>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</si>
  <si>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</si>
  <si>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</si>
  <si>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</si>
  <si>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</si>
  <si>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</si>
  <si>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</si>
  <si>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</si>
  <si>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</si>
  <si>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</si>
  <si>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</si>
  <si>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</si>
  <si>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</si>
  <si>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</si>
  <si>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</si>
  <si>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</si>
  <si>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</si>
  <si>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</si>
  <si>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</si>
  <si>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</si>
  <si>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</si>
  <si>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</si>
  <si>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</si>
  <si>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</si>
  <si>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</si>
  <si>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</si>
  <si>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</si>
  <si>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</si>
  <si>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</si>
  <si>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</si>
  <si>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</si>
  <si>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</si>
  <si>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</si>
  <si>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</si>
  <si>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</si>
  <si>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</si>
  <si>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</si>
  <si>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</si>
  <si>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</si>
  <si>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</si>
  <si>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</si>
  <si>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</si>
  <si>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</si>
  <si>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</si>
  <si>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</si>
  <si>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</si>
  <si>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</si>
  <si>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</si>
  <si>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</si>
  <si>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</si>
  <si>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</si>
  <si>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</si>
  <si>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</si>
  <si>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</si>
  <si>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</si>
  <si>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</si>
  <si>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</si>
  <si>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</si>
  <si>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</si>
  <si>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</si>
  <si>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</si>
  <si>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</si>
  <si>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</si>
  <si>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</si>
  <si>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</si>
  <si>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</si>
  <si>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</si>
  <si>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</si>
  <si>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</si>
  <si>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</si>
  <si>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</si>
  <si>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</si>
  <si>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</si>
  <si>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</si>
  <si>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</si>
  <si>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</si>
  <si>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</si>
  <si>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</si>
  <si>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</si>
  <si>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</si>
  <si>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</si>
  <si>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</si>
  <si>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</si>
  <si>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</si>
  <si>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</si>
  <si>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</si>
  <si>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</si>
  <si>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</si>
  <si>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</si>
  <si>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</si>
  <si>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</si>
  <si>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</si>
  <si>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</si>
  <si>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</si>
  <si>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</si>
  <si>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</si>
  <si>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</si>
  <si>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</si>
  <si>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</si>
  <si>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</si>
  <si>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</si>
  <si>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</si>
  <si>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</si>
  <si>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</si>
  <si>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</si>
  <si>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</si>
  <si>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</si>
  <si>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</si>
  <si>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</si>
  <si>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</si>
  <si>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</si>
  <si>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</si>
  <si>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</si>
  <si>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</si>
  <si>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</si>
  <si>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</si>
  <si>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</si>
  <si>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</si>
  <si>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</si>
  <si>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</si>
  <si>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</si>
  <si>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</si>
  <si>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</si>
  <si>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</si>
  <si>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</si>
  <si>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</si>
  <si>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</si>
  <si>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</si>
  <si>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</si>
  <si>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</si>
  <si>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</si>
  <si>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</si>
  <si>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</si>
  <si>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</si>
  <si>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</si>
  <si>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</si>
  <si>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</si>
  <si>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</si>
  <si>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</si>
  <si>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</si>
  <si>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</si>
  <si>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</si>
  <si>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</si>
  <si>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</si>
  <si>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</si>
  <si>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</si>
  <si>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</si>
  <si>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</si>
  <si>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</si>
  <si>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</si>
  <si>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</si>
  <si>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</si>
  <si>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</si>
  <si>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</si>
  <si>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</si>
  <si>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</si>
  <si>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</si>
  <si>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</si>
  <si>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</si>
  <si>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</si>
  <si>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</si>
  <si>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</si>
  <si>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</si>
  <si>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</si>
  <si>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</si>
  <si>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</si>
  <si>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</si>
  <si>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</si>
  <si>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</si>
  <si>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</si>
  <si>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</si>
  <si>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</si>
  <si>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</si>
  <si>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</si>
  <si>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</si>
  <si>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</si>
  <si>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</si>
  <si>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</si>
  <si>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</si>
  <si>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</si>
  <si>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</si>
  <si>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</si>
  <si>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</si>
  <si>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</si>
  <si>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</si>
  <si>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</si>
  <si>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</si>
  <si>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</si>
  <si>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</si>
  <si>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</si>
  <si>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</si>
  <si>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</si>
  <si>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</si>
  <si>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</si>
  <si>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</si>
  <si>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</si>
  <si>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</si>
  <si>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</si>
  <si>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</si>
  <si>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</si>
  <si>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</si>
  <si>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</si>
  <si>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</si>
  <si>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</si>
  <si>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</si>
  <si>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</si>
  <si>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</si>
  <si>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</si>
  <si>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</si>
  <si>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</si>
  <si>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</si>
  <si>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</si>
  <si>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</si>
  <si>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</si>
  <si>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</si>
  <si>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</si>
  <si>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</si>
  <si>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</si>
  <si>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</si>
  <si>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</si>
  <si>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</si>
  <si>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</si>
  <si>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</si>
  <si>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</si>
  <si>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</si>
  <si>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</si>
  <si>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</si>
  <si>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</si>
  <si>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</si>
  <si>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</si>
  <si>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</si>
  <si>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</si>
  <si>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</si>
  <si>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</si>
  <si>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</si>
  <si>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</si>
  <si>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</si>
  <si>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</si>
  <si>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</si>
  <si>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</si>
  <si>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</si>
  <si>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</si>
  <si>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</si>
  <si>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</si>
  <si>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</si>
  <si>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</si>
  <si>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</si>
  <si>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</si>
  <si>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</si>
  <si>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</si>
  <si>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</si>
  <si>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</si>
  <si>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</si>
  <si>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</si>
  <si>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</si>
  <si>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</si>
  <si>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</si>
  <si>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</si>
  <si>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</si>
  <si>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</si>
  <si>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</si>
  <si>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</si>
  <si>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</si>
  <si>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</si>
  <si>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</si>
  <si>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</si>
  <si>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</si>
  <si>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</si>
  <si>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</si>
  <si>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</si>
  <si>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</si>
  <si>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</si>
  <si>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</si>
  <si>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</si>
  <si>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</si>
  <si>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</si>
  <si>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</si>
  <si>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</si>
  <si>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</si>
  <si>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</si>
  <si>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</si>
  <si>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</si>
  <si>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</si>
  <si>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</si>
  <si>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</si>
  <si>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</si>
  <si>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</si>
  <si>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</si>
  <si>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</si>
  <si>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</si>
  <si>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</si>
  <si>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</si>
  <si>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</si>
  <si>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</si>
  <si>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</si>
  <si>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</si>
  <si>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</si>
  <si>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</si>
  <si>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</si>
  <si>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</si>
  <si>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</si>
  <si>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</si>
  <si>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</si>
  <si>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</si>
  <si>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</si>
  <si>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</si>
  <si>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</si>
  <si>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</si>
  <si>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</si>
  <si>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</si>
  <si>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</si>
  <si>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</si>
  <si>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</si>
  <si>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</si>
  <si>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</si>
  <si>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</si>
  <si>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</si>
  <si>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</si>
  <si>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</si>
  <si>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</si>
  <si>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</si>
  <si>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</si>
  <si>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</si>
  <si>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</si>
  <si>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</si>
  <si>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</si>
  <si>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</si>
  <si>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</si>
  <si>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</si>
  <si>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</si>
  <si>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</si>
  <si>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</si>
  <si>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</si>
  <si>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</si>
  <si>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</si>
  <si>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</si>
  <si>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</si>
  <si>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</si>
  <si>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</si>
  <si>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</si>
  <si>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</si>
  <si>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</si>
  <si>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</si>
  <si>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</si>
  <si>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</si>
  <si>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</si>
  <si>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</si>
  <si>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</si>
  <si>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</si>
  <si>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</si>
  <si>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</si>
  <si>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</si>
  <si>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</si>
  <si>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</si>
  <si>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</si>
  <si>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</si>
  <si>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</si>
  <si>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</si>
  <si>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</si>
  <si>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</si>
  <si>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</si>
  <si>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</si>
  <si>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</si>
  <si>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</si>
  <si>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</si>
  <si>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</si>
  <si>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</si>
  <si>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</si>
  <si>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</si>
  <si>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</si>
  <si>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</si>
  <si>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</si>
  <si>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</si>
  <si>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</si>
  <si>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</si>
  <si>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</si>
  <si>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</si>
  <si>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</si>
  <si>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</si>
  <si>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</si>
  <si>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</si>
  <si>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</si>
  <si>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</si>
  <si>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</si>
  <si>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</si>
  <si>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</si>
  <si>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</si>
  <si>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</si>
  <si>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</si>
  <si>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</si>
  <si>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</si>
  <si>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</si>
  <si>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</si>
  <si>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</si>
  <si>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</si>
  <si>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</si>
  <si>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</si>
  <si>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</si>
  <si>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</si>
  <si>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</si>
  <si>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</si>
  <si>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</si>
  <si>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</si>
  <si>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</si>
  <si>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</si>
  <si>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</si>
  <si>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</si>
  <si>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</si>
  <si>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</si>
  <si>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</si>
  <si>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</si>
  <si>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</si>
  <si>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</si>
  <si>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</si>
  <si>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</si>
  <si>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</si>
  <si>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</si>
  <si>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</si>
  <si>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</si>
  <si>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</si>
  <si>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</si>
  <si>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</si>
  <si>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</si>
  <si>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</si>
  <si>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</si>
  <si>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</si>
  <si>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</si>
  <si>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</si>
  <si>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</si>
  <si>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</si>
  <si>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</si>
  <si>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</si>
  <si>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</si>
  <si>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</si>
  <si>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</si>
  <si>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</si>
  <si>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</si>
  <si>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</si>
  <si>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</si>
  <si>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</si>
  <si>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</si>
  <si>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</si>
  <si>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</si>
  <si>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</si>
  <si>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</si>
  <si>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</si>
  <si>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</si>
  <si>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</si>
  <si>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</si>
  <si>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</si>
  <si>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</si>
  <si>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</si>
  <si>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</si>
  <si>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</si>
  <si>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</si>
  <si>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</si>
  <si>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</si>
  <si>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</si>
  <si>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</si>
  <si>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</si>
  <si>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</si>
  <si>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</si>
  <si>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</si>
  <si>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</si>
  <si>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</si>
  <si>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</si>
  <si>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</si>
  <si>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</si>
  <si>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</si>
  <si>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</si>
  <si>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</si>
  <si>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</si>
  <si>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</si>
  <si>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</si>
  <si>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</si>
  <si>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</si>
  <si>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</si>
  <si>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</si>
  <si>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</si>
  <si>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</si>
  <si>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</si>
  <si>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</si>
  <si>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</si>
  <si>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</si>
  <si>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</si>
  <si>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</si>
  <si>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</si>
  <si>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</si>
  <si>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</si>
  <si>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</si>
  <si>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</si>
  <si>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</si>
  <si>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</si>
  <si>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</si>
  <si>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</si>
  <si>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</si>
  <si>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</si>
  <si>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</si>
  <si>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</si>
  <si>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</si>
  <si>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</si>
  <si>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</si>
  <si>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</si>
  <si>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</si>
  <si>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</si>
  <si>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</si>
  <si>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</si>
  <si>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</si>
  <si>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</si>
  <si>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</si>
  <si>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</si>
  <si>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</si>
  <si>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</si>
  <si>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</si>
  <si>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</si>
  <si>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</si>
  <si>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</si>
  <si>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</si>
  <si>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</si>
  <si>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</si>
  <si>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</si>
  <si>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</si>
  <si>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</si>
  <si>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</si>
  <si>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</si>
  <si>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</si>
  <si>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</si>
  <si>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</si>
  <si>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</si>
  <si>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</si>
  <si>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</si>
  <si>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</si>
  <si>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</si>
  <si>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</si>
  <si>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</si>
  <si>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</si>
  <si>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</si>
  <si>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</si>
  <si>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</si>
  <si>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</si>
  <si>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</si>
  <si>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</si>
  <si>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</si>
  <si>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</si>
  <si>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</si>
  <si>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</si>
  <si>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</si>
  <si>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</si>
  <si>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</si>
  <si>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</si>
  <si>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</si>
  <si>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</si>
  <si>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</si>
  <si>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</si>
  <si>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</si>
  <si>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</si>
  <si>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</si>
  <si>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</si>
  <si>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</si>
  <si>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</si>
  <si>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</si>
  <si>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</si>
  <si>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</si>
  <si>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</si>
  <si>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</si>
  <si>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</si>
  <si>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</si>
  <si>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</si>
  <si>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</si>
  <si>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</si>
  <si>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</si>
  <si>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</si>
  <si>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</si>
  <si>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</si>
  <si>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</si>
  <si>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</si>
  <si>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</si>
  <si>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</si>
  <si>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</si>
  <si>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</si>
  <si>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</si>
  <si>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</si>
  <si>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</si>
  <si>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</si>
  <si>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</si>
  <si>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</si>
  <si>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</si>
  <si>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</si>
  <si>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</si>
  <si>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</si>
  <si>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</si>
  <si>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</si>
  <si>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</si>
  <si>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</si>
  <si>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</si>
  <si>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</si>
  <si>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</si>
  <si>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</si>
  <si>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</si>
  <si>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</si>
  <si>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</si>
  <si>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</si>
  <si>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</si>
  <si>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</si>
  <si>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</si>
  <si>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</si>
  <si>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</si>
  <si>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</si>
  <si>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</si>
  <si>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</si>
  <si>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</si>
  <si>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</si>
  <si>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</si>
  <si>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</si>
  <si>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</si>
  <si>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</si>
  <si>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</si>
  <si>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</si>
  <si>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</si>
  <si>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</si>
  <si>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</si>
  <si>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</si>
  <si>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</si>
  <si>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</si>
  <si>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</si>
  <si>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</si>
  <si>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</si>
  <si>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</si>
  <si>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</si>
  <si>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</si>
  <si>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</si>
  <si>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</si>
  <si>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</si>
  <si>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</si>
  <si>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</si>
  <si>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</si>
  <si>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</si>
  <si>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</si>
  <si>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</si>
  <si>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</si>
  <si>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</si>
  <si>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</si>
  <si>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</si>
  <si>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</si>
  <si>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</si>
  <si>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</si>
  <si>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</si>
  <si>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</si>
  <si>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</si>
  <si>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</si>
  <si>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</si>
  <si>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</si>
  <si>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</si>
  <si>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</si>
  <si>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</si>
  <si>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</si>
  <si>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</si>
  <si>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</si>
  <si>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</si>
  <si>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</si>
  <si>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</si>
  <si>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</si>
  <si>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</si>
  <si>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</si>
  <si>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</si>
  <si>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</si>
  <si>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</si>
  <si>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</si>
  <si>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</si>
  <si>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</si>
  <si>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</si>
  <si>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</si>
  <si>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</si>
  <si>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</si>
  <si>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</si>
  <si>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</si>
  <si>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</si>
  <si>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</si>
  <si>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</si>
  <si>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</si>
  <si>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</si>
  <si>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</si>
  <si>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</si>
  <si>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</si>
  <si>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</si>
  <si>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</si>
  <si>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</si>
  <si>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</si>
  <si>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</si>
  <si>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</si>
  <si>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</si>
  <si>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</si>
  <si>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</si>
  <si>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</si>
  <si>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</si>
  <si>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</si>
  <si>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</si>
  <si>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</si>
  <si>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</si>
  <si>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</si>
  <si>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</si>
  <si>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</si>
  <si>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</si>
  <si>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</si>
  <si>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</si>
  <si>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</si>
  <si>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</si>
  <si>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</si>
  <si>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</si>
  <si>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</si>
  <si>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</si>
  <si>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</si>
  <si>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</si>
  <si>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</si>
  <si>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</si>
  <si>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</si>
  <si>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</si>
  <si>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</si>
  <si>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</si>
  <si>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</si>
  <si>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</si>
  <si>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</si>
  <si>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</si>
  <si>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</si>
  <si>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</si>
  <si>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</si>
  <si>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</si>
  <si>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</si>
  <si>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</si>
  <si>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</si>
  <si>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</si>
  <si>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</si>
  <si>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</si>
  <si>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</si>
  <si>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</si>
  <si>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</si>
  <si>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</si>
  <si>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</si>
  <si>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</si>
  <si>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</si>
  <si>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</si>
  <si>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</si>
  <si>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</si>
  <si>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</si>
  <si>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</si>
  <si>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</si>
  <si>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</si>
  <si>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</si>
  <si>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</si>
  <si>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</si>
  <si>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</si>
  <si>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</si>
  <si>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</si>
  <si>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</si>
  <si>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</si>
  <si>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</si>
  <si>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</si>
  <si>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</si>
  <si>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</si>
  <si>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</si>
  <si>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</si>
  <si>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</si>
  <si>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</si>
  <si>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</si>
  <si>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</si>
  <si>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</si>
  <si>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</si>
  <si>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</si>
  <si>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</si>
  <si>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</si>
  <si>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</si>
  <si>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</si>
  <si>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</si>
  <si>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</si>
  <si>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</si>
  <si>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</si>
  <si>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</si>
  <si>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</si>
  <si>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</si>
  <si>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</si>
  <si>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</si>
  <si>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</si>
  <si>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</si>
  <si>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</si>
  <si>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</si>
  <si>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</si>
  <si>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</si>
  <si>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</si>
  <si>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</si>
  <si>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</si>
  <si>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</si>
  <si>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</si>
  <si>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</si>
  <si>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</si>
  <si>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</si>
  <si>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</si>
  <si>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</si>
  <si>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</si>
  <si>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</si>
  <si>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</si>
  <si>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</si>
  <si>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</si>
  <si>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</si>
  <si>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</si>
  <si>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</si>
  <si>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</si>
  <si>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</si>
  <si>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</si>
  <si>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</si>
  <si>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</si>
  <si>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</si>
  <si>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</si>
  <si>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</si>
  <si>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</si>
  <si>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</si>
  <si>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</si>
  <si>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</si>
  <si>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</si>
  <si>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</si>
  <si>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</si>
  <si>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</si>
  <si>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</si>
  <si>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</si>
  <si>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</si>
  <si>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</si>
  <si>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</si>
  <si>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</si>
  <si>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</si>
  <si>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</si>
  <si>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</si>
  <si>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</si>
  <si>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</si>
  <si>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</si>
  <si>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</si>
  <si>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</si>
  <si>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</si>
  <si>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</si>
  <si>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</si>
  <si>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</si>
  <si>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</si>
  <si>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</si>
  <si>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</si>
  <si>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</si>
  <si>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</si>
  <si>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</si>
  <si>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</si>
  <si>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</si>
  <si>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</si>
  <si>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</si>
  <si>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</si>
  <si>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</si>
  <si>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</si>
  <si>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</si>
  <si>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</si>
  <si>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</si>
  <si>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</si>
  <si>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</si>
  <si>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</si>
  <si>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</si>
  <si>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</si>
  <si>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</si>
  <si>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</si>
  <si>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</si>
  <si>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</si>
  <si>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</si>
  <si>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</si>
  <si>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</si>
  <si>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</si>
  <si>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</si>
  <si>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</si>
  <si>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</si>
  <si>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</si>
  <si>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</si>
  <si>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</si>
  <si>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</si>
  <si>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</si>
  <si>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</si>
  <si>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</si>
  <si>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</si>
  <si>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</si>
  <si>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</si>
  <si>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</si>
  <si>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</si>
  <si>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</si>
  <si>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</si>
  <si>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</si>
  <si>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</si>
  <si>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</si>
  <si>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</si>
  <si>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</si>
  <si>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</si>
  <si>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</si>
  <si>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</si>
  <si>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</si>
  <si>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</si>
  <si>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</si>
  <si>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</si>
  <si>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</si>
  <si>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</si>
  <si>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</si>
  <si>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</si>
  <si>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</si>
  <si>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</si>
  <si>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</si>
  <si>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</si>
  <si>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</si>
  <si>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</si>
  <si>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</si>
  <si>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</si>
  <si>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</si>
  <si>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</si>
  <si>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</si>
  <si>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</si>
  <si>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</si>
  <si>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</si>
  <si>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</si>
  <si>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</si>
  <si>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</si>
  <si>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</si>
  <si>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</si>
  <si>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</si>
  <si>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</si>
  <si>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</si>
  <si>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</si>
  <si>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</si>
  <si>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</si>
  <si>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</si>
  <si>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</si>
  <si>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</si>
  <si>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</si>
  <si>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</si>
  <si>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</si>
  <si>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</si>
  <si>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</si>
  <si>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</si>
  <si>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</si>
  <si>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</si>
  <si>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</si>
  <si>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</si>
  <si>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</si>
  <si>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</si>
  <si>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</si>
  <si>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</si>
  <si>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</si>
  <si>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</si>
  <si>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</si>
  <si>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</si>
  <si>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</si>
  <si>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</si>
  <si>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</si>
  <si>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</si>
  <si>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</si>
  <si>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</si>
  <si>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</si>
  <si>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</si>
  <si>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</si>
  <si>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</si>
  <si>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</si>
  <si>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</si>
  <si>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</si>
  <si>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</si>
  <si>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</si>
  <si>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</si>
  <si>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</si>
  <si>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</si>
  <si>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</si>
  <si>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</si>
  <si>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</si>
  <si>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</si>
  <si>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</si>
  <si>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</si>
  <si>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</si>
  <si>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</si>
  <si>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</si>
  <si>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</si>
  <si>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</si>
  <si>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</si>
  <si>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</si>
  <si>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</si>
  <si>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</si>
  <si>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</si>
  <si>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</si>
  <si>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</si>
  <si>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</si>
  <si>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</si>
  <si>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</si>
  <si>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</si>
  <si>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</si>
  <si>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</si>
  <si>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</si>
  <si>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</si>
  <si>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</si>
  <si>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</si>
  <si>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</si>
  <si>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</si>
  <si>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</si>
  <si>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</si>
  <si>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</si>
  <si>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</si>
  <si>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</si>
  <si>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</si>
  <si>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</si>
  <si>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</si>
  <si>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</si>
  <si>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</si>
  <si>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</si>
  <si>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</si>
  <si>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</si>
  <si>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</si>
  <si>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</si>
  <si>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</si>
  <si>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</si>
  <si>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</si>
  <si>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</si>
  <si>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</si>
  <si>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</si>
  <si>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</si>
  <si>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</si>
  <si>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</si>
  <si>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</si>
  <si>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</si>
  <si>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</si>
  <si>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</si>
  <si>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</si>
  <si>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</si>
  <si>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</si>
  <si>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</si>
  <si>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</si>
  <si>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</si>
  <si>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</si>
  <si>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</si>
  <si>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</si>
  <si>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</si>
  <si>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</si>
  <si>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</si>
  <si>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</si>
  <si>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</si>
  <si>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</si>
  <si>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</si>
  <si>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</si>
  <si>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</si>
  <si>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</si>
  <si>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</si>
  <si>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</si>
  <si>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</si>
  <si>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</si>
  <si>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</si>
  <si>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</si>
  <si>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</si>
  <si>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</si>
  <si>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</si>
  <si>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</si>
  <si>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</si>
  <si>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</si>
  <si>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</si>
  <si>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</si>
  <si>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</si>
  <si>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</si>
  <si>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</si>
  <si>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</si>
  <si>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</si>
  <si>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</si>
  <si>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</si>
  <si>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</si>
  <si>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</si>
  <si>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</si>
  <si>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</si>
  <si>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</si>
  <si>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</si>
  <si>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</si>
  <si>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</si>
  <si>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</si>
  <si>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</si>
  <si>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</si>
  <si>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</si>
  <si>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</si>
  <si>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</si>
  <si>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</si>
  <si>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</si>
  <si>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</si>
  <si>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</si>
  <si>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</si>
  <si>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</si>
  <si>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</si>
  <si>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</si>
  <si>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</si>
  <si>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</si>
  <si>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</si>
  <si>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</si>
  <si>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</si>
  <si>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</si>
  <si>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</si>
  <si>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</si>
  <si>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</si>
  <si>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</si>
  <si>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</si>
  <si>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</si>
  <si>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</si>
  <si>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</si>
  <si>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</si>
  <si>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</si>
  <si>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</si>
  <si>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</si>
  <si>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</si>
  <si>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</si>
  <si>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</si>
  <si>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</si>
  <si>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</si>
  <si>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</si>
  <si>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</si>
  <si>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</si>
  <si>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</si>
  <si>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</si>
  <si>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</si>
  <si>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</si>
  <si>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</si>
  <si>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</si>
  <si>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</si>
  <si>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</si>
  <si>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</si>
  <si>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</si>
  <si>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</si>
  <si>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</si>
  <si>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</si>
  <si>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</si>
  <si>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</si>
  <si>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</si>
  <si>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</si>
  <si>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</si>
  <si>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</si>
  <si>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</si>
  <si>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</si>
  <si>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</si>
  <si>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</si>
  <si>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</si>
  <si>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</si>
  <si>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</si>
  <si>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</si>
  <si>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</si>
  <si>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</si>
  <si>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</si>
  <si>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</si>
  <si>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</si>
  <si>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</si>
  <si>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</si>
  <si>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</si>
  <si>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</si>
  <si>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</si>
  <si>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</si>
  <si>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</si>
  <si>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</si>
  <si>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</si>
  <si>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</si>
  <si>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</si>
  <si>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</si>
  <si>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</si>
  <si>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</si>
  <si>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</si>
  <si>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</si>
  <si>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</si>
  <si>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</si>
  <si>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</si>
  <si>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</si>
  <si>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</si>
  <si>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</si>
  <si>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</si>
  <si>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</si>
  <si>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</si>
  <si>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</si>
  <si>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</si>
  <si>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</si>
  <si>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</si>
  <si>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</si>
  <si>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</si>
  <si>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</si>
  <si>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</si>
  <si>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</si>
  <si>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</si>
  <si>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</si>
  <si>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</si>
  <si>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</si>
  <si>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</si>
  <si>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</si>
  <si>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</si>
  <si>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</si>
  <si>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</si>
  <si>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</si>
  <si>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</si>
  <si>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</si>
  <si>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</si>
  <si>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</si>
  <si>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</si>
  <si>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</si>
  <si>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</si>
  <si>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</si>
  <si>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</si>
  <si>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</si>
  <si>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</si>
  <si>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</si>
  <si>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</si>
  <si>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</si>
  <si>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</si>
  <si>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</si>
  <si>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</si>
  <si>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</si>
  <si>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</si>
  <si>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</si>
  <si>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</si>
  <si>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</si>
  <si>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</si>
  <si>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</si>
  <si>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</si>
  <si>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</si>
  <si>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</si>
  <si>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</si>
  <si>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</si>
  <si>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</si>
  <si>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</si>
  <si>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</si>
  <si>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</si>
  <si>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</si>
  <si>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</si>
  <si>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</si>
  <si>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</si>
  <si>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</si>
  <si>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</si>
  <si>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</si>
  <si>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</si>
  <si>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</si>
  <si>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</si>
  <si>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</si>
  <si>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</si>
  <si>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</si>
  <si>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</si>
  <si>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</si>
  <si>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</si>
  <si>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</si>
  <si>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</si>
  <si>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</si>
  <si>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</si>
  <si>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</si>
  <si>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</si>
  <si>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</si>
  <si>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</si>
  <si>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</si>
  <si>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</si>
  <si>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</si>
  <si>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</si>
  <si>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</si>
  <si>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</si>
  <si>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</si>
  <si>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</si>
  <si>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</si>
  <si>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</si>
  <si>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</si>
  <si>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</si>
  <si>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</si>
  <si>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</si>
  <si>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</si>
  <si>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</si>
  <si>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</si>
  <si>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</si>
  <si>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</si>
  <si>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</si>
  <si>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</si>
  <si>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</si>
  <si>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</si>
  <si>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</si>
  <si>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</si>
  <si>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</si>
  <si>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</si>
  <si>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</si>
  <si>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</si>
  <si>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</si>
  <si>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</si>
  <si>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</si>
  <si>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</si>
  <si>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</si>
  <si>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</si>
  <si>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</si>
  <si>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</si>
  <si>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</si>
  <si>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</si>
  <si>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</si>
  <si>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</si>
  <si>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</si>
  <si>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</si>
  <si>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</si>
  <si>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</si>
  <si>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</si>
  <si>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</si>
  <si>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</si>
  <si>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</si>
  <si>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</si>
  <si>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</si>
  <si>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</si>
  <si>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</si>
  <si>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</si>
  <si>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</si>
  <si>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</si>
  <si>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</si>
  <si>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</si>
  <si>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</si>
  <si>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</si>
  <si>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</si>
  <si>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</si>
  <si>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</si>
  <si>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</si>
  <si>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</si>
  <si>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</si>
  <si>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</si>
  <si>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</si>
  <si>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</si>
  <si>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</si>
  <si>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</si>
  <si>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</si>
  <si>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</si>
  <si>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</si>
  <si>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</si>
  <si>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</si>
  <si>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</si>
  <si>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</si>
  <si>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</si>
  <si>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</si>
  <si>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</si>
  <si>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</si>
  <si>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</si>
  <si>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</si>
  <si>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</si>
  <si>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</si>
  <si>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</si>
  <si>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</si>
  <si>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</si>
  <si>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</si>
  <si>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</si>
  <si>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</si>
  <si>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</si>
  <si>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</si>
  <si>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</si>
  <si>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</si>
  <si>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</si>
  <si>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</si>
  <si>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</si>
  <si>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</si>
  <si>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</si>
  <si>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</si>
  <si>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</si>
  <si>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</si>
  <si>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</si>
  <si>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</si>
  <si>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</si>
  <si>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</si>
  <si>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</si>
  <si>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</si>
  <si>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</si>
  <si>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</si>
  <si>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</si>
  <si>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</si>
  <si>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</si>
  <si>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</si>
  <si>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</si>
  <si>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</si>
  <si>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</si>
  <si>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</si>
  <si>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</si>
  <si>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</si>
  <si>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</si>
  <si>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</si>
  <si>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</si>
  <si>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</si>
  <si>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</si>
  <si>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</si>
  <si>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</si>
  <si>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</si>
  <si>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</si>
  <si>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</si>
  <si>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</si>
  <si>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</si>
  <si>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</si>
  <si>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</si>
  <si>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</si>
  <si>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</si>
  <si>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</si>
  <si>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</si>
  <si>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</si>
  <si>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</si>
  <si>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</si>
  <si>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</si>
  <si>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</si>
  <si>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</si>
  <si>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</si>
  <si>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</si>
  <si>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</si>
  <si>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</si>
  <si>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</si>
  <si>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</si>
  <si>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</si>
  <si>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</si>
  <si>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</si>
  <si>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</si>
  <si>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</si>
  <si>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</si>
  <si>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</si>
  <si>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</si>
  <si>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</si>
  <si>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</si>
  <si>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</si>
  <si>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</si>
  <si>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</si>
  <si>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</si>
  <si>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</si>
  <si>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</si>
  <si>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</si>
  <si>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</si>
  <si>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</si>
  <si>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</si>
  <si>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</si>
  <si>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</si>
  <si>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</si>
  <si>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</si>
  <si>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</si>
  <si>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</si>
  <si>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</si>
  <si>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</si>
  <si>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</si>
  <si>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</si>
  <si>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</si>
  <si>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</si>
  <si>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</si>
  <si>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</si>
  <si>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</si>
  <si>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</si>
  <si>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</si>
  <si>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</si>
  <si>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</si>
  <si>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</si>
  <si>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</si>
  <si>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</si>
  <si>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</si>
  <si>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</si>
  <si>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</si>
  <si>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</si>
  <si>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</si>
  <si>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</si>
  <si>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</si>
  <si>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</si>
  <si>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</si>
  <si>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</si>
  <si>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</si>
  <si>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</si>
  <si>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</si>
  <si>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</si>
  <si>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</si>
  <si>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</si>
  <si>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</si>
  <si>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</si>
  <si>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</si>
  <si>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</si>
  <si>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</si>
  <si>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</si>
  <si>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</si>
  <si>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</si>
  <si>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</si>
  <si>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</si>
  <si>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</si>
  <si>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</si>
  <si>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</si>
  <si>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</si>
  <si>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</si>
  <si>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</si>
  <si>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</si>
  <si>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</si>
  <si>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</si>
  <si>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</si>
  <si>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</si>
  <si>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</si>
  <si>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</si>
  <si>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</si>
  <si>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</si>
  <si>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</si>
  <si>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</si>
  <si>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</si>
  <si>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</si>
  <si>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</si>
  <si>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</si>
  <si>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</si>
  <si>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</si>
  <si>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</si>
  <si>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</si>
  <si>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</si>
  <si>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</si>
  <si>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</si>
  <si>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</si>
  <si>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</si>
  <si>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</si>
  <si>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</si>
  <si>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</si>
  <si>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</si>
  <si>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</si>
  <si>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</si>
  <si>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</si>
  <si>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</si>
  <si>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</si>
  <si>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</si>
  <si>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</si>
  <si>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</si>
  <si>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</si>
  <si>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</si>
  <si>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</si>
  <si>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</si>
  <si>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</si>
  <si>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</si>
  <si>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</si>
  <si>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</si>
  <si>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</si>
  <si>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</si>
  <si>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</si>
  <si>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</si>
  <si>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</si>
  <si>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</si>
  <si>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</si>
  <si>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</si>
  <si>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</si>
  <si>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</si>
  <si>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</si>
  <si>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</si>
  <si>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</si>
  <si>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</si>
  <si>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</si>
  <si>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</si>
  <si>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</si>
  <si>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</si>
  <si>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</si>
  <si>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</si>
  <si>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</si>
  <si>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</si>
  <si>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</si>
  <si>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</si>
  <si>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</si>
  <si>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</si>
  <si>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</si>
  <si>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</si>
  <si>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</si>
  <si>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</si>
  <si>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</si>
  <si>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</si>
  <si>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</si>
  <si>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</si>
  <si>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</si>
  <si>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</si>
  <si>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</si>
  <si>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</si>
  <si>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</si>
  <si>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</si>
  <si>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</si>
  <si>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</si>
  <si>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</si>
  <si>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</si>
  <si>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</si>
  <si>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</si>
  <si>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</si>
  <si>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</si>
  <si>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</si>
  <si>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</si>
  <si>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</si>
  <si>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</si>
  <si>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</si>
  <si>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</si>
  <si>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</si>
  <si>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</si>
  <si>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</si>
  <si>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</si>
  <si>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</si>
  <si>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</si>
  <si>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</si>
  <si>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</si>
  <si>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</si>
  <si>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</si>
  <si>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</si>
  <si>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</si>
  <si>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</si>
  <si>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</si>
  <si>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</si>
  <si>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</si>
  <si>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</si>
  <si>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</si>
  <si>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</si>
  <si>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</si>
  <si>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</si>
  <si>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</si>
  <si>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</si>
  <si>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</si>
  <si>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</si>
  <si>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</si>
  <si>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</si>
  <si>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</si>
  <si>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</si>
  <si>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</si>
  <si>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</si>
  <si>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</si>
  <si>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</si>
  <si>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</si>
  <si>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</si>
  <si>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</si>
  <si>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</si>
  <si>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</si>
  <si>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</si>
  <si>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</si>
  <si>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</si>
  <si>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</si>
  <si>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</si>
  <si>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</si>
  <si>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</si>
  <si>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</si>
  <si>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</si>
  <si>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</si>
  <si>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</si>
  <si>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</si>
  <si>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</si>
  <si>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</si>
  <si>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</si>
  <si>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</si>
  <si>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</si>
  <si>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</si>
  <si>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</si>
  <si>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</si>
  <si>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</si>
  <si>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</si>
  <si>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</si>
  <si>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</si>
  <si>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</si>
  <si>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</si>
  <si>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</si>
  <si>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</si>
  <si>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</si>
  <si>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</si>
  <si>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</si>
  <si>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</si>
  <si>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</si>
  <si>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</si>
  <si>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</si>
  <si>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</si>
  <si>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</si>
  <si>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</si>
  <si>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</si>
  <si>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</si>
  <si>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</si>
  <si>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</si>
  <si>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</si>
  <si>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</si>
  <si>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</si>
  <si>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</si>
  <si>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</si>
  <si>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</si>
  <si>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</si>
  <si>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</si>
  <si>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</si>
  <si>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</si>
  <si>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</si>
  <si>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</si>
  <si>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</si>
  <si>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</si>
  <si>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</si>
  <si>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</si>
  <si>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</si>
  <si>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</si>
  <si>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</si>
  <si>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</si>
  <si>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</si>
  <si>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</si>
  <si>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</si>
  <si>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</si>
  <si>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</si>
  <si>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</si>
  <si>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</si>
  <si>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</si>
  <si>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</si>
  <si>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</si>
  <si>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</si>
  <si>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</si>
  <si>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</si>
  <si>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</si>
  <si>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</si>
  <si>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</si>
  <si>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</si>
  <si>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</si>
  <si>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</si>
  <si>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</si>
  <si>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</si>
  <si>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</si>
  <si>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</si>
  <si>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</si>
  <si>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</si>
  <si>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</si>
  <si>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</si>
  <si>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</si>
  <si>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</si>
  <si>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</si>
  <si>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</si>
  <si>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</si>
  <si>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</si>
  <si>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</si>
  <si>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</si>
  <si>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</si>
  <si>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</si>
  <si>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</si>
  <si>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</si>
  <si>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</si>
  <si>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</si>
  <si>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</si>
  <si>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</si>
  <si>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</si>
  <si>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</si>
  <si>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</si>
  <si>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</si>
  <si>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</si>
  <si>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</si>
  <si>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</si>
  <si>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</si>
  <si>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</si>
  <si>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</si>
  <si>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</si>
  <si>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</si>
  <si>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</si>
  <si>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</si>
  <si>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</si>
  <si>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</si>
  <si>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</si>
  <si>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</si>
  <si>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</si>
  <si>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</si>
  <si>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</si>
  <si>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</si>
  <si>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</si>
  <si>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</si>
  <si>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</si>
  <si>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</si>
  <si>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</si>
  <si>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</si>
  <si>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</si>
  <si>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</si>
  <si>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</si>
  <si>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</si>
  <si>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</si>
  <si>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</si>
  <si>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</si>
  <si>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</si>
  <si>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</si>
  <si>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</si>
  <si>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</si>
  <si>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</si>
  <si>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</si>
  <si>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</si>
  <si>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</si>
  <si>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</si>
  <si>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</si>
  <si>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</si>
  <si>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</si>
  <si>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</si>
  <si>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</si>
  <si>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</si>
  <si>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</si>
  <si>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</si>
  <si>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</si>
  <si>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</si>
  <si>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</si>
  <si>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</si>
  <si>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</si>
  <si>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</si>
  <si>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</si>
  <si>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</si>
  <si>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</si>
  <si>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</si>
  <si>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</si>
  <si>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</si>
  <si>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</si>
  <si>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</si>
  <si>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</si>
  <si>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</si>
  <si>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</si>
  <si>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</si>
  <si>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</si>
  <si>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</si>
  <si>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</si>
  <si>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</si>
  <si>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</si>
  <si>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</si>
  <si>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</si>
  <si>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</si>
  <si>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</si>
  <si>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</si>
  <si>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</si>
  <si>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</si>
  <si>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</si>
  <si>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</si>
  <si>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</si>
  <si>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</si>
  <si>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</si>
  <si>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</si>
  <si>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</si>
  <si>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</si>
  <si>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</si>
  <si>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</si>
  <si>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</si>
  <si>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</si>
  <si>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</si>
  <si>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</si>
  <si>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</si>
  <si>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</si>
  <si>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</si>
  <si>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</si>
  <si>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</si>
  <si>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</si>
  <si>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</si>
  <si>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</si>
  <si>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</si>
  <si>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</si>
  <si>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</si>
  <si>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</si>
  <si>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</si>
  <si>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</si>
  <si>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</si>
  <si>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</si>
  <si>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</si>
  <si>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</si>
  <si>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</si>
  <si>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</si>
  <si>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</si>
  <si>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</si>
  <si>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</si>
  <si>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</si>
  <si>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</si>
  <si>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</si>
  <si>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</si>
  <si>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</si>
  <si>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</si>
  <si>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</si>
  <si>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</si>
  <si>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</si>
  <si>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</si>
  <si>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</si>
  <si>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</si>
  <si>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</si>
  <si>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</si>
  <si>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</si>
  <si>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</si>
  <si>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</si>
  <si>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</si>
  <si>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</si>
  <si>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</si>
  <si>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</si>
  <si>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</si>
  <si>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</si>
  <si>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</si>
  <si>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</si>
  <si>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</si>
  <si>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</si>
  <si>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</si>
  <si>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</si>
  <si>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</si>
  <si>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</si>
  <si>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</si>
  <si>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</si>
  <si>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</si>
  <si>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</si>
  <si>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</si>
  <si>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</si>
  <si>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</si>
  <si>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</si>
  <si>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</si>
  <si>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</si>
  <si>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</si>
  <si>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</si>
  <si>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</si>
  <si>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</si>
  <si>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</si>
  <si>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</si>
  <si>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</si>
  <si>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</si>
  <si>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</si>
  <si>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</si>
  <si>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</si>
  <si>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</si>
  <si>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</si>
  <si>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</si>
  <si>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</si>
  <si>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</si>
  <si>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</si>
  <si>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</si>
  <si>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</si>
  <si>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</si>
  <si>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</si>
  <si>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</si>
  <si>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</si>
  <si>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</si>
  <si>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</si>
  <si>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</si>
  <si>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</si>
  <si>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</si>
  <si>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</si>
  <si>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</si>
  <si>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</si>
  <si>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</si>
  <si>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</si>
  <si>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</si>
  <si>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</si>
  <si>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</si>
  <si>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</si>
  <si>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</si>
  <si>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</si>
  <si>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</si>
  <si>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</si>
  <si>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</si>
  <si>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</si>
  <si>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</si>
  <si>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</si>
  <si>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</si>
  <si>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</si>
  <si>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</si>
  <si>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</si>
  <si>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</si>
  <si>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</si>
  <si>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</si>
  <si>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</si>
  <si>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</si>
  <si>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</si>
  <si>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</si>
  <si>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</si>
  <si>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</si>
  <si>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</si>
  <si>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</si>
  <si>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</si>
  <si>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</si>
  <si>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</si>
  <si>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</si>
  <si>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</si>
  <si>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</si>
  <si>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</si>
  <si>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</si>
  <si>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</si>
  <si>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</si>
  <si>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</si>
  <si>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</si>
  <si>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</si>
  <si>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</si>
  <si>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</si>
  <si>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</si>
  <si>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</si>
  <si>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</si>
  <si>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</si>
  <si>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</si>
  <si>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</si>
  <si>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</si>
  <si>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</si>
  <si>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</si>
  <si>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</si>
  <si>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</si>
  <si>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</si>
  <si>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</si>
  <si>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</si>
  <si>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</si>
  <si>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</si>
  <si>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</si>
  <si>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</si>
  <si>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</si>
  <si>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</si>
  <si>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</si>
  <si>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</si>
  <si>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</si>
  <si>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</si>
  <si>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</si>
  <si>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</si>
  <si>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</si>
  <si>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</si>
  <si>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</si>
  <si>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</si>
  <si>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</si>
  <si>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</si>
  <si>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</si>
  <si>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</si>
  <si>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</si>
  <si>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</si>
  <si>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</si>
  <si>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</si>
  <si>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</si>
  <si>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</si>
  <si>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</si>
  <si>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</si>
  <si>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</si>
  <si>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</si>
  <si>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</si>
  <si>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</si>
  <si>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</si>
  <si>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</si>
  <si>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</si>
  <si>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</si>
  <si>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</si>
  <si>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</si>
  <si>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</si>
  <si>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</si>
  <si>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</si>
  <si>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</si>
  <si>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</si>
  <si>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</si>
  <si>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</si>
  <si>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</si>
  <si>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</si>
  <si>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</si>
  <si>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</si>
  <si>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</si>
  <si>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</si>
  <si>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</si>
  <si>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</si>
  <si>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</si>
  <si>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</si>
  <si>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</si>
  <si>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</si>
  <si>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</si>
  <si>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</si>
  <si>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</si>
  <si>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</si>
  <si>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</si>
  <si>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</si>
  <si>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</si>
  <si>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</si>
  <si>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</si>
  <si>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</si>
  <si>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</si>
  <si>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</si>
  <si>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</si>
  <si>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</si>
  <si>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</si>
  <si>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</si>
  <si>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</si>
  <si>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</si>
  <si>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</si>
  <si>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</si>
  <si>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</si>
  <si>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</si>
  <si>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</si>
  <si>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</si>
  <si>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</si>
  <si>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</si>
  <si>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</si>
  <si>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</si>
  <si>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</si>
  <si>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</si>
  <si>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</si>
  <si>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</si>
  <si>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</si>
  <si>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</si>
  <si>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</si>
  <si>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</si>
  <si>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</si>
  <si>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</si>
  <si>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</si>
  <si>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</si>
  <si>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</si>
  <si>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</si>
  <si>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</si>
  <si>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</si>
  <si>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</si>
  <si>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</si>
  <si>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</si>
  <si>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</si>
  <si>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</si>
  <si>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</si>
  <si>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</si>
  <si>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</si>
  <si>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</si>
  <si>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</si>
  <si>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</si>
  <si>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</si>
  <si>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</si>
  <si>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</si>
  <si>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</si>
  <si>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</si>
  <si>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</si>
  <si>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</si>
  <si>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</si>
  <si>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</si>
  <si>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</si>
  <si>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</si>
  <si>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</si>
  <si>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</si>
  <si>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</si>
  <si>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</si>
  <si>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</si>
  <si>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</si>
  <si>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</si>
  <si>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</si>
  <si>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</si>
  <si>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</si>
  <si>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</si>
  <si>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</si>
  <si>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</si>
  <si>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</si>
  <si>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</si>
  <si>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</si>
  <si>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</si>
  <si>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</si>
  <si>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</si>
  <si>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</si>
  <si>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</si>
  <si>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</si>
  <si>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</si>
  <si>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</si>
  <si>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</si>
  <si>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</si>
  <si>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</si>
  <si>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</si>
  <si>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</si>
  <si>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</si>
  <si>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</si>
  <si>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</si>
  <si>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</si>
  <si>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</si>
  <si>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</si>
  <si>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</si>
  <si>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</si>
  <si>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</si>
  <si>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</si>
  <si>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</si>
  <si>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</si>
  <si>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</si>
  <si>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</si>
  <si>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</si>
  <si>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</si>
  <si>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</si>
  <si>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</si>
  <si>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</si>
  <si>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</si>
  <si>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</si>
  <si>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</si>
  <si>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</si>
  <si>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</si>
  <si>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</si>
  <si>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</si>
  <si>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</si>
  <si>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</si>
  <si>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</si>
  <si>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</si>
  <si>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</si>
  <si>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</si>
  <si>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</si>
  <si>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</si>
  <si>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</si>
  <si>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</si>
  <si>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</si>
  <si>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</si>
  <si>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</si>
  <si>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</si>
  <si>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</si>
  <si>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</si>
  <si>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</si>
  <si>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</si>
  <si>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</si>
  <si>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</si>
  <si>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</si>
  <si>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</si>
  <si>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</si>
  <si>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</si>
  <si>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</si>
  <si>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</si>
  <si>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</si>
  <si>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</si>
  <si>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</si>
  <si>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</si>
  <si>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</si>
  <si>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</si>
  <si>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</si>
  <si>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</si>
  <si>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</si>
  <si>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</si>
  <si>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</si>
  <si>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</si>
  <si>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</si>
  <si>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</si>
  <si>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</si>
  <si>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</si>
  <si>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</si>
  <si>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</si>
  <si>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</si>
  <si>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</si>
  <si>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</si>
  <si>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</si>
  <si>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</si>
  <si>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</si>
  <si>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</si>
  <si>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</si>
  <si>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</si>
  <si>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</si>
  <si>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</si>
  <si>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</si>
  <si>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</si>
  <si>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</si>
  <si>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</si>
  <si>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</si>
  <si>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</si>
  <si>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</si>
  <si>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</si>
  <si>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</si>
  <si>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</si>
  <si>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</si>
  <si>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</si>
  <si>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</si>
  <si>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</si>
  <si>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</si>
  <si>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</si>
  <si>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</si>
  <si>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</si>
  <si>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</si>
  <si>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</si>
  <si>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</si>
  <si>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</si>
  <si>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</si>
  <si>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</si>
  <si>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</si>
  <si>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</si>
  <si>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</si>
  <si>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</si>
  <si>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</si>
  <si>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</si>
  <si>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</si>
  <si>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</si>
  <si>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</si>
  <si>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</si>
  <si>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</si>
  <si>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</si>
  <si>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</si>
  <si>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</si>
  <si>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</si>
  <si>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</si>
  <si>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</si>
  <si>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</si>
  <si>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</si>
  <si>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</si>
  <si>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</si>
  <si>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</si>
  <si>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</si>
  <si>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</si>
  <si>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</si>
  <si>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</si>
  <si>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</si>
  <si>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</si>
  <si>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</si>
  <si>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</si>
  <si>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</si>
  <si>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</si>
  <si>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</si>
  <si>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</si>
  <si>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</si>
  <si>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</si>
  <si>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</si>
  <si>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</si>
  <si>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</si>
  <si>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</si>
  <si>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</si>
  <si>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</si>
  <si>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</si>
  <si>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</si>
  <si>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</si>
  <si>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</si>
  <si>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</si>
  <si>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</si>
  <si>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</si>
  <si>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</si>
  <si>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</si>
  <si>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</si>
  <si>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</si>
  <si>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</si>
  <si>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</si>
  <si>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</si>
  <si>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</si>
  <si>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</si>
  <si>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</si>
  <si>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</si>
  <si>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</si>
  <si>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</si>
  <si>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</si>
  <si>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</si>
  <si>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</si>
  <si>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</si>
  <si>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</si>
  <si>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</si>
  <si>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</si>
  <si>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</si>
  <si>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</si>
  <si>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</si>
  <si>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</si>
  <si>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</si>
  <si>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</si>
  <si>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</si>
  <si>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</si>
  <si>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</si>
  <si>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</si>
  <si>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</si>
  <si>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</si>
  <si>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</si>
  <si>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</si>
  <si>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</si>
  <si>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</si>
  <si>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</si>
  <si>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</si>
  <si>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</si>
  <si>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</si>
  <si>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</si>
  <si>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</si>
  <si>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</si>
  <si>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</si>
  <si>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</si>
  <si>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</si>
  <si>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</si>
  <si>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</si>
  <si>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</si>
  <si>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</si>
  <si>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</si>
  <si>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</si>
  <si>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</si>
  <si>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</si>
  <si>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</si>
  <si>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</si>
  <si>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</si>
  <si>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</si>
  <si>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</si>
  <si>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</si>
  <si>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</si>
  <si>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</si>
  <si>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</si>
  <si>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</si>
  <si>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</si>
  <si>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</si>
  <si>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</si>
  <si>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</si>
  <si>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</si>
  <si>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</si>
  <si>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</si>
  <si>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</si>
  <si>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</si>
  <si>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</si>
  <si>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</si>
  <si>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</si>
  <si>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</si>
  <si>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</si>
  <si>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</si>
  <si>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</si>
  <si>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</si>
  <si>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</si>
  <si>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</si>
  <si>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</si>
  <si>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</si>
  <si>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</si>
  <si>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</si>
  <si>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</si>
  <si>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</si>
  <si>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</si>
  <si>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</si>
  <si>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</si>
  <si>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</si>
  <si>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</si>
  <si>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</si>
  <si>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</si>
  <si>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</si>
  <si>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</si>
  <si>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</si>
  <si>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</si>
  <si>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</si>
  <si>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</si>
  <si>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</si>
  <si>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</si>
  <si>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</si>
  <si>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</si>
  <si>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</si>
  <si>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</si>
  <si>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</si>
  <si>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</si>
  <si>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</si>
  <si>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</si>
  <si>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</si>
  <si>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</si>
  <si>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</si>
  <si>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</si>
  <si>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</si>
  <si>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</si>
  <si>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</si>
  <si>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</si>
  <si>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</si>
  <si>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</si>
  <si>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</si>
  <si>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</si>
  <si>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</si>
  <si>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</si>
  <si>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</si>
  <si>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</si>
  <si>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</si>
  <si>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</si>
  <si>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</si>
  <si>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</si>
  <si>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</si>
  <si>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</si>
  <si>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</si>
  <si>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</si>
  <si>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</si>
  <si>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</si>
  <si>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</si>
  <si>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</si>
  <si>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</si>
  <si>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</si>
  <si>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</si>
  <si>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</si>
  <si>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</si>
  <si>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</si>
  <si>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</si>
  <si>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</si>
  <si>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</si>
  <si>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</si>
  <si>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</si>
  <si>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</si>
  <si>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</si>
  <si>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</si>
  <si>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</si>
  <si>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</si>
  <si>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</si>
  <si>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</si>
  <si>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</si>
  <si>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</si>
  <si>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</si>
  <si>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</si>
  <si>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</si>
  <si>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</si>
  <si>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</si>
  <si>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</si>
  <si>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</si>
  <si>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</si>
  <si>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</si>
  <si>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</si>
  <si>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</si>
  <si>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</si>
  <si>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</si>
  <si>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</si>
  <si>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</si>
  <si>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</si>
  <si>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</si>
  <si>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</si>
  <si>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</si>
  <si>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</si>
  <si>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</si>
  <si>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</si>
  <si>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</si>
  <si>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</si>
  <si>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</si>
  <si>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</si>
  <si>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</si>
  <si>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</si>
  <si>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</si>
  <si>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</si>
  <si>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</si>
  <si>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</si>
  <si>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</si>
  <si>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</si>
  <si>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</si>
  <si>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</si>
  <si>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</si>
  <si>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</si>
  <si>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</si>
  <si>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</si>
  <si>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</si>
  <si>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</si>
  <si>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</si>
  <si>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</si>
  <si>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</si>
  <si>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</si>
  <si>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</si>
  <si>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</si>
  <si>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</si>
  <si>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</si>
  <si>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</si>
  <si>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</si>
  <si>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</si>
  <si>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</si>
  <si>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</si>
  <si>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</si>
  <si>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</si>
  <si>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</si>
  <si>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</si>
  <si>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</si>
  <si>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</si>
  <si>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</si>
  <si>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</si>
  <si>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</si>
  <si>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</si>
  <si>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</si>
  <si>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</si>
  <si>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</si>
  <si>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</si>
  <si>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</si>
  <si>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</si>
  <si>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</si>
  <si>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</si>
  <si>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</si>
  <si>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</si>
  <si>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</si>
  <si>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</si>
  <si>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</si>
  <si>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</si>
  <si>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</si>
  <si>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</si>
  <si>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</si>
  <si>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</si>
  <si>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</si>
  <si>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</si>
  <si>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</si>
  <si>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</si>
  <si>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</si>
  <si>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</si>
  <si>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</si>
  <si>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</si>
  <si>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</si>
  <si>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</si>
  <si>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</si>
  <si>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</si>
  <si>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</si>
  <si>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</si>
  <si>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</si>
  <si>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</si>
  <si>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</si>
  <si>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</si>
  <si>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</si>
  <si>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</si>
  <si>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</si>
  <si>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</si>
  <si>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</si>
  <si>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</si>
  <si>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</si>
  <si>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</si>
  <si>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</si>
  <si>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</si>
  <si>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</si>
  <si>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</si>
  <si>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</si>
  <si>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</si>
  <si>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</si>
  <si>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</si>
  <si>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</si>
  <si>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</si>
  <si>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</si>
  <si>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</si>
  <si>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</si>
  <si>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</si>
  <si>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</si>
  <si>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</si>
  <si>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</si>
  <si>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</si>
  <si>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</si>
  <si>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</si>
  <si>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</si>
  <si>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</si>
  <si>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</si>
  <si>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</si>
  <si>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</si>
  <si>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</si>
  <si>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</si>
  <si>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</si>
  <si>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</si>
  <si>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</si>
  <si>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</si>
  <si>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</si>
  <si>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</si>
  <si>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</si>
  <si>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</si>
  <si>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</si>
  <si>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</si>
  <si>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</si>
  <si>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</si>
  <si>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</si>
  <si>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</si>
  <si>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</si>
  <si>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</si>
  <si>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</si>
  <si>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</si>
  <si>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</si>
  <si>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</si>
  <si>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</si>
  <si>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</si>
  <si>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</si>
  <si>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</si>
  <si>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</si>
  <si>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</si>
  <si>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</si>
  <si>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</si>
  <si>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</si>
  <si>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</si>
  <si>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</si>
  <si>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</si>
  <si>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</si>
  <si>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</si>
  <si>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</si>
  <si>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</si>
  <si>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</si>
  <si>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</si>
  <si>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</si>
  <si>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</si>
  <si>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</si>
  <si>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</si>
  <si>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</si>
  <si>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</si>
  <si>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</si>
  <si>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</si>
  <si>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</si>
  <si>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</si>
  <si>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</si>
  <si>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</si>
  <si>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</si>
  <si>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</si>
  <si>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</si>
  <si>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</si>
  <si>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</si>
  <si>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</si>
  <si>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</si>
  <si>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</si>
  <si>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</si>
  <si>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</si>
  <si>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</si>
  <si>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</si>
  <si>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</si>
  <si>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</si>
  <si>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</si>
  <si>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</si>
  <si>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</si>
  <si>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</si>
  <si>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</si>
  <si>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</si>
  <si>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</si>
  <si>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</si>
  <si>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</si>
  <si>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</si>
  <si>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</si>
  <si>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</si>
  <si>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</si>
  <si>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</si>
  <si>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</si>
  <si>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</si>
  <si>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</si>
  <si>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</si>
  <si>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</si>
  <si>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</si>
  <si>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</si>
  <si>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</si>
  <si>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</si>
  <si>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</si>
  <si>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</si>
  <si>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</si>
  <si>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</si>
  <si>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</si>
  <si>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</si>
  <si>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</si>
  <si>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</si>
  <si>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</si>
  <si>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</si>
  <si>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</si>
  <si>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</si>
  <si>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</si>
  <si>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</si>
  <si>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</si>
  <si>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</si>
  <si>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</si>
  <si>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</si>
  <si>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</si>
  <si>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</si>
  <si>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</si>
  <si>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</si>
  <si>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</si>
  <si>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</si>
  <si>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</si>
  <si>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</si>
  <si>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</si>
  <si>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</si>
  <si>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</si>
  <si>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</si>
  <si>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</si>
  <si>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</si>
  <si>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</si>
  <si>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</si>
  <si>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</si>
  <si>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</si>
  <si>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</si>
  <si>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</si>
  <si>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</si>
  <si>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</si>
  <si>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</si>
  <si>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</si>
  <si>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</si>
  <si>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</si>
  <si>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</si>
  <si>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</si>
  <si>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</si>
  <si>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</si>
  <si>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</si>
  <si>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</si>
  <si>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</si>
  <si>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</si>
  <si>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</si>
  <si>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</si>
  <si>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</si>
  <si>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</si>
  <si>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</si>
  <si>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</si>
  <si>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</si>
  <si>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</si>
  <si>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</si>
  <si>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</si>
  <si>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</si>
  <si>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</si>
  <si>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</si>
  <si>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</si>
  <si>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</si>
  <si>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</si>
  <si>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</si>
  <si>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</si>
  <si>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</si>
  <si>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</si>
  <si>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</si>
  <si>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</si>
  <si>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</si>
  <si>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</si>
  <si>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</si>
  <si>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</si>
  <si>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</si>
  <si>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</si>
  <si>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</si>
  <si>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</si>
  <si>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</si>
  <si>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</si>
  <si>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</si>
  <si>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</si>
  <si>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</si>
  <si>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</si>
  <si>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</si>
  <si>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</si>
  <si>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</si>
  <si>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</si>
  <si>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</si>
  <si>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</si>
  <si>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</si>
  <si>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</si>
  <si>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</si>
  <si>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</si>
  <si>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</si>
  <si>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</si>
  <si>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</si>
  <si>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</si>
  <si>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</si>
  <si>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</si>
  <si>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</si>
  <si>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</si>
  <si>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</si>
  <si>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</si>
  <si>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</si>
  <si>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</si>
  <si>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</si>
  <si>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</si>
  <si>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</si>
  <si>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</si>
  <si>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</si>
  <si>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</si>
  <si>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</si>
  <si>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</si>
  <si>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</si>
  <si>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</si>
  <si>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</si>
  <si>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</si>
  <si>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</si>
  <si>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</si>
  <si>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</si>
  <si>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</si>
  <si>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</si>
  <si>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</si>
  <si>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</si>
  <si>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</si>
  <si>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</si>
  <si>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</si>
  <si>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</si>
  <si>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</si>
  <si>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</si>
  <si>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</si>
  <si>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</si>
  <si>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</si>
  <si>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</si>
  <si>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</si>
  <si>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</si>
  <si>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</si>
  <si>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</si>
  <si>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</si>
  <si>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</si>
  <si>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</si>
  <si>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</si>
  <si>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</si>
  <si>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</si>
  <si>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</si>
  <si>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</si>
  <si>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</si>
  <si>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</si>
  <si>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</si>
  <si>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</si>
  <si>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</si>
  <si>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</si>
  <si>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</si>
  <si>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</si>
  <si>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</si>
  <si>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</si>
  <si>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</si>
  <si>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</si>
  <si>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</si>
  <si>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</si>
  <si>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</si>
  <si>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</si>
  <si>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</si>
  <si>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</si>
  <si>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</si>
  <si>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</si>
  <si>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</si>
  <si>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</si>
  <si>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</si>
  <si>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</si>
  <si>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</si>
  <si>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</si>
  <si>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</si>
  <si>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</si>
  <si>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</si>
  <si>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</si>
  <si>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</si>
  <si>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</si>
  <si>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</si>
  <si>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</si>
  <si>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</si>
  <si>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</si>
  <si>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</si>
  <si>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</si>
  <si>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</si>
  <si>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</si>
  <si>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</si>
  <si>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</si>
  <si>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</si>
  <si>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</si>
  <si>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</si>
  <si>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</si>
  <si>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</si>
  <si>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</si>
  <si>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</si>
  <si>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</si>
  <si>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</si>
  <si>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</si>
  <si>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</si>
  <si>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</si>
  <si>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</si>
  <si>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</si>
  <si>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</si>
  <si>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</si>
  <si>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</si>
  <si>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</si>
  <si>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</si>
  <si>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</si>
  <si>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</si>
  <si>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</si>
  <si>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</si>
  <si>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</si>
  <si>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</si>
  <si>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</si>
  <si>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</si>
  <si>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</si>
  <si>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</si>
  <si>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</si>
  <si>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</si>
  <si>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</si>
  <si>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</si>
  <si>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</si>
  <si>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</si>
  <si>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</si>
  <si>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</si>
  <si>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</si>
  <si>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</si>
  <si>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</si>
  <si>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</si>
  <si>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</si>
  <si>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</si>
  <si>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</si>
  <si>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</si>
  <si>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</si>
  <si>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</si>
  <si>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</si>
  <si>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</si>
  <si>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</si>
  <si>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</si>
  <si>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</si>
  <si>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</si>
  <si>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</si>
  <si>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</si>
  <si>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</si>
  <si>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</si>
  <si>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</si>
  <si>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</si>
  <si>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</si>
  <si>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</si>
  <si>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</si>
  <si>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</si>
  <si>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</si>
  <si>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</si>
  <si>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</si>
  <si>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</si>
  <si>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</si>
  <si>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</si>
  <si>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</si>
  <si>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</si>
  <si>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</si>
  <si>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</si>
  <si>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</si>
  <si>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</si>
  <si>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</si>
  <si>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</si>
  <si>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</si>
  <si>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</si>
  <si>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</si>
  <si>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</si>
  <si>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</si>
  <si>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</si>
  <si>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</si>
  <si>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</si>
  <si>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</si>
  <si>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</si>
  <si>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</si>
  <si>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</si>
  <si>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</si>
  <si>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</si>
  <si>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</si>
  <si>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</si>
  <si>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</si>
  <si>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</si>
  <si>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</si>
  <si>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</si>
  <si>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</si>
  <si>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</si>
  <si>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</si>
  <si>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</si>
  <si>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</si>
  <si>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</si>
  <si>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</si>
  <si>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</si>
  <si>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</si>
  <si>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</si>
  <si>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</si>
  <si>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</si>
  <si>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</si>
  <si>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</si>
  <si>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</si>
  <si>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</si>
  <si>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</si>
  <si>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</si>
  <si>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</si>
  <si>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</si>
  <si>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</si>
  <si>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</si>
  <si>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</si>
  <si>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</si>
  <si>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</si>
  <si>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</si>
  <si>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</si>
  <si>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</si>
  <si>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</si>
  <si>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</si>
  <si>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</si>
  <si>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</si>
  <si>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</si>
  <si>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</si>
  <si>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</si>
  <si>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</si>
  <si>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</si>
  <si>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</si>
  <si>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</si>
  <si>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</si>
  <si>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</si>
  <si>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</si>
  <si>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</si>
  <si>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</si>
  <si>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</si>
  <si>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</si>
  <si>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</si>
  <si>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</si>
  <si>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</si>
  <si>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</si>
  <si>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</si>
  <si>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</si>
  <si>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</si>
  <si>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</si>
  <si>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</si>
  <si>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</si>
  <si>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</si>
  <si>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</si>
  <si>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</si>
  <si>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</si>
  <si>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</si>
  <si>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</si>
  <si>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</si>
  <si>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</si>
  <si>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</si>
  <si>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</si>
  <si>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</si>
  <si>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</si>
  <si>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</si>
  <si>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</si>
  <si>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</si>
  <si>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</si>
  <si>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</si>
  <si>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</si>
  <si>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</si>
  <si>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</si>
  <si>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</si>
  <si>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</si>
  <si>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</si>
  <si>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</si>
  <si>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</si>
  <si>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</si>
  <si>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</si>
  <si>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</si>
  <si>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</si>
  <si>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</si>
  <si>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</si>
  <si>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</si>
  <si>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</si>
  <si>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</si>
  <si>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</si>
  <si>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</si>
  <si>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</si>
  <si>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</si>
  <si>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</si>
  <si>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</si>
  <si>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</si>
  <si>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</si>
  <si>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</si>
  <si>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</si>
  <si>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</si>
  <si>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</si>
  <si>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</si>
  <si>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</si>
  <si>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</si>
  <si>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</si>
  <si>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</si>
  <si>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</si>
  <si>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</si>
  <si>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</si>
  <si>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</si>
  <si>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</si>
  <si>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</si>
  <si>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</si>
  <si>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</si>
  <si>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</si>
  <si>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</si>
  <si>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</si>
  <si>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</si>
  <si>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</si>
  <si>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</si>
  <si>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</si>
  <si>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</si>
  <si>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</si>
  <si>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</si>
  <si>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</si>
  <si>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</si>
  <si>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</si>
  <si>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</si>
  <si>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</si>
  <si>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</si>
  <si>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</si>
  <si>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</si>
  <si>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</si>
  <si>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</si>
  <si>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</si>
  <si>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</si>
  <si>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</si>
  <si>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</si>
  <si>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</si>
  <si>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</si>
  <si>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</si>
  <si>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</si>
  <si>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</si>
  <si>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</si>
  <si>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</si>
  <si>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</si>
  <si>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</si>
  <si>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</si>
  <si>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</si>
  <si>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</si>
  <si>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</si>
  <si>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</si>
  <si>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</si>
  <si>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</si>
  <si>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</si>
  <si>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</si>
  <si>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</si>
  <si>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</si>
  <si>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</si>
  <si>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</si>
  <si>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</si>
  <si>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</si>
  <si>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</si>
  <si>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</si>
  <si>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</si>
  <si>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</si>
  <si>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</si>
  <si>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</si>
  <si>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</si>
  <si>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</si>
  <si>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</si>
  <si>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</si>
  <si>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</si>
  <si>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</si>
  <si>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</si>
  <si>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</si>
  <si>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</si>
  <si>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</si>
  <si>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</si>
  <si>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</si>
  <si>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</si>
  <si>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</si>
  <si>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</si>
  <si>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</si>
  <si>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</si>
  <si>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</si>
  <si>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</si>
  <si>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</si>
  <si>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</si>
  <si>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</si>
  <si>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</si>
  <si>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</si>
  <si>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</si>
  <si>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</si>
  <si>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</si>
  <si>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</si>
  <si>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</si>
  <si>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</si>
  <si>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</si>
  <si>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</si>
  <si>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</si>
  <si>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</si>
  <si>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</si>
  <si>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</si>
  <si>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</si>
  <si>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</si>
  <si>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</si>
  <si>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</si>
  <si>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</si>
  <si>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</si>
  <si>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</si>
  <si>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</si>
  <si>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</si>
  <si>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</si>
  <si>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</si>
  <si>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</si>
  <si>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</si>
  <si>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</si>
  <si>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</si>
  <si>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</si>
  <si>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</si>
  <si>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</si>
  <si>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</si>
  <si>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</si>
  <si>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</si>
  <si>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</si>
  <si>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</si>
  <si>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</si>
  <si>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</si>
  <si>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</si>
  <si>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</si>
  <si>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</si>
  <si>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</si>
  <si>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</si>
  <si>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</si>
  <si>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</si>
  <si>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</si>
  <si>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</si>
  <si>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</si>
  <si>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</si>
  <si>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</si>
  <si>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</si>
  <si>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</si>
  <si>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</si>
  <si>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</si>
  <si>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</si>
  <si>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</si>
  <si>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</si>
  <si>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</si>
  <si>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</si>
  <si>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</si>
  <si>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</si>
  <si>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</si>
  <si>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</si>
  <si>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</si>
  <si>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</si>
  <si>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</si>
  <si>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</si>
  <si>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</si>
  <si>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</si>
  <si>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</si>
  <si>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</si>
  <si>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</si>
  <si>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</si>
  <si>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</si>
  <si>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</si>
  <si>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</si>
  <si>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</si>
  <si>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</si>
  <si>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</si>
  <si>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</si>
  <si>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</si>
  <si>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</si>
  <si>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</si>
  <si>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</si>
  <si>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</si>
  <si>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</si>
  <si>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</si>
  <si>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</si>
  <si>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</si>
  <si>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</si>
  <si>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</si>
  <si>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</si>
  <si>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</si>
  <si>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</si>
  <si>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</si>
  <si>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</si>
  <si>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</si>
  <si>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</si>
  <si>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</si>
  <si>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</si>
  <si>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</si>
  <si>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</si>
  <si>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</si>
  <si>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</si>
  <si>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</si>
  <si>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</si>
  <si>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</si>
  <si>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</si>
  <si>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</si>
  <si>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</si>
  <si>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</si>
  <si>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</si>
  <si>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</si>
  <si>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</si>
  <si>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</si>
  <si>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</si>
  <si>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</si>
  <si>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</si>
  <si>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</si>
  <si>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</si>
  <si>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</si>
  <si>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</si>
  <si>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</si>
  <si>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</si>
  <si>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</si>
  <si>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</si>
  <si>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</si>
  <si>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</si>
  <si>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</si>
  <si>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</si>
  <si>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</si>
  <si>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</si>
  <si>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</si>
  <si>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</si>
  <si>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</si>
  <si>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</si>
  <si>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</si>
  <si>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</si>
  <si>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</si>
  <si>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</si>
  <si>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</si>
  <si>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</si>
  <si>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</si>
  <si>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</si>
  <si>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</si>
  <si>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</si>
  <si>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</si>
  <si>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</si>
  <si>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</si>
  <si>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</si>
  <si>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</si>
  <si>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</si>
  <si>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</si>
  <si>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</si>
  <si>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</si>
  <si>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</si>
  <si>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</si>
  <si>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</si>
  <si>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</si>
  <si>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</si>
  <si>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</si>
  <si>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</si>
  <si>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</si>
  <si>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</si>
  <si>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</si>
  <si>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</si>
  <si>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</si>
  <si>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</si>
  <si>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</si>
  <si>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</si>
  <si>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</si>
  <si>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</si>
  <si>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</si>
  <si>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</si>
  <si>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</si>
  <si>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</si>
  <si>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</si>
  <si>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</si>
  <si>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</si>
  <si>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</si>
  <si>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</si>
  <si>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</si>
  <si>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</si>
  <si>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</si>
  <si>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</si>
  <si>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</si>
  <si>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</si>
  <si>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</si>
  <si>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</si>
  <si>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</si>
  <si>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</si>
  <si>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</si>
  <si>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</si>
  <si>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</si>
  <si>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</si>
  <si>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</si>
  <si>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</si>
  <si>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</si>
  <si>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</si>
  <si>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</si>
  <si>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</si>
  <si>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</si>
  <si>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</si>
  <si>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</si>
  <si>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</si>
  <si>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</si>
  <si>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</si>
  <si>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</si>
  <si>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</si>
  <si>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</si>
  <si>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</si>
  <si>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</si>
  <si>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</si>
  <si>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</si>
  <si>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</si>
  <si>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</si>
  <si>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</si>
  <si>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</si>
  <si>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</si>
  <si>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</si>
  <si>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</si>
  <si>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</si>
  <si>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</si>
  <si>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</si>
  <si>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</si>
  <si>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</si>
  <si>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</si>
  <si>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</si>
  <si>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</si>
  <si>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</si>
  <si>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</si>
  <si>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</si>
  <si>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</si>
  <si>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</si>
  <si>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</si>
  <si>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</si>
  <si>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</si>
  <si>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</si>
  <si>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</si>
  <si>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</si>
  <si>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</si>
  <si>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</si>
  <si>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</si>
  <si>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</si>
  <si>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</si>
  <si>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</si>
  <si>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</si>
  <si>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</si>
  <si>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</si>
  <si>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</si>
  <si>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</si>
  <si>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</si>
  <si>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</si>
  <si>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</si>
  <si>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</si>
  <si>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</si>
  <si>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</si>
  <si>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</si>
  <si>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</si>
  <si>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</si>
  <si>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</si>
  <si>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</si>
  <si>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</si>
  <si>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</si>
  <si>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</si>
  <si>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</si>
  <si>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</si>
  <si>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</si>
  <si>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</si>
  <si>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</si>
  <si>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</si>
  <si>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</si>
  <si>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</si>
  <si>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</si>
  <si>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</si>
  <si>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</si>
  <si>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</si>
  <si>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</si>
  <si>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</si>
  <si>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</si>
  <si>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</si>
  <si>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</si>
  <si>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</si>
  <si>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</si>
  <si>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</si>
  <si>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</si>
  <si>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</si>
  <si>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</si>
  <si>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</si>
  <si>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</si>
  <si>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</si>
  <si>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</si>
  <si>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</si>
  <si>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</si>
  <si>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</si>
  <si>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</si>
  <si>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</si>
  <si>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</si>
  <si>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</si>
  <si>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</si>
  <si>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</si>
  <si>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</si>
  <si>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</si>
  <si>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</si>
  <si>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</si>
  <si>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</si>
  <si>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</si>
  <si>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</si>
  <si>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</si>
  <si>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</si>
  <si>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</si>
  <si>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</si>
  <si>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</si>
  <si>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</si>
  <si>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</si>
  <si>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</si>
  <si>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</si>
  <si>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</si>
  <si>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</si>
  <si>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</si>
  <si>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</si>
  <si>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</si>
  <si>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</si>
  <si>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</si>
  <si>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</si>
  <si>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</si>
  <si>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</si>
  <si>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</si>
  <si>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</si>
  <si>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</si>
  <si>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</si>
  <si>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</si>
  <si>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</si>
  <si>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</si>
  <si>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</si>
  <si>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</si>
  <si>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</si>
  <si>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</si>
  <si>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</si>
  <si>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</si>
  <si>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</si>
  <si>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</si>
  <si>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</si>
  <si>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</si>
  <si>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</si>
  <si>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</si>
  <si>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</si>
  <si>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</si>
  <si>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</si>
  <si>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</si>
  <si>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</si>
  <si>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</si>
  <si>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</si>
  <si>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</si>
  <si>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</si>
  <si>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</si>
  <si>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</si>
  <si>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</si>
  <si>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</si>
  <si>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</si>
  <si>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</si>
  <si>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</si>
  <si>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</si>
  <si>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</si>
  <si>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</si>
  <si>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</si>
  <si>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</si>
  <si>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</si>
  <si>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</si>
  <si>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</si>
  <si>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</si>
  <si>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</si>
  <si>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</si>
  <si>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</si>
  <si>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</si>
  <si>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</si>
  <si>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</si>
  <si>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</si>
  <si>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</si>
  <si>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</si>
  <si>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</si>
  <si>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</si>
  <si>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</si>
  <si>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</si>
  <si>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</si>
  <si>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</si>
  <si>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</si>
  <si>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</si>
  <si>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</si>
  <si>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</si>
  <si>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</si>
  <si>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</si>
  <si>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</si>
  <si>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</si>
  <si>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</si>
  <si>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</si>
  <si>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</si>
  <si>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</si>
  <si>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</si>
  <si>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</si>
  <si>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</si>
  <si>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</si>
  <si>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</si>
  <si>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</si>
  <si>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</si>
  <si>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</si>
  <si>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</si>
  <si>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</si>
  <si>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</si>
  <si>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</si>
  <si>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</si>
  <si>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</si>
  <si>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</si>
  <si>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</si>
  <si>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</si>
  <si>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</si>
  <si>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</si>
  <si>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</si>
  <si>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</si>
  <si>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</si>
  <si>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</si>
  <si>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</si>
  <si>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</si>
  <si>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</si>
  <si>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</si>
  <si>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</si>
  <si>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</si>
  <si>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</si>
  <si>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</si>
  <si>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</si>
  <si>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</si>
  <si>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</si>
  <si>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</si>
  <si>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</si>
  <si>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</si>
  <si>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</si>
  <si>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</si>
  <si>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</si>
  <si>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</si>
  <si>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</si>
  <si>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</si>
  <si>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</si>
  <si>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</si>
  <si>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</si>
  <si>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</si>
  <si>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</si>
  <si>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</si>
  <si>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</si>
  <si>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</si>
  <si>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</si>
  <si>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</si>
  <si>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</si>
  <si>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</si>
  <si>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</si>
  <si>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</si>
  <si>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</si>
  <si>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</si>
  <si>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</si>
  <si>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</si>
  <si>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</si>
  <si>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</si>
  <si>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</si>
  <si>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</si>
  <si>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</si>
  <si>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</si>
  <si>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</si>
  <si>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</si>
  <si>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</si>
  <si>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</si>
  <si>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</si>
  <si>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</si>
  <si>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</si>
  <si>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</si>
  <si>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</si>
  <si>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</si>
  <si>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</si>
  <si>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</si>
  <si>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</si>
  <si>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</si>
  <si>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</si>
  <si>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</si>
  <si>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</si>
  <si>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</si>
  <si>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</si>
  <si>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</si>
  <si>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</si>
  <si>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</si>
  <si>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</si>
  <si>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</si>
  <si>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</si>
  <si>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</si>
  <si>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</si>
  <si>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</si>
  <si>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</si>
  <si>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</si>
  <si>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</si>
  <si>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</si>
  <si>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</si>
  <si>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</si>
  <si>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</si>
  <si>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</si>
  <si>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</si>
  <si>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</si>
  <si>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</si>
  <si>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</si>
  <si>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</si>
  <si>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</si>
  <si>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</si>
  <si>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</si>
  <si>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</si>
  <si>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</si>
  <si>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</si>
  <si>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</si>
  <si>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</si>
  <si>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</si>
  <si>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</si>
  <si>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</si>
  <si>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</si>
  <si>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</si>
  <si>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</si>
  <si>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</si>
  <si>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</si>
  <si>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</si>
  <si>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</si>
  <si>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</si>
  <si>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</si>
  <si>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</si>
  <si>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</si>
  <si>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</si>
  <si>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</si>
  <si>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</si>
  <si>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</si>
  <si>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</si>
  <si>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</si>
  <si>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</si>
  <si>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</si>
  <si>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</si>
  <si>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</si>
  <si>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</si>
  <si>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</si>
  <si>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</si>
  <si>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</si>
  <si>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</si>
  <si>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</si>
  <si>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</si>
  <si>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</si>
  <si>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</si>
  <si>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</si>
  <si>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</si>
  <si>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</si>
  <si>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</si>
  <si>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</si>
  <si>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</si>
  <si>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</si>
  <si>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</si>
  <si>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</si>
  <si>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</si>
  <si>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</si>
  <si>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</si>
  <si>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</si>
  <si>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</si>
  <si>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</si>
  <si>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</si>
  <si>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</si>
  <si>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</si>
  <si>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</si>
  <si>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</si>
  <si>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</si>
  <si>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</si>
  <si>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</si>
  <si>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</si>
  <si>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</si>
  <si>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</si>
  <si>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</si>
  <si>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</si>
  <si>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</si>
  <si>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</si>
  <si>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</si>
  <si>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</si>
  <si>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</si>
  <si>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</si>
  <si>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</si>
  <si>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</si>
  <si>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</si>
  <si>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</si>
  <si>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</si>
  <si>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</si>
  <si>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</si>
  <si>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</si>
  <si>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</si>
  <si>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</si>
  <si>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</si>
  <si>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</si>
  <si>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</si>
  <si>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</si>
  <si>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</si>
  <si>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</si>
  <si>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</si>
  <si>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</si>
  <si>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</si>
  <si>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</si>
  <si>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</si>
  <si>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</si>
  <si>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</si>
  <si>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</si>
  <si>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</si>
  <si>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</si>
  <si>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</si>
  <si>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</si>
  <si>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</si>
  <si>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</si>
  <si>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</si>
  <si>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</si>
  <si>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</si>
  <si>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</si>
  <si>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</si>
  <si>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</si>
  <si>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</si>
  <si>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</si>
  <si>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</si>
  <si>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</si>
  <si>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</si>
  <si>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</si>
  <si>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</si>
  <si>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</si>
  <si>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</si>
  <si>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</si>
  <si>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</si>
  <si>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</si>
  <si>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</si>
  <si>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</si>
  <si>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</si>
  <si>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</si>
  <si>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</si>
  <si>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</si>
  <si>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</si>
  <si>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</si>
  <si>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</si>
  <si>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</si>
  <si>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</si>
  <si>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</si>
  <si>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</si>
  <si>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</si>
  <si>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</si>
  <si>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</si>
  <si>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</si>
  <si>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</si>
  <si>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</si>
  <si>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</si>
  <si>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</si>
  <si>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</si>
  <si>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</si>
  <si>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</si>
  <si>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</si>
  <si>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</si>
  <si>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</si>
  <si>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</si>
  <si>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</si>
  <si>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</si>
  <si>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</si>
  <si>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</si>
  <si>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</si>
  <si>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</si>
  <si>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</si>
  <si>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</si>
  <si>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</si>
  <si>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</si>
  <si>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</si>
  <si>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</si>
  <si>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</si>
  <si>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</si>
  <si>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</si>
  <si>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</si>
  <si>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</si>
  <si>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</si>
  <si>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</si>
  <si>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</si>
  <si>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</si>
  <si>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</si>
  <si>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</si>
  <si>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</si>
  <si>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</si>
  <si>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</si>
  <si>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</si>
  <si>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</si>
  <si>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</si>
  <si>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</si>
  <si>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</si>
  <si>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</si>
  <si>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</si>
  <si>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</si>
  <si>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</si>
  <si>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</si>
  <si>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</si>
  <si>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</si>
  <si>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</si>
  <si>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</si>
  <si>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</si>
  <si>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</si>
  <si>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</si>
  <si>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</si>
  <si>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</si>
  <si>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</si>
  <si>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</si>
  <si>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</si>
  <si>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</si>
  <si>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</si>
  <si>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</si>
  <si>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</si>
  <si>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</si>
  <si>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</si>
  <si>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</si>
  <si>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</si>
  <si>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</si>
  <si>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</si>
  <si>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</si>
  <si>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</si>
  <si>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</si>
  <si>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</si>
  <si>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</si>
  <si>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</si>
  <si>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</si>
  <si>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</si>
  <si>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</si>
  <si>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</si>
  <si>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</si>
  <si>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</si>
  <si>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</si>
  <si>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</si>
  <si>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</si>
  <si>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</si>
  <si>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</si>
  <si>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</si>
  <si>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</si>
  <si>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</si>
  <si>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</si>
  <si>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</si>
  <si>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</si>
  <si>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</si>
  <si>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</si>
  <si>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</si>
  <si>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</si>
  <si>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</si>
  <si>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</si>
  <si>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</si>
  <si>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</si>
  <si>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</si>
  <si>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</si>
  <si>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</si>
  <si>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</si>
  <si>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</si>
  <si>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</si>
  <si>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</si>
  <si>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</si>
  <si>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</si>
  <si>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</si>
  <si>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</si>
  <si>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</si>
  <si>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</si>
  <si>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</si>
  <si>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</si>
  <si>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</si>
  <si>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</si>
  <si>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</si>
  <si>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</si>
  <si>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</si>
  <si>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</si>
  <si>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</si>
  <si>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</si>
  <si>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</si>
  <si>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</si>
  <si>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</si>
  <si>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</si>
  <si>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</si>
  <si>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</si>
  <si>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</si>
  <si>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</si>
  <si>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</si>
  <si>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</si>
  <si>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</si>
  <si>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</si>
  <si>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</si>
  <si>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</si>
  <si>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</si>
  <si>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</si>
  <si>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</si>
  <si>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</si>
  <si>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</si>
  <si>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</si>
  <si>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</si>
  <si>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</si>
  <si>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</si>
  <si>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</si>
  <si>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</si>
  <si>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</si>
  <si>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</si>
  <si>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</si>
  <si>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</si>
  <si>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</si>
  <si>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</si>
  <si>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</si>
  <si>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</si>
  <si>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</si>
  <si>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</si>
  <si>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</si>
  <si>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</si>
  <si>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</si>
  <si>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</si>
  <si>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</si>
  <si>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</si>
  <si>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</si>
  <si>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</si>
  <si>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</si>
  <si>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</si>
  <si>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</si>
  <si>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</si>
  <si>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</si>
  <si>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</si>
  <si>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</si>
  <si>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</si>
  <si>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</si>
  <si>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</si>
  <si>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</si>
  <si>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</si>
  <si>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</si>
  <si>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</si>
  <si>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</si>
  <si>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</si>
  <si>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</si>
  <si>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</si>
  <si>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</si>
  <si>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</si>
  <si>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</si>
  <si>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</si>
  <si>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</si>
  <si>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</si>
  <si>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</si>
  <si>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</si>
  <si>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</si>
  <si>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</si>
  <si>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</si>
  <si>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</si>
  <si>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</si>
  <si>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</si>
  <si>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</si>
  <si>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</si>
  <si>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</si>
  <si>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</si>
  <si>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</si>
  <si>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</si>
  <si>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</si>
  <si>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</si>
  <si>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</si>
  <si>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</si>
  <si>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</si>
  <si>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</si>
  <si>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</si>
  <si>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</si>
  <si>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</si>
  <si>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</si>
  <si>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</si>
  <si>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</si>
  <si>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</si>
  <si>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</si>
  <si>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</si>
  <si>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</si>
  <si>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</si>
  <si>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</si>
  <si>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</si>
  <si>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</si>
  <si>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</si>
  <si>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</si>
  <si>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</si>
  <si>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</si>
  <si>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</si>
  <si>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</si>
  <si>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</si>
  <si>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</si>
  <si>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</si>
  <si>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</si>
  <si>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</si>
  <si>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</si>
  <si>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</si>
  <si>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</si>
  <si>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</si>
  <si>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</si>
  <si>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</si>
  <si>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</si>
  <si>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</si>
  <si>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</si>
  <si>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</si>
  <si>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</si>
  <si>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</si>
  <si>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</si>
  <si>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</si>
  <si>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</si>
  <si>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</si>
  <si>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</si>
  <si>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</si>
  <si>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</si>
  <si>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</si>
  <si>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</si>
  <si>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</si>
  <si>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</si>
  <si>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</si>
  <si>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</si>
  <si>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</si>
  <si>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</si>
  <si>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</si>
  <si>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</si>
  <si>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</si>
  <si>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</si>
  <si>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</si>
  <si>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</si>
  <si>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</si>
  <si>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</si>
  <si>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</si>
  <si>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</si>
  <si>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</si>
  <si>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</si>
  <si>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</si>
  <si>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</si>
  <si>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</si>
  <si>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</si>
  <si>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</si>
  <si>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</si>
  <si>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</si>
  <si>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</si>
  <si>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</si>
  <si>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</si>
  <si>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</si>
  <si>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</si>
  <si>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</si>
  <si>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</si>
  <si>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</si>
  <si>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</si>
  <si>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</si>
  <si>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</si>
  <si>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</si>
  <si>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</si>
  <si>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</si>
  <si>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</si>
  <si>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</si>
  <si>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</si>
  <si>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</si>
  <si>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</si>
  <si>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</si>
  <si>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</si>
  <si>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</si>
  <si>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</si>
  <si>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</si>
  <si>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</si>
  <si>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</si>
  <si>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</si>
  <si>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</si>
  <si>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</si>
  <si>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</si>
  <si>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</si>
  <si>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</si>
  <si>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</si>
  <si>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</si>
  <si>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</si>
  <si>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</si>
  <si>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</si>
  <si>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</si>
  <si>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</si>
  <si>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</si>
  <si>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</si>
  <si>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</si>
  <si>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</si>
  <si>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</si>
  <si>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</si>
  <si>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</si>
  <si>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</si>
  <si>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</si>
  <si>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</si>
  <si>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</si>
  <si>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</si>
  <si>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</si>
  <si>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</si>
  <si>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</si>
  <si>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</si>
  <si>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</si>
  <si>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</si>
  <si>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</si>
  <si>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</si>
  <si>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</si>
  <si>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</si>
  <si>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</si>
  <si>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</si>
  <si>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</si>
  <si>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</si>
  <si>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</si>
  <si>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</si>
  <si>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</si>
  <si>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</si>
  <si>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</si>
  <si>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</si>
  <si>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</si>
  <si>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</si>
  <si>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</si>
  <si>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</si>
  <si>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</si>
  <si>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</si>
  <si>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</si>
  <si>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</si>
  <si>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</si>
  <si>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</si>
  <si>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</si>
  <si>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</si>
  <si>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</si>
  <si>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</si>
  <si>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</si>
  <si>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</si>
  <si>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</si>
  <si>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</si>
  <si>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</si>
  <si>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</si>
  <si>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</si>
  <si>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</si>
  <si>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</si>
  <si>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</si>
  <si>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</si>
  <si>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</si>
  <si>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</si>
  <si>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</si>
  <si>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</si>
  <si>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</si>
  <si>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</si>
  <si>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</si>
  <si>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</si>
  <si>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</si>
  <si>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</si>
  <si>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</si>
  <si>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</si>
  <si>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</si>
  <si>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</si>
  <si>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</si>
  <si>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</si>
  <si>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</si>
  <si>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</si>
  <si>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</si>
  <si>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</si>
  <si>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</si>
  <si>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</si>
  <si>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</si>
  <si>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</si>
  <si>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</si>
  <si>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</si>
  <si>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</si>
  <si>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</si>
  <si>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</si>
  <si>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</si>
  <si>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</si>
  <si>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</si>
  <si>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</si>
  <si>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</si>
  <si>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</si>
  <si>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</si>
  <si>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</si>
  <si>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</si>
  <si>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</si>
  <si>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</si>
  <si>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</si>
  <si>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</si>
  <si>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</si>
  <si>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</si>
  <si>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</si>
  <si>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</si>
  <si>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</si>
  <si>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</si>
  <si>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</si>
  <si>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</si>
  <si>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</si>
  <si>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</si>
  <si>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</si>
  <si>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</si>
  <si>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</si>
  <si>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</si>
  <si>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</si>
  <si>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</si>
  <si>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</si>
  <si>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</si>
  <si>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</si>
  <si>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</si>
  <si>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</si>
  <si>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</si>
  <si>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</si>
  <si>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</si>
  <si>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</si>
  <si>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</si>
  <si>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</si>
  <si>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</si>
  <si>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</si>
  <si>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</si>
  <si>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</si>
  <si>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</si>
  <si>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</si>
  <si>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</si>
  <si>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</si>
  <si>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</si>
  <si>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</si>
  <si>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</si>
  <si>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</si>
  <si>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</si>
  <si>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</si>
  <si>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</si>
  <si>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</si>
  <si>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</si>
  <si>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</si>
  <si>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</si>
  <si>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</si>
  <si>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</si>
  <si>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</si>
  <si>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</si>
  <si>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</si>
  <si>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</si>
  <si>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</si>
  <si>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</si>
  <si>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</si>
  <si>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</si>
  <si>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</si>
  <si>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</si>
  <si>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</si>
  <si>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</si>
  <si>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</si>
  <si>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</si>
  <si>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</si>
  <si>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</si>
  <si>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</si>
  <si>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</si>
  <si>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</si>
  <si>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</si>
  <si>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</si>
  <si>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</si>
  <si>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</si>
  <si>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</si>
  <si>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</si>
  <si>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</si>
  <si>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</si>
  <si>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</si>
  <si>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</si>
  <si>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</si>
  <si>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</si>
  <si>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</si>
  <si>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</si>
  <si>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</si>
  <si>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</si>
  <si>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</si>
  <si>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</si>
  <si>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</si>
  <si>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</si>
  <si>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</si>
  <si>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</si>
  <si>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</si>
  <si>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</si>
  <si>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</si>
  <si>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</si>
  <si>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</si>
  <si>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</si>
  <si>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</si>
  <si>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</si>
  <si>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</si>
  <si>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</si>
  <si>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</si>
  <si>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</si>
  <si>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</si>
  <si>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</si>
  <si>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</si>
  <si>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</si>
  <si>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</si>
  <si>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</si>
  <si>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</si>
  <si>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</si>
  <si>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</si>
  <si>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</si>
  <si>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</si>
  <si>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</si>
  <si>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</si>
  <si>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</si>
  <si>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</si>
  <si>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</si>
  <si>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</si>
  <si>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</si>
  <si>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</si>
  <si>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</si>
  <si>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</si>
  <si>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</si>
  <si>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</si>
  <si>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</si>
  <si>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</si>
  <si>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</si>
  <si>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</si>
  <si>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</si>
  <si>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</si>
  <si>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</si>
  <si>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</si>
  <si>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</si>
  <si>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</si>
  <si>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</si>
  <si>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</si>
  <si>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</si>
  <si>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</si>
  <si>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</si>
  <si>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</si>
  <si>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</si>
  <si>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</si>
  <si>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</si>
  <si>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</si>
  <si>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</si>
  <si>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</si>
  <si>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</si>
  <si>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</si>
  <si>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</si>
  <si>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</si>
  <si>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</si>
  <si>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</si>
  <si>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</si>
  <si>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</si>
  <si>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</si>
  <si>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</si>
  <si>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</si>
  <si>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</si>
  <si>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</si>
  <si>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</si>
  <si>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</si>
  <si>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</si>
  <si>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</si>
  <si>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</si>
  <si>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</si>
  <si>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</si>
  <si>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</si>
  <si>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</si>
  <si>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</si>
  <si>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</si>
  <si>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</si>
  <si>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</si>
  <si>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</si>
  <si>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</si>
  <si>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</si>
  <si>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</si>
  <si>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</si>
  <si>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</si>
  <si>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</si>
  <si>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</si>
  <si>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</si>
  <si>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</si>
  <si>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</si>
  <si>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</si>
  <si>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</si>
  <si>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</si>
  <si>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</si>
  <si>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</si>
  <si>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</si>
  <si>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</si>
  <si>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</si>
  <si>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</si>
  <si>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</si>
  <si>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</si>
  <si>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</si>
  <si>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</si>
  <si>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</si>
  <si>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</si>
  <si>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</si>
  <si>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</si>
  <si>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</si>
  <si>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</si>
  <si>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</si>
  <si>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</si>
  <si>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</si>
  <si>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</si>
  <si>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</si>
  <si>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</si>
  <si>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</si>
  <si>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</si>
  <si>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</si>
  <si>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</si>
  <si>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</si>
  <si>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</si>
  <si>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</si>
  <si>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</si>
  <si>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</si>
  <si>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</si>
  <si>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</si>
  <si>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</si>
  <si>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</si>
  <si>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</si>
  <si>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</si>
  <si>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</si>
  <si>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</si>
  <si>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</si>
  <si>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</si>
  <si>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</si>
  <si>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</si>
  <si>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</si>
  <si>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</si>
  <si>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</si>
  <si>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</si>
  <si>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</si>
  <si>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</si>
  <si>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</si>
  <si>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</si>
  <si>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</si>
  <si>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</si>
  <si>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</si>
  <si>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</si>
  <si>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</si>
  <si>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</si>
  <si>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</si>
  <si>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</si>
  <si>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</si>
  <si>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</si>
  <si>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</si>
  <si>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</si>
  <si>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</si>
  <si>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</si>
  <si>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</si>
  <si>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</si>
  <si>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</si>
  <si>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</si>
  <si>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</si>
  <si>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</si>
  <si>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</si>
  <si>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</si>
  <si>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</si>
  <si>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</si>
  <si>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</si>
  <si>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</si>
  <si>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</si>
  <si>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</si>
  <si>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</si>
  <si>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</si>
  <si>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</si>
  <si>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</si>
  <si>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</si>
  <si>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</si>
  <si>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</si>
  <si>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</si>
  <si>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</si>
  <si>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</si>
  <si>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</si>
  <si>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</si>
  <si>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</si>
  <si>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</si>
  <si>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</si>
  <si>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</si>
  <si>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</si>
  <si>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</si>
  <si>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</si>
  <si>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</si>
  <si>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</si>
  <si>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</si>
  <si>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</si>
  <si>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</si>
  <si>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</si>
  <si>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</si>
  <si>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</si>
  <si>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</si>
  <si>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</si>
  <si>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</si>
  <si>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</si>
  <si>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</si>
  <si>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</si>
  <si>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</si>
  <si>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</si>
  <si>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</si>
  <si>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</si>
  <si>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</si>
  <si>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</si>
  <si>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</si>
  <si>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</si>
  <si>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</si>
  <si>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</si>
  <si>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</si>
  <si>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</si>
  <si>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</si>
  <si>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</si>
  <si>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</si>
  <si>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</si>
  <si>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</si>
  <si>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</si>
  <si>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</si>
  <si>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</si>
  <si>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</si>
  <si>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</si>
  <si>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</si>
  <si>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</si>
  <si>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</si>
  <si>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</si>
  <si>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</si>
  <si>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</si>
  <si>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</si>
  <si>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</si>
  <si>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</si>
  <si>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</si>
  <si>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</si>
  <si>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</si>
  <si>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</si>
  <si>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</si>
  <si>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</si>
  <si>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</si>
  <si>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</si>
  <si>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</si>
  <si>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</si>
  <si>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</si>
  <si>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</si>
  <si>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</si>
  <si>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</si>
  <si>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</si>
  <si>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</si>
  <si>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</si>
  <si>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</si>
  <si>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</si>
  <si>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</si>
  <si>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</si>
  <si>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</si>
  <si>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</si>
  <si>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</si>
  <si>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</si>
  <si>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</si>
  <si>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</si>
  <si>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</si>
  <si>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</si>
  <si>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</si>
  <si>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</si>
  <si>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</si>
  <si>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</si>
  <si>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</si>
  <si>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</si>
  <si>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</si>
  <si>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</si>
  <si>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</si>
  <si>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</si>
  <si>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</si>
  <si>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</si>
  <si>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</si>
  <si>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</si>
  <si>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</si>
  <si>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</si>
  <si>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</si>
  <si>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</si>
  <si>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</si>
  <si>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</si>
  <si>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</si>
  <si>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</si>
  <si>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</si>
  <si>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</si>
  <si>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</si>
  <si>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</si>
  <si>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</si>
  <si>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</si>
  <si>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</si>
  <si>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</si>
  <si>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</si>
  <si>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</si>
  <si>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</si>
  <si>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</si>
  <si>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</si>
  <si>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</si>
  <si>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</si>
  <si>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</si>
  <si>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</si>
  <si>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</si>
  <si>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</si>
  <si>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</si>
  <si>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</si>
  <si>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</si>
  <si>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</si>
  <si>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</si>
  <si>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</si>
  <si>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</si>
  <si>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</si>
  <si>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</si>
  <si>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</si>
  <si>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</si>
  <si>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</si>
  <si>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</si>
  <si>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</si>
  <si>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</si>
  <si>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</si>
  <si>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</si>
  <si>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</si>
  <si>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</si>
  <si>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</si>
  <si>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</si>
  <si>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</si>
  <si>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</si>
  <si>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</si>
  <si>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</si>
  <si>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</si>
  <si>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</si>
  <si>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</si>
  <si>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</si>
  <si>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</si>
  <si>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</si>
  <si>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</si>
  <si>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</si>
  <si>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</si>
  <si>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</si>
  <si>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</si>
  <si>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</si>
  <si>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</si>
  <si>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</si>
  <si>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</si>
  <si>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</si>
  <si>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</si>
  <si>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</si>
  <si>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</si>
  <si>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</si>
  <si>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</si>
  <si>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</si>
  <si>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</si>
  <si>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</si>
  <si>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</si>
  <si>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</si>
  <si>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</si>
  <si>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</si>
  <si>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</si>
  <si>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</si>
  <si>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</si>
  <si>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</si>
  <si>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</si>
  <si>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</si>
  <si>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</si>
  <si>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</si>
  <si>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</si>
  <si>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</si>
  <si>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</si>
  <si>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</si>
  <si>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</si>
  <si>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</si>
  <si>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</si>
  <si>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</si>
  <si>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</si>
  <si>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</si>
  <si>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</si>
  <si>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</si>
  <si>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</si>
  <si>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</si>
  <si>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</si>
  <si>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</si>
  <si>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</si>
  <si>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</si>
  <si>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</si>
  <si>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</si>
  <si>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</si>
  <si>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</si>
  <si>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</si>
  <si>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</si>
  <si>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</si>
  <si>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</si>
  <si>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</si>
  <si>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</si>
  <si>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</si>
  <si>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</si>
  <si>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</si>
  <si>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</si>
  <si>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</si>
  <si>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</si>
  <si>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</si>
  <si>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</si>
  <si>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</si>
  <si>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</si>
  <si>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</si>
  <si>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</si>
  <si>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</si>
  <si>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</si>
  <si>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</si>
  <si>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</si>
  <si>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</si>
  <si>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</si>
  <si>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</si>
  <si>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</si>
  <si>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</si>
  <si>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</si>
  <si>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</si>
  <si>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</si>
  <si>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</si>
  <si>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</si>
  <si>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</si>
  <si>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</si>
  <si>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</si>
  <si>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</si>
  <si>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</si>
  <si>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</si>
  <si>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</si>
  <si>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</si>
  <si>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</si>
  <si>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</si>
  <si>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</si>
  <si>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</si>
  <si>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</si>
  <si>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</si>
  <si>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</si>
  <si>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</si>
  <si>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</si>
  <si>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</si>
  <si>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</si>
  <si>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</si>
  <si>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</si>
  <si>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</si>
  <si>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</si>
  <si>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</si>
  <si>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</si>
  <si>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</si>
  <si>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</si>
  <si>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</si>
  <si>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</si>
  <si>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</si>
  <si>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</si>
  <si>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</si>
  <si>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</si>
  <si>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</si>
  <si>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</si>
  <si>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</si>
  <si>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</si>
  <si>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</si>
  <si>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</si>
  <si>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</si>
  <si>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</si>
  <si>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</si>
  <si>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</si>
  <si>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</si>
  <si>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</si>
  <si>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</si>
  <si>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</si>
  <si>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</si>
  <si>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</si>
  <si>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</si>
  <si>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</si>
  <si>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</si>
  <si>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</si>
  <si>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</si>
  <si>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</si>
  <si>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</si>
  <si>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</si>
  <si>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</si>
  <si>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</si>
  <si>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</si>
  <si>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</si>
  <si>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</si>
  <si>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</si>
  <si>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</si>
  <si>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</si>
  <si>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</si>
  <si>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</si>
  <si>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</si>
  <si>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</si>
  <si>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</si>
  <si>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</si>
  <si>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</si>
  <si>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</si>
  <si>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</si>
  <si>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</si>
  <si>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</si>
  <si>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</si>
  <si>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</si>
  <si>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</si>
  <si>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</si>
  <si>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</si>
  <si>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</si>
  <si>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</si>
  <si>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</si>
  <si>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</si>
  <si>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</si>
  <si>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</si>
  <si>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</si>
  <si>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</si>
  <si>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</si>
  <si>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</si>
  <si>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</si>
  <si>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</si>
  <si>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</si>
  <si>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</si>
  <si>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</si>
  <si>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</si>
  <si>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</si>
  <si>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</si>
  <si>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</si>
  <si>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</si>
  <si>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</si>
  <si>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</si>
  <si>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</si>
  <si>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</si>
  <si>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</si>
  <si>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</si>
  <si>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</si>
  <si>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</si>
  <si>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</si>
  <si>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</si>
  <si>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</si>
  <si>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</si>
  <si>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</si>
  <si>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</si>
  <si>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</si>
  <si>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</si>
  <si>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</si>
  <si>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</si>
  <si>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</si>
  <si>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</si>
  <si>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</si>
  <si>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</si>
  <si>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</si>
  <si>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</si>
  <si>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</si>
  <si>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</si>
  <si>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</si>
  <si>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</si>
  <si>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</si>
  <si>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</si>
  <si>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</si>
  <si>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</si>
  <si>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</si>
  <si>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</si>
  <si>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</si>
  <si>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</si>
  <si>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</si>
  <si>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</si>
  <si>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</si>
  <si>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</si>
  <si>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</si>
  <si>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</si>
  <si>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</si>
  <si>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</si>
  <si>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</si>
  <si>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</si>
  <si>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</si>
  <si>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</si>
  <si>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</si>
  <si>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</si>
  <si>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</si>
  <si>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</si>
  <si>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</si>
  <si>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</si>
  <si>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</si>
  <si>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</si>
  <si>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</si>
  <si>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</si>
  <si>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</si>
  <si>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</si>
  <si>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</si>
  <si>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</si>
  <si>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</si>
  <si>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</si>
  <si>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</si>
  <si>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</si>
  <si>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</si>
  <si>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</si>
  <si>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</si>
  <si>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</si>
  <si>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</si>
  <si>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</si>
  <si>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</si>
  <si>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</si>
  <si>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</si>
  <si>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</si>
  <si>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</si>
  <si>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</si>
  <si>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</si>
  <si>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</si>
  <si>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</si>
  <si>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</si>
  <si>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</si>
  <si>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</si>
  <si>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</si>
  <si>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</si>
  <si>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</si>
  <si>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</si>
  <si>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</si>
  <si>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</si>
  <si>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</si>
  <si>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</si>
  <si>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</si>
  <si>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</si>
  <si>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</si>
  <si>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</si>
  <si>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</si>
  <si>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</si>
  <si>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</si>
  <si>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</si>
  <si>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</si>
  <si>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</si>
  <si>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</si>
  <si>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</si>
  <si>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</si>
  <si>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</si>
  <si>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</si>
  <si>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</si>
  <si>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</si>
  <si>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</si>
  <si>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</si>
  <si>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</si>
  <si>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</si>
  <si>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</si>
  <si>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</si>
  <si>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</si>
  <si>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</si>
  <si>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</si>
  <si>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</si>
  <si>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</si>
  <si>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</si>
  <si>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</si>
  <si>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</si>
  <si>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</si>
  <si>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</si>
  <si>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</si>
  <si>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</si>
  <si>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</si>
  <si>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</si>
  <si>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</si>
  <si>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</si>
  <si>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</si>
  <si>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</si>
  <si>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</si>
  <si>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</si>
  <si>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</si>
  <si>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</si>
  <si>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</si>
  <si>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</si>
  <si>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</si>
  <si>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</si>
  <si>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</si>
  <si>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</si>
  <si>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</si>
  <si>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</si>
  <si>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</si>
  <si>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</si>
  <si>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</si>
  <si>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</si>
  <si>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</si>
  <si>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</si>
  <si>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</si>
  <si>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</si>
  <si>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</si>
  <si>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</si>
  <si>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</si>
  <si>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</si>
  <si>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</si>
  <si>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</si>
  <si>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</si>
  <si>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</si>
  <si>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</si>
  <si>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</si>
  <si>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</si>
  <si>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</si>
  <si>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</si>
  <si>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</si>
  <si>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</si>
  <si>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</si>
  <si>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</si>
  <si>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</si>
  <si>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</si>
  <si>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</si>
  <si>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</si>
  <si>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</si>
  <si>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</si>
  <si>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</si>
  <si>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</si>
  <si>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</si>
  <si>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</si>
  <si>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</si>
  <si>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</si>
  <si>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</si>
  <si>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</si>
  <si>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</si>
  <si>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</si>
  <si>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</si>
  <si>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</si>
  <si>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</si>
  <si>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</si>
  <si>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</si>
  <si>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</si>
  <si>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</si>
  <si>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</si>
  <si>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</si>
  <si>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</si>
  <si>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</si>
  <si>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</si>
  <si>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</si>
  <si>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</si>
  <si>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</si>
  <si>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</si>
  <si>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</si>
  <si>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</si>
  <si>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</si>
  <si>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</si>
  <si>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</si>
  <si>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</si>
  <si>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</si>
  <si>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</si>
  <si>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</si>
  <si>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</si>
  <si>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</si>
  <si>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</si>
  <si>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</si>
  <si>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</si>
  <si>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</si>
  <si>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</si>
  <si>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</si>
  <si>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</si>
  <si>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</si>
  <si>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</si>
  <si>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</si>
  <si>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</si>
  <si>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</si>
  <si>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</si>
  <si>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</si>
  <si>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</si>
  <si>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</si>
  <si>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</si>
  <si>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</si>
  <si>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</si>
  <si>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</si>
  <si>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</si>
  <si>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</si>
  <si>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</si>
  <si>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</si>
  <si>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</si>
  <si>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</si>
  <si>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</si>
  <si>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</si>
  <si>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</si>
  <si>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</si>
  <si>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</si>
  <si>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</si>
  <si>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</si>
  <si>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</si>
  <si>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</si>
  <si>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</si>
  <si>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</si>
  <si>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</si>
  <si>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</si>
  <si>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</si>
  <si>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</si>
  <si>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</si>
  <si>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</si>
  <si>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</si>
  <si>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</si>
  <si>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</si>
  <si>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</si>
  <si>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</si>
  <si>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</si>
  <si>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</si>
  <si>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</si>
  <si>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</si>
  <si>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</si>
  <si>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</si>
  <si>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</si>
  <si>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</si>
  <si>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</si>
  <si>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</si>
  <si>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</si>
  <si>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</si>
  <si>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</si>
  <si>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</si>
  <si>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</si>
  <si>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</si>
  <si>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</si>
  <si>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</si>
  <si>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</si>
  <si>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</si>
  <si>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</si>
  <si>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</si>
  <si>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</si>
  <si>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</si>
  <si>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</si>
  <si>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</si>
  <si>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</si>
  <si>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</si>
  <si>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</si>
  <si>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</si>
  <si>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</si>
  <si>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</si>
  <si>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</si>
  <si>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</si>
  <si>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</si>
  <si>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</si>
  <si>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</si>
  <si>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</si>
  <si>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</si>
  <si>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</si>
  <si>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</si>
  <si>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</si>
  <si>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</si>
  <si>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</si>
  <si>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</si>
  <si>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</si>
  <si>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</si>
  <si>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</si>
  <si>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</si>
  <si>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</si>
  <si>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</si>
  <si>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</si>
  <si>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</si>
  <si>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</si>
  <si>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</si>
  <si>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</si>
  <si>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</si>
  <si>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</si>
  <si>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</si>
  <si>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</si>
  <si>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</si>
  <si>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</si>
  <si>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</si>
  <si>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</si>
  <si>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</si>
  <si>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</si>
  <si>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</si>
  <si>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</si>
  <si>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</si>
  <si>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</si>
  <si>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</si>
  <si>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</si>
  <si>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</si>
  <si>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</si>
  <si>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</si>
  <si>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</si>
  <si>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</si>
  <si>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</si>
  <si>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</si>
  <si>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</si>
  <si>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</si>
  <si>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</si>
  <si>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</si>
  <si>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</si>
  <si>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</si>
  <si>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</si>
  <si>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</si>
  <si>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</si>
  <si>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</si>
  <si>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</si>
  <si>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</si>
  <si>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</si>
  <si>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</si>
  <si>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</si>
  <si>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</si>
  <si>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</si>
  <si>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</si>
  <si>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</si>
  <si>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</si>
  <si>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</si>
  <si>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</si>
  <si>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</si>
  <si>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</si>
  <si>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</si>
  <si>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</si>
  <si>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</si>
  <si>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</si>
  <si>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</si>
  <si>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</si>
  <si>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</si>
  <si>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</si>
  <si>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</si>
  <si>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</si>
  <si>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</si>
  <si>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</si>
  <si>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</si>
  <si>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</si>
  <si>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</si>
  <si>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</si>
  <si>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</si>
  <si>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</si>
  <si>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</si>
  <si>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</si>
  <si>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</si>
  <si>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</si>
  <si>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</si>
  <si>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</si>
  <si>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</si>
  <si>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</si>
  <si>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</si>
  <si>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</si>
  <si>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</si>
  <si>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</si>
  <si>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</si>
  <si>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</si>
  <si>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</si>
  <si>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</si>
  <si>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</si>
  <si>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</si>
  <si>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</si>
  <si>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</si>
  <si>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</si>
  <si>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</si>
  <si>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</si>
  <si>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</si>
  <si>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</si>
  <si>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</si>
  <si>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</si>
  <si>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</si>
  <si>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</si>
  <si>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</si>
  <si>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</si>
  <si>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</si>
  <si>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</si>
  <si>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</si>
  <si>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</si>
  <si>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</si>
  <si>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</si>
  <si>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</si>
  <si>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</si>
  <si>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</si>
  <si>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</si>
  <si>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</si>
  <si>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</si>
  <si>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</si>
  <si>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</si>
  <si>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</si>
  <si>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</si>
  <si>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</si>
  <si>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</si>
  <si>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</si>
  <si>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</si>
  <si>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</si>
  <si>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</si>
  <si>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</si>
  <si>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</si>
  <si>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</si>
  <si>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</si>
  <si>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</si>
  <si>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</si>
  <si>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</si>
  <si>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</si>
  <si>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</si>
  <si>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</si>
  <si>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</si>
  <si>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</si>
  <si>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</si>
  <si>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</si>
  <si>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</si>
  <si>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</si>
  <si>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</si>
  <si>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</si>
  <si>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</si>
  <si>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</si>
  <si>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</si>
  <si>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</si>
  <si>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</si>
  <si>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</si>
  <si>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</si>
  <si>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</si>
  <si>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</si>
  <si>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</si>
  <si>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</si>
  <si>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</si>
  <si>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</si>
  <si>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</si>
  <si>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</si>
  <si>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</si>
  <si>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</si>
  <si>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</si>
  <si>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</si>
  <si>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</si>
  <si>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</si>
  <si>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</si>
  <si>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</si>
  <si>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</si>
  <si>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</si>
  <si>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</si>
  <si>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</si>
  <si>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</si>
  <si>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</si>
  <si>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</si>
  <si>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</si>
  <si>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</si>
  <si>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</si>
  <si>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</si>
  <si>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</si>
  <si>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</si>
  <si>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</si>
  <si>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</si>
  <si>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</si>
  <si>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</si>
  <si>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</si>
  <si>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</si>
  <si>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</si>
  <si>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</si>
  <si>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</si>
  <si>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</si>
  <si>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</si>
  <si>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</si>
  <si>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</si>
  <si>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</si>
  <si>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</si>
  <si>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</si>
  <si>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</si>
  <si>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</si>
  <si>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</si>
  <si>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</si>
  <si>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</si>
  <si>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</si>
  <si>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</si>
  <si>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</si>
  <si>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</si>
  <si>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</si>
  <si>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</si>
  <si>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</si>
  <si>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</si>
  <si>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</si>
  <si>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</si>
  <si>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</si>
  <si>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</si>
  <si>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</si>
  <si>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</si>
  <si>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</si>
  <si>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</si>
  <si>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</si>
  <si>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</si>
  <si>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</si>
  <si>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</si>
  <si>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</si>
  <si>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</si>
  <si>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</si>
  <si>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</si>
  <si>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</si>
  <si>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</si>
  <si>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</si>
  <si>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</si>
  <si>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</si>
  <si>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</si>
  <si>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</si>
  <si>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</si>
  <si>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</si>
  <si>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</si>
  <si>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</si>
  <si>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</si>
  <si>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</si>
  <si>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</si>
  <si>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</si>
  <si>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</si>
  <si>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</si>
  <si>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</si>
  <si>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</si>
  <si>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</si>
  <si>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</si>
  <si>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</si>
  <si>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</si>
  <si>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</si>
  <si>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</si>
  <si>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</si>
  <si>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</si>
  <si>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</si>
  <si>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</si>
  <si>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</si>
  <si>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</si>
  <si>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</si>
  <si>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</si>
  <si>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</si>
  <si>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</si>
  <si>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</si>
  <si>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</si>
  <si>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</si>
  <si>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</si>
  <si>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</si>
  <si>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</si>
  <si>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</si>
  <si>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</si>
  <si>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</si>
  <si>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</si>
  <si>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</si>
  <si>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</si>
  <si>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</si>
  <si>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</si>
  <si>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</si>
  <si>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</si>
  <si>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</si>
  <si>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</si>
  <si>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</si>
  <si>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</si>
  <si>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</si>
  <si>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</si>
  <si>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</si>
  <si>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</si>
  <si>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</si>
  <si>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</si>
  <si>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</si>
  <si>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</si>
  <si>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</si>
  <si>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</si>
  <si>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</si>
  <si>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</si>
  <si>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</si>
  <si>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</si>
  <si>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</si>
  <si>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</si>
  <si>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</si>
  <si>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</si>
  <si>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</si>
  <si>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</si>
  <si>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</si>
  <si>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</si>
  <si>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</si>
  <si>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</si>
  <si>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</si>
  <si>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</si>
  <si>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</si>
  <si>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</si>
  <si>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</si>
  <si>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</si>
  <si>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</si>
  <si>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</si>
  <si>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</si>
  <si>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</si>
  <si>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</si>
  <si>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</si>
  <si>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</si>
  <si>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</si>
  <si>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</si>
  <si>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</si>
  <si>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</si>
  <si>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</si>
  <si>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</si>
  <si>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</si>
  <si>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</si>
  <si>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</si>
  <si>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</si>
  <si>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</si>
  <si>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</si>
  <si>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</si>
  <si>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</si>
  <si>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</si>
  <si>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</si>
  <si>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</si>
  <si>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</si>
  <si>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</si>
  <si>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</si>
  <si>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</si>
  <si>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</si>
  <si>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</si>
  <si>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</si>
  <si>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</si>
  <si>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</si>
  <si>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</si>
  <si>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</si>
  <si>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</si>
  <si>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</si>
  <si>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</si>
  <si>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</si>
  <si>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</si>
  <si>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</si>
  <si>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</si>
  <si>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</si>
  <si>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</si>
  <si>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</si>
  <si>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</si>
  <si>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</si>
  <si>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</si>
  <si>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</si>
  <si>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</si>
  <si>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</si>
  <si>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</si>
  <si>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</si>
  <si>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</si>
  <si>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</si>
  <si>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</si>
  <si>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</si>
  <si>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</si>
  <si>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</si>
  <si>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</si>
  <si>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</si>
  <si>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</si>
  <si>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</si>
  <si>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</si>
  <si>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</si>
  <si>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</si>
  <si>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</si>
  <si>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</si>
  <si>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</si>
  <si>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</si>
  <si>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</si>
  <si>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</si>
  <si>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</si>
  <si>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</si>
  <si>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</si>
  <si>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</si>
  <si>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</si>
  <si>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</si>
  <si>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</si>
  <si>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</si>
  <si>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</si>
  <si>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</si>
  <si>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</si>
  <si>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</si>
  <si>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</si>
  <si>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</si>
  <si>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</si>
  <si>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</si>
  <si>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</si>
  <si>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</si>
  <si>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</si>
  <si>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</si>
  <si>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</si>
  <si>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</si>
  <si>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</si>
  <si>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</si>
  <si>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</si>
  <si>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</si>
  <si>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</si>
  <si>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</si>
  <si>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</si>
  <si>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</si>
  <si>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</si>
  <si>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</si>
  <si>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</si>
  <si>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</si>
  <si>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</si>
  <si>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</si>
  <si>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</si>
  <si>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</si>
  <si>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</si>
  <si>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</si>
  <si>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</si>
  <si>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</si>
  <si>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</si>
  <si>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</si>
  <si>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</si>
  <si>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</si>
  <si>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</si>
  <si>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</si>
  <si>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</si>
  <si>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</si>
  <si>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</si>
  <si>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</si>
  <si>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</si>
  <si>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</si>
  <si>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</si>
  <si>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</si>
  <si>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</si>
  <si>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</si>
  <si>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</si>
  <si>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</si>
  <si>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</si>
  <si>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</si>
  <si>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</si>
  <si>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</si>
  <si>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</si>
  <si>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</si>
  <si>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</si>
  <si>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</si>
  <si>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</si>
  <si>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</si>
  <si>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</si>
  <si>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</si>
  <si>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</si>
  <si>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</si>
  <si>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</si>
  <si>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</si>
  <si>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</si>
  <si>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</si>
  <si>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</si>
  <si>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</si>
  <si>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</si>
  <si>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</si>
  <si>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</si>
  <si>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</si>
  <si>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</si>
  <si>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</si>
  <si>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</si>
  <si>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</si>
  <si>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</si>
  <si>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</si>
  <si>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</si>
  <si>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</si>
  <si>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</si>
  <si>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</si>
  <si>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</si>
  <si>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</si>
  <si>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</si>
  <si>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</si>
  <si>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</si>
  <si>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</si>
  <si>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</si>
  <si>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</si>
  <si>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</si>
  <si>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</si>
  <si>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</si>
  <si>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</si>
  <si>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</si>
  <si>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</si>
  <si>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</si>
  <si>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</si>
  <si>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</si>
  <si>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</si>
  <si>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</si>
  <si>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</si>
  <si>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</si>
  <si>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</si>
  <si>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</si>
  <si>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</si>
  <si>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</si>
  <si>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</si>
  <si>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</si>
  <si>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</si>
  <si>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</si>
  <si>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</si>
  <si>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</si>
  <si>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</si>
  <si>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</si>
  <si>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</si>
  <si>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</si>
  <si>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</si>
  <si>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</si>
  <si>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</si>
  <si>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</si>
  <si>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</si>
  <si>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</si>
  <si>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</si>
  <si>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</si>
  <si>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</si>
  <si>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</si>
  <si>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</si>
  <si>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</si>
  <si>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</si>
  <si>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</si>
  <si>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</si>
  <si>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</si>
  <si>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</si>
  <si>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</si>
  <si>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</si>
  <si>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</si>
  <si>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</si>
  <si>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</si>
  <si>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</si>
  <si>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</si>
  <si>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</si>
  <si>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</si>
  <si>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</si>
  <si>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</si>
  <si>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</si>
  <si>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</si>
  <si>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</si>
  <si>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</si>
  <si>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</si>
  <si>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</si>
  <si>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</si>
  <si>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</si>
  <si>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</si>
  <si>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</si>
  <si>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</si>
  <si>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</si>
  <si>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</si>
  <si>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</si>
  <si>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</si>
  <si>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</si>
  <si>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</si>
  <si>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</si>
  <si>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</si>
  <si>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</si>
  <si>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</si>
  <si>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</si>
  <si>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</si>
  <si>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</si>
  <si>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</si>
  <si>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</si>
  <si>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</si>
  <si>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</si>
  <si>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</si>
  <si>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</si>
  <si>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</si>
  <si>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</si>
  <si>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</si>
  <si>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</si>
  <si>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</si>
  <si>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</si>
  <si>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</si>
  <si>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</si>
  <si>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</si>
  <si>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</si>
  <si>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</si>
  <si>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</si>
  <si>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</si>
  <si>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</si>
  <si>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</si>
  <si>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</si>
  <si>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</si>
  <si>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</si>
  <si>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</si>
  <si>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</si>
  <si>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</si>
  <si>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</si>
  <si>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</si>
  <si>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</si>
  <si>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</si>
  <si>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</si>
  <si>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</si>
  <si>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</si>
  <si>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</si>
  <si>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</si>
  <si>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</si>
  <si>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</si>
  <si>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</si>
  <si>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</si>
  <si>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</si>
  <si>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</si>
  <si>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</si>
  <si>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</si>
  <si>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</si>
  <si>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</si>
  <si>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</si>
  <si>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</si>
  <si>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</si>
  <si>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</si>
  <si>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</si>
  <si>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</si>
  <si>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</si>
  <si>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</si>
  <si>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</si>
  <si>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</si>
  <si>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</si>
  <si>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</si>
  <si>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</si>
  <si>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</si>
  <si>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</si>
  <si>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</si>
  <si>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</si>
  <si>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</si>
  <si>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</si>
  <si>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</si>
  <si>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</si>
  <si>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</si>
  <si>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</si>
  <si>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</si>
  <si>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</si>
  <si>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</si>
  <si>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</si>
  <si>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</si>
  <si>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</si>
  <si>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</si>
  <si>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</si>
  <si>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</si>
  <si>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</si>
  <si>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</si>
  <si>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</si>
  <si>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</si>
  <si>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</si>
  <si>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</si>
  <si>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</si>
  <si>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</si>
  <si>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</si>
  <si>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</si>
  <si>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</si>
  <si>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</si>
  <si>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</si>
  <si>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</si>
  <si>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</si>
  <si>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</si>
  <si>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</si>
  <si>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</si>
  <si>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</si>
  <si>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</si>
  <si>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</si>
  <si>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</si>
  <si>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</si>
  <si>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</si>
  <si>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</si>
  <si>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</si>
  <si>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</si>
  <si>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</si>
  <si>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</si>
  <si>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</si>
  <si>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</si>
  <si>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</si>
  <si>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</si>
  <si>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</si>
  <si>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</si>
  <si>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</si>
  <si>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</si>
  <si>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</si>
  <si>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</si>
  <si>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</si>
  <si>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</si>
  <si>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</si>
  <si>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</si>
  <si>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</si>
  <si>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</si>
  <si>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</si>
  <si>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</si>
  <si>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</si>
  <si>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</si>
  <si>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</si>
  <si>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</si>
  <si>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</si>
  <si>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</si>
  <si>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</si>
  <si>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</si>
  <si>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</si>
  <si>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</si>
  <si>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</si>
  <si>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</si>
  <si>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</si>
  <si>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</si>
  <si>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</si>
  <si>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</si>
  <si>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</si>
  <si>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</si>
  <si>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</si>
  <si>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</si>
  <si>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</si>
  <si>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</si>
  <si>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</si>
  <si>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</si>
  <si>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</si>
  <si>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</si>
  <si>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</si>
  <si>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</si>
  <si>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</si>
  <si>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</si>
  <si>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</si>
  <si>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</si>
  <si>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</si>
  <si>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</si>
  <si>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</si>
  <si>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</si>
  <si>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</si>
  <si>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</si>
  <si>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</si>
  <si>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</si>
  <si>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</si>
  <si>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</si>
  <si>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</si>
  <si>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</si>
  <si>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</si>
  <si>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</si>
  <si>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</si>
  <si>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</si>
  <si>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</si>
  <si>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</si>
  <si>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</si>
  <si>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</si>
  <si>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</si>
  <si>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</si>
  <si>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</si>
  <si>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</si>
  <si>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</si>
  <si>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</si>
  <si>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</si>
  <si>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</si>
  <si>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</si>
  <si>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</si>
  <si>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</si>
  <si>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</si>
  <si>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</si>
  <si>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</si>
  <si>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</si>
  <si>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</si>
  <si>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</si>
  <si>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</si>
  <si>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</si>
  <si>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</si>
  <si>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</si>
  <si>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</si>
  <si>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</si>
  <si>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</si>
  <si>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</si>
  <si>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</si>
  <si>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</si>
  <si>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</si>
  <si>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</si>
  <si>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</si>
  <si>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</si>
  <si>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</si>
  <si>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</si>
  <si>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</si>
  <si>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</si>
  <si>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</si>
  <si>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</si>
  <si>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</si>
  <si>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</si>
  <si>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</si>
  <si>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</si>
  <si>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</si>
  <si>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</si>
  <si>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</si>
  <si>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</si>
  <si>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</si>
  <si>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</si>
  <si>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</si>
  <si>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</si>
  <si>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</si>
  <si>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</si>
  <si>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</si>
  <si>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</si>
  <si>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</si>
  <si>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</si>
  <si>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</si>
  <si>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</si>
  <si>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</si>
  <si>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</si>
  <si>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</si>
  <si>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</si>
  <si>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</si>
  <si>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</si>
  <si>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</si>
  <si>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</si>
  <si>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</si>
  <si>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</si>
  <si>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</si>
  <si>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</si>
  <si>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</si>
  <si>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</si>
  <si>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</si>
  <si>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</si>
  <si>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</si>
  <si>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</si>
  <si>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</si>
  <si>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</si>
  <si>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</si>
  <si>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</si>
  <si>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</si>
  <si>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</si>
  <si>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</si>
  <si>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</si>
  <si>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</si>
  <si>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</si>
  <si>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</si>
  <si>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</si>
  <si>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</si>
  <si>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</si>
  <si>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</si>
  <si>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</si>
  <si>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</si>
  <si>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</si>
  <si>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</si>
  <si>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</si>
  <si>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</si>
  <si>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</si>
  <si>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</si>
  <si>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</si>
  <si>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</si>
  <si>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</si>
  <si>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</si>
  <si>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</si>
  <si>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</si>
  <si>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</si>
  <si>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</si>
  <si>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</si>
  <si>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</si>
  <si>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</si>
  <si>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</si>
  <si>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</si>
  <si>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</si>
  <si>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</si>
  <si>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</si>
  <si>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</si>
  <si>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</si>
  <si>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</si>
  <si>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</si>
  <si>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</si>
  <si>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</si>
  <si>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</si>
  <si>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</si>
  <si>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</si>
  <si>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</si>
  <si>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</si>
  <si>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</si>
  <si>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</si>
  <si>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</si>
  <si>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</si>
  <si>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</si>
  <si>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</si>
  <si>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</si>
  <si>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</si>
  <si>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</si>
  <si>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</si>
  <si>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</si>
  <si>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</si>
  <si>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</si>
  <si>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</si>
  <si>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</si>
  <si>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</si>
  <si>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</si>
  <si>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</si>
  <si>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</si>
  <si>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</si>
  <si>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</si>
  <si>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</si>
  <si>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</si>
  <si>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</si>
  <si>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</si>
  <si>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</si>
  <si>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</si>
  <si>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</si>
  <si>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</si>
  <si>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</si>
  <si>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</si>
  <si>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</si>
  <si>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</si>
  <si>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</si>
  <si>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</si>
  <si>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</si>
  <si>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</si>
  <si>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</si>
  <si>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</si>
  <si>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</si>
  <si>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</si>
  <si>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</si>
  <si>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</si>
  <si>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</si>
  <si>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</si>
  <si>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</si>
  <si>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</si>
  <si>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</si>
  <si>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</si>
  <si>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</si>
  <si>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</si>
  <si>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</si>
  <si>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</si>
  <si>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</si>
  <si>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</si>
  <si>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</si>
  <si>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</si>
  <si>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</si>
  <si>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</si>
  <si>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</si>
  <si>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</si>
  <si>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</si>
  <si>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</si>
  <si>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</si>
  <si>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</si>
  <si>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</si>
  <si>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</si>
  <si>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</si>
  <si>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</si>
  <si>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</si>
  <si>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</si>
  <si>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</si>
  <si>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</si>
  <si>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</si>
  <si>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</si>
  <si>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</si>
  <si>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</si>
  <si>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</si>
  <si>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</si>
  <si>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</si>
  <si>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</si>
  <si>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</si>
  <si>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</si>
  <si>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</si>
  <si>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</si>
  <si>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</si>
  <si>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</si>
  <si>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</si>
  <si>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</si>
  <si>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</si>
  <si>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</si>
  <si>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</si>
  <si>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</si>
  <si>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</si>
  <si>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</si>
  <si>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</si>
  <si>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</si>
  <si>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</si>
  <si>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</si>
  <si>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</si>
  <si>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</si>
  <si>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</si>
  <si>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</si>
  <si>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</si>
  <si>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</si>
  <si>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</si>
  <si>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</si>
  <si>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</si>
  <si>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</si>
  <si>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</si>
  <si>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</si>
  <si>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</si>
  <si>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</si>
  <si>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</si>
  <si>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</si>
  <si>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</si>
  <si>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</si>
  <si>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</si>
  <si>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</si>
  <si>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</si>
  <si>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</si>
  <si>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</si>
  <si>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</si>
  <si>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</si>
  <si>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</si>
  <si>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</si>
  <si>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</si>
  <si>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</si>
  <si>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</si>
  <si>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</si>
  <si>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</si>
  <si>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</si>
  <si>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</si>
  <si>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</si>
  <si>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</si>
  <si>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</si>
  <si>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</si>
  <si>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</si>
  <si>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</si>
  <si>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</si>
  <si>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</si>
  <si>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</si>
  <si>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</si>
  <si>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</si>
  <si>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</si>
  <si>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</si>
  <si>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</si>
  <si>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</si>
  <si>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</si>
  <si>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</si>
  <si>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</si>
  <si>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</si>
  <si>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</si>
  <si>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</si>
  <si>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</si>
  <si>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</si>
  <si>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</si>
  <si>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</si>
  <si>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</si>
  <si>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</si>
  <si>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</si>
  <si>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</si>
  <si>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</si>
  <si>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</si>
  <si>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</si>
  <si>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</si>
  <si>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</si>
  <si>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</si>
  <si>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</si>
  <si>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</si>
  <si>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</si>
  <si>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</si>
  <si>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</si>
  <si>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</si>
  <si>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</si>
  <si>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</si>
  <si>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</si>
  <si>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</si>
  <si>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</si>
  <si>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</si>
  <si>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</si>
  <si>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</si>
  <si>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</si>
  <si>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</si>
  <si>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</si>
  <si>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</si>
  <si>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</si>
  <si>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</si>
  <si>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</si>
  <si>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</si>
  <si>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</si>
  <si>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</si>
  <si>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</si>
  <si>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</si>
  <si>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</si>
  <si>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</si>
  <si>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</si>
  <si>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</si>
  <si>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</si>
  <si>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</si>
  <si>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</si>
  <si>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</si>
  <si>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</si>
  <si>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</si>
  <si>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</si>
  <si>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</si>
  <si>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</si>
  <si>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</si>
  <si>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</si>
  <si>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</si>
  <si>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</si>
  <si>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</si>
  <si>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</si>
  <si>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</si>
  <si>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</si>
  <si>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</si>
  <si>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</si>
  <si>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</si>
  <si>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</si>
  <si>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</si>
  <si>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</si>
  <si>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</si>
  <si>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</si>
  <si>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</si>
  <si>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</si>
  <si>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</si>
  <si>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</si>
  <si>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</si>
  <si>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</si>
  <si>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</si>
  <si>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</si>
  <si>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</si>
  <si>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</si>
  <si>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</si>
  <si>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</si>
  <si>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</si>
  <si>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</si>
  <si>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</si>
  <si>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</si>
  <si>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</si>
  <si>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</si>
  <si>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</si>
  <si>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</si>
  <si>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</si>
  <si>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</si>
  <si>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</si>
  <si>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</si>
  <si>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</si>
  <si>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</si>
  <si>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</si>
  <si>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</si>
  <si>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</si>
  <si>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</si>
  <si>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</si>
  <si>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</si>
  <si>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</si>
  <si>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</si>
  <si>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</si>
  <si>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</si>
  <si>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</si>
  <si>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</si>
  <si>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</si>
  <si>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</si>
  <si>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</si>
  <si>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</si>
  <si>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</si>
  <si>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</si>
  <si>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</si>
  <si>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</si>
  <si>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</si>
  <si>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</si>
  <si>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</si>
  <si>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</si>
  <si>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</si>
  <si>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</si>
  <si>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</si>
  <si>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</si>
  <si>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</si>
  <si>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</si>
  <si>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</si>
  <si>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</si>
  <si>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</si>
  <si>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</si>
  <si>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</si>
  <si>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</si>
  <si>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</si>
  <si>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</si>
  <si>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</si>
  <si>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</si>
  <si>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</si>
  <si>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</si>
  <si>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</si>
  <si>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</si>
  <si>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</si>
  <si>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</si>
  <si>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</si>
  <si>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</si>
  <si>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</si>
  <si>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</si>
  <si>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</si>
  <si>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</si>
  <si>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</si>
  <si>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</si>
  <si>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</si>
  <si>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</si>
  <si>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</si>
  <si>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</si>
  <si>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</si>
  <si>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</si>
  <si>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</si>
  <si>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</si>
  <si>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</si>
  <si>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</si>
  <si>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</si>
  <si>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</si>
  <si>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</si>
  <si>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</si>
  <si>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</si>
  <si>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</si>
  <si>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</si>
  <si>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</si>
  <si>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</si>
  <si>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</si>
  <si>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</si>
  <si>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</si>
  <si>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</si>
  <si>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</si>
  <si>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</si>
  <si>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</si>
  <si>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</si>
  <si>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</si>
  <si>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</si>
  <si>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</si>
  <si>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</si>
  <si>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</si>
  <si>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</si>
  <si>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</si>
  <si>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</si>
  <si>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</si>
  <si>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</si>
  <si>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</si>
  <si>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</si>
  <si>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</si>
  <si>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</si>
  <si>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</si>
  <si>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</si>
  <si>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</si>
  <si>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</si>
  <si>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</si>
  <si>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</si>
  <si>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</si>
  <si>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</si>
  <si>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</si>
  <si>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</si>
  <si>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</si>
  <si>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</si>
  <si>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</si>
  <si>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</si>
  <si>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</si>
  <si>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</si>
  <si>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</si>
  <si>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</si>
  <si>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</si>
  <si>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</si>
  <si>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</si>
  <si>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</si>
  <si>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</si>
  <si>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</si>
  <si>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</si>
  <si>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</si>
  <si>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</si>
  <si>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</si>
  <si>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</si>
  <si>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</si>
  <si>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</si>
  <si>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</si>
  <si>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</si>
  <si>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</si>
  <si>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</si>
  <si>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</si>
  <si>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</si>
  <si>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</si>
  <si>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</si>
  <si>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</si>
  <si>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</si>
  <si>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</si>
  <si>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</si>
  <si>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</si>
  <si>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</si>
  <si>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</si>
  <si>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</si>
  <si>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</si>
  <si>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</si>
  <si>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</si>
  <si>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</si>
  <si>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</si>
  <si>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</si>
  <si>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</si>
  <si>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</si>
  <si>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</si>
  <si>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</si>
  <si>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</si>
  <si>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</si>
  <si>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</si>
  <si>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</si>
  <si>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</si>
  <si>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</si>
  <si>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</si>
  <si>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</si>
  <si>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</si>
  <si>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</si>
  <si>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</si>
  <si>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</si>
  <si>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</si>
  <si>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</si>
  <si>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</si>
  <si>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</si>
  <si>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</si>
  <si>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</si>
  <si>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</si>
  <si>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</si>
  <si>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</si>
  <si>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</si>
  <si>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</si>
  <si>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</si>
  <si>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</si>
  <si>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</si>
  <si>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</si>
  <si>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</si>
  <si>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</si>
  <si>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</si>
  <si>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</si>
  <si>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</si>
  <si>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</si>
  <si>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</si>
  <si>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</si>
  <si>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</si>
  <si>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</si>
  <si>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</si>
  <si>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</si>
  <si>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</si>
  <si>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</si>
  <si>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</si>
  <si>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</si>
  <si>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</si>
  <si>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</si>
  <si>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</si>
  <si>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</si>
  <si>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</si>
  <si>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</si>
  <si>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</si>
  <si>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</si>
  <si>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</si>
  <si>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</si>
  <si>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</si>
  <si>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</si>
  <si>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</si>
  <si>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</si>
  <si>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</si>
  <si>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</si>
  <si>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</si>
  <si>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</si>
  <si>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</si>
  <si>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</si>
  <si>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</si>
  <si>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</si>
  <si>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</si>
  <si>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</si>
  <si>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</si>
  <si>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</si>
  <si>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</si>
  <si>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</si>
  <si>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</si>
  <si>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</si>
  <si>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</si>
  <si>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</si>
  <si>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</si>
  <si>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</si>
  <si>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</si>
  <si>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</si>
  <si>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</si>
  <si>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</si>
  <si>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</si>
  <si>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</si>
  <si>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</si>
  <si>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</si>
  <si>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</si>
  <si>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</si>
  <si>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</si>
  <si>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</si>
  <si>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</si>
  <si>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</si>
  <si>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</si>
  <si>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</si>
  <si>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</si>
  <si>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</si>
  <si>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</si>
  <si>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</si>
  <si>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</si>
  <si>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</si>
  <si>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</si>
  <si>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</si>
  <si>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</si>
  <si>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</si>
  <si>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</si>
  <si>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</si>
  <si>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</si>
  <si>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</si>
  <si>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</si>
  <si>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</si>
  <si>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</si>
  <si>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</si>
  <si>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</si>
  <si>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</si>
  <si>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</si>
  <si>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</si>
  <si>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</si>
  <si>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</si>
  <si>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</si>
  <si>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</si>
  <si>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</si>
  <si>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</si>
  <si>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</si>
  <si>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</si>
  <si>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</si>
  <si>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</si>
  <si>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</si>
  <si>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</si>
  <si>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</si>
  <si>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</si>
  <si>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</si>
  <si>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</si>
  <si>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</si>
  <si>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</si>
  <si>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</si>
  <si>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</si>
  <si>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</si>
  <si>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</si>
  <si>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</si>
  <si>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</si>
  <si>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</si>
  <si>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</si>
  <si>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</si>
  <si>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</si>
  <si>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</si>
  <si>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</si>
  <si>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</si>
  <si>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</si>
  <si>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</si>
  <si>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</si>
  <si>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</si>
  <si>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</si>
  <si>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</si>
  <si>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</si>
  <si>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</si>
  <si>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</si>
  <si>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</si>
  <si>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</si>
  <si>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</si>
  <si>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</si>
  <si>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</si>
  <si>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</si>
  <si>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</si>
  <si>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</si>
  <si>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</si>
  <si>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</si>
  <si>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</si>
  <si>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</si>
  <si>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</si>
  <si>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</si>
  <si>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</si>
  <si>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</si>
  <si>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</si>
  <si>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</si>
  <si>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</si>
  <si>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</si>
  <si>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</si>
  <si>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</si>
  <si>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</si>
  <si>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</si>
  <si>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</si>
  <si>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</si>
  <si>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</si>
  <si>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</si>
  <si>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</si>
  <si>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</si>
  <si>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</si>
  <si>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</si>
  <si>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</si>
  <si>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</si>
  <si>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</si>
  <si>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</si>
  <si>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</si>
  <si>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</si>
  <si>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</si>
  <si>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</si>
  <si>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</si>
  <si>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</si>
  <si>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</si>
  <si>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</si>
  <si>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</si>
  <si>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</si>
  <si>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</si>
  <si>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</si>
  <si>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</si>
  <si>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</si>
  <si>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</si>
  <si>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</si>
  <si>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</si>
  <si>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</si>
  <si>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</si>
  <si>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</si>
  <si>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</si>
  <si>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</si>
  <si>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</si>
  <si>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</si>
  <si>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</si>
  <si>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</si>
  <si>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</si>
  <si>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</si>
  <si>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</si>
  <si>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</si>
  <si>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</si>
  <si>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</si>
  <si>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</si>
  <si>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</si>
  <si>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</si>
  <si>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</si>
  <si>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</si>
  <si>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</si>
  <si>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</si>
  <si>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</si>
  <si>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</si>
  <si>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</si>
  <si>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</si>
  <si>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</si>
  <si>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</si>
  <si>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</si>
  <si>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</si>
  <si>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</si>
  <si>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</si>
  <si>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</si>
  <si>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</si>
  <si>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</si>
  <si>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</si>
  <si>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</si>
  <si>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</si>
  <si>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</si>
  <si>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</si>
  <si>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</si>
  <si>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</si>
  <si>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</si>
  <si>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</si>
  <si>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</si>
  <si>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</si>
  <si>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</si>
  <si>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</si>
  <si>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</si>
  <si>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</si>
  <si>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</si>
  <si>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</si>
  <si>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</si>
  <si>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</si>
  <si>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</si>
  <si>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</si>
  <si>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</si>
  <si>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</si>
  <si>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</si>
  <si>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</si>
  <si>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</si>
  <si>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</si>
  <si>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</si>
  <si>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</si>
  <si>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</si>
  <si>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</si>
  <si>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</si>
  <si>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</si>
  <si>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</si>
  <si>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</si>
  <si>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</si>
  <si>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</si>
  <si>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</si>
  <si>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</si>
  <si>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</si>
  <si>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</si>
  <si>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</si>
  <si>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</si>
  <si>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</si>
  <si>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</si>
  <si>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</si>
  <si>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</si>
  <si>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</si>
  <si>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</si>
  <si>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</si>
  <si>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</si>
  <si>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</si>
  <si>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</si>
  <si>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</si>
  <si>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</si>
  <si>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</si>
  <si>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</si>
  <si>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</si>
  <si>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</si>
  <si>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</si>
  <si>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</si>
  <si>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</si>
  <si>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</si>
  <si>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</si>
  <si>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</si>
  <si>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</si>
  <si>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</si>
  <si>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</si>
  <si>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</si>
  <si>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</si>
  <si>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</si>
  <si>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</si>
  <si>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</si>
  <si>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</si>
  <si>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</si>
  <si>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</si>
  <si>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</si>
  <si>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</si>
  <si>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</si>
  <si>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</si>
  <si>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</si>
  <si>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</si>
  <si>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</si>
  <si>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</si>
  <si>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</si>
  <si>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</si>
  <si>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</si>
  <si>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</si>
  <si>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</si>
  <si>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</si>
  <si>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</si>
  <si>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</si>
  <si>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</si>
  <si>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</si>
  <si>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</si>
  <si>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</si>
  <si>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</si>
  <si>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</si>
  <si>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</si>
  <si>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</si>
  <si>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</si>
  <si>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</si>
  <si>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</si>
  <si>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</si>
  <si>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</si>
  <si>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</si>
  <si>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</si>
  <si>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</si>
  <si>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</si>
  <si>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</si>
  <si>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</si>
  <si>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</si>
  <si>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</si>
  <si>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</si>
  <si>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</si>
  <si>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</si>
  <si>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</si>
  <si>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</si>
  <si>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</si>
  <si>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</si>
  <si>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</si>
  <si>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</si>
  <si>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</si>
  <si>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</si>
  <si>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</si>
  <si>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</si>
  <si>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</si>
  <si>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</si>
  <si>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</si>
  <si>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</si>
  <si>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</si>
  <si>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</si>
  <si>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</si>
  <si>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</si>
  <si>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</si>
  <si>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</si>
  <si>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</si>
  <si>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</si>
  <si>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</si>
  <si>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</si>
  <si>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</si>
  <si>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</si>
  <si>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</si>
  <si>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</si>
  <si>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</si>
  <si>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</si>
  <si>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</si>
  <si>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</si>
  <si>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</si>
  <si>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</si>
  <si>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</si>
  <si>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</si>
  <si>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</si>
  <si>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</si>
  <si>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</si>
  <si>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</si>
  <si>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</si>
  <si>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</si>
  <si>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</si>
  <si>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</si>
  <si>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</si>
  <si>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</si>
  <si>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</si>
  <si>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</si>
  <si>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</si>
  <si>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</si>
  <si>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</si>
  <si>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</si>
  <si>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</si>
  <si>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</si>
  <si>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</si>
  <si>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</si>
  <si>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</si>
  <si>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</si>
  <si>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</si>
  <si>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</si>
  <si>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</si>
  <si>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</si>
  <si>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</si>
  <si>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</si>
  <si>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</si>
  <si>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</si>
  <si>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</si>
  <si>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</si>
  <si>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</si>
  <si>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</si>
  <si>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</si>
  <si>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</si>
  <si>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</si>
  <si>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</si>
  <si>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</si>
  <si>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</si>
  <si>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</si>
  <si>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</si>
  <si>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</si>
  <si>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</si>
  <si>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</si>
  <si>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</si>
  <si>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</si>
  <si>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</si>
  <si>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</si>
  <si>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</si>
  <si>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</si>
  <si>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</si>
  <si>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</si>
  <si>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</si>
  <si>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</si>
  <si>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</si>
  <si>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</si>
  <si>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</si>
  <si>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</si>
  <si>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</si>
  <si>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</si>
  <si>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</si>
  <si>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</si>
  <si>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</si>
  <si>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</si>
  <si>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</si>
  <si>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</si>
  <si>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</si>
  <si>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</si>
  <si>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</si>
  <si>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</si>
  <si>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</si>
  <si>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</si>
  <si>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</si>
  <si>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</si>
  <si>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</si>
  <si>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</si>
  <si>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</si>
  <si>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</si>
  <si>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</si>
  <si>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</si>
  <si>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</si>
  <si>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</si>
  <si>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</si>
  <si>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</si>
  <si>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</si>
  <si>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</si>
  <si>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</si>
  <si>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</si>
  <si>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</si>
  <si>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</si>
  <si>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</si>
  <si>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</si>
  <si>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</si>
  <si>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</si>
  <si>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</si>
  <si>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</si>
  <si>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</si>
  <si>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</si>
  <si>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</si>
  <si>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</si>
  <si>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</si>
  <si>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</si>
  <si>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</si>
  <si>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</si>
  <si>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</si>
  <si>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</si>
  <si>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</si>
  <si>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</si>
  <si>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</si>
  <si>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</si>
  <si>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</si>
  <si>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</si>
  <si>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</si>
  <si>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</si>
  <si>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</si>
  <si>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</si>
  <si>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</si>
  <si>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</si>
  <si>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</si>
  <si>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</si>
  <si>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</si>
  <si>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</si>
  <si>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</si>
  <si>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</si>
  <si>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</si>
  <si>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</si>
  <si>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</si>
  <si>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</si>
  <si>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</si>
  <si>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</si>
  <si>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</si>
  <si>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</si>
  <si>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</si>
  <si>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</si>
  <si>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</si>
  <si>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</si>
  <si>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</si>
  <si>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</si>
  <si>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</si>
  <si>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</si>
  <si>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</si>
  <si>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</si>
  <si>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</si>
  <si>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</si>
  <si>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</si>
  <si>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</si>
  <si>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</si>
  <si>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</si>
  <si>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</si>
  <si>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</si>
  <si>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</si>
  <si>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</si>
  <si>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</si>
  <si>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</si>
  <si>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</si>
  <si>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</si>
  <si>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</si>
  <si>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</si>
  <si>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</si>
  <si>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</si>
  <si>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</si>
  <si>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</si>
  <si>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</si>
  <si>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</si>
  <si>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</si>
  <si>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</si>
  <si>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</si>
  <si>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</si>
  <si>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</si>
  <si>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</si>
  <si>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</si>
  <si>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</si>
  <si>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</si>
  <si>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</si>
  <si>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</si>
  <si>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</si>
  <si>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</si>
  <si>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</si>
  <si>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</si>
  <si>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</si>
  <si>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</si>
  <si>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</si>
  <si>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</si>
  <si>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</si>
  <si>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</si>
  <si>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</si>
  <si>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</si>
  <si>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</si>
  <si>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</si>
  <si>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</si>
  <si>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</si>
  <si>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</si>
  <si>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</si>
  <si>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</si>
  <si>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</si>
  <si>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</si>
  <si>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</si>
  <si>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</si>
  <si>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</si>
  <si>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</si>
  <si>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</si>
  <si>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</si>
  <si>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</si>
  <si>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</si>
  <si>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</si>
  <si>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</si>
  <si>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</si>
  <si>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</si>
  <si>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</si>
  <si>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</si>
  <si>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</si>
  <si>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</si>
  <si>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</si>
  <si>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</si>
  <si>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</si>
  <si>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</si>
  <si>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</si>
  <si>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</si>
  <si>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</si>
  <si>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</si>
  <si>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</si>
  <si>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</si>
  <si>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</si>
  <si>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</si>
  <si>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</si>
  <si>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</si>
  <si>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</si>
  <si>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</si>
  <si>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</si>
  <si>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</si>
  <si>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</si>
  <si>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</si>
  <si>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</si>
  <si>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</si>
  <si>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</si>
  <si>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</si>
  <si>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</si>
  <si>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</si>
  <si>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</si>
  <si>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</si>
  <si>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</si>
  <si>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</si>
  <si>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</si>
  <si>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</si>
  <si>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</si>
  <si>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</si>
  <si>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</si>
  <si>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</si>
  <si>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</si>
  <si>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</si>
  <si>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</si>
  <si>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</si>
  <si>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</si>
  <si>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</si>
  <si>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</si>
  <si>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</si>
  <si>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</si>
  <si>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</si>
  <si>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</si>
  <si>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</si>
  <si>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</si>
  <si>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</si>
  <si>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</si>
  <si>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</si>
  <si>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</si>
  <si>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</si>
  <si>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</si>
  <si>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</si>
  <si>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</si>
  <si>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</si>
  <si>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</si>
  <si>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</si>
  <si>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</si>
  <si>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</si>
  <si>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</si>
  <si>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</si>
  <si>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</si>
  <si>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</si>
  <si>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</si>
  <si>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</si>
  <si>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</si>
  <si>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</si>
  <si>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</si>
  <si>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</si>
  <si>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</si>
  <si>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</si>
  <si>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</si>
  <si>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</si>
  <si>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</si>
  <si>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</si>
  <si>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</si>
  <si>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</si>
  <si>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</si>
  <si>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</si>
  <si>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</si>
  <si>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</si>
  <si>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</si>
  <si>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</si>
  <si>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</si>
  <si>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</si>
  <si>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</si>
  <si>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</si>
  <si>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</si>
  <si>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</si>
  <si>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</si>
  <si>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</si>
  <si>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</si>
  <si>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</si>
  <si>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</si>
  <si>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</si>
  <si>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</si>
  <si>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</si>
  <si>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</si>
  <si>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</si>
  <si>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</si>
  <si>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</si>
  <si>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</si>
  <si>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</si>
  <si>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</si>
  <si>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</si>
  <si>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</si>
  <si>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</si>
  <si>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</si>
  <si>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</si>
  <si>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</si>
  <si>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</si>
  <si>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</si>
  <si>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</si>
  <si>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</si>
  <si>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</si>
  <si>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</si>
  <si>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</si>
  <si>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</si>
  <si>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</si>
  <si>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</si>
  <si>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</si>
  <si>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</si>
  <si>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</si>
  <si>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</si>
  <si>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</si>
  <si>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</si>
  <si>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</si>
  <si>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</si>
  <si>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</si>
  <si>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</si>
  <si>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</si>
  <si>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</si>
  <si>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</si>
  <si>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</si>
  <si>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</si>
  <si>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</si>
  <si>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</si>
  <si>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</si>
  <si>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</si>
  <si>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</si>
  <si>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</si>
  <si>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</si>
  <si>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</si>
  <si>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</si>
  <si>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</si>
  <si>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</si>
  <si>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</si>
  <si>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</si>
  <si>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</si>
  <si>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</si>
  <si>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</si>
  <si>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</si>
  <si>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</si>
  <si>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</si>
  <si>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</si>
  <si>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</si>
  <si>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</si>
  <si>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</si>
  <si>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</si>
  <si>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</si>
  <si>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</si>
  <si>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</si>
  <si>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</si>
  <si>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</si>
  <si>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</si>
  <si>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</si>
  <si>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</si>
  <si>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</si>
  <si>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</si>
  <si>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</si>
  <si>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</si>
  <si>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</si>
  <si>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</si>
  <si>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</si>
  <si>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</si>
  <si>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</si>
  <si>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</si>
  <si>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</si>
  <si>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</si>
  <si>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</si>
  <si>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</si>
  <si>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</si>
  <si>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</si>
  <si>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</si>
  <si>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</si>
  <si>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</si>
  <si>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</si>
  <si>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</si>
  <si>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</si>
  <si>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</si>
  <si>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</si>
  <si>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</si>
  <si>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</si>
  <si>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</si>
  <si>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</si>
  <si>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</si>
  <si>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</si>
  <si>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</si>
  <si>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</si>
  <si>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</si>
  <si>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</si>
  <si>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</si>
  <si>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</si>
  <si>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</si>
  <si>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</si>
  <si>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</si>
  <si>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</si>
  <si>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</si>
  <si>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</si>
  <si>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</si>
  <si>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</si>
  <si>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</si>
  <si>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</si>
  <si>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</si>
  <si>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</si>
  <si>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</si>
  <si>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</si>
  <si>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</si>
  <si>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</si>
  <si>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</si>
  <si>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</si>
  <si>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</si>
  <si>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</si>
  <si>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</si>
  <si>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</si>
  <si>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</si>
  <si>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</si>
  <si>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</si>
  <si>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</si>
  <si>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</si>
  <si>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</si>
  <si>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</si>
  <si>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</si>
  <si>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</si>
  <si>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</si>
  <si>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</si>
  <si>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</si>
  <si>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</si>
  <si>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</si>
  <si>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</si>
  <si>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</si>
  <si>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</si>
  <si>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</si>
  <si>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</si>
  <si>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</si>
  <si>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</si>
  <si>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</si>
  <si>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</si>
  <si>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</si>
  <si>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</si>
  <si>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</si>
  <si>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</si>
  <si>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</si>
  <si>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</si>
  <si>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</si>
  <si>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</si>
  <si>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</si>
  <si>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</si>
  <si>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</si>
  <si>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</si>
  <si>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</si>
  <si>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</si>
  <si>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</si>
  <si>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</si>
  <si>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</si>
  <si>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</si>
  <si>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</si>
  <si>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</si>
  <si>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</si>
  <si>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</si>
  <si>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</si>
  <si>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</si>
  <si>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</si>
  <si>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</si>
  <si>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</si>
  <si>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</si>
  <si>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</si>
  <si>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</si>
  <si>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</si>
  <si>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</si>
  <si>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</si>
  <si>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</si>
  <si>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</si>
  <si>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</si>
  <si>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</si>
  <si>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</si>
  <si>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</si>
  <si>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</si>
  <si>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</si>
  <si>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</si>
  <si>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</si>
  <si>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</si>
  <si>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</si>
  <si>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</si>
  <si>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</si>
  <si>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</si>
  <si>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</si>
  <si>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</si>
  <si>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</si>
  <si>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</si>
  <si>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</si>
  <si>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</si>
  <si>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</si>
  <si>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</si>
  <si>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</si>
  <si>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</si>
  <si>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</si>
  <si>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</si>
  <si>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</si>
  <si>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</si>
  <si>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</si>
  <si>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</si>
  <si>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</si>
  <si>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</si>
  <si>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</si>
  <si>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</si>
  <si>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</si>
  <si>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</si>
  <si>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</si>
  <si>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</si>
  <si>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</si>
  <si>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</si>
  <si>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</si>
  <si>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</si>
  <si>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</si>
  <si>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</si>
  <si>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</si>
  <si>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</si>
  <si>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</si>
  <si>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</si>
  <si>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</si>
  <si>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</si>
  <si>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</si>
  <si>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</si>
  <si>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</si>
  <si>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</si>
  <si>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</si>
  <si>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</si>
  <si>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</si>
  <si>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</si>
  <si>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</si>
  <si>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</si>
  <si>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</si>
  <si>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</si>
  <si>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</si>
  <si>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</si>
  <si>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</si>
  <si>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</si>
  <si>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</si>
  <si>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</si>
  <si>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</si>
  <si>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</si>
  <si>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</si>
  <si>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</si>
  <si>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</si>
  <si>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</si>
  <si>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</si>
  <si>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</si>
  <si>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</si>
  <si>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</si>
  <si>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</si>
  <si>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</si>
  <si>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</si>
  <si>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</si>
  <si>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</si>
  <si>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</si>
  <si>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</si>
  <si>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</si>
  <si>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</si>
  <si>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</si>
  <si>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</si>
  <si>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</si>
  <si>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</si>
  <si>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</si>
  <si>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</si>
  <si>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</si>
  <si>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</si>
  <si>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</si>
  <si>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</si>
  <si>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</si>
  <si>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</si>
  <si>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</si>
  <si>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</si>
  <si>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</si>
  <si>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</si>
  <si>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</si>
  <si>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</si>
  <si>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</si>
  <si>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</si>
  <si>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</si>
  <si>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</si>
  <si>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</si>
  <si>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</si>
  <si>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</si>
  <si>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</si>
  <si>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</si>
  <si>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</si>
  <si>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</si>
  <si>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</si>
  <si>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</si>
  <si>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</si>
  <si>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</si>
  <si>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</si>
  <si>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</si>
  <si>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</si>
  <si>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</si>
  <si>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</si>
  <si>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</si>
  <si>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</si>
  <si>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</si>
  <si>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</si>
  <si>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</si>
  <si>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</si>
  <si>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</si>
  <si>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</si>
  <si>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</si>
  <si>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</si>
  <si>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</si>
  <si>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</si>
  <si>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</si>
  <si>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</si>
  <si>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</si>
  <si>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</si>
  <si>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</si>
  <si>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</si>
  <si>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</si>
  <si>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</si>
  <si>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</si>
  <si>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</si>
  <si>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</si>
  <si>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</si>
  <si>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</si>
  <si>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</si>
  <si>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</si>
  <si>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</si>
  <si>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</si>
  <si>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</si>
  <si>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</si>
  <si>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</si>
  <si>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</si>
  <si>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</si>
  <si>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</si>
  <si>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</si>
  <si>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</si>
  <si>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</si>
  <si>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</si>
  <si>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</si>
  <si>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2023-11-24 12:38:19</t>
  </si>
  <si>
    <t>2023-11-24 12:38:48</t>
  </si>
  <si>
    <t>2023-11-24 12:39:17</t>
  </si>
  <si>
    <t>2023-11-24 12:39:46</t>
  </si>
  <si>
    <t>2023-11-24 13:08:46</t>
  </si>
  <si>
    <t>2023-11-24 13:09:15</t>
  </si>
  <si>
    <t>2023-11-24 13:09:43</t>
  </si>
  <si>
    <t>2023-11-24 13:10:13</t>
  </si>
  <si>
    <t>2023-11-24 13:10:42</t>
  </si>
  <si>
    <t>2023-11-25 07:57:06</t>
  </si>
  <si>
    <t>2023-11-25 07:57:36</t>
  </si>
  <si>
    <t>2023-11-25 07:58:04</t>
  </si>
  <si>
    <t>2023-11-25 07:58:33</t>
  </si>
  <si>
    <t>2023-11-25 07:59:03</t>
  </si>
  <si>
    <t>2023-11-25 07:59:32</t>
  </si>
  <si>
    <t>2023-11-25 08:00:00</t>
  </si>
  <si>
    <t>2023-11-25 08:00:29</t>
  </si>
  <si>
    <t>2023-11-25 08:00:58</t>
  </si>
  <si>
    <t>2023-11-25 08:01:28</t>
  </si>
  <si>
    <t>2023-11-25 08:01:56</t>
  </si>
  <si>
    <t>2023-11-25 08:02:25</t>
  </si>
  <si>
    <t>2023-11-25 08:02:54</t>
  </si>
  <si>
    <t>2023-11-25 08:03:24</t>
  </si>
  <si>
    <t>2023-11-25 08:03:53</t>
  </si>
  <si>
    <t>2023-11-25 08:04:21</t>
  </si>
  <si>
    <t>2023-11-25 08:04:50</t>
  </si>
  <si>
    <t>2023-11-25 08:06:26</t>
  </si>
  <si>
    <t>2023-11-25 08:06:46</t>
  </si>
  <si>
    <t>2023-11-25 08:07:15</t>
  </si>
  <si>
    <t>2023-11-25 08:07:45</t>
  </si>
  <si>
    <t>2023-11-25 08:08:14</t>
  </si>
  <si>
    <t>2023-11-25 08:08:42</t>
  </si>
  <si>
    <t>2023-11-25 08:09:11</t>
  </si>
  <si>
    <t>2023-11-25 08:09:41</t>
  </si>
  <si>
    <t>2023-11-25 08:10:10</t>
  </si>
  <si>
    <t>2023-11-25 08:10:38</t>
  </si>
  <si>
    <t>2023-11-25 08:11:07</t>
  </si>
  <si>
    <t>2023-11-25 08:11:37</t>
  </si>
  <si>
    <t>2023-11-25 08:12:06</t>
  </si>
  <si>
    <t>2023-11-25 08:12:34</t>
  </si>
  <si>
    <t>2023-11-25 08:13:03</t>
  </si>
  <si>
    <t>2023-11-25 08:13:33</t>
  </si>
  <si>
    <t>2023-11-25 08:14:02</t>
  </si>
  <si>
    <t>2023-11-25 08:14:30</t>
  </si>
  <si>
    <t>2023-11-25 08:14:59</t>
  </si>
  <si>
    <t>2023-11-25 08:15:29</t>
  </si>
  <si>
    <t>2023-11-25 08:15:58</t>
  </si>
  <si>
    <t>2023-11-25 08:16:26</t>
  </si>
  <si>
    <t>2023-11-25 08:16:55</t>
  </si>
  <si>
    <t>2023-11-25 08:17:24</t>
  </si>
  <si>
    <t>2023-11-25 08:17:54</t>
  </si>
  <si>
    <t>2023-11-25 08:18:22</t>
  </si>
  <si>
    <t>2023-11-25 08:18:51</t>
  </si>
  <si>
    <t>2023-11-25 08:19:20</t>
  </si>
  <si>
    <t>2023-11-25 08:24:18</t>
  </si>
  <si>
    <t>2023-11-25 08:24:47</t>
  </si>
  <si>
    <t>2023-11-25 08:25:17</t>
  </si>
  <si>
    <t>2023-11-25 08:25:45</t>
  </si>
  <si>
    <t>2023-11-25 08:26:14</t>
  </si>
  <si>
    <t>2023-11-25 08:26:43</t>
  </si>
  <si>
    <t>2023-11-25 08:27:13</t>
  </si>
  <si>
    <t>2023-11-25 08:27:41</t>
  </si>
  <si>
    <t>2023-11-25 08:28:10</t>
  </si>
  <si>
    <t>2023-11-25 08:28:39</t>
  </si>
  <si>
    <t>2023-11-25 08:29:09</t>
  </si>
  <si>
    <t>2023-11-25 08:29:37</t>
  </si>
  <si>
    <t>2023-11-25 08:30:06</t>
  </si>
  <si>
    <t>2023-11-25 08:30:35</t>
  </si>
  <si>
    <t>2023-11-25 08:31:05</t>
  </si>
  <si>
    <t>2023-11-25 08:31:33</t>
  </si>
  <si>
    <t>2023-11-25 08:32:02</t>
  </si>
  <si>
    <t>2023-11-25 08:32:31</t>
  </si>
  <si>
    <t>2023-11-25 08:33:00</t>
  </si>
  <si>
    <t>2023-11-25 08:33:29</t>
  </si>
  <si>
    <t>2023-11-25 08:33:58</t>
  </si>
  <si>
    <t>2023-11-25 08:34:27</t>
  </si>
  <si>
    <t>2023-11-25 08:34:56</t>
  </si>
  <si>
    <t>2023-11-25 08:35:26</t>
  </si>
  <si>
    <t>2023-11-25 08:35:54</t>
  </si>
  <si>
    <t>2023-11-25 08:36:23</t>
  </si>
  <si>
    <t>2023-11-25 08:36:52</t>
  </si>
  <si>
    <t>2023-11-25 08:37:22</t>
  </si>
  <si>
    <t>2023-11-25 08:37:50</t>
  </si>
  <si>
    <t>2023-11-25 08:38:19</t>
  </si>
  <si>
    <t>2023-11-25 08:38:48</t>
  </si>
  <si>
    <t>2023-11-25 08:39:18</t>
  </si>
  <si>
    <t>2023-11-25 08:39:46</t>
  </si>
  <si>
    <t>2023-11-25 08:40:15</t>
  </si>
  <si>
    <t>2023-11-25 08:40:44</t>
  </si>
  <si>
    <t>2023-11-25 08:41:13</t>
  </si>
  <si>
    <t>2023-11-25 08:41:43</t>
  </si>
  <si>
    <t>2023-11-25 08:42:11</t>
  </si>
  <si>
    <t>2023-11-25 08:42:40</t>
  </si>
  <si>
    <t>2023-11-25 08:43:09</t>
  </si>
  <si>
    <t>2023-11-25 08:43:38</t>
  </si>
  <si>
    <t>2023-11-25 08:44:07</t>
  </si>
  <si>
    <t>2023-11-25 08:44:36</t>
  </si>
  <si>
    <t>2023-11-25 08:45:06</t>
  </si>
  <si>
    <t>2023-11-25 08:45:34</t>
  </si>
  <si>
    <t>2023-11-25 08:46:03</t>
  </si>
  <si>
    <t>2023-11-25 08:46:32</t>
  </si>
  <si>
    <t>2023-11-25 08:47:02</t>
  </si>
  <si>
    <t>2023-11-25 08:47:30</t>
  </si>
  <si>
    <t>2023-11-25 08:47:59</t>
  </si>
  <si>
    <t>2023-11-25 08:48:28</t>
  </si>
  <si>
    <t>2023-11-25 08:48:58</t>
  </si>
  <si>
    <t>2023-11-25 08:49:26</t>
  </si>
  <si>
    <t>2023-11-25 08:49:55</t>
  </si>
  <si>
    <t>2023-11-25 08:50:24</t>
  </si>
  <si>
    <t>2023-11-25 08:50:54</t>
  </si>
  <si>
    <t>2023-11-25 08:51:22</t>
  </si>
  <si>
    <t>2023-11-25 08:51:51</t>
  </si>
  <si>
    <t>2023-11-25 08:52:20</t>
  </si>
  <si>
    <t>2023-11-25 08:52:50</t>
  </si>
  <si>
    <t>2023-11-25 08:53:18</t>
  </si>
  <si>
    <t>2023-11-25 08:53:47</t>
  </si>
  <si>
    <t>2023-11-25 08:54:16</t>
  </si>
  <si>
    <t>2023-11-25 08:54:46</t>
  </si>
  <si>
    <t>2023-11-25 08:55:14</t>
  </si>
  <si>
    <t>2023-11-25 08:55:43</t>
  </si>
  <si>
    <t>2023-11-25 08:56:12</t>
  </si>
  <si>
    <t>2023-11-25 08:56:42</t>
  </si>
  <si>
    <t>2023-11-25 08:57:10</t>
  </si>
  <si>
    <t>2023-11-25 08:57:39</t>
  </si>
  <si>
    <t>2023-11-25 08:58:08</t>
  </si>
  <si>
    <t>2023-11-25 08:58:38</t>
  </si>
  <si>
    <t>2023-11-25 08:59:06</t>
  </si>
  <si>
    <t>2023-11-25 08:59:35</t>
  </si>
  <si>
    <t>2023-11-25 09:00:04</t>
  </si>
  <si>
    <t>2023-11-25 09:00:34</t>
  </si>
  <si>
    <t>2023-11-25 09:01:02</t>
  </si>
  <si>
    <t>2023-11-25 09:01:31</t>
  </si>
  <si>
    <t>2023-11-25 09:02:00</t>
  </si>
  <si>
    <t>2023-11-25 09:02:30</t>
  </si>
  <si>
    <t>2023-11-25 09:02:58</t>
  </si>
  <si>
    <t>2023-11-25 09:03:27</t>
  </si>
  <si>
    <t>2023-11-25 09:03:56</t>
  </si>
  <si>
    <t>2023-11-25 09:04:26</t>
  </si>
  <si>
    <t>2023-11-25 09:04:54</t>
  </si>
  <si>
    <t>2023-11-25 09:05:23</t>
  </si>
  <si>
    <t>2023-11-25 09:05:52</t>
  </si>
  <si>
    <t>2023-11-25 09:06:22</t>
  </si>
  <si>
    <t>2023-11-25 09:06:50</t>
  </si>
  <si>
    <t>2023-11-25 09:07:19</t>
  </si>
  <si>
    <t>2023-11-25 09:07:48</t>
  </si>
  <si>
    <t>2023-11-25 09:08:18</t>
  </si>
  <si>
    <t>2023-11-25 09:08:46</t>
  </si>
  <si>
    <t>2023-11-25 09:09:15</t>
  </si>
  <si>
    <t>2023-11-25 09:09:44</t>
  </si>
  <si>
    <t>2023-11-25 09:10:14</t>
  </si>
  <si>
    <t>2023-11-25 09:10:42</t>
  </si>
  <si>
    <t>2023-11-25 09:11:11</t>
  </si>
  <si>
    <t>2023-11-25 09:11:40</t>
  </si>
  <si>
    <t>2023-11-25 09:12:10</t>
  </si>
  <si>
    <t>2023-11-25 09:12:38</t>
  </si>
  <si>
    <t>2023-11-25 09:13:07</t>
  </si>
  <si>
    <t>2023-11-25 09:13:36</t>
  </si>
  <si>
    <t>2023-11-25 09:14:06</t>
  </si>
  <si>
    <t>2023-11-25 09:14:34</t>
  </si>
  <si>
    <t>2023-11-25 09:15:03</t>
  </si>
  <si>
    <t>2023-11-25 09:15:32</t>
  </si>
  <si>
    <t>2023-11-25 09:16:02</t>
  </si>
  <si>
    <t>2023-11-25 09:16:30</t>
  </si>
  <si>
    <t>2023-11-25 09:16:59</t>
  </si>
  <si>
    <t>2023-11-25 09:17:28</t>
  </si>
  <si>
    <t>2023-11-25 09:17:58</t>
  </si>
  <si>
    <t>2023-11-25 09:18:26</t>
  </si>
  <si>
    <t>2023-11-25 09:18:55</t>
  </si>
  <si>
    <t>2023-11-25 09:19:24</t>
  </si>
  <si>
    <t>2023-11-25 09:19:53</t>
  </si>
  <si>
    <t>2023-11-25 09:20:22</t>
  </si>
  <si>
    <t>2023-11-25 09:20:51</t>
  </si>
  <si>
    <t>2023-11-25 09:21:20</t>
  </si>
  <si>
    <t>2023-11-25 09:21:49</t>
  </si>
  <si>
    <t>2023-11-25 09:22:18</t>
  </si>
  <si>
    <t>2023-11-25 09:22:47</t>
  </si>
  <si>
    <t>2023-11-25 09:23:16</t>
  </si>
  <si>
    <t>2023-11-25 09:23:45</t>
  </si>
  <si>
    <t>2023-11-25 09:24:15</t>
  </si>
  <si>
    <t>2023-11-25 09:24:43</t>
  </si>
  <si>
    <t>2023-11-25 09:25:12</t>
  </si>
  <si>
    <t>2023-11-25 09:25:41</t>
  </si>
  <si>
    <t>2023-11-25 09:26:11</t>
  </si>
  <si>
    <t>2023-11-25 09:26:39</t>
  </si>
  <si>
    <t>2023-11-25 09:27:08</t>
  </si>
  <si>
    <t>2023-11-25 09:27:37</t>
  </si>
  <si>
    <t>2023-11-25 09:28:07</t>
  </si>
  <si>
    <t>2023-11-25 09:28:35</t>
  </si>
  <si>
    <t>2023-11-25 09:29:04</t>
  </si>
  <si>
    <t>2023-11-25 09:29:33</t>
  </si>
  <si>
    <t>2023-11-25 09:30:03</t>
  </si>
  <si>
    <t>2023-11-25 09:30:31</t>
  </si>
  <si>
    <t>2023-11-25 09:31:00</t>
  </si>
  <si>
    <t>2023-11-25 09:31:29</t>
  </si>
  <si>
    <t>2023-11-25 09:31:59</t>
  </si>
  <si>
    <t>2023-11-25 09:32:27</t>
  </si>
  <si>
    <t>2023-11-25 09:32:56</t>
  </si>
  <si>
    <t>2023-11-25 09:33:25</t>
  </si>
  <si>
    <t>2023-11-25 09:33:55</t>
  </si>
  <si>
    <t>2023-11-25 09:34:23</t>
  </si>
  <si>
    <t>2023-11-25 09:34:52</t>
  </si>
  <si>
    <t>2023-11-25 09:35:21</t>
  </si>
  <si>
    <t>2023-11-25 09:35:50</t>
  </si>
  <si>
    <t>2023-11-25 09:36:19</t>
  </si>
  <si>
    <t>2023-11-25 09:36:48</t>
  </si>
  <si>
    <t>2023-11-25 09:37:17</t>
  </si>
  <si>
    <t>2023-11-25 09:37:46</t>
  </si>
  <si>
    <t>2023-11-25 09:38:15</t>
  </si>
  <si>
    <t>2023-11-25 09:38:44</t>
  </si>
  <si>
    <t>2023-11-25 09:39:13</t>
  </si>
  <si>
    <t>2023-11-25 09:39:43</t>
  </si>
  <si>
    <t>2023-11-25 09:40:11</t>
  </si>
  <si>
    <t>2023-11-25 09:40:40</t>
  </si>
  <si>
    <t>2023-11-25 09:41:09</t>
  </si>
  <si>
    <t>2023-11-25 09:41:39</t>
  </si>
  <si>
    <t>2023-11-25 09:42:07</t>
  </si>
  <si>
    <t>2023-11-25 09:42:36</t>
  </si>
  <si>
    <t>2023-11-25 09:43:05</t>
  </si>
  <si>
    <t>2023-11-25 09:43:34</t>
  </si>
  <si>
    <t>2023-11-25 09:44:03</t>
  </si>
  <si>
    <t>2023-11-25 09:44:32</t>
  </si>
  <si>
    <t>2023-11-25 09:45:01</t>
  </si>
  <si>
    <t>2023-11-25 09:45:30</t>
  </si>
  <si>
    <t>2023-11-25 09:45:59</t>
  </si>
  <si>
    <t>2023-11-25 09:46:28</t>
  </si>
  <si>
    <t>2023-11-25 09:46:57</t>
  </si>
  <si>
    <t>2023-11-25 09:47:26</t>
  </si>
  <si>
    <t>2023-11-25 09:47:55</t>
  </si>
  <si>
    <t>2023-11-25 09:48:24</t>
  </si>
  <si>
    <t>2023-11-25 09:48:53</t>
  </si>
  <si>
    <t>2023-11-25 09:49:22</t>
  </si>
  <si>
    <t>2023-11-25 09:49:51</t>
  </si>
  <si>
    <t>2023-11-25 09:50:20</t>
  </si>
  <si>
    <t>2023-11-25 09:50:49</t>
  </si>
  <si>
    <t>2023-11-25 09:51:19</t>
  </si>
  <si>
    <t>2023-11-25 09:51:47</t>
  </si>
  <si>
    <t>2023-11-25 09:52:16</t>
  </si>
  <si>
    <t>2023-11-25 09:52:45</t>
  </si>
  <si>
    <t>2023-11-25 09:53:15</t>
  </si>
  <si>
    <t>2023-11-25 09:53:43</t>
  </si>
  <si>
    <t>2023-11-25 09:54:12</t>
  </si>
  <si>
    <t>2023-11-25 09:54:41</t>
  </si>
  <si>
    <t>2023-11-25 09:55:11</t>
  </si>
  <si>
    <t>2023-11-25 09:55:39</t>
  </si>
  <si>
    <t>2023-11-25 09:56:08</t>
  </si>
  <si>
    <t>2023-11-25 09:56:37</t>
  </si>
  <si>
    <t>2023-11-25 09:57:06</t>
  </si>
  <si>
    <t>2023-11-25 09:57:35</t>
  </si>
  <si>
    <t>2023-11-25 09:58:04</t>
  </si>
  <si>
    <t>2023-11-25 09:58:33</t>
  </si>
  <si>
    <t>2023-11-25 09:59:02</t>
  </si>
  <si>
    <t>2023-11-25 09:59:31</t>
  </si>
  <si>
    <t>2023-11-25 10:00:00</t>
  </si>
  <si>
    <t>2023-11-25 10:00:29</t>
  </si>
  <si>
    <t>2023-11-25 10:00:58</t>
  </si>
  <si>
    <t>2023-11-25 10:01:27</t>
  </si>
  <si>
    <t>2023-11-25 10:01:56</t>
  </si>
  <si>
    <t>2023-11-25 10:02:25</t>
  </si>
  <si>
    <t>2023-11-25 10:02:55</t>
  </si>
  <si>
    <t>2023-11-25 10:03:23</t>
  </si>
  <si>
    <t>2023-11-25 10:03:52</t>
  </si>
  <si>
    <t>2023-11-25 10:04:21</t>
  </si>
  <si>
    <t>2023-11-25 10:04:51</t>
  </si>
  <si>
    <t>2023-11-25 10:05:19</t>
  </si>
  <si>
    <t>2023-11-25 10:05:59</t>
  </si>
  <si>
    <t>2023-11-25 10:06:28</t>
  </si>
  <si>
    <t>2023-11-25 10:06:57</t>
  </si>
  <si>
    <t>2023-11-25 10:07:26</t>
  </si>
  <si>
    <t>2023-11-25 10:07:55</t>
  </si>
  <si>
    <t>2023-11-25 10:08:24</t>
  </si>
  <si>
    <t>2023-11-25 10:08:53</t>
  </si>
  <si>
    <t>2023-11-25 10:09:23</t>
  </si>
  <si>
    <t>2023-11-25 10:09:51</t>
  </si>
  <si>
    <t>2023-11-25 10:10:20</t>
  </si>
  <si>
    <t>2023-11-25 10:10:49</t>
  </si>
  <si>
    <t>2023-11-25 10:11:19</t>
  </si>
  <si>
    <t>2023-11-25 10:11:47</t>
  </si>
  <si>
    <t>2023-11-25 10:12:16</t>
  </si>
  <si>
    <t>2023-11-25 10:20:00</t>
  </si>
  <si>
    <t>2023-11-25 10:20:28</t>
  </si>
  <si>
    <t>2023-11-25 10:20:57</t>
  </si>
  <si>
    <t>2023-11-25 10:21:26</t>
  </si>
  <si>
    <t>2023-11-25 10:21:56</t>
  </si>
  <si>
    <t>2023-11-25 10:22:24</t>
  </si>
  <si>
    <t>2023-11-25 10:22:53</t>
  </si>
  <si>
    <t>2023-11-25 10:23:22</t>
  </si>
  <si>
    <t>2023-11-25 10:23:52</t>
  </si>
  <si>
    <t>2023-11-25 10:24:20</t>
  </si>
  <si>
    <t>2023-11-25 10:24:49</t>
  </si>
  <si>
    <t>2023-11-25 10:25:18</t>
  </si>
  <si>
    <t>2023-11-25 10:25:48</t>
  </si>
  <si>
    <t>2023-11-25 10:26:16</t>
  </si>
  <si>
    <t>2023-11-25 10:26:45</t>
  </si>
  <si>
    <t>2023-11-25 10:27:14</t>
  </si>
  <si>
    <t>2023-11-25 10:27:44</t>
  </si>
  <si>
    <t>2023-11-25 10:28:12</t>
  </si>
  <si>
    <t>2023-11-25 10:28:41</t>
  </si>
  <si>
    <t>2023-11-25 10:29:11</t>
  </si>
  <si>
    <t>2023-11-25 10:29:40</t>
  </si>
  <si>
    <t>2023-11-25 10:30:10</t>
  </si>
  <si>
    <t>2023-11-25 10:30:38</t>
  </si>
  <si>
    <t>2023-11-25 10:31:07</t>
  </si>
  <si>
    <t>2023-11-25 10:31:36</t>
  </si>
  <si>
    <t>2023-11-25 10:32:05</t>
  </si>
  <si>
    <t>2023-11-25 10:32:34</t>
  </si>
  <si>
    <t>2023-11-25 10:33:03</t>
  </si>
  <si>
    <t>2023-11-25 10:35:09</t>
  </si>
  <si>
    <t>2023-11-25 10:35:28</t>
  </si>
  <si>
    <t>2023-11-25 10:35:57</t>
  </si>
  <si>
    <t>2023-11-25 10:36:27</t>
  </si>
  <si>
    <t>2023-11-25 10:36:55</t>
  </si>
  <si>
    <t>2023-11-25 10:37:24</t>
  </si>
  <si>
    <t>2023-11-25 10:37:53</t>
  </si>
  <si>
    <t>2023-11-25 10:38:23</t>
  </si>
  <si>
    <t>2023-11-25 10:38:51</t>
  </si>
  <si>
    <t>2023-11-25 10:39:20</t>
  </si>
  <si>
    <t>2023-11-25 10:39:49</t>
  </si>
  <si>
    <t>2023-11-25 10:40:19</t>
  </si>
  <si>
    <t>2023-11-25 10:40:47</t>
  </si>
  <si>
    <t>2023-11-25 10:41:16</t>
  </si>
  <si>
    <t>2023-11-25 10:41:45</t>
  </si>
  <si>
    <t>2023-11-25 10:42:14</t>
  </si>
  <si>
    <t>2023-11-25 10:42:43</t>
  </si>
  <si>
    <t>2023-11-25 10:43:12</t>
  </si>
  <si>
    <t>2023-11-25 10:43:41</t>
  </si>
  <si>
    <t>2023-11-25 10:44:10</t>
  </si>
  <si>
    <t>2023-11-25 10:44:39</t>
  </si>
  <si>
    <t>2023-11-25 10:45:08</t>
  </si>
  <si>
    <t>2023-11-25 10:45:37</t>
  </si>
  <si>
    <t>2023-11-25 10:46:06</t>
  </si>
  <si>
    <t>2023-11-25 10:46:36</t>
  </si>
  <si>
    <t>2023-11-25 10:47:04</t>
  </si>
  <si>
    <t>2023-11-25 10:47:33</t>
  </si>
  <si>
    <t>2023-11-25 10:48:02</t>
  </si>
  <si>
    <t>2023-11-25 10:48:32</t>
  </si>
  <si>
    <t>2023-11-25 10:49:00</t>
  </si>
  <si>
    <t>2023-11-25 10:49:29</t>
  </si>
  <si>
    <t>2023-11-25 10:49:58</t>
  </si>
  <si>
    <t>2023-11-25 10:50:28</t>
  </si>
  <si>
    <t>2023-11-25 10:50:56</t>
  </si>
  <si>
    <t>2023-11-25 10:51:25</t>
  </si>
  <si>
    <t>2023-11-25 10:51:54</t>
  </si>
  <si>
    <t>2023-11-25 10:52:23</t>
  </si>
  <si>
    <t>2023-11-25 10:52:52</t>
  </si>
  <si>
    <t>2023-11-25 10:53:21</t>
  </si>
  <si>
    <t>2023-11-25 10:53:50</t>
  </si>
  <si>
    <t>2023-11-25 10:54:19</t>
  </si>
  <si>
    <t>2023-11-25 10:54:48</t>
  </si>
  <si>
    <t>2023-11-25 10:55:17</t>
  </si>
  <si>
    <t>2023-11-25 10:55:47</t>
  </si>
  <si>
    <t>2023-11-25 10:56:16</t>
  </si>
  <si>
    <t>2023-11-25 10:56:44</t>
  </si>
  <si>
    <t>2023-11-25 10:57:13</t>
  </si>
  <si>
    <t>2023-11-25 10:57:42</t>
  </si>
  <si>
    <t>2023-11-25 10:58:11</t>
  </si>
  <si>
    <t>2023-11-25 10:58:40</t>
  </si>
  <si>
    <t>2023-11-25 10:59:09</t>
  </si>
  <si>
    <t>2023-11-25 10:59:39</t>
  </si>
  <si>
    <t>2023-11-25 11:00:07</t>
  </si>
  <si>
    <t>2023-11-25 11:00:36</t>
  </si>
  <si>
    <t>2023-11-25 11:01:05</t>
  </si>
  <si>
    <t>2023-11-25 11:01:34</t>
  </si>
  <si>
    <t>2023-11-25 11:02:03</t>
  </si>
  <si>
    <t>2023-11-25 11:02:32</t>
  </si>
  <si>
    <t>2023-11-25 11:03:01</t>
  </si>
  <si>
    <t>2023-11-25 11:03:30</t>
  </si>
  <si>
    <t>2023-11-25 11:03:59</t>
  </si>
  <si>
    <t>2023-11-25 11:04:28</t>
  </si>
  <si>
    <t>2023-11-25 11:04:57</t>
  </si>
  <si>
    <t>2023-11-25 11:05:26</t>
  </si>
  <si>
    <t>2023-11-25 11:05:56</t>
  </si>
  <si>
    <t>2023-11-25 11:06:24</t>
  </si>
  <si>
    <t>2023-11-25 11:06:53</t>
  </si>
  <si>
    <t>2023-11-25 11:07:22</t>
  </si>
  <si>
    <t>2023-11-25 11:07:52</t>
  </si>
  <si>
    <t>2023-11-25 11:08:20</t>
  </si>
  <si>
    <t>2023-11-25 12:01:36</t>
  </si>
  <si>
    <t>2023-11-25 12:02:05</t>
  </si>
  <si>
    <t>2023-11-25 12:02:34</t>
  </si>
  <si>
    <t>2023-11-25 12:03:04</t>
  </si>
  <si>
    <t>2023-11-25 12:03:32</t>
  </si>
  <si>
    <t>2023-11-25 12:04:01</t>
  </si>
  <si>
    <t>2023-11-25 12:04:30</t>
  </si>
  <si>
    <t>2023-11-25 12:05:00</t>
  </si>
  <si>
    <t>2023-11-25 12:05:29</t>
  </si>
  <si>
    <t>2023-11-25 12:05:57</t>
  </si>
  <si>
    <t>2023-11-25 12:06:26</t>
  </si>
  <si>
    <t>2023-11-25 12:06:56</t>
  </si>
  <si>
    <t>2023-11-25 12:07:25</t>
  </si>
  <si>
    <t>2023-11-25 12:07:53</t>
  </si>
  <si>
    <t>2023-11-25 12:08:22</t>
  </si>
  <si>
    <t>2023-11-25 12:08:51</t>
  </si>
  <si>
    <t>2023-11-25 12:09:21</t>
  </si>
  <si>
    <t>2023-11-25 12:09:50</t>
  </si>
  <si>
    <t>2023-11-25 12:10:18</t>
  </si>
  <si>
    <t>2023-11-25 12:10:26</t>
  </si>
  <si>
    <t>2023-11-25 12:10:47</t>
  </si>
  <si>
    <t>2023-11-25 12:11:16</t>
  </si>
  <si>
    <t>2023-11-25 12:11:45</t>
  </si>
  <si>
    <t>2023-11-25 12:12:14</t>
  </si>
  <si>
    <t>2023-11-25 12:12:43</t>
  </si>
  <si>
    <t>2023-11-25 12:13:12</t>
  </si>
  <si>
    <t>2023-11-25 12:13:41</t>
  </si>
  <si>
    <t>2023-11-25 12:14:10</t>
  </si>
  <si>
    <t>2023-11-25 12:14:39</t>
  </si>
  <si>
    <t>2023-11-25 12:15:08</t>
  </si>
  <si>
    <t>2023-11-25 12:15:37</t>
  </si>
  <si>
    <t>2023-11-25 12:16:06</t>
  </si>
  <si>
    <t>2023-11-25 12:16:35</t>
  </si>
  <si>
    <t>2023-11-25 12:17:04</t>
  </si>
  <si>
    <t>2023-11-25 12:17:14</t>
  </si>
  <si>
    <t>2023-11-25 12:17:33</t>
  </si>
  <si>
    <t>2023-11-25 12:18:02</t>
  </si>
  <si>
    <t>2023-11-25 12:18:31</t>
  </si>
  <si>
    <t>2023-11-25 12:19:00</t>
  </si>
  <si>
    <t>2023-11-25 12:19:29</t>
  </si>
  <si>
    <t>2023-11-25 12:19:58</t>
  </si>
  <si>
    <t>2023-11-25 12:20:27</t>
  </si>
  <si>
    <t>2023-11-25 12:20:56</t>
  </si>
  <si>
    <t>2023-11-25 12:21:24</t>
  </si>
  <si>
    <t>2023-11-25 12:21:54</t>
  </si>
  <si>
    <t>2023-11-25 12:22:23</t>
  </si>
  <si>
    <t>2023-11-25 12:22:52</t>
  </si>
  <si>
    <t>2023-11-25 12:23:20</t>
  </si>
  <si>
    <t>2023-11-25 12:23:50</t>
  </si>
  <si>
    <t>2023-11-25 12:24:19</t>
  </si>
  <si>
    <t>2023-11-25 12:24:48</t>
  </si>
  <si>
    <t>2023-11-25 12:25:17</t>
  </si>
  <si>
    <t>2023-11-25 12:25:45</t>
  </si>
  <si>
    <t>2023-11-25 12:26:15</t>
  </si>
  <si>
    <t>2023-11-25 12:26:44</t>
  </si>
  <si>
    <t>2023-11-25 12:27:13</t>
  </si>
  <si>
    <t>2023-11-25 12:27:42</t>
  </si>
  <si>
    <t>2023-11-25 12:28:11</t>
  </si>
  <si>
    <t>2023-11-25 12:28:40</t>
  </si>
  <si>
    <t>2023-11-25 12:29:09</t>
  </si>
  <si>
    <t>2023-11-25 12:29:38</t>
  </si>
  <si>
    <t>2023-11-25 12:30:07</t>
  </si>
  <si>
    <t>2023-11-25 12:30:36</t>
  </si>
  <si>
    <t>2023-11-25 12:31:05</t>
  </si>
  <si>
    <t>2023-11-25 12:31:34</t>
  </si>
  <si>
    <t>2023-11-25 12:32:02</t>
  </si>
  <si>
    <t>2023-11-25 12:32:32</t>
  </si>
  <si>
    <t>2023-11-25 12:33:01</t>
  </si>
  <si>
    <t>2023-11-25 12:33:30</t>
  </si>
  <si>
    <t>2023-11-25 12:33:58</t>
  </si>
  <si>
    <t>2023-11-25 12:34:28</t>
  </si>
  <si>
    <t>2023-11-25 12:34:57</t>
  </si>
  <si>
    <t>2023-11-25 12:35:26</t>
  </si>
  <si>
    <t>2023-11-25 12:35:54</t>
  </si>
  <si>
    <t>2023-11-25 12:36:24</t>
  </si>
  <si>
    <t>2023-11-25 12:36:53</t>
  </si>
  <si>
    <t>2023-11-25 12:37:22</t>
  </si>
  <si>
    <t>2023-11-25 12:37:50</t>
  </si>
  <si>
    <t>2023-11-25 12:38:20</t>
  </si>
  <si>
    <t>2023-11-25 12:38:49</t>
  </si>
  <si>
    <t>2023-11-25 12:39:17</t>
  </si>
  <si>
    <t>2023-11-25 12:39:47</t>
  </si>
  <si>
    <t>2023-11-25 12:40:16</t>
  </si>
  <si>
    <t>2023-11-25 12:40:45</t>
  </si>
  <si>
    <t>2023-11-25 12:41:13</t>
  </si>
  <si>
    <t>2023-11-25 12:41:43</t>
  </si>
  <si>
    <t>2023-11-25 12:42:11</t>
  </si>
  <si>
    <t>2023-11-25 12:42:41</t>
  </si>
  <si>
    <t>2023-11-25 12:43:10</t>
  </si>
  <si>
    <t>2023-11-25 12:43:39</t>
  </si>
  <si>
    <t>2023-11-25 12:44:08</t>
  </si>
  <si>
    <t>2023-11-25 12:44:37</t>
  </si>
  <si>
    <t>2023-11-25 12:45:06</t>
  </si>
  <si>
    <t>2023-11-25 12:45:35</t>
  </si>
  <si>
    <t>2023-11-25 12:46:04</t>
  </si>
  <si>
    <t>2023-11-25 12:46:32</t>
  </si>
  <si>
    <t>2023-11-25 12:47:02</t>
  </si>
  <si>
    <t>2023-11-25 12:47:31</t>
  </si>
  <si>
    <t>2023-11-25 12:48:00</t>
  </si>
  <si>
    <t>2023-11-25 12:48:29</t>
  </si>
  <si>
    <t>2023-11-25 12:48:58</t>
  </si>
  <si>
    <t>2023-11-25 12:49:27</t>
  </si>
  <si>
    <t>2023-11-25 12:49:56</t>
  </si>
  <si>
    <t>2023-11-25 12:50:25</t>
  </si>
  <si>
    <t>2023-11-25 12:50:54</t>
  </si>
  <si>
    <t>2023-11-25 12:51:23</t>
  </si>
  <si>
    <t>2023-11-25 12:51:52</t>
  </si>
  <si>
    <t>2023-11-25 12:52:20</t>
  </si>
  <si>
    <t>2023-11-25 12:52:50</t>
  </si>
  <si>
    <t>2023-11-25 12:53:19</t>
  </si>
  <si>
    <t>2023-11-25 12:53:48</t>
  </si>
  <si>
    <t>2023-11-25 12:54:17</t>
  </si>
  <si>
    <t>2023-11-25 12:54:46</t>
  </si>
  <si>
    <t>2023-11-25 12:55:15</t>
  </si>
  <si>
    <t>2023-11-25 12:55:44</t>
  </si>
  <si>
    <t>2023-11-25 12:56:13</t>
  </si>
  <si>
    <t>2023-11-25 12:56:42</t>
  </si>
  <si>
    <t>2023-11-25 12:57:11</t>
  </si>
  <si>
    <t>2023-11-25 12:57:40</t>
  </si>
  <si>
    <t>2023-11-25 12:58:09</t>
  </si>
  <si>
    <t>2023-11-25 12:58:38</t>
  </si>
  <si>
    <t>2023-11-25 12:59:07</t>
  </si>
  <si>
    <t>2023-11-25 12:59:36</t>
  </si>
  <si>
    <t>2023-11-25 13:00:05</t>
  </si>
  <si>
    <t>2023-11-25 13:00:33</t>
  </si>
  <si>
    <t>2023-11-25 13:01:03</t>
  </si>
  <si>
    <t>2023-11-25 13:01:32</t>
  </si>
  <si>
    <t>2023-11-25 13:02:01</t>
  </si>
  <si>
    <t>2023-11-25 13:02:29</t>
  </si>
  <si>
    <t>2023-11-25 13:02:59</t>
  </si>
  <si>
    <t>2023-11-25 13:03:28</t>
  </si>
  <si>
    <t>2023-11-25 13:03:57</t>
  </si>
  <si>
    <t>2023-11-25 13:04:25</t>
  </si>
  <si>
    <t>2023-11-25 13:04:55</t>
  </si>
  <si>
    <t>2023-11-25 13:05:24</t>
  </si>
  <si>
    <t>2023-11-25 13:05:53</t>
  </si>
  <si>
    <t>2023-11-25 13:06:22</t>
  </si>
  <si>
    <t>2023-11-25 13:06:51</t>
  </si>
  <si>
    <t>2023-11-25 13:07:20</t>
  </si>
  <si>
    <t>2023-11-25 13:07:49</t>
  </si>
  <si>
    <t>2023-11-25 13:08:18</t>
  </si>
  <si>
    <t>2023-11-25 13:08:46</t>
  </si>
  <si>
    <t>2023-11-25 13:09:16</t>
  </si>
  <si>
    <t>2023-11-25 13:09:45</t>
  </si>
  <si>
    <t>2023-11-25 13:10:14</t>
  </si>
  <si>
    <t>2023-11-25 13:10:42</t>
  </si>
  <si>
    <t>2023-11-25 13:11:12</t>
  </si>
  <si>
    <t>2023-11-25 13:11:41</t>
  </si>
  <si>
    <t>2023-11-25 13:12:10</t>
  </si>
  <si>
    <t>2023-11-25 13:12:39</t>
  </si>
  <si>
    <t>2023-11-25 13:13:07</t>
  </si>
  <si>
    <t>2023-11-25 13:13:37</t>
  </si>
  <si>
    <t>2023-11-25 13:14:06</t>
  </si>
  <si>
    <t>2023-11-25 13:14:35</t>
  </si>
  <si>
    <t>2023-11-25 13:15:03</t>
  </si>
  <si>
    <t>2023-11-25 13:15:33</t>
  </si>
  <si>
    <t>2023-11-25 13:16:02</t>
  </si>
  <si>
    <t>2023-11-25 14:04:51</t>
  </si>
  <si>
    <t>2023-11-25 14:05:20</t>
  </si>
  <si>
    <t>2023-11-25 14:05:49</t>
  </si>
  <si>
    <t>2023-11-25 14:06:18</t>
  </si>
  <si>
    <t>2023-11-25 14:06:47</t>
  </si>
  <si>
    <t>2023-11-25 14:07:16</t>
  </si>
  <si>
    <t>2023-11-25 14:07:45</t>
  </si>
  <si>
    <t>2023-11-25 14:08:14</t>
  </si>
  <si>
    <t>2023-11-25 14:08:42</t>
  </si>
  <si>
    <t>2023-11-25 14:09:12</t>
  </si>
  <si>
    <t>2023-11-25 14:09:41</t>
  </si>
  <si>
    <t>2023-11-25 14:10:10</t>
  </si>
  <si>
    <t>2023-11-25 14:10:39</t>
  </si>
  <si>
    <t>2023-11-25 14:11:08</t>
  </si>
  <si>
    <t>2023-11-25 14:11:37</t>
  </si>
  <si>
    <t>2023-11-25 14:12:06</t>
  </si>
  <si>
    <t>2023-11-25 14:12:35</t>
  </si>
  <si>
    <t>2023-11-25 14:13:04</t>
  </si>
  <si>
    <t>2023-11-25 14:13:33</t>
  </si>
  <si>
    <t>2023-11-25 14:14:02</t>
  </si>
  <si>
    <t>2023-11-25 14:14:31</t>
  </si>
  <si>
    <t>2023-11-25 14:15:00</t>
  </si>
  <si>
    <t>2023-11-25 14:15:29</t>
  </si>
  <si>
    <t>2023-11-25 14:15:58</t>
  </si>
  <si>
    <t>2023-11-25 14:16:27</t>
  </si>
  <si>
    <t>2023-11-25 14:16:56</t>
  </si>
  <si>
    <t>2023-11-25 14:17:25</t>
  </si>
  <si>
    <t>2023-11-25 14:17:54</t>
  </si>
  <si>
    <t>2023-11-25 14:18:23</t>
  </si>
  <si>
    <t>2023-11-25 14:18:52</t>
  </si>
  <si>
    <t>2023-11-25 14:19:21</t>
  </si>
  <si>
    <t>2023-11-25 14:19:50</t>
  </si>
  <si>
    <t>2023-11-25 14:20:19</t>
  </si>
  <si>
    <t>2023-11-25 14:20:47</t>
  </si>
  <si>
    <t>2023-11-25 14:21:17</t>
  </si>
  <si>
    <t>2023-11-25 14:21:46</t>
  </si>
  <si>
    <t>2023-11-25 14:22:15</t>
  </si>
  <si>
    <t>2023-11-25 14:22:44</t>
  </si>
  <si>
    <t>2023-11-25 14:23:12</t>
  </si>
  <si>
    <t>2023-11-25 14:23:42</t>
  </si>
  <si>
    <t>2023-11-25 14:24:11</t>
  </si>
  <si>
    <t>2023-11-25 14:24:40</t>
  </si>
  <si>
    <t>2023-11-25 14:25:08</t>
  </si>
  <si>
    <t>2023-11-25 14:25:38</t>
  </si>
  <si>
    <t>2023-11-25 14:26:07</t>
  </si>
  <si>
    <t>2023-11-25 14:26:36</t>
  </si>
  <si>
    <t>2023-11-25 14:27:05</t>
  </si>
  <si>
    <t>2023-11-25 14:28:03</t>
  </si>
  <si>
    <t>2023-11-25 14:28:33</t>
  </si>
  <si>
    <t>2023-11-25 14:29:02</t>
  </si>
  <si>
    <t>2023-11-25 14:29:31</t>
  </si>
  <si>
    <t>2023-11-25 14:29:59</t>
  </si>
  <si>
    <t>2023-11-25 14:30:29</t>
  </si>
  <si>
    <t>2023-11-25 14:30:58</t>
  </si>
  <si>
    <t>2023-11-25 14:31:27</t>
  </si>
  <si>
    <t>2023-11-25 14:31:55</t>
  </si>
  <si>
    <t>2023-11-25 14:32:24</t>
  </si>
  <si>
    <t>2023-11-25 14:32:54</t>
  </si>
  <si>
    <t>2023-11-25 14:33:23</t>
  </si>
  <si>
    <t>2023-11-25 14:33:51</t>
  </si>
  <si>
    <t>2023-11-25 14:34:20</t>
  </si>
  <si>
    <t>2023-11-25 14:34:49</t>
  </si>
  <si>
    <t>2023-11-25 14:35:18</t>
  </si>
  <si>
    <t>2023-11-25 14:35:47</t>
  </si>
  <si>
    <t>2023-11-25 14:36:16</t>
  </si>
  <si>
    <t>2023-11-25 14:36:45</t>
  </si>
  <si>
    <t>2023-11-25 14:37:14</t>
  </si>
  <si>
    <t>2023-11-25 14:37:43</t>
  </si>
  <si>
    <t>2023-11-25 14:38:12</t>
  </si>
  <si>
    <t>2023-11-25 14:38:41</t>
  </si>
  <si>
    <t>2023-11-25 14:39:10</t>
  </si>
  <si>
    <t>2023-11-25 14:39:39</t>
  </si>
  <si>
    <t>2023-11-25 14:40:08</t>
  </si>
  <si>
    <t>2023-11-25 14:40:37</t>
  </si>
  <si>
    <t>2023-11-25 14:41:07</t>
  </si>
  <si>
    <t>2023-11-25 14:41:35</t>
  </si>
  <si>
    <t>2023-11-25 14:42:04</t>
  </si>
  <si>
    <t>2023-11-25 14:42:33</t>
  </si>
  <si>
    <t>2023-11-25 14:43:02</t>
  </si>
  <si>
    <t>2023-11-25 14:43:31</t>
  </si>
  <si>
    <t>2023-11-25 14:44:00</t>
  </si>
  <si>
    <t>2023-11-25 14:44:29</t>
  </si>
  <si>
    <t>2023-11-25 14:44:58</t>
  </si>
  <si>
    <t>2023-11-25 14:45:27</t>
  </si>
  <si>
    <t>2023-11-25 14:45:56</t>
  </si>
  <si>
    <t>2023-11-25 14:46:25</t>
  </si>
  <si>
    <t>2023-11-25 14:46:54</t>
  </si>
  <si>
    <t>2023-11-25 14:47:24</t>
  </si>
  <si>
    <t>2023-11-25 14:47:52</t>
  </si>
  <si>
    <t>2023-11-25 14:48:21</t>
  </si>
  <si>
    <t>2023-11-25 14:48:50</t>
  </si>
  <si>
    <t>2023-11-25 14:49:20</t>
  </si>
  <si>
    <t>2023-11-25 14:49:48</t>
  </si>
  <si>
    <t>2023-11-25 14:50:17</t>
  </si>
  <si>
    <t>2023-11-25 14:50:46</t>
  </si>
  <si>
    <t>2023-11-25 14:51:16</t>
  </si>
  <si>
    <t>2023-11-25 14:51:44</t>
  </si>
  <si>
    <t>2023-11-25 14:52:13</t>
  </si>
  <si>
    <t>2023-11-25 14:52:42</t>
  </si>
  <si>
    <t>2023-11-25 14:53:12</t>
  </si>
  <si>
    <t>2023-11-25 14:53:40</t>
  </si>
  <si>
    <t>2023-11-25 14:54:09</t>
  </si>
  <si>
    <t>2023-11-25 14:54:38</t>
  </si>
  <si>
    <t>2023-11-25 14:55:07</t>
  </si>
  <si>
    <t>2023-11-25 14:55:37</t>
  </si>
  <si>
    <t>2023-11-25 14:56:05</t>
  </si>
  <si>
    <t>2023-11-25 14:56:34</t>
  </si>
  <si>
    <t>2023-11-25 14:57:03</t>
  </si>
  <si>
    <t>2023-11-25 14:57:33</t>
  </si>
  <si>
    <t>2023-11-25 14:58:01</t>
  </si>
  <si>
    <t>2023-11-25 14:58:30</t>
  </si>
  <si>
    <t>2023-11-25 14:58:59</t>
  </si>
  <si>
    <t>2023-11-25 14:59:28</t>
  </si>
  <si>
    <t>2023-11-25 14:59:58</t>
  </si>
  <si>
    <t>2023-11-25 15:00:26</t>
  </si>
  <si>
    <t>2023-11-25 15:00:55</t>
  </si>
  <si>
    <t>2023-11-25 15:01:24</t>
  </si>
  <si>
    <t>2023-11-25 15:01:54</t>
  </si>
  <si>
    <t>2023-11-25 15:02:22</t>
  </si>
  <si>
    <t>2023-11-25 15:02:51</t>
  </si>
  <si>
    <t>2023-11-25 15:03:20</t>
  </si>
  <si>
    <t>2023-11-25 15:03:49</t>
  </si>
  <si>
    <t>2023-11-25 15:04:18</t>
  </si>
  <si>
    <t>2023-11-25 15:04:47</t>
  </si>
  <si>
    <t>2023-11-25 15:05:16</t>
  </si>
  <si>
    <t>2023-11-25 15:05:45</t>
  </si>
  <si>
    <t>2023-11-25 15:06:15</t>
  </si>
  <si>
    <t>2023-11-25 15:06:43</t>
  </si>
  <si>
    <t>2023-11-25 15:07:12</t>
  </si>
  <si>
    <t>2023-11-25 15:07:41</t>
  </si>
  <si>
    <t>2023-11-25 15:08:10</t>
  </si>
  <si>
    <t>2023-11-25 15:08:39</t>
  </si>
  <si>
    <t>2023-11-25 15:09:08</t>
  </si>
  <si>
    <t>2023-11-25 15:09:37</t>
  </si>
  <si>
    <t>2023-11-25 15:10:06</t>
  </si>
  <si>
    <t>2023-11-25 15:10:35</t>
  </si>
  <si>
    <t>2023-11-25 15:11:04</t>
  </si>
  <si>
    <t>2023-11-25 15:11:33</t>
  </si>
  <si>
    <t>2023-11-25 15:12:02</t>
  </si>
  <si>
    <t>2023-11-25 15:12:32</t>
  </si>
  <si>
    <t>2023-11-25 15:13:00</t>
  </si>
  <si>
    <t>2023-11-25 15:13:29</t>
  </si>
  <si>
    <t>2023-11-25 15:13:58</t>
  </si>
  <si>
    <t>2023-11-25 15:14:27</t>
  </si>
  <si>
    <t>2023-11-25 15:14:56</t>
  </si>
  <si>
    <t>2023-11-25 15:15:25</t>
  </si>
  <si>
    <t>2023-11-25 15:15:54</t>
  </si>
  <si>
    <t>2023-11-25 15:16:23</t>
  </si>
  <si>
    <t>2023-11-25 15:16:52</t>
  </si>
  <si>
    <t>2023-11-25 15:17:21</t>
  </si>
  <si>
    <t>2023-11-25 15:17:50</t>
  </si>
  <si>
    <t>2023-11-25 15:18:20</t>
  </si>
  <si>
    <t>2023-11-25 15:18:48</t>
  </si>
  <si>
    <t>2023-11-25 15:19:17</t>
  </si>
  <si>
    <t>2023-11-25 15:19:46</t>
  </si>
  <si>
    <t>2023-11-25 15:20:16</t>
  </si>
  <si>
    <t>2023-11-25 15:20:44</t>
  </si>
  <si>
    <t>2023-11-25 15:21:13</t>
  </si>
  <si>
    <t>2023-11-25 15:21:42</t>
  </si>
  <si>
    <t>2023-11-25 15:22:12</t>
  </si>
  <si>
    <t>2023-11-25 15:22:40</t>
  </si>
  <si>
    <t>2023-11-25 15:23:09</t>
  </si>
  <si>
    <t>2023-11-25 15:23:38</t>
  </si>
  <si>
    <t>2023-11-25 15:24:08</t>
  </si>
  <si>
    <t>2023-11-25 15:24:36</t>
  </si>
  <si>
    <t>2023-11-25 15:25:05</t>
  </si>
  <si>
    <t>2023-11-25 15:25:34</t>
  </si>
  <si>
    <t>2023-11-25 15:26:03</t>
  </si>
  <si>
    <t>2023-11-25 15:26:33</t>
  </si>
  <si>
    <t>2023-11-25 15:27:01</t>
  </si>
  <si>
    <t>2023-11-25 15:27:30</t>
  </si>
  <si>
    <t>2023-11-25 15:27:59</t>
  </si>
  <si>
    <t>2023-11-25 15:28:28</t>
  </si>
  <si>
    <t>2023-11-25 15:28:57</t>
  </si>
  <si>
    <t>2023-11-25 15:29:26</t>
  </si>
  <si>
    <t>2023-11-25 15:29:55</t>
  </si>
  <si>
    <t>2023-11-25 15:30:24</t>
  </si>
  <si>
    <t>2023-11-25 15:31:22</t>
  </si>
  <si>
    <t>2023-11-25 15:31:51</t>
  </si>
  <si>
    <t>2023-11-25 15:32:20</t>
  </si>
  <si>
    <t>2023-11-25 15:32:50</t>
  </si>
  <si>
    <t>2023-11-25 15:33:18</t>
  </si>
  <si>
    <t>2023-11-25 15:33:47</t>
  </si>
  <si>
    <t>2023-11-25 15:34:16</t>
  </si>
  <si>
    <t>2023-11-25 15:34:45</t>
  </si>
  <si>
    <t>2023-11-25 15:35:14</t>
  </si>
  <si>
    <t>2023-11-25 15:35:43</t>
  </si>
  <si>
    <t>2023-11-25 15:36:12</t>
  </si>
  <si>
    <t>2023-11-25 15:36:41</t>
  </si>
  <si>
    <t>2023-11-25 15:37:11</t>
  </si>
  <si>
    <t>2023-11-25 15:37:39</t>
  </si>
  <si>
    <t>2023-11-25 15:38:08</t>
  </si>
  <si>
    <t>2023-11-25 15:38:37</t>
  </si>
  <si>
    <t>2023-11-25 15:39:07</t>
  </si>
  <si>
    <t>2023-11-25 15:39:35</t>
  </si>
  <si>
    <t>2023-11-25 15:40:04</t>
  </si>
  <si>
    <t>2023-11-25 15:40:33</t>
  </si>
  <si>
    <t>2023-11-25 15:41:03</t>
  </si>
  <si>
    <t>2023-11-25 15:41:31</t>
  </si>
  <si>
    <t>2023-11-25 15:42:00</t>
  </si>
  <si>
    <t>2023-11-25 15:42:29</t>
  </si>
  <si>
    <t>2023-11-25 15:42:59</t>
  </si>
  <si>
    <t>2023-11-25 15:43:27</t>
  </si>
  <si>
    <t>2023-11-25 15:43:56</t>
  </si>
  <si>
    <t>2023-11-25 15:44:25</t>
  </si>
  <si>
    <t>2023-11-25 15:44:55</t>
  </si>
  <si>
    <t>2023-11-25 15:45:23</t>
  </si>
  <si>
    <t>2023-11-25 15:45:52</t>
  </si>
  <si>
    <t>2023-11-25 15:46:21</t>
  </si>
  <si>
    <t>2023-11-25 15:46:51</t>
  </si>
  <si>
    <t>2023-11-25 15:47:19</t>
  </si>
  <si>
    <t>2023-11-25 15:47:48</t>
  </si>
  <si>
    <t>2023-11-25 15:48:17</t>
  </si>
  <si>
    <t>2023-11-25 15:48:46</t>
  </si>
  <si>
    <t>2023-11-25 15:49:16</t>
  </si>
  <si>
    <t>2023-11-25 15:49:44</t>
  </si>
  <si>
    <t>2023-11-25 15:50:13</t>
  </si>
  <si>
    <t>2023-11-25 15:50:42</t>
  </si>
  <si>
    <t>2023-11-25 15:51:12</t>
  </si>
  <si>
    <t>2023-11-25 15:51:40</t>
  </si>
  <si>
    <t>2023-11-25 15:52:09</t>
  </si>
  <si>
    <t>2023-11-25 15:52:38</t>
  </si>
  <si>
    <t>2023-11-25 15:53:07</t>
  </si>
  <si>
    <t>2023-11-25 15:53:37</t>
  </si>
  <si>
    <t>2023-11-25 15:54:05</t>
  </si>
  <si>
    <t>2023-11-25 15:54:34</t>
  </si>
  <si>
    <t>2023-11-25 15:55:03</t>
  </si>
  <si>
    <t>2023-11-25 15:55:32</t>
  </si>
  <si>
    <t>2023-11-25 15:56:02</t>
  </si>
  <si>
    <t>2023-11-25 15:56:30</t>
  </si>
  <si>
    <t>2023-11-25 15:56:59</t>
  </si>
  <si>
    <t>2023-11-25 15:57:28</t>
  </si>
  <si>
    <t>2023-11-25 15:57:58</t>
  </si>
  <si>
    <t>2023-11-25 15:58:26</t>
  </si>
  <si>
    <t>2023-11-25 15:58:55</t>
  </si>
  <si>
    <t>2023-11-25 15:59:24</t>
  </si>
  <si>
    <t>2023-11-25 15:59:53</t>
  </si>
  <si>
    <t>2023-11-25 16:00:22</t>
  </si>
  <si>
    <t>2023-11-25 16:00:51</t>
  </si>
  <si>
    <t>2023-11-25 16:01:20</t>
  </si>
  <si>
    <t>2023-11-25 16:01:49</t>
  </si>
  <si>
    <t>2023-11-25 16:02:19</t>
  </si>
  <si>
    <t>2023-11-25 16:02:47</t>
  </si>
  <si>
    <t>2023-11-25 16:03:16</t>
  </si>
  <si>
    <t>2023-11-25 16:03:45</t>
  </si>
  <si>
    <t>2023-11-25 16:04:14</t>
  </si>
  <si>
    <t>2023-11-25 16:04:44</t>
  </si>
  <si>
    <t>2023-11-25 16:05:12</t>
  </si>
  <si>
    <t>2023-11-25 16:05:41</t>
  </si>
  <si>
    <t>2023-11-25 16:06:10</t>
  </si>
  <si>
    <t>2023-11-25 16:06:40</t>
  </si>
  <si>
    <t>2023-11-25 16:07:08</t>
  </si>
  <si>
    <t>2023-11-25 16:07:37</t>
  </si>
  <si>
    <t>2023-11-25 16:08:06</t>
  </si>
  <si>
    <t>2023-11-25 16:08:35</t>
  </si>
  <si>
    <t>2023-11-25 16:09:04</t>
  </si>
  <si>
    <t>2023-11-25 16:09:33</t>
  </si>
  <si>
    <t>2023-11-25 16:10:02</t>
  </si>
  <si>
    <t>2023-11-25 16:10:31</t>
  </si>
  <si>
    <t>2023-11-25 16:11:00</t>
  </si>
  <si>
    <t>2023-11-25 16:11:29</t>
  </si>
  <si>
    <t>2023-11-25 16:11:58</t>
  </si>
  <si>
    <t>2023-11-25 16:12:28</t>
  </si>
  <si>
    <t>2023-11-25 16:12:56</t>
  </si>
  <si>
    <t>2023-11-25 16:13:25</t>
  </si>
  <si>
    <t>2023-11-25 16:13:54</t>
  </si>
  <si>
    <t>2023-11-25 16:14:23</t>
  </si>
  <si>
    <t>2023-11-25 16:14:52</t>
  </si>
  <si>
    <t>2023-11-25 16:15:21</t>
  </si>
  <si>
    <t>2023-11-25 16:15:50</t>
  </si>
  <si>
    <t>2023-11-25 16:16:19</t>
  </si>
  <si>
    <t>2023-11-25 16:16:49</t>
  </si>
  <si>
    <t>2023-11-25 16:17:17</t>
  </si>
  <si>
    <t>2023-11-25 16:17:46</t>
  </si>
  <si>
    <t>2023-11-25 16:18:15</t>
  </si>
  <si>
    <t>2023-11-25 16:18:44</t>
  </si>
  <si>
    <t>2023-11-25 16:19:14</t>
  </si>
  <si>
    <t>2023-11-25 16:19:42</t>
  </si>
  <si>
    <t>2023-11-25 16:20:11</t>
  </si>
  <si>
    <t>2023-11-25 16:20:40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</si>
  <si>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</si>
  <si>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</si>
  <si>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</si>
  <si>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</si>
  <si>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</si>
  <si>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</si>
  <si>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</si>
  <si>
    <t xml:space="preserve">Mã khuôn </t>
  </si>
  <si>
    <t>Trạng thái</t>
  </si>
  <si>
    <t>Kế hoạch</t>
  </si>
  <si>
    <t>Thực tế</t>
  </si>
  <si>
    <t>Hiệu suất</t>
  </si>
  <si>
    <t>Lỗi</t>
  </si>
  <si>
    <t>Thời gian lắp khuôn</t>
  </si>
  <si>
    <t>Thời gian làm việc</t>
  </si>
  <si>
    <t>Thời gian nghỉ</t>
  </si>
  <si>
    <t>Năng suất hoạt động</t>
  </si>
  <si>
    <t>BÁO CÁO DỮ LIỆU THIẾT BỊ 1 XƯỞNG CHẾ TẠO</t>
  </si>
  <si>
    <t>ABCD1234</t>
  </si>
  <si>
    <t>bật</t>
  </si>
  <si>
    <t>tắt</t>
  </si>
  <si>
    <t>Tự động</t>
  </si>
  <si>
    <t>Thủ công</t>
  </si>
  <si>
    <t>Ngày in biểu: Thứ năm, 15/12/2023 8:14:6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</si>
</sst>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4"/>
      <name val="Calibri"/>
    </font>
    <font>
      <i/>
      <sz val="11"/>
      <name val="Calibri"/>
    </font>
    <font>
      <b/>
      <sz val="14"/>
      <name val="Arial"/>
    </font>
    <font>
      <b/>
      <sz val="11"/>
      <name val="Calibri"/>
    </font>
    <font>
      <b/>
      <sz val="12"/>
      <name val="Calibri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C0000"/>
  </sheetPr>
  <dimension ref="A1:Q20529"/>
  <sheetViews>
    <sheetView tabSelected="1" zoomScaleNormal="100" workbookViewId="0">
      <pane ySplit="7" topLeftCell="A20508" activePane="bottomLeft" state="frozen"/>
      <selection pane="bottomLeft" activeCell="N6545" sqref="N6545"/>
    </sheetView>
  </sheetViews>
  <sheetFormatPr defaultRowHeight="20.100000000000001" customHeight="1" x14ac:dyDescent="0.25"/>
  <cols>
    <col min="1" max="1" width="18" customWidth="1"/>
    <col min="2" max="2" width="20" customWidth="1"/>
    <col min="3" max="3" width="10.28515625" customWidth="1"/>
    <col min="4" max="4" width="10.7109375" customWidth="1"/>
    <col min="5" max="5" width="11.5703125" customWidth="1"/>
    <col min="6" max="6" width="10" customWidth="1"/>
    <col min="7" max="7" width="9.85546875" customWidth="1"/>
    <col min="8" max="8" width="8" customWidth="1"/>
    <col min="9" max="9" width="11.140625" customWidth="1"/>
    <col min="10" max="10" width="8" customWidth="1"/>
    <col min="11" max="11" width="11" customWidth="1"/>
    <col min="12" max="12" width="10.42578125" customWidth="1"/>
    <col min="13" max="13" width="14" customWidth="1"/>
    <col min="14" max="14" width="9.7109375" customWidth="1"/>
    <col min="15" max="15" width="12" customWidth="1"/>
    <col min="16" max="16" width="15" customWidth="1"/>
    <col min="17" max="17" width="30" customWidth="1"/>
  </cols>
  <sheetData>
    <row r="1" spans="1:17" ht="18.75" x14ac:dyDescent="0.25">
      <c r="A1" s="9"/>
      <c r="B1" s="1" t="s">
        <v>0</v>
      </c>
    </row>
    <row r="2" spans="1:17" ht="15" x14ac:dyDescent="0.25">
      <c r="A2" s="9"/>
      <c r="B2" t="s">
        <v>1</v>
      </c>
    </row>
    <row r="3" spans="1:17" ht="15" x14ac:dyDescent="0.25">
      <c r="A3" s="9"/>
      <c r="B3" t="s">
        <v>2</v>
      </c>
    </row>
    <row r="4" spans="1:17" ht="15" x14ac:dyDescent="0.25">
      <c r="N4" s="11" t="s">
        <v>20551</v>
      </c>
      <c r="O4" s="11"/>
      <c r="P4" s="11"/>
      <c r="Q4" s="11"/>
    </row>
    <row r="5" spans="1:17" ht="42.6" customHeight="1" x14ac:dyDescent="0.25">
      <c r="A5" s="10" t="s">
        <v>20545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</row>
    <row r="7" spans="1:17" ht="45" x14ac:dyDescent="0.25">
      <c r="A7" s="2" t="s">
        <v>3</v>
      </c>
      <c r="B7" s="2" t="s">
        <v>4</v>
      </c>
      <c r="C7" s="2" t="s">
        <v>20549</v>
      </c>
      <c r="D7" s="2" t="s">
        <v>20550</v>
      </c>
      <c r="E7" s="2" t="s">
        <v>20535</v>
      </c>
      <c r="F7" s="2" t="s">
        <v>20536</v>
      </c>
      <c r="G7" s="2" t="s">
        <v>20537</v>
      </c>
      <c r="H7" s="2" t="s">
        <v>20538</v>
      </c>
      <c r="I7" s="2" t="s">
        <v>20539</v>
      </c>
      <c r="J7" s="2" t="s">
        <v>20540</v>
      </c>
      <c r="K7" s="2" t="s">
        <v>20541</v>
      </c>
      <c r="L7" s="2" t="s">
        <v>20542</v>
      </c>
      <c r="M7" s="2" t="s">
        <v>20543</v>
      </c>
      <c r="N7" s="2" t="s">
        <v>20544</v>
      </c>
      <c r="O7" s="2" t="s">
        <v>5</v>
      </c>
      <c r="P7" s="2" t="s">
        <v>6</v>
      </c>
      <c r="Q7" s="2" t="s">
        <v>7</v>
      </c>
    </row>
    <row r="8" spans="1:17" ht="15" x14ac:dyDescent="0.25">
      <c r="A8" s="3">
        <f>1</f>
        <v>1</v>
      </c>
      <c r="B8" s="3" t="s">
        <v>8</v>
      </c>
      <c r="C8" s="3" t="s">
        <v>9</v>
      </c>
      <c r="D8" s="3" t="s">
        <v>10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/>
      <c r="P8" s="3"/>
      <c r="Q8" s="3"/>
    </row>
    <row r="9" spans="1:17" ht="15" x14ac:dyDescent="0.25">
      <c r="A9" s="3">
        <f>2</f>
        <v>2</v>
      </c>
      <c r="B9" s="3" t="s">
        <v>11</v>
      </c>
      <c r="C9" s="3" t="s">
        <v>9</v>
      </c>
      <c r="D9" s="3" t="s">
        <v>10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/>
      <c r="P9" s="3"/>
      <c r="Q9" s="3"/>
    </row>
    <row r="10" spans="1:17" ht="15" x14ac:dyDescent="0.25">
      <c r="A10" s="3">
        <f>3</f>
        <v>3</v>
      </c>
      <c r="B10" s="3" t="s">
        <v>12</v>
      </c>
      <c r="C10" s="3" t="s">
        <v>9</v>
      </c>
      <c r="D10" s="3" t="s">
        <v>10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/>
      <c r="P10" s="3"/>
      <c r="Q10" s="3"/>
    </row>
    <row r="11" spans="1:17" ht="15" x14ac:dyDescent="0.25">
      <c r="A11" s="3">
        <f>4</f>
        <v>4</v>
      </c>
      <c r="B11" s="3" t="s">
        <v>13</v>
      </c>
      <c r="C11" s="3" t="s">
        <v>9</v>
      </c>
      <c r="D11" s="3" t="s">
        <v>10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/>
      <c r="P11" s="3"/>
      <c r="Q11" s="3"/>
    </row>
    <row r="12" spans="1:17" ht="15" x14ac:dyDescent="0.25">
      <c r="A12" s="3">
        <f>5</f>
        <v>5</v>
      </c>
      <c r="B12" s="3" t="s">
        <v>14</v>
      </c>
      <c r="C12" s="3" t="s">
        <v>9</v>
      </c>
      <c r="D12" s="3" t="s">
        <v>10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/>
      <c r="P12" s="3"/>
      <c r="Q12" s="3"/>
    </row>
    <row r="13" spans="1:17" ht="15" x14ac:dyDescent="0.25">
      <c r="A13" s="3">
        <f>6</f>
        <v>6</v>
      </c>
      <c r="B13" s="3" t="s">
        <v>15</v>
      </c>
      <c r="C13" s="3" t="s">
        <v>9</v>
      </c>
      <c r="D13" s="3" t="s">
        <v>10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/>
      <c r="P13" s="3"/>
      <c r="Q13" s="3"/>
    </row>
    <row r="14" spans="1:17" ht="15" x14ac:dyDescent="0.25">
      <c r="A14" s="3">
        <f>7</f>
        <v>7</v>
      </c>
      <c r="B14" s="3" t="s">
        <v>16</v>
      </c>
      <c r="C14" s="3" t="s">
        <v>9</v>
      </c>
      <c r="D14" s="3" t="s">
        <v>10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/>
      <c r="P14" s="3"/>
      <c r="Q14" s="3"/>
    </row>
    <row r="15" spans="1:17" ht="15" x14ac:dyDescent="0.25">
      <c r="A15" s="3">
        <f>8</f>
        <v>8</v>
      </c>
      <c r="B15" s="3" t="s">
        <v>17</v>
      </c>
      <c r="C15" s="3" t="s">
        <v>9</v>
      </c>
      <c r="D15" s="3" t="s">
        <v>10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/>
      <c r="P15" s="3"/>
      <c r="Q15" s="3"/>
    </row>
    <row r="16" spans="1:17" ht="15" x14ac:dyDescent="0.25">
      <c r="A16" s="3">
        <f>9</f>
        <v>9</v>
      </c>
      <c r="B16" s="3" t="s">
        <v>18</v>
      </c>
      <c r="C16" s="3" t="s">
        <v>9</v>
      </c>
      <c r="D16" s="3" t="s">
        <v>10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/>
      <c r="P16" s="3"/>
      <c r="Q16" s="3"/>
    </row>
    <row r="17" spans="1:17" ht="15" x14ac:dyDescent="0.25">
      <c r="A17" s="3">
        <f>10</f>
        <v>10</v>
      </c>
      <c r="B17" s="3" t="s">
        <v>19</v>
      </c>
      <c r="C17" s="3" t="s">
        <v>9</v>
      </c>
      <c r="D17" s="3" t="s">
        <v>10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/>
      <c r="P17" s="3"/>
      <c r="Q17" s="3"/>
    </row>
    <row r="18" spans="1:17" ht="15" x14ac:dyDescent="0.25">
      <c r="A18" s="3">
        <f>11</f>
        <v>11</v>
      </c>
      <c r="B18" s="3" t="s">
        <v>20</v>
      </c>
      <c r="C18" s="3" t="s">
        <v>9</v>
      </c>
      <c r="D18" s="3" t="s">
        <v>10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/>
      <c r="P18" s="3"/>
      <c r="Q18" s="3"/>
    </row>
    <row r="19" spans="1:17" ht="15" x14ac:dyDescent="0.25">
      <c r="A19" s="3">
        <f>12</f>
        <v>12</v>
      </c>
      <c r="B19" s="3" t="s">
        <v>21</v>
      </c>
      <c r="C19" s="3" t="s">
        <v>9</v>
      </c>
      <c r="D19" s="3" t="s">
        <v>10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/>
      <c r="P19" s="3"/>
      <c r="Q19" s="3"/>
    </row>
    <row r="20" spans="1:17" ht="15" x14ac:dyDescent="0.25">
      <c r="A20" s="3">
        <f>13</f>
        <v>13</v>
      </c>
      <c r="B20" s="3" t="s">
        <v>22</v>
      </c>
      <c r="C20" s="3" t="s">
        <v>9</v>
      </c>
      <c r="D20" s="3" t="s">
        <v>10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/>
      <c r="P20" s="3"/>
      <c r="Q20" s="3"/>
    </row>
    <row r="21" spans="1:17" ht="15" x14ac:dyDescent="0.25">
      <c r="A21" s="3">
        <f>14</f>
        <v>14</v>
      </c>
      <c r="B21" s="3" t="s">
        <v>23</v>
      </c>
      <c r="C21" s="3" t="s">
        <v>9</v>
      </c>
      <c r="D21" s="3" t="s">
        <v>10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/>
      <c r="P21" s="3"/>
      <c r="Q21" s="3"/>
    </row>
    <row r="22" spans="1:17" ht="15" x14ac:dyDescent="0.25">
      <c r="A22" s="3">
        <f>15</f>
        <v>15</v>
      </c>
      <c r="B22" s="3" t="s">
        <v>24</v>
      </c>
      <c r="C22" s="3" t="s">
        <v>9</v>
      </c>
      <c r="D22" s="3" t="s">
        <v>10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/>
      <c r="P22" s="3"/>
      <c r="Q22" s="3"/>
    </row>
    <row r="23" spans="1:17" ht="15" x14ac:dyDescent="0.25">
      <c r="A23" s="3">
        <f>16</f>
        <v>16</v>
      </c>
      <c r="B23" s="3" t="s">
        <v>25</v>
      </c>
      <c r="C23" s="3" t="s">
        <v>9</v>
      </c>
      <c r="D23" s="3" t="s">
        <v>10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/>
      <c r="P23" s="3"/>
      <c r="Q23" s="3"/>
    </row>
    <row r="24" spans="1:17" ht="15" x14ac:dyDescent="0.25">
      <c r="A24" s="3">
        <f>17</f>
        <v>17</v>
      </c>
      <c r="B24" s="3" t="s">
        <v>26</v>
      </c>
      <c r="C24" s="3" t="s">
        <v>9</v>
      </c>
      <c r="D24" s="3" t="s">
        <v>10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/>
      <c r="P24" s="3"/>
      <c r="Q24" s="3"/>
    </row>
    <row r="25" spans="1:17" ht="15" x14ac:dyDescent="0.25">
      <c r="A25" s="3">
        <f>18</f>
        <v>18</v>
      </c>
      <c r="B25" s="3" t="s">
        <v>27</v>
      </c>
      <c r="C25" s="3" t="s">
        <v>9</v>
      </c>
      <c r="D25" s="3" t="s">
        <v>10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/>
      <c r="P25" s="3"/>
      <c r="Q25" s="3"/>
    </row>
    <row r="26" spans="1:17" ht="15" x14ac:dyDescent="0.25">
      <c r="A26" s="3">
        <f>19</f>
        <v>19</v>
      </c>
      <c r="B26" s="3" t="s">
        <v>28</v>
      </c>
      <c r="C26" s="3" t="s">
        <v>9</v>
      </c>
      <c r="D26" s="3" t="s">
        <v>10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/>
      <c r="P26" s="3"/>
      <c r="Q26" s="3"/>
    </row>
    <row r="27" spans="1:17" ht="15" x14ac:dyDescent="0.25">
      <c r="A27" s="3">
        <f>20</f>
        <v>20</v>
      </c>
      <c r="B27" s="3" t="s">
        <v>29</v>
      </c>
      <c r="C27" s="3" t="s">
        <v>9</v>
      </c>
      <c r="D27" s="3" t="s">
        <v>10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/>
      <c r="P27" s="3"/>
      <c r="Q27" s="3"/>
    </row>
    <row r="28" spans="1:17" ht="15" x14ac:dyDescent="0.25">
      <c r="A28" s="3">
        <f>21</f>
        <v>21</v>
      </c>
      <c r="B28" s="3" t="s">
        <v>30</v>
      </c>
      <c r="C28" s="3" t="s">
        <v>9</v>
      </c>
      <c r="D28" s="3" t="s">
        <v>10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/>
      <c r="P28" s="3"/>
      <c r="Q28" s="3"/>
    </row>
    <row r="29" spans="1:17" ht="15" x14ac:dyDescent="0.25">
      <c r="A29" s="3">
        <f>22</f>
        <v>22</v>
      </c>
      <c r="B29" s="3" t="s">
        <v>31</v>
      </c>
      <c r="C29" s="3" t="s">
        <v>9</v>
      </c>
      <c r="D29" s="3" t="s">
        <v>10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/>
      <c r="P29" s="3"/>
      <c r="Q29" s="3"/>
    </row>
    <row r="30" spans="1:17" ht="15" x14ac:dyDescent="0.25">
      <c r="A30" s="3">
        <f>23</f>
        <v>23</v>
      </c>
      <c r="B30" s="3" t="s">
        <v>32</v>
      </c>
      <c r="C30" s="3" t="s">
        <v>9</v>
      </c>
      <c r="D30" s="3" t="s">
        <v>10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/>
      <c r="P30" s="3"/>
      <c r="Q30" s="3"/>
    </row>
    <row r="31" spans="1:17" ht="15" x14ac:dyDescent="0.25">
      <c r="A31" s="3">
        <f>24</f>
        <v>24</v>
      </c>
      <c r="B31" s="3" t="s">
        <v>33</v>
      </c>
      <c r="C31" s="3" t="s">
        <v>9</v>
      </c>
      <c r="D31" s="3" t="s">
        <v>10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/>
      <c r="P31" s="3"/>
      <c r="Q31" s="3"/>
    </row>
    <row r="32" spans="1:17" ht="15" x14ac:dyDescent="0.25">
      <c r="A32" s="3">
        <f>25</f>
        <v>25</v>
      </c>
      <c r="B32" s="3" t="s">
        <v>34</v>
      </c>
      <c r="C32" s="3" t="s">
        <v>9</v>
      </c>
      <c r="D32" s="3" t="s">
        <v>10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/>
      <c r="P32" s="3"/>
      <c r="Q32" s="3"/>
    </row>
    <row r="33" spans="1:17" ht="15" x14ac:dyDescent="0.25">
      <c r="A33" s="3">
        <f>26</f>
        <v>26</v>
      </c>
      <c r="B33" s="3" t="s">
        <v>35</v>
      </c>
      <c r="C33" s="3" t="s">
        <v>9</v>
      </c>
      <c r="D33" s="3" t="s">
        <v>10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/>
      <c r="P33" s="3"/>
      <c r="Q33" s="3"/>
    </row>
    <row r="34" spans="1:17" ht="15" x14ac:dyDescent="0.25">
      <c r="A34" s="3">
        <f>27</f>
        <v>27</v>
      </c>
      <c r="B34" s="3" t="s">
        <v>36</v>
      </c>
      <c r="C34" s="3" t="s">
        <v>9</v>
      </c>
      <c r="D34" s="3" t="s">
        <v>10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/>
      <c r="P34" s="3"/>
      <c r="Q34" s="3"/>
    </row>
    <row r="35" spans="1:17" ht="15" x14ac:dyDescent="0.25">
      <c r="A35" s="3">
        <f>28</f>
        <v>28</v>
      </c>
      <c r="B35" s="3" t="s">
        <v>37</v>
      </c>
      <c r="C35" s="3" t="s">
        <v>9</v>
      </c>
      <c r="D35" s="3" t="s">
        <v>10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/>
      <c r="P35" s="3"/>
      <c r="Q35" s="3"/>
    </row>
    <row r="36" spans="1:17" ht="15" x14ac:dyDescent="0.25">
      <c r="A36" s="3">
        <f>29</f>
        <v>29</v>
      </c>
      <c r="B36" s="3" t="s">
        <v>38</v>
      </c>
      <c r="C36" s="3" t="s">
        <v>9</v>
      </c>
      <c r="D36" s="3" t="s">
        <v>10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/>
      <c r="P36" s="3"/>
      <c r="Q36" s="3"/>
    </row>
    <row r="37" spans="1:17" ht="15" x14ac:dyDescent="0.25">
      <c r="A37" s="3">
        <f>30</f>
        <v>30</v>
      </c>
      <c r="B37" s="3" t="s">
        <v>39</v>
      </c>
      <c r="C37" s="3" t="s">
        <v>9</v>
      </c>
      <c r="D37" s="3" t="s">
        <v>10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/>
      <c r="P37" s="3"/>
      <c r="Q37" s="3"/>
    </row>
    <row r="38" spans="1:17" ht="15" x14ac:dyDescent="0.25">
      <c r="A38" s="3">
        <f>31</f>
        <v>31</v>
      </c>
      <c r="B38" s="3" t="s">
        <v>40</v>
      </c>
      <c r="C38" s="3" t="s">
        <v>9</v>
      </c>
      <c r="D38" s="3" t="s">
        <v>10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/>
      <c r="P38" s="3"/>
      <c r="Q38" s="3"/>
    </row>
    <row r="39" spans="1:17" ht="15" x14ac:dyDescent="0.25">
      <c r="A39" s="3">
        <f>32</f>
        <v>32</v>
      </c>
      <c r="B39" s="3" t="s">
        <v>41</v>
      </c>
      <c r="C39" s="3" t="s">
        <v>9</v>
      </c>
      <c r="D39" s="3" t="s">
        <v>10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/>
      <c r="P39" s="3"/>
      <c r="Q39" s="3"/>
    </row>
    <row r="40" spans="1:17" ht="15" x14ac:dyDescent="0.25">
      <c r="A40" s="3">
        <f>33</f>
        <v>33</v>
      </c>
      <c r="B40" s="3" t="s">
        <v>42</v>
      </c>
      <c r="C40" s="3" t="s">
        <v>9</v>
      </c>
      <c r="D40" s="3" t="s">
        <v>10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/>
      <c r="P40" s="3"/>
      <c r="Q40" s="3"/>
    </row>
    <row r="41" spans="1:17" ht="15" x14ac:dyDescent="0.25">
      <c r="A41" s="3">
        <f>34</f>
        <v>34</v>
      </c>
      <c r="B41" s="3" t="s">
        <v>43</v>
      </c>
      <c r="C41" s="3" t="s">
        <v>9</v>
      </c>
      <c r="D41" s="3" t="s">
        <v>10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/>
      <c r="P41" s="3"/>
      <c r="Q41" s="3"/>
    </row>
    <row r="42" spans="1:17" ht="15" x14ac:dyDescent="0.25">
      <c r="A42" s="3">
        <f>35</f>
        <v>35</v>
      </c>
      <c r="B42" s="3" t="s">
        <v>44</v>
      </c>
      <c r="C42" s="3" t="s">
        <v>9</v>
      </c>
      <c r="D42" s="3" t="s">
        <v>10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/>
      <c r="P42" s="3"/>
      <c r="Q42" s="3"/>
    </row>
    <row r="43" spans="1:17" ht="15" x14ac:dyDescent="0.25">
      <c r="A43" s="3">
        <f>36</f>
        <v>36</v>
      </c>
      <c r="B43" s="3" t="s">
        <v>45</v>
      </c>
      <c r="C43" s="3" t="s">
        <v>9</v>
      </c>
      <c r="D43" s="3" t="s">
        <v>10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/>
      <c r="P43" s="3"/>
      <c r="Q43" s="3"/>
    </row>
    <row r="44" spans="1:17" ht="15" x14ac:dyDescent="0.25">
      <c r="A44" s="3">
        <f>37</f>
        <v>37</v>
      </c>
      <c r="B44" s="3" t="s">
        <v>46</v>
      </c>
      <c r="C44" s="3" t="s">
        <v>9</v>
      </c>
      <c r="D44" s="3" t="s">
        <v>10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/>
      <c r="P44" s="3"/>
      <c r="Q44" s="3"/>
    </row>
    <row r="45" spans="1:17" ht="15" x14ac:dyDescent="0.25">
      <c r="A45" s="3">
        <f>38</f>
        <v>38</v>
      </c>
      <c r="B45" s="3" t="s">
        <v>47</v>
      </c>
      <c r="C45" s="3" t="s">
        <v>9</v>
      </c>
      <c r="D45" s="3" t="s">
        <v>10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/>
      <c r="P45" s="3"/>
      <c r="Q45" s="3"/>
    </row>
    <row r="46" spans="1:17" ht="15" x14ac:dyDescent="0.25">
      <c r="A46" s="3">
        <f>39</f>
        <v>39</v>
      </c>
      <c r="B46" s="3" t="s">
        <v>48</v>
      </c>
      <c r="C46" s="3" t="s">
        <v>9</v>
      </c>
      <c r="D46" s="3" t="s">
        <v>10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/>
      <c r="P46" s="3"/>
      <c r="Q46" s="3"/>
    </row>
    <row r="47" spans="1:17" ht="15" x14ac:dyDescent="0.25">
      <c r="A47" s="3">
        <f>40</f>
        <v>40</v>
      </c>
      <c r="B47" s="3" t="s">
        <v>49</v>
      </c>
      <c r="C47" s="3" t="s">
        <v>9</v>
      </c>
      <c r="D47" s="3" t="s">
        <v>10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/>
      <c r="P47" s="3"/>
      <c r="Q47" s="3"/>
    </row>
    <row r="48" spans="1:17" ht="15" x14ac:dyDescent="0.25">
      <c r="A48" s="3">
        <f>41</f>
        <v>41</v>
      </c>
      <c r="B48" s="3" t="s">
        <v>50</v>
      </c>
      <c r="C48" s="3" t="s">
        <v>9</v>
      </c>
      <c r="D48" s="3" t="s">
        <v>10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/>
      <c r="P48" s="3"/>
      <c r="Q48" s="3"/>
    </row>
    <row r="49" spans="1:17" ht="15" x14ac:dyDescent="0.25">
      <c r="A49" s="3">
        <f>42</f>
        <v>42</v>
      </c>
      <c r="B49" s="3" t="s">
        <v>51</v>
      </c>
      <c r="C49" s="3" t="s">
        <v>9</v>
      </c>
      <c r="D49" s="3" t="s">
        <v>10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/>
      <c r="P49" s="3"/>
      <c r="Q49" s="3"/>
    </row>
    <row r="50" spans="1:17" ht="15" x14ac:dyDescent="0.25">
      <c r="A50" s="3">
        <f>43</f>
        <v>43</v>
      </c>
      <c r="B50" s="3" t="s">
        <v>52</v>
      </c>
      <c r="C50" s="3" t="s">
        <v>9</v>
      </c>
      <c r="D50" s="3" t="s">
        <v>10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/>
      <c r="P50" s="3"/>
      <c r="Q50" s="3"/>
    </row>
    <row r="51" spans="1:17" ht="15" x14ac:dyDescent="0.25">
      <c r="A51" s="3">
        <f>44</f>
        <v>44</v>
      </c>
      <c r="B51" s="3" t="s">
        <v>53</v>
      </c>
      <c r="C51" s="3" t="s">
        <v>9</v>
      </c>
      <c r="D51" s="3" t="s">
        <v>10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/>
      <c r="P51" s="3"/>
      <c r="Q51" s="3"/>
    </row>
    <row r="52" spans="1:17" ht="15" x14ac:dyDescent="0.25">
      <c r="A52" s="3">
        <f>45</f>
        <v>45</v>
      </c>
      <c r="B52" s="3" t="s">
        <v>54</v>
      </c>
      <c r="C52" s="3" t="s">
        <v>9</v>
      </c>
      <c r="D52" s="3" t="s">
        <v>10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/>
      <c r="P52" s="3"/>
      <c r="Q52" s="3"/>
    </row>
    <row r="53" spans="1:17" ht="15" x14ac:dyDescent="0.25">
      <c r="A53" s="3">
        <f>46</f>
        <v>46</v>
      </c>
      <c r="B53" s="3" t="s">
        <v>55</v>
      </c>
      <c r="C53" s="3" t="s">
        <v>9</v>
      </c>
      <c r="D53" s="3" t="s">
        <v>10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/>
      <c r="P53" s="3"/>
      <c r="Q53" s="3"/>
    </row>
    <row r="54" spans="1:17" ht="15" x14ac:dyDescent="0.25">
      <c r="A54" s="3">
        <f>47</f>
        <v>47</v>
      </c>
      <c r="B54" s="3" t="s">
        <v>56</v>
      </c>
      <c r="C54" s="3" t="s">
        <v>9</v>
      </c>
      <c r="D54" s="3" t="s">
        <v>10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/>
      <c r="P54" s="3"/>
      <c r="Q54" s="3"/>
    </row>
    <row r="55" spans="1:17" ht="15" x14ac:dyDescent="0.25">
      <c r="A55" s="3">
        <f>48</f>
        <v>48</v>
      </c>
      <c r="B55" s="3" t="s">
        <v>57</v>
      </c>
      <c r="C55" s="3" t="s">
        <v>9</v>
      </c>
      <c r="D55" s="3" t="s">
        <v>10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/>
      <c r="P55" s="3"/>
      <c r="Q55" s="3"/>
    </row>
    <row r="56" spans="1:17" ht="15" x14ac:dyDescent="0.25">
      <c r="A56" s="3">
        <f>49</f>
        <v>49</v>
      </c>
      <c r="B56" s="3" t="s">
        <v>58</v>
      </c>
      <c r="C56" s="3" t="s">
        <v>9</v>
      </c>
      <c r="D56" s="3" t="s">
        <v>10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/>
      <c r="P56" s="3"/>
      <c r="Q56" s="3"/>
    </row>
    <row r="57" spans="1:17" ht="15" x14ac:dyDescent="0.25">
      <c r="A57" s="3">
        <f>50</f>
        <v>50</v>
      </c>
      <c r="B57" s="3" t="s">
        <v>59</v>
      </c>
      <c r="C57" s="3" t="s">
        <v>9</v>
      </c>
      <c r="D57" s="3" t="s">
        <v>10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/>
      <c r="P57" s="3"/>
      <c r="Q57" s="3"/>
    </row>
    <row r="58" spans="1:17" ht="15" x14ac:dyDescent="0.25">
      <c r="A58" s="3">
        <f>51</f>
        <v>51</v>
      </c>
      <c r="B58" s="3" t="s">
        <v>60</v>
      </c>
      <c r="C58" s="3" t="s">
        <v>9</v>
      </c>
      <c r="D58" s="3" t="s">
        <v>10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/>
      <c r="P58" s="3"/>
      <c r="Q58" s="3"/>
    </row>
    <row r="59" spans="1:17" ht="15" x14ac:dyDescent="0.25">
      <c r="A59" s="3">
        <f>52</f>
        <v>52</v>
      </c>
      <c r="B59" s="3" t="s">
        <v>61</v>
      </c>
      <c r="C59" s="3" t="s">
        <v>9</v>
      </c>
      <c r="D59" s="3" t="s">
        <v>10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/>
      <c r="P59" s="3"/>
      <c r="Q59" s="3"/>
    </row>
    <row r="60" spans="1:17" ht="15" x14ac:dyDescent="0.25">
      <c r="A60" s="3">
        <f>53</f>
        <v>53</v>
      </c>
      <c r="B60" s="3" t="s">
        <v>62</v>
      </c>
      <c r="C60" s="3" t="s">
        <v>9</v>
      </c>
      <c r="D60" s="3" t="s">
        <v>10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/>
      <c r="P60" s="3"/>
      <c r="Q60" s="3"/>
    </row>
    <row r="61" spans="1:17" ht="15" x14ac:dyDescent="0.25">
      <c r="A61" s="3">
        <f>54</f>
        <v>54</v>
      </c>
      <c r="B61" s="3" t="s">
        <v>63</v>
      </c>
      <c r="C61" s="3" t="s">
        <v>9</v>
      </c>
      <c r="D61" s="3" t="s">
        <v>10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/>
      <c r="P61" s="3"/>
      <c r="Q61" s="3"/>
    </row>
    <row r="62" spans="1:17" ht="15" x14ac:dyDescent="0.25">
      <c r="A62" s="3">
        <f>55</f>
        <v>55</v>
      </c>
      <c r="B62" s="3" t="s">
        <v>64</v>
      </c>
      <c r="C62" s="3" t="s">
        <v>9</v>
      </c>
      <c r="D62" s="3" t="s">
        <v>10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/>
      <c r="P62" s="3"/>
      <c r="Q62" s="3"/>
    </row>
    <row r="63" spans="1:17" ht="15" x14ac:dyDescent="0.25">
      <c r="A63" s="3">
        <f>56</f>
        <v>56</v>
      </c>
      <c r="B63" s="3" t="s">
        <v>65</v>
      </c>
      <c r="C63" s="3" t="s">
        <v>9</v>
      </c>
      <c r="D63" s="3" t="s">
        <v>10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/>
      <c r="P63" s="3"/>
      <c r="Q63" s="3"/>
    </row>
    <row r="64" spans="1:17" ht="15" x14ac:dyDescent="0.25">
      <c r="A64" s="3">
        <f>57</f>
        <v>57</v>
      </c>
      <c r="B64" s="3" t="s">
        <v>66</v>
      </c>
      <c r="C64" s="3" t="s">
        <v>9</v>
      </c>
      <c r="D64" s="3" t="s">
        <v>10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/>
      <c r="P64" s="3"/>
      <c r="Q64" s="3"/>
    </row>
    <row r="65" spans="1:17" ht="15" x14ac:dyDescent="0.25">
      <c r="A65" s="3">
        <f>58</f>
        <v>58</v>
      </c>
      <c r="B65" s="3" t="s">
        <v>67</v>
      </c>
      <c r="C65" s="3" t="s">
        <v>9</v>
      </c>
      <c r="D65" s="3" t="s">
        <v>10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/>
      <c r="P65" s="3"/>
      <c r="Q65" s="3"/>
    </row>
    <row r="66" spans="1:17" ht="15" x14ac:dyDescent="0.25">
      <c r="A66" s="3">
        <f>59</f>
        <v>59</v>
      </c>
      <c r="B66" s="3" t="s">
        <v>68</v>
      </c>
      <c r="C66" s="3" t="s">
        <v>9</v>
      </c>
      <c r="D66" s="3" t="s">
        <v>10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/>
      <c r="P66" s="3"/>
      <c r="Q66" s="3"/>
    </row>
    <row r="67" spans="1:17" ht="15" x14ac:dyDescent="0.25">
      <c r="A67" s="3">
        <f>60</f>
        <v>60</v>
      </c>
      <c r="B67" s="3" t="s">
        <v>69</v>
      </c>
      <c r="C67" s="3" t="s">
        <v>9</v>
      </c>
      <c r="D67" s="3" t="s">
        <v>10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/>
      <c r="P67" s="3"/>
      <c r="Q67" s="3"/>
    </row>
    <row r="68" spans="1:17" ht="15" x14ac:dyDescent="0.25">
      <c r="A68" s="3">
        <f>61</f>
        <v>61</v>
      </c>
      <c r="B68" s="3" t="s">
        <v>70</v>
      </c>
      <c r="C68" s="3" t="s">
        <v>9</v>
      </c>
      <c r="D68" s="3" t="s">
        <v>10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/>
      <c r="P68" s="3"/>
      <c r="Q68" s="3"/>
    </row>
    <row r="69" spans="1:17" ht="15" x14ac:dyDescent="0.25">
      <c r="A69" s="3">
        <f>62</f>
        <v>62</v>
      </c>
      <c r="B69" s="3" t="s">
        <v>71</v>
      </c>
      <c r="C69" s="3" t="s">
        <v>9</v>
      </c>
      <c r="D69" s="3" t="s">
        <v>10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/>
      <c r="P69" s="3"/>
      <c r="Q69" s="3"/>
    </row>
    <row r="70" spans="1:17" ht="15" x14ac:dyDescent="0.25">
      <c r="A70" s="3">
        <f>63</f>
        <v>63</v>
      </c>
      <c r="B70" s="3" t="s">
        <v>72</v>
      </c>
      <c r="C70" s="3" t="s">
        <v>9</v>
      </c>
      <c r="D70" s="3" t="s">
        <v>10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/>
      <c r="P70" s="3"/>
      <c r="Q70" s="3"/>
    </row>
    <row r="71" spans="1:17" ht="15" x14ac:dyDescent="0.25">
      <c r="A71" s="3">
        <f>64</f>
        <v>64</v>
      </c>
      <c r="B71" s="3" t="s">
        <v>73</v>
      </c>
      <c r="C71" s="3" t="s">
        <v>9</v>
      </c>
      <c r="D71" s="3" t="s">
        <v>10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/>
      <c r="P71" s="3"/>
      <c r="Q71" s="3"/>
    </row>
    <row r="72" spans="1:17" ht="15" x14ac:dyDescent="0.25">
      <c r="A72" s="3">
        <f>65</f>
        <v>65</v>
      </c>
      <c r="B72" s="3" t="s">
        <v>74</v>
      </c>
      <c r="C72" s="3" t="s">
        <v>9</v>
      </c>
      <c r="D72" s="3" t="s">
        <v>10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/>
      <c r="P72" s="3"/>
      <c r="Q72" s="3"/>
    </row>
    <row r="73" spans="1:17" ht="15" x14ac:dyDescent="0.25">
      <c r="A73" s="3">
        <f>66</f>
        <v>66</v>
      </c>
      <c r="B73" s="3" t="s">
        <v>75</v>
      </c>
      <c r="C73" s="3" t="s">
        <v>9</v>
      </c>
      <c r="D73" s="3" t="s">
        <v>10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/>
      <c r="P73" s="3"/>
      <c r="Q73" s="3"/>
    </row>
    <row r="74" spans="1:17" ht="15" x14ac:dyDescent="0.25">
      <c r="A74" s="3">
        <f>67</f>
        <v>67</v>
      </c>
      <c r="B74" s="3" t="s">
        <v>76</v>
      </c>
      <c r="C74" s="3" t="s">
        <v>9</v>
      </c>
      <c r="D74" s="3" t="s">
        <v>10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/>
      <c r="P74" s="3"/>
      <c r="Q74" s="3"/>
    </row>
    <row r="75" spans="1:17" ht="15" x14ac:dyDescent="0.25">
      <c r="A75" s="3">
        <f>68</f>
        <v>68</v>
      </c>
      <c r="B75" s="3" t="s">
        <v>77</v>
      </c>
      <c r="C75" s="3" t="s">
        <v>9</v>
      </c>
      <c r="D75" s="3" t="s">
        <v>10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/>
      <c r="P75" s="3"/>
      <c r="Q75" s="3"/>
    </row>
    <row r="76" spans="1:17" ht="15" x14ac:dyDescent="0.25">
      <c r="A76" s="3">
        <f>69</f>
        <v>69</v>
      </c>
      <c r="B76" s="3" t="s">
        <v>78</v>
      </c>
      <c r="C76" s="3" t="s">
        <v>9</v>
      </c>
      <c r="D76" s="3" t="s">
        <v>10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/>
      <c r="P76" s="3"/>
      <c r="Q76" s="3"/>
    </row>
    <row r="77" spans="1:17" ht="15" x14ac:dyDescent="0.25">
      <c r="A77" s="3">
        <f>70</f>
        <v>70</v>
      </c>
      <c r="B77" s="3" t="s">
        <v>79</v>
      </c>
      <c r="C77" s="3" t="s">
        <v>9</v>
      </c>
      <c r="D77" s="3" t="s">
        <v>10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/>
      <c r="P77" s="3"/>
      <c r="Q77" s="3"/>
    </row>
    <row r="78" spans="1:17" ht="15" x14ac:dyDescent="0.25">
      <c r="A78" s="3">
        <f>71</f>
        <v>71</v>
      </c>
      <c r="B78" s="3" t="s">
        <v>80</v>
      </c>
      <c r="C78" s="3" t="s">
        <v>9</v>
      </c>
      <c r="D78" s="3" t="s">
        <v>10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/>
      <c r="P78" s="3"/>
      <c r="Q78" s="3"/>
    </row>
    <row r="79" spans="1:17" ht="15" x14ac:dyDescent="0.25">
      <c r="A79" s="3">
        <f>72</f>
        <v>72</v>
      </c>
      <c r="B79" s="3" t="s">
        <v>81</v>
      </c>
      <c r="C79" s="3" t="s">
        <v>9</v>
      </c>
      <c r="D79" s="3" t="s">
        <v>10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/>
      <c r="P79" s="3"/>
      <c r="Q79" s="3"/>
    </row>
    <row r="80" spans="1:17" ht="15" x14ac:dyDescent="0.25">
      <c r="A80" s="3">
        <f>73</f>
        <v>73</v>
      </c>
      <c r="B80" s="3" t="s">
        <v>82</v>
      </c>
      <c r="C80" s="3" t="s">
        <v>9</v>
      </c>
      <c r="D80" s="3" t="s">
        <v>10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/>
      <c r="P80" s="3"/>
      <c r="Q80" s="3"/>
    </row>
    <row r="81" spans="1:17" ht="15" x14ac:dyDescent="0.25">
      <c r="A81" s="3">
        <f>74</f>
        <v>74</v>
      </c>
      <c r="B81" s="3" t="s">
        <v>83</v>
      </c>
      <c r="C81" s="3" t="s">
        <v>9</v>
      </c>
      <c r="D81" s="3" t="s">
        <v>10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/>
      <c r="P81" s="3"/>
      <c r="Q81" s="3"/>
    </row>
    <row r="82" spans="1:17" ht="15" x14ac:dyDescent="0.25">
      <c r="A82" s="3">
        <f>75</f>
        <v>75</v>
      </c>
      <c r="B82" s="3" t="s">
        <v>84</v>
      </c>
      <c r="C82" s="3" t="s">
        <v>9</v>
      </c>
      <c r="D82" s="3" t="s">
        <v>10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/>
      <c r="P82" s="3"/>
      <c r="Q82" s="3"/>
    </row>
    <row r="83" spans="1:17" ht="15" x14ac:dyDescent="0.25">
      <c r="A83" s="3">
        <f>76</f>
        <v>76</v>
      </c>
      <c r="B83" s="3" t="s">
        <v>85</v>
      </c>
      <c r="C83" s="3" t="s">
        <v>9</v>
      </c>
      <c r="D83" s="3" t="s">
        <v>10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/>
      <c r="P83" s="3"/>
      <c r="Q83" s="3"/>
    </row>
    <row r="84" spans="1:17" ht="15" x14ac:dyDescent="0.25">
      <c r="A84" s="3">
        <f>77</f>
        <v>77</v>
      </c>
      <c r="B84" s="3" t="s">
        <v>86</v>
      </c>
      <c r="C84" s="3" t="s">
        <v>9</v>
      </c>
      <c r="D84" s="3" t="s">
        <v>10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/>
      <c r="P84" s="3"/>
      <c r="Q84" s="3"/>
    </row>
    <row r="85" spans="1:17" ht="15" x14ac:dyDescent="0.25">
      <c r="A85" s="3">
        <f>78</f>
        <v>78</v>
      </c>
      <c r="B85" s="3" t="s">
        <v>87</v>
      </c>
      <c r="C85" s="3" t="s">
        <v>9</v>
      </c>
      <c r="D85" s="3" t="s">
        <v>10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/>
      <c r="P85" s="3"/>
      <c r="Q85" s="3"/>
    </row>
    <row r="86" spans="1:17" ht="15" x14ac:dyDescent="0.25">
      <c r="A86" s="3">
        <f>79</f>
        <v>79</v>
      </c>
      <c r="B86" s="3" t="s">
        <v>88</v>
      </c>
      <c r="C86" s="3" t="s">
        <v>9</v>
      </c>
      <c r="D86" s="3" t="s">
        <v>10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/>
      <c r="P86" s="3"/>
      <c r="Q86" s="3"/>
    </row>
    <row r="87" spans="1:17" ht="15" x14ac:dyDescent="0.25">
      <c r="A87" s="3">
        <f>80</f>
        <v>80</v>
      </c>
      <c r="B87" s="3" t="s">
        <v>89</v>
      </c>
      <c r="C87" s="3" t="s">
        <v>9</v>
      </c>
      <c r="D87" s="3" t="s">
        <v>10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/>
      <c r="P87" s="3"/>
      <c r="Q87" s="3"/>
    </row>
    <row r="88" spans="1:17" ht="15" x14ac:dyDescent="0.25">
      <c r="A88" s="3">
        <f>81</f>
        <v>81</v>
      </c>
      <c r="B88" s="3" t="s">
        <v>90</v>
      </c>
      <c r="C88" s="3" t="s">
        <v>9</v>
      </c>
      <c r="D88" s="3" t="s">
        <v>10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/>
      <c r="P88" s="3"/>
      <c r="Q88" s="3"/>
    </row>
    <row r="89" spans="1:17" ht="15" x14ac:dyDescent="0.25">
      <c r="A89" s="3">
        <f>82</f>
        <v>82</v>
      </c>
      <c r="B89" s="3" t="s">
        <v>91</v>
      </c>
      <c r="C89" s="3" t="s">
        <v>9</v>
      </c>
      <c r="D89" s="3" t="s">
        <v>10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/>
      <c r="P89" s="3"/>
      <c r="Q89" s="3"/>
    </row>
    <row r="90" spans="1:17" ht="15" x14ac:dyDescent="0.25">
      <c r="A90" s="3">
        <f>83</f>
        <v>83</v>
      </c>
      <c r="B90" s="3" t="s">
        <v>92</v>
      </c>
      <c r="C90" s="3" t="s">
        <v>9</v>
      </c>
      <c r="D90" s="3" t="s">
        <v>10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/>
      <c r="P90" s="3"/>
      <c r="Q90" s="3"/>
    </row>
    <row r="91" spans="1:17" ht="15" x14ac:dyDescent="0.25">
      <c r="A91" s="3">
        <f>84</f>
        <v>84</v>
      </c>
      <c r="B91" s="3" t="s">
        <v>93</v>
      </c>
      <c r="C91" s="3" t="s">
        <v>9</v>
      </c>
      <c r="D91" s="3" t="s">
        <v>10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/>
      <c r="P91" s="3"/>
      <c r="Q91" s="3"/>
    </row>
    <row r="92" spans="1:17" ht="15" x14ac:dyDescent="0.25">
      <c r="A92" s="3">
        <f>85</f>
        <v>85</v>
      </c>
      <c r="B92" s="3" t="s">
        <v>94</v>
      </c>
      <c r="C92" s="3" t="s">
        <v>9</v>
      </c>
      <c r="D92" s="3" t="s">
        <v>10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/>
      <c r="P92" s="3"/>
      <c r="Q92" s="3"/>
    </row>
    <row r="93" spans="1:17" ht="15" x14ac:dyDescent="0.25">
      <c r="A93" s="3">
        <f>86</f>
        <v>86</v>
      </c>
      <c r="B93" s="3" t="s">
        <v>95</v>
      </c>
      <c r="C93" s="3" t="s">
        <v>9</v>
      </c>
      <c r="D93" s="3" t="s">
        <v>10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/>
      <c r="P93" s="3"/>
      <c r="Q93" s="3"/>
    </row>
    <row r="94" spans="1:17" ht="15" x14ac:dyDescent="0.25">
      <c r="A94" s="3">
        <f>87</f>
        <v>87</v>
      </c>
      <c r="B94" s="3" t="s">
        <v>96</v>
      </c>
      <c r="C94" s="3" t="s">
        <v>9</v>
      </c>
      <c r="D94" s="3" t="s">
        <v>10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/>
      <c r="P94" s="3"/>
      <c r="Q94" s="3"/>
    </row>
    <row r="95" spans="1:17" ht="15" x14ac:dyDescent="0.25">
      <c r="A95" s="3">
        <f>88</f>
        <v>88</v>
      </c>
      <c r="B95" s="3" t="s">
        <v>97</v>
      </c>
      <c r="C95" s="3" t="s">
        <v>9</v>
      </c>
      <c r="D95" s="3" t="s">
        <v>10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/>
      <c r="P95" s="3"/>
      <c r="Q95" s="3"/>
    </row>
    <row r="96" spans="1:17" ht="15" x14ac:dyDescent="0.25">
      <c r="A96" s="3">
        <f>89</f>
        <v>89</v>
      </c>
      <c r="B96" s="3" t="s">
        <v>98</v>
      </c>
      <c r="C96" s="3" t="s">
        <v>9</v>
      </c>
      <c r="D96" s="3" t="s">
        <v>10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/>
      <c r="P96" s="3"/>
      <c r="Q96" s="3"/>
    </row>
    <row r="97" spans="1:17" ht="15" x14ac:dyDescent="0.25">
      <c r="A97" s="3">
        <f>90</f>
        <v>90</v>
      </c>
      <c r="B97" s="3" t="s">
        <v>99</v>
      </c>
      <c r="C97" s="3" t="s">
        <v>9</v>
      </c>
      <c r="D97" s="3" t="s">
        <v>10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/>
      <c r="P97" s="3"/>
      <c r="Q97" s="3"/>
    </row>
    <row r="98" spans="1:17" ht="15" x14ac:dyDescent="0.25">
      <c r="A98" s="3">
        <f>91</f>
        <v>91</v>
      </c>
      <c r="B98" s="3" t="s">
        <v>100</v>
      </c>
      <c r="C98" s="3" t="s">
        <v>9</v>
      </c>
      <c r="D98" s="3" t="s">
        <v>10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/>
      <c r="P98" s="3"/>
      <c r="Q98" s="3"/>
    </row>
    <row r="99" spans="1:17" ht="15" x14ac:dyDescent="0.25">
      <c r="A99" s="3">
        <f>92</f>
        <v>92</v>
      </c>
      <c r="B99" s="3" t="s">
        <v>101</v>
      </c>
      <c r="C99" s="3" t="s">
        <v>9</v>
      </c>
      <c r="D99" s="3" t="s">
        <v>10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/>
      <c r="P99" s="3"/>
      <c r="Q99" s="3"/>
    </row>
    <row r="100" spans="1:17" ht="15" x14ac:dyDescent="0.25">
      <c r="A100" s="3">
        <f>93</f>
        <v>93</v>
      </c>
      <c r="B100" s="3" t="s">
        <v>102</v>
      </c>
      <c r="C100" s="3" t="s">
        <v>9</v>
      </c>
      <c r="D100" s="3" t="s">
        <v>10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/>
      <c r="P100" s="3"/>
      <c r="Q100" s="3"/>
    </row>
    <row r="101" spans="1:17" ht="15" x14ac:dyDescent="0.25">
      <c r="A101" s="3">
        <f>94</f>
        <v>94</v>
      </c>
      <c r="B101" s="3" t="s">
        <v>103</v>
      </c>
      <c r="C101" s="3" t="s">
        <v>9</v>
      </c>
      <c r="D101" s="3" t="s">
        <v>10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/>
      <c r="P101" s="3"/>
      <c r="Q101" s="3"/>
    </row>
    <row r="102" spans="1:17" ht="15" x14ac:dyDescent="0.25">
      <c r="A102" s="3">
        <f>95</f>
        <v>95</v>
      </c>
      <c r="B102" s="3" t="s">
        <v>104</v>
      </c>
      <c r="C102" s="3" t="s">
        <v>9</v>
      </c>
      <c r="D102" s="3" t="s">
        <v>10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/>
      <c r="P102" s="3"/>
      <c r="Q102" s="3"/>
    </row>
    <row r="103" spans="1:17" ht="15" x14ac:dyDescent="0.25">
      <c r="A103" s="3">
        <f>96</f>
        <v>96</v>
      </c>
      <c r="B103" s="3" t="s">
        <v>105</v>
      </c>
      <c r="C103" s="3" t="s">
        <v>9</v>
      </c>
      <c r="D103" s="3" t="s">
        <v>10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/>
      <c r="P103" s="3"/>
      <c r="Q103" s="3"/>
    </row>
    <row r="104" spans="1:17" ht="15" x14ac:dyDescent="0.25">
      <c r="A104" s="3">
        <f>97</f>
        <v>97</v>
      </c>
      <c r="B104" s="3" t="s">
        <v>106</v>
      </c>
      <c r="C104" s="3" t="s">
        <v>9</v>
      </c>
      <c r="D104" s="3" t="s">
        <v>10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/>
      <c r="P104" s="3"/>
      <c r="Q104" s="3"/>
    </row>
    <row r="105" spans="1:17" ht="15" x14ac:dyDescent="0.25">
      <c r="A105" s="3">
        <f>98</f>
        <v>98</v>
      </c>
      <c r="B105" s="3" t="s">
        <v>107</v>
      </c>
      <c r="C105" s="3" t="s">
        <v>9</v>
      </c>
      <c r="D105" s="3" t="s">
        <v>10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/>
      <c r="P105" s="3"/>
      <c r="Q105" s="3"/>
    </row>
    <row r="106" spans="1:17" ht="15" x14ac:dyDescent="0.25">
      <c r="A106" s="3">
        <f>99</f>
        <v>99</v>
      </c>
      <c r="B106" s="3" t="s">
        <v>108</v>
      </c>
      <c r="C106" s="3" t="s">
        <v>9</v>
      </c>
      <c r="D106" s="3" t="s">
        <v>10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/>
      <c r="P106" s="3"/>
      <c r="Q106" s="3"/>
    </row>
    <row r="107" spans="1:17" ht="15" x14ac:dyDescent="0.25">
      <c r="A107" s="3">
        <f>100</f>
        <v>100</v>
      </c>
      <c r="B107" s="3" t="s">
        <v>109</v>
      </c>
      <c r="C107" s="3" t="s">
        <v>9</v>
      </c>
      <c r="D107" s="3" t="s">
        <v>10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/>
      <c r="P107" s="3"/>
      <c r="Q107" s="3"/>
    </row>
    <row r="108" spans="1:17" ht="15" x14ac:dyDescent="0.25">
      <c r="A108" s="3">
        <f>101</f>
        <v>101</v>
      </c>
      <c r="B108" s="3" t="s">
        <v>110</v>
      </c>
      <c r="C108" s="3" t="s">
        <v>9</v>
      </c>
      <c r="D108" s="3" t="s">
        <v>10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/>
      <c r="P108" s="3"/>
      <c r="Q108" s="3"/>
    </row>
    <row r="109" spans="1:17" ht="15" x14ac:dyDescent="0.25">
      <c r="A109" s="3">
        <f>102</f>
        <v>102</v>
      </c>
      <c r="B109" s="3" t="s">
        <v>111</v>
      </c>
      <c r="C109" s="3" t="s">
        <v>9</v>
      </c>
      <c r="D109" s="3" t="s">
        <v>10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/>
      <c r="P109" s="3"/>
      <c r="Q109" s="3"/>
    </row>
    <row r="110" spans="1:17" ht="15" x14ac:dyDescent="0.25">
      <c r="A110" s="3">
        <f>103</f>
        <v>103</v>
      </c>
      <c r="B110" s="3" t="s">
        <v>112</v>
      </c>
      <c r="C110" s="3" t="s">
        <v>9</v>
      </c>
      <c r="D110" s="3" t="s">
        <v>10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/>
      <c r="P110" s="3"/>
      <c r="Q110" s="3"/>
    </row>
    <row r="111" spans="1:17" ht="15" x14ac:dyDescent="0.25">
      <c r="A111" s="3">
        <f>104</f>
        <v>104</v>
      </c>
      <c r="B111" s="3" t="s">
        <v>113</v>
      </c>
      <c r="C111" s="3" t="s">
        <v>9</v>
      </c>
      <c r="D111" s="3" t="s">
        <v>10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/>
      <c r="P111" s="3"/>
      <c r="Q111" s="3"/>
    </row>
    <row r="112" spans="1:17" ht="15" x14ac:dyDescent="0.25">
      <c r="A112" s="3">
        <f>105</f>
        <v>105</v>
      </c>
      <c r="B112" s="3" t="s">
        <v>114</v>
      </c>
      <c r="C112" s="3" t="s">
        <v>9</v>
      </c>
      <c r="D112" s="3" t="s">
        <v>10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/>
      <c r="P112" s="3"/>
      <c r="Q112" s="3"/>
    </row>
    <row r="113" spans="1:17" ht="15" x14ac:dyDescent="0.25">
      <c r="A113" s="3">
        <f>106</f>
        <v>106</v>
      </c>
      <c r="B113" s="3" t="s">
        <v>115</v>
      </c>
      <c r="C113" s="3" t="s">
        <v>9</v>
      </c>
      <c r="D113" s="3" t="s">
        <v>10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/>
      <c r="P113" s="3"/>
      <c r="Q113" s="3"/>
    </row>
    <row r="114" spans="1:17" ht="15" x14ac:dyDescent="0.25">
      <c r="A114" s="3">
        <f>107</f>
        <v>107</v>
      </c>
      <c r="B114" s="3" t="s">
        <v>116</v>
      </c>
      <c r="C114" s="3" t="s">
        <v>9</v>
      </c>
      <c r="D114" s="3" t="s">
        <v>10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/>
      <c r="P114" s="3"/>
      <c r="Q114" s="3"/>
    </row>
    <row r="115" spans="1:17" ht="15" x14ac:dyDescent="0.25">
      <c r="A115" s="3">
        <f>108</f>
        <v>108</v>
      </c>
      <c r="B115" s="3" t="s">
        <v>117</v>
      </c>
      <c r="C115" s="3" t="s">
        <v>9</v>
      </c>
      <c r="D115" s="3" t="s">
        <v>10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/>
      <c r="P115" s="3"/>
      <c r="Q115" s="3"/>
    </row>
    <row r="116" spans="1:17" ht="15" x14ac:dyDescent="0.25">
      <c r="A116" s="3">
        <f>109</f>
        <v>109</v>
      </c>
      <c r="B116" s="3" t="s">
        <v>118</v>
      </c>
      <c r="C116" s="3" t="s">
        <v>9</v>
      </c>
      <c r="D116" s="3" t="s">
        <v>10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/>
      <c r="P116" s="3"/>
      <c r="Q116" s="3"/>
    </row>
    <row r="117" spans="1:17" ht="15" x14ac:dyDescent="0.25">
      <c r="A117" s="3">
        <f>110</f>
        <v>110</v>
      </c>
      <c r="B117" s="3" t="s">
        <v>119</v>
      </c>
      <c r="C117" s="3" t="s">
        <v>9</v>
      </c>
      <c r="D117" s="3" t="s">
        <v>10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/>
      <c r="P117" s="3"/>
      <c r="Q117" s="3"/>
    </row>
    <row r="118" spans="1:17" ht="15" x14ac:dyDescent="0.25">
      <c r="A118" s="3">
        <f>111</f>
        <v>111</v>
      </c>
      <c r="B118" s="3" t="s">
        <v>120</v>
      </c>
      <c r="C118" s="3" t="s">
        <v>9</v>
      </c>
      <c r="D118" s="3" t="s">
        <v>10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/>
      <c r="P118" s="3"/>
      <c r="Q118" s="3"/>
    </row>
    <row r="119" spans="1:17" ht="15" x14ac:dyDescent="0.25">
      <c r="A119" s="3">
        <f>112</f>
        <v>112</v>
      </c>
      <c r="B119" s="3" t="s">
        <v>121</v>
      </c>
      <c r="C119" s="3" t="s">
        <v>9</v>
      </c>
      <c r="D119" s="3" t="s">
        <v>10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/>
      <c r="P119" s="3"/>
      <c r="Q119" s="3"/>
    </row>
    <row r="120" spans="1:17" ht="15" x14ac:dyDescent="0.25">
      <c r="A120" s="3">
        <f>113</f>
        <v>113</v>
      </c>
      <c r="B120" s="3" t="s">
        <v>122</v>
      </c>
      <c r="C120" s="3" t="s">
        <v>9</v>
      </c>
      <c r="D120" s="3" t="s">
        <v>10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/>
      <c r="P120" s="3"/>
      <c r="Q120" s="3"/>
    </row>
    <row r="121" spans="1:17" ht="15" x14ac:dyDescent="0.25">
      <c r="A121" s="3">
        <f>114</f>
        <v>114</v>
      </c>
      <c r="B121" s="3" t="s">
        <v>123</v>
      </c>
      <c r="C121" s="3" t="s">
        <v>9</v>
      </c>
      <c r="D121" s="3" t="s">
        <v>10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/>
      <c r="P121" s="3"/>
      <c r="Q121" s="3"/>
    </row>
    <row r="122" spans="1:17" ht="15" x14ac:dyDescent="0.25">
      <c r="A122" s="3">
        <f>115</f>
        <v>115</v>
      </c>
      <c r="B122" s="3" t="s">
        <v>124</v>
      </c>
      <c r="C122" s="3" t="s">
        <v>9</v>
      </c>
      <c r="D122" s="3" t="s">
        <v>10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/>
      <c r="P122" s="3"/>
      <c r="Q122" s="3"/>
    </row>
    <row r="123" spans="1:17" ht="15" x14ac:dyDescent="0.25">
      <c r="A123" s="3">
        <f>116</f>
        <v>116</v>
      </c>
      <c r="B123" s="3" t="s">
        <v>125</v>
      </c>
      <c r="C123" s="3" t="s">
        <v>9</v>
      </c>
      <c r="D123" s="3" t="s">
        <v>10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/>
      <c r="P123" s="3"/>
      <c r="Q123" s="3"/>
    </row>
    <row r="124" spans="1:17" ht="15" x14ac:dyDescent="0.25">
      <c r="A124" s="3">
        <f>117</f>
        <v>117</v>
      </c>
      <c r="B124" s="3" t="s">
        <v>126</v>
      </c>
      <c r="C124" s="3" t="s">
        <v>9</v>
      </c>
      <c r="D124" s="3" t="s">
        <v>10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/>
      <c r="P124" s="3"/>
      <c r="Q124" s="3"/>
    </row>
    <row r="125" spans="1:17" ht="15" x14ac:dyDescent="0.25">
      <c r="A125" s="3">
        <f>118</f>
        <v>118</v>
      </c>
      <c r="B125" s="3" t="s">
        <v>127</v>
      </c>
      <c r="C125" s="3" t="s">
        <v>9</v>
      </c>
      <c r="D125" s="3" t="s">
        <v>10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/>
      <c r="P125" s="3"/>
      <c r="Q125" s="3"/>
    </row>
    <row r="126" spans="1:17" ht="15" x14ac:dyDescent="0.25">
      <c r="A126" s="3">
        <f>119</f>
        <v>119</v>
      </c>
      <c r="B126" s="3" t="s">
        <v>128</v>
      </c>
      <c r="C126" s="3" t="s">
        <v>9</v>
      </c>
      <c r="D126" s="3" t="s">
        <v>10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/>
      <c r="P126" s="3"/>
      <c r="Q126" s="3"/>
    </row>
    <row r="127" spans="1:17" ht="15" x14ac:dyDescent="0.25">
      <c r="A127" s="3">
        <f>120</f>
        <v>120</v>
      </c>
      <c r="B127" s="3" t="s">
        <v>129</v>
      </c>
      <c r="C127" s="3" t="s">
        <v>9</v>
      </c>
      <c r="D127" s="3" t="s">
        <v>9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/>
      <c r="P127" s="3"/>
      <c r="Q127" s="3"/>
    </row>
    <row r="128" spans="1:17" ht="15" x14ac:dyDescent="0.25">
      <c r="A128" s="3">
        <f>121</f>
        <v>121</v>
      </c>
      <c r="B128" s="3" t="s">
        <v>130</v>
      </c>
      <c r="C128" s="3" t="s">
        <v>10</v>
      </c>
      <c r="D128" s="3" t="s">
        <v>9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/>
      <c r="P128" s="3"/>
      <c r="Q128" s="3"/>
    </row>
    <row r="129" spans="1:17" ht="15" x14ac:dyDescent="0.25">
      <c r="A129" s="3">
        <f>122</f>
        <v>122</v>
      </c>
      <c r="B129" s="3" t="s">
        <v>131</v>
      </c>
      <c r="C129" s="3" t="s">
        <v>10</v>
      </c>
      <c r="D129" s="3" t="s">
        <v>9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/>
      <c r="P129" s="3"/>
      <c r="Q129" s="3"/>
    </row>
    <row r="130" spans="1:17" ht="15" x14ac:dyDescent="0.25">
      <c r="A130" s="3">
        <f>123</f>
        <v>123</v>
      </c>
      <c r="B130" s="3" t="s">
        <v>132</v>
      </c>
      <c r="C130" s="3" t="s">
        <v>10</v>
      </c>
      <c r="D130" s="3" t="s">
        <v>9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/>
      <c r="P130" s="3"/>
      <c r="Q130" s="3"/>
    </row>
    <row r="131" spans="1:17" ht="15" x14ac:dyDescent="0.25">
      <c r="A131" s="3">
        <f>124</f>
        <v>124</v>
      </c>
      <c r="B131" s="3" t="s">
        <v>133</v>
      </c>
      <c r="C131" s="3" t="s">
        <v>10</v>
      </c>
      <c r="D131" s="3" t="s">
        <v>9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/>
      <c r="P131" s="3"/>
      <c r="Q131" s="3"/>
    </row>
    <row r="132" spans="1:17" ht="15" x14ac:dyDescent="0.25">
      <c r="A132" s="3">
        <f>125</f>
        <v>125</v>
      </c>
      <c r="B132" s="3" t="s">
        <v>134</v>
      </c>
      <c r="C132" s="3" t="s">
        <v>10</v>
      </c>
      <c r="D132" s="3" t="s">
        <v>9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/>
      <c r="P132" s="3"/>
      <c r="Q132" s="3"/>
    </row>
    <row r="133" spans="1:17" ht="15" x14ac:dyDescent="0.25">
      <c r="A133" s="3">
        <f>126</f>
        <v>126</v>
      </c>
      <c r="B133" s="3" t="s">
        <v>135</v>
      </c>
      <c r="C133" s="3" t="s">
        <v>10</v>
      </c>
      <c r="D133" s="3" t="s">
        <v>9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/>
      <c r="P133" s="3"/>
      <c r="Q133" s="3"/>
    </row>
    <row r="134" spans="1:17" ht="15" x14ac:dyDescent="0.25">
      <c r="A134" s="3">
        <f>127</f>
        <v>127</v>
      </c>
      <c r="B134" s="3" t="s">
        <v>136</v>
      </c>
      <c r="C134" s="3" t="s">
        <v>10</v>
      </c>
      <c r="D134" s="3" t="s">
        <v>9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/>
      <c r="P134" s="3"/>
      <c r="Q134" s="3"/>
    </row>
    <row r="135" spans="1:17" ht="15" x14ac:dyDescent="0.25">
      <c r="A135" s="3">
        <f>128</f>
        <v>128</v>
      </c>
      <c r="B135" s="3" t="s">
        <v>137</v>
      </c>
      <c r="C135" s="3" t="s">
        <v>10</v>
      </c>
      <c r="D135" s="3" t="s">
        <v>9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/>
      <c r="P135" s="3"/>
      <c r="Q135" s="3"/>
    </row>
    <row r="136" spans="1:17" ht="15" x14ac:dyDescent="0.25">
      <c r="A136" s="3">
        <f>129</f>
        <v>129</v>
      </c>
      <c r="B136" s="3" t="s">
        <v>138</v>
      </c>
      <c r="C136" s="3" t="s">
        <v>10</v>
      </c>
      <c r="D136" s="3" t="s">
        <v>9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/>
      <c r="P136" s="3"/>
      <c r="Q136" s="3"/>
    </row>
    <row r="137" spans="1:17" ht="15" x14ac:dyDescent="0.25">
      <c r="A137" s="3">
        <f>130</f>
        <v>130</v>
      </c>
      <c r="B137" s="3" t="s">
        <v>139</v>
      </c>
      <c r="C137" s="3" t="s">
        <v>9</v>
      </c>
      <c r="D137" s="3" t="s">
        <v>10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/>
      <c r="P137" s="3"/>
      <c r="Q137" s="3"/>
    </row>
    <row r="138" spans="1:17" ht="15" x14ac:dyDescent="0.25">
      <c r="A138" s="3">
        <f>131</f>
        <v>131</v>
      </c>
      <c r="B138" s="3" t="s">
        <v>140</v>
      </c>
      <c r="C138" s="3" t="s">
        <v>10</v>
      </c>
      <c r="D138" s="3" t="s">
        <v>9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/>
      <c r="P138" s="3"/>
      <c r="Q138" s="3"/>
    </row>
    <row r="139" spans="1:17" ht="15" x14ac:dyDescent="0.25">
      <c r="A139" s="3">
        <f>132</f>
        <v>132</v>
      </c>
      <c r="B139" s="3" t="s">
        <v>141</v>
      </c>
      <c r="C139" s="3" t="s">
        <v>10</v>
      </c>
      <c r="D139" s="3" t="s">
        <v>9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/>
      <c r="P139" s="3"/>
      <c r="Q139" s="3"/>
    </row>
    <row r="140" spans="1:17" ht="15" x14ac:dyDescent="0.25">
      <c r="A140" s="3">
        <f>133</f>
        <v>133</v>
      </c>
      <c r="B140" s="3" t="s">
        <v>142</v>
      </c>
      <c r="C140" s="3" t="s">
        <v>10</v>
      </c>
      <c r="D140" s="3" t="s">
        <v>9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/>
      <c r="P140" s="3"/>
      <c r="Q140" s="3"/>
    </row>
    <row r="141" spans="1:17" ht="15" x14ac:dyDescent="0.25">
      <c r="A141" s="3">
        <f>134</f>
        <v>134</v>
      </c>
      <c r="B141" s="3" t="s">
        <v>143</v>
      </c>
      <c r="C141" s="3" t="s">
        <v>10</v>
      </c>
      <c r="D141" s="3" t="s">
        <v>9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/>
      <c r="P141" s="3"/>
      <c r="Q141" s="3"/>
    </row>
    <row r="142" spans="1:17" ht="15" x14ac:dyDescent="0.25">
      <c r="A142" s="3">
        <f>135</f>
        <v>135</v>
      </c>
      <c r="B142" s="3" t="s">
        <v>144</v>
      </c>
      <c r="C142" s="3" t="s">
        <v>10</v>
      </c>
      <c r="D142" s="3" t="s">
        <v>9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/>
      <c r="P142" s="3"/>
      <c r="Q142" s="3"/>
    </row>
    <row r="143" spans="1:17" ht="15" x14ac:dyDescent="0.25">
      <c r="A143" s="3">
        <f>136</f>
        <v>136</v>
      </c>
      <c r="B143" s="3" t="s">
        <v>145</v>
      </c>
      <c r="C143" s="3" t="s">
        <v>10</v>
      </c>
      <c r="D143" s="3" t="s">
        <v>9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/>
      <c r="P143" s="3"/>
      <c r="Q143" s="3"/>
    </row>
    <row r="144" spans="1:17" ht="15" x14ac:dyDescent="0.25">
      <c r="A144" s="3">
        <f>137</f>
        <v>137</v>
      </c>
      <c r="B144" s="3" t="s">
        <v>146</v>
      </c>
      <c r="C144" s="3" t="s">
        <v>10</v>
      </c>
      <c r="D144" s="3" t="s">
        <v>9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/>
      <c r="P144" s="3"/>
      <c r="Q144" s="3"/>
    </row>
    <row r="145" spans="1:17" ht="15" x14ac:dyDescent="0.25">
      <c r="A145" s="3">
        <f>138</f>
        <v>138</v>
      </c>
      <c r="B145" s="3" t="s">
        <v>147</v>
      </c>
      <c r="C145" s="3" t="s">
        <v>10</v>
      </c>
      <c r="D145" s="3" t="s">
        <v>9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/>
      <c r="P145" s="3"/>
      <c r="Q145" s="3"/>
    </row>
    <row r="146" spans="1:17" ht="15" x14ac:dyDescent="0.25">
      <c r="A146" s="3">
        <f>139</f>
        <v>139</v>
      </c>
      <c r="B146" s="3" t="s">
        <v>148</v>
      </c>
      <c r="C146" s="3" t="s">
        <v>10</v>
      </c>
      <c r="D146" s="3" t="s">
        <v>9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/>
      <c r="P146" s="3"/>
      <c r="Q146" s="3"/>
    </row>
    <row r="147" spans="1:17" ht="15" x14ac:dyDescent="0.25">
      <c r="A147" s="3">
        <f>140</f>
        <v>140</v>
      </c>
      <c r="B147" s="3" t="s">
        <v>149</v>
      </c>
      <c r="C147" s="3" t="s">
        <v>10</v>
      </c>
      <c r="D147" s="3" t="s">
        <v>9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/>
      <c r="P147" s="3"/>
      <c r="Q147" s="3"/>
    </row>
    <row r="148" spans="1:17" ht="15" x14ac:dyDescent="0.25">
      <c r="A148" s="3">
        <f>141</f>
        <v>141</v>
      </c>
      <c r="B148" s="3" t="s">
        <v>150</v>
      </c>
      <c r="C148" s="3" t="s">
        <v>10</v>
      </c>
      <c r="D148" s="3" t="s">
        <v>9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/>
      <c r="P148" s="3"/>
      <c r="Q148" s="3"/>
    </row>
    <row r="149" spans="1:17" ht="15" x14ac:dyDescent="0.25">
      <c r="A149" s="3">
        <f>142</f>
        <v>142</v>
      </c>
      <c r="B149" s="3" t="s">
        <v>151</v>
      </c>
      <c r="C149" s="3" t="s">
        <v>10</v>
      </c>
      <c r="D149" s="3" t="s">
        <v>9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/>
      <c r="P149" s="3"/>
      <c r="Q149" s="3"/>
    </row>
    <row r="150" spans="1:17" ht="15" x14ac:dyDescent="0.25">
      <c r="A150" s="3">
        <f>143</f>
        <v>143</v>
      </c>
      <c r="B150" s="3" t="s">
        <v>152</v>
      </c>
      <c r="C150" s="3" t="s">
        <v>10</v>
      </c>
      <c r="D150" s="3" t="s">
        <v>9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/>
      <c r="P150" s="3"/>
      <c r="Q150" s="3"/>
    </row>
    <row r="151" spans="1:17" ht="15" x14ac:dyDescent="0.25">
      <c r="A151" s="3">
        <f>144</f>
        <v>144</v>
      </c>
      <c r="B151" s="3" t="s">
        <v>153</v>
      </c>
      <c r="C151" s="3" t="s">
        <v>10</v>
      </c>
      <c r="D151" s="3" t="s">
        <v>9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/>
      <c r="P151" s="3"/>
      <c r="Q151" s="3"/>
    </row>
    <row r="152" spans="1:17" ht="15" x14ac:dyDescent="0.25">
      <c r="A152" s="3">
        <f>145</f>
        <v>145</v>
      </c>
      <c r="B152" s="3" t="s">
        <v>154</v>
      </c>
      <c r="C152" s="3" t="s">
        <v>10</v>
      </c>
      <c r="D152" s="3" t="s">
        <v>9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/>
      <c r="P152" s="3"/>
      <c r="Q152" s="3"/>
    </row>
    <row r="153" spans="1:17" ht="15" x14ac:dyDescent="0.25">
      <c r="A153" s="3">
        <f>146</f>
        <v>146</v>
      </c>
      <c r="B153" s="3" t="s">
        <v>155</v>
      </c>
      <c r="C153" s="3" t="s">
        <v>10</v>
      </c>
      <c r="D153" s="3" t="s">
        <v>9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/>
      <c r="P153" s="3"/>
      <c r="Q153" s="3"/>
    </row>
    <row r="154" spans="1:17" ht="15" x14ac:dyDescent="0.25">
      <c r="A154" s="3">
        <f>147</f>
        <v>147</v>
      </c>
      <c r="B154" s="3" t="s">
        <v>156</v>
      </c>
      <c r="C154" s="3" t="s">
        <v>10</v>
      </c>
      <c r="D154" s="3" t="s">
        <v>9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/>
      <c r="P154" s="3"/>
      <c r="Q154" s="3"/>
    </row>
    <row r="155" spans="1:17" ht="15" x14ac:dyDescent="0.25">
      <c r="A155" s="3">
        <f>148</f>
        <v>148</v>
      </c>
      <c r="B155" s="3" t="s">
        <v>157</v>
      </c>
      <c r="C155" s="3" t="s">
        <v>10</v>
      </c>
      <c r="D155" s="3" t="s">
        <v>9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/>
      <c r="P155" s="3"/>
      <c r="Q155" s="3"/>
    </row>
    <row r="156" spans="1:17" ht="15" x14ac:dyDescent="0.25">
      <c r="A156" s="3">
        <f>149</f>
        <v>149</v>
      </c>
      <c r="B156" s="3" t="s">
        <v>158</v>
      </c>
      <c r="C156" s="3" t="s">
        <v>10</v>
      </c>
      <c r="D156" s="3" t="s">
        <v>9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/>
      <c r="P156" s="3"/>
      <c r="Q156" s="3"/>
    </row>
    <row r="157" spans="1:17" ht="15" x14ac:dyDescent="0.25">
      <c r="A157" s="3">
        <f>150</f>
        <v>150</v>
      </c>
      <c r="B157" s="3" t="s">
        <v>159</v>
      </c>
      <c r="C157" s="3" t="s">
        <v>10</v>
      </c>
      <c r="D157" s="3" t="s">
        <v>9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/>
      <c r="P157" s="3"/>
      <c r="Q157" s="3"/>
    </row>
    <row r="158" spans="1:17" ht="15" x14ac:dyDescent="0.25">
      <c r="A158" s="3">
        <f>151</f>
        <v>151</v>
      </c>
      <c r="B158" s="3" t="s">
        <v>160</v>
      </c>
      <c r="C158" s="3" t="s">
        <v>10</v>
      </c>
      <c r="D158" s="3" t="s">
        <v>9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/>
      <c r="P158" s="3"/>
      <c r="Q158" s="3"/>
    </row>
    <row r="159" spans="1:17" ht="15" x14ac:dyDescent="0.25">
      <c r="A159" s="3">
        <f>152</f>
        <v>152</v>
      </c>
      <c r="B159" s="3" t="s">
        <v>161</v>
      </c>
      <c r="C159" s="3" t="s">
        <v>10</v>
      </c>
      <c r="D159" s="3" t="s">
        <v>9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/>
      <c r="P159" s="3"/>
      <c r="Q159" s="3"/>
    </row>
    <row r="160" spans="1:17" ht="15" x14ac:dyDescent="0.25">
      <c r="A160" s="3">
        <f>153</f>
        <v>153</v>
      </c>
      <c r="B160" s="3" t="s">
        <v>162</v>
      </c>
      <c r="C160" s="3" t="s">
        <v>10</v>
      </c>
      <c r="D160" s="3" t="s">
        <v>9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/>
      <c r="P160" s="3"/>
      <c r="Q160" s="3"/>
    </row>
    <row r="161" spans="1:17" ht="15" x14ac:dyDescent="0.25">
      <c r="A161" s="3">
        <f>154</f>
        <v>154</v>
      </c>
      <c r="B161" s="3" t="s">
        <v>163</v>
      </c>
      <c r="C161" s="3" t="s">
        <v>10</v>
      </c>
      <c r="D161" s="3" t="s">
        <v>9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/>
      <c r="P161" s="3"/>
      <c r="Q161" s="3"/>
    </row>
    <row r="162" spans="1:17" ht="15" x14ac:dyDescent="0.25">
      <c r="A162" s="3">
        <f>155</f>
        <v>155</v>
      </c>
      <c r="B162" s="3" t="s">
        <v>164</v>
      </c>
      <c r="C162" s="3" t="s">
        <v>10</v>
      </c>
      <c r="D162" s="3" t="s">
        <v>9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/>
      <c r="P162" s="3"/>
      <c r="Q162" s="3"/>
    </row>
    <row r="163" spans="1:17" ht="15" x14ac:dyDescent="0.25">
      <c r="A163" s="3">
        <f>156</f>
        <v>156</v>
      </c>
      <c r="B163" s="3" t="s">
        <v>165</v>
      </c>
      <c r="C163" s="3" t="s">
        <v>10</v>
      </c>
      <c r="D163" s="3" t="s">
        <v>9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/>
      <c r="P163" s="3"/>
      <c r="Q163" s="3"/>
    </row>
    <row r="164" spans="1:17" ht="15" x14ac:dyDescent="0.25">
      <c r="A164" s="3">
        <f>157</f>
        <v>157</v>
      </c>
      <c r="B164" s="3" t="s">
        <v>166</v>
      </c>
      <c r="C164" s="3" t="s">
        <v>10</v>
      </c>
      <c r="D164" s="3" t="s">
        <v>9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/>
      <c r="P164" s="3"/>
      <c r="Q164" s="3"/>
    </row>
    <row r="165" spans="1:17" ht="15" x14ac:dyDescent="0.25">
      <c r="A165" s="3">
        <f>158</f>
        <v>158</v>
      </c>
      <c r="B165" s="3" t="s">
        <v>167</v>
      </c>
      <c r="C165" s="3" t="s">
        <v>10</v>
      </c>
      <c r="D165" s="3" t="s">
        <v>9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/>
      <c r="P165" s="3"/>
      <c r="Q165" s="3"/>
    </row>
    <row r="166" spans="1:17" ht="15" x14ac:dyDescent="0.25">
      <c r="A166" s="3">
        <f>159</f>
        <v>159</v>
      </c>
      <c r="B166" s="3" t="s">
        <v>168</v>
      </c>
      <c r="C166" s="3" t="s">
        <v>10</v>
      </c>
      <c r="D166" s="3" t="s">
        <v>9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/>
      <c r="P166" s="3"/>
      <c r="Q166" s="3"/>
    </row>
    <row r="167" spans="1:17" ht="15" x14ac:dyDescent="0.25">
      <c r="A167" s="3">
        <f>160</f>
        <v>160</v>
      </c>
      <c r="B167" s="3" t="s">
        <v>169</v>
      </c>
      <c r="C167" s="3" t="s">
        <v>10</v>
      </c>
      <c r="D167" s="3" t="s">
        <v>9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/>
      <c r="P167" s="3"/>
      <c r="Q167" s="3"/>
    </row>
    <row r="168" spans="1:17" ht="15" x14ac:dyDescent="0.25">
      <c r="A168" s="3">
        <f>161</f>
        <v>161</v>
      </c>
      <c r="B168" s="3" t="s">
        <v>170</v>
      </c>
      <c r="C168" s="3" t="s">
        <v>10</v>
      </c>
      <c r="D168" s="3" t="s">
        <v>9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/>
      <c r="P168" s="3"/>
      <c r="Q168" s="3"/>
    </row>
    <row r="169" spans="1:17" ht="15" x14ac:dyDescent="0.25">
      <c r="A169" s="3">
        <f>162</f>
        <v>162</v>
      </c>
      <c r="B169" s="3" t="s">
        <v>171</v>
      </c>
      <c r="C169" s="3" t="s">
        <v>10</v>
      </c>
      <c r="D169" s="3" t="s">
        <v>9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/>
      <c r="P169" s="3"/>
      <c r="Q169" s="3"/>
    </row>
    <row r="170" spans="1:17" ht="15" x14ac:dyDescent="0.25">
      <c r="A170" s="3">
        <f>163</f>
        <v>163</v>
      </c>
      <c r="B170" s="3" t="s">
        <v>172</v>
      </c>
      <c r="C170" s="3" t="s">
        <v>10</v>
      </c>
      <c r="D170" s="3" t="s">
        <v>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/>
      <c r="P170" s="3"/>
      <c r="Q170" s="3"/>
    </row>
    <row r="171" spans="1:17" ht="15" x14ac:dyDescent="0.25">
      <c r="A171" s="3">
        <f>164</f>
        <v>164</v>
      </c>
      <c r="B171" s="3" t="s">
        <v>173</v>
      </c>
      <c r="C171" s="3" t="s">
        <v>10</v>
      </c>
      <c r="D171" s="3" t="s">
        <v>9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/>
      <c r="P171" s="3"/>
      <c r="Q171" s="3"/>
    </row>
    <row r="172" spans="1:17" ht="15" x14ac:dyDescent="0.25">
      <c r="A172" s="3">
        <f>165</f>
        <v>165</v>
      </c>
      <c r="B172" s="3" t="s">
        <v>174</v>
      </c>
      <c r="C172" s="3" t="s">
        <v>10</v>
      </c>
      <c r="D172" s="3" t="s">
        <v>9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/>
      <c r="P172" s="3"/>
      <c r="Q172" s="3"/>
    </row>
    <row r="173" spans="1:17" ht="15" x14ac:dyDescent="0.25">
      <c r="A173" s="3">
        <f>166</f>
        <v>166</v>
      </c>
      <c r="B173" s="3" t="s">
        <v>175</v>
      </c>
      <c r="C173" s="3" t="s">
        <v>10</v>
      </c>
      <c r="D173" s="3" t="s">
        <v>9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/>
      <c r="P173" s="3"/>
      <c r="Q173" s="3"/>
    </row>
    <row r="174" spans="1:17" ht="15" x14ac:dyDescent="0.25">
      <c r="A174" s="3">
        <f>167</f>
        <v>167</v>
      </c>
      <c r="B174" s="3" t="s">
        <v>176</v>
      </c>
      <c r="C174" s="3" t="s">
        <v>10</v>
      </c>
      <c r="D174" s="3" t="s">
        <v>9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/>
      <c r="P174" s="3"/>
      <c r="Q174" s="3"/>
    </row>
    <row r="175" spans="1:17" ht="15" x14ac:dyDescent="0.25">
      <c r="A175" s="3">
        <f>168</f>
        <v>168</v>
      </c>
      <c r="B175" s="3" t="s">
        <v>177</v>
      </c>
      <c r="C175" s="3" t="s">
        <v>10</v>
      </c>
      <c r="D175" s="3" t="s">
        <v>9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/>
      <c r="P175" s="3"/>
      <c r="Q175" s="3"/>
    </row>
    <row r="176" spans="1:17" ht="15" x14ac:dyDescent="0.25">
      <c r="A176" s="3">
        <f>169</f>
        <v>169</v>
      </c>
      <c r="B176" s="3" t="s">
        <v>178</v>
      </c>
      <c r="C176" s="3" t="s">
        <v>10</v>
      </c>
      <c r="D176" s="3" t="s">
        <v>9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/>
      <c r="P176" s="3"/>
      <c r="Q176" s="3"/>
    </row>
    <row r="177" spans="1:17" ht="15" x14ac:dyDescent="0.25">
      <c r="A177" s="3">
        <f>170</f>
        <v>170</v>
      </c>
      <c r="B177" s="3" t="s">
        <v>179</v>
      </c>
      <c r="C177" s="3" t="s">
        <v>10</v>
      </c>
      <c r="D177" s="3" t="s">
        <v>9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/>
      <c r="P177" s="3"/>
      <c r="Q177" s="3"/>
    </row>
    <row r="178" spans="1:17" ht="15" x14ac:dyDescent="0.25">
      <c r="A178" s="3">
        <f>171</f>
        <v>171</v>
      </c>
      <c r="B178" s="3" t="s">
        <v>180</v>
      </c>
      <c r="C178" s="3" t="s">
        <v>10</v>
      </c>
      <c r="D178" s="3" t="s">
        <v>9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/>
      <c r="P178" s="3"/>
      <c r="Q178" s="3"/>
    </row>
    <row r="179" spans="1:17" ht="15" x14ac:dyDescent="0.25">
      <c r="A179" s="3">
        <f>172</f>
        <v>172</v>
      </c>
      <c r="B179" s="3" t="s">
        <v>181</v>
      </c>
      <c r="C179" s="3" t="s">
        <v>10</v>
      </c>
      <c r="D179" s="3" t="s">
        <v>9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/>
      <c r="P179" s="3"/>
      <c r="Q179" s="3"/>
    </row>
    <row r="180" spans="1:17" ht="15" x14ac:dyDescent="0.25">
      <c r="A180" s="3">
        <f>173</f>
        <v>173</v>
      </c>
      <c r="B180" s="3" t="s">
        <v>182</v>
      </c>
      <c r="C180" s="3" t="s">
        <v>10</v>
      </c>
      <c r="D180" s="3" t="s">
        <v>9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/>
      <c r="P180" s="3"/>
      <c r="Q180" s="3"/>
    </row>
    <row r="181" spans="1:17" ht="15" x14ac:dyDescent="0.25">
      <c r="A181" s="3">
        <f>174</f>
        <v>174</v>
      </c>
      <c r="B181" s="3" t="s">
        <v>183</v>
      </c>
      <c r="C181" s="3" t="s">
        <v>10</v>
      </c>
      <c r="D181" s="3" t="s">
        <v>9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/>
      <c r="P181" s="3"/>
      <c r="Q181" s="3"/>
    </row>
    <row r="182" spans="1:17" ht="15" x14ac:dyDescent="0.25">
      <c r="A182" s="3">
        <f>175</f>
        <v>175</v>
      </c>
      <c r="B182" s="3" t="s">
        <v>184</v>
      </c>
      <c r="C182" s="3" t="s">
        <v>10</v>
      </c>
      <c r="D182" s="3" t="s">
        <v>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/>
      <c r="P182" s="3"/>
      <c r="Q182" s="3"/>
    </row>
    <row r="183" spans="1:17" ht="15" x14ac:dyDescent="0.25">
      <c r="A183" s="3">
        <f>176</f>
        <v>176</v>
      </c>
      <c r="B183" s="3" t="s">
        <v>185</v>
      </c>
      <c r="C183" s="3" t="s">
        <v>10</v>
      </c>
      <c r="D183" s="3" t="s">
        <v>9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/>
      <c r="P183" s="3"/>
      <c r="Q183" s="3"/>
    </row>
    <row r="184" spans="1:17" ht="15" x14ac:dyDescent="0.25">
      <c r="A184" s="3">
        <f>177</f>
        <v>177</v>
      </c>
      <c r="B184" s="3" t="s">
        <v>186</v>
      </c>
      <c r="C184" s="3" t="s">
        <v>10</v>
      </c>
      <c r="D184" s="3" t="s">
        <v>9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/>
      <c r="P184" s="3"/>
      <c r="Q184" s="3"/>
    </row>
    <row r="185" spans="1:17" ht="15" x14ac:dyDescent="0.25">
      <c r="A185" s="3">
        <f>178</f>
        <v>178</v>
      </c>
      <c r="B185" s="3" t="s">
        <v>187</v>
      </c>
      <c r="C185" s="3" t="s">
        <v>10</v>
      </c>
      <c r="D185" s="3" t="s">
        <v>9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/>
      <c r="P185" s="3"/>
      <c r="Q185" s="3"/>
    </row>
    <row r="186" spans="1:17" ht="15" x14ac:dyDescent="0.25">
      <c r="A186" s="3">
        <f>179</f>
        <v>179</v>
      </c>
      <c r="B186" s="3" t="s">
        <v>188</v>
      </c>
      <c r="C186" s="3" t="s">
        <v>10</v>
      </c>
      <c r="D186" s="3" t="s">
        <v>9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/>
      <c r="P186" s="3"/>
      <c r="Q186" s="3"/>
    </row>
    <row r="187" spans="1:17" ht="15" x14ac:dyDescent="0.25">
      <c r="A187" s="3">
        <f>180</f>
        <v>180</v>
      </c>
      <c r="B187" s="3" t="s">
        <v>189</v>
      </c>
      <c r="C187" s="3" t="s">
        <v>10</v>
      </c>
      <c r="D187" s="3" t="s">
        <v>9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/>
      <c r="P187" s="3"/>
      <c r="Q187" s="3"/>
    </row>
    <row r="188" spans="1:17" ht="15" x14ac:dyDescent="0.25">
      <c r="A188" s="3">
        <f>181</f>
        <v>181</v>
      </c>
      <c r="B188" s="3" t="s">
        <v>190</v>
      </c>
      <c r="C188" s="3" t="s">
        <v>10</v>
      </c>
      <c r="D188" s="3" t="s">
        <v>9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/>
      <c r="P188" s="3"/>
      <c r="Q188" s="3"/>
    </row>
    <row r="189" spans="1:17" ht="15" x14ac:dyDescent="0.25">
      <c r="A189" s="3">
        <f>182</f>
        <v>182</v>
      </c>
      <c r="B189" s="3" t="s">
        <v>191</v>
      </c>
      <c r="C189" s="3" t="s">
        <v>10</v>
      </c>
      <c r="D189" s="3" t="s">
        <v>9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/>
      <c r="P189" s="3"/>
      <c r="Q189" s="3"/>
    </row>
    <row r="190" spans="1:17" ht="15" x14ac:dyDescent="0.25">
      <c r="A190" s="3">
        <f>183</f>
        <v>183</v>
      </c>
      <c r="B190" s="3" t="s">
        <v>192</v>
      </c>
      <c r="C190" s="3" t="s">
        <v>10</v>
      </c>
      <c r="D190" s="3" t="s">
        <v>9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/>
      <c r="P190" s="3"/>
      <c r="Q190" s="3"/>
    </row>
    <row r="191" spans="1:17" ht="15" x14ac:dyDescent="0.25">
      <c r="A191" s="3">
        <f>184</f>
        <v>184</v>
      </c>
      <c r="B191" s="3" t="s">
        <v>193</v>
      </c>
      <c r="C191" s="3" t="s">
        <v>10</v>
      </c>
      <c r="D191" s="3" t="s">
        <v>9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/>
      <c r="P191" s="3"/>
      <c r="Q191" s="3"/>
    </row>
    <row r="192" spans="1:17" ht="15" x14ac:dyDescent="0.25">
      <c r="A192" s="3">
        <f>185</f>
        <v>185</v>
      </c>
      <c r="B192" s="3" t="s">
        <v>194</v>
      </c>
      <c r="C192" s="3" t="s">
        <v>10</v>
      </c>
      <c r="D192" s="3" t="s">
        <v>9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/>
      <c r="P192" s="3"/>
      <c r="Q192" s="3"/>
    </row>
    <row r="193" spans="1:17" ht="15" x14ac:dyDescent="0.25">
      <c r="A193" s="3">
        <f>186</f>
        <v>186</v>
      </c>
      <c r="B193" s="3" t="s">
        <v>195</v>
      </c>
      <c r="C193" s="3" t="s">
        <v>10</v>
      </c>
      <c r="D193" s="3" t="s">
        <v>9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/>
      <c r="P193" s="3"/>
      <c r="Q193" s="3"/>
    </row>
    <row r="194" spans="1:17" ht="15" x14ac:dyDescent="0.25">
      <c r="A194" s="3">
        <f>187</f>
        <v>187</v>
      </c>
      <c r="B194" s="3" t="s">
        <v>196</v>
      </c>
      <c r="C194" s="3" t="s">
        <v>10</v>
      </c>
      <c r="D194" s="3" t="s">
        <v>9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/>
      <c r="P194" s="3"/>
      <c r="Q194" s="3"/>
    </row>
    <row r="195" spans="1:17" ht="15" x14ac:dyDescent="0.25">
      <c r="A195" s="3">
        <f>188</f>
        <v>188</v>
      </c>
      <c r="B195" s="3" t="s">
        <v>197</v>
      </c>
      <c r="C195" s="3" t="s">
        <v>10</v>
      </c>
      <c r="D195" s="3" t="s">
        <v>9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/>
      <c r="P195" s="3"/>
      <c r="Q195" s="3"/>
    </row>
    <row r="196" spans="1:17" ht="15" x14ac:dyDescent="0.25">
      <c r="A196" s="3">
        <f>189</f>
        <v>189</v>
      </c>
      <c r="B196" s="3" t="s">
        <v>198</v>
      </c>
      <c r="C196" s="3" t="s">
        <v>10</v>
      </c>
      <c r="D196" s="3" t="s">
        <v>9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/>
      <c r="P196" s="3"/>
      <c r="Q196" s="3"/>
    </row>
    <row r="197" spans="1:17" ht="15" x14ac:dyDescent="0.25">
      <c r="A197" s="3">
        <f>190</f>
        <v>190</v>
      </c>
      <c r="B197" s="3" t="s">
        <v>199</v>
      </c>
      <c r="C197" s="3" t="s">
        <v>10</v>
      </c>
      <c r="D197" s="3" t="s">
        <v>9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/>
      <c r="P197" s="3"/>
      <c r="Q197" s="3"/>
    </row>
    <row r="198" spans="1:17" ht="15" x14ac:dyDescent="0.25">
      <c r="A198" s="3">
        <f>191</f>
        <v>191</v>
      </c>
      <c r="B198" s="3" t="s">
        <v>200</v>
      </c>
      <c r="C198" s="3" t="s">
        <v>10</v>
      </c>
      <c r="D198" s="3" t="s">
        <v>9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/>
      <c r="P198" s="3"/>
      <c r="Q198" s="3"/>
    </row>
    <row r="199" spans="1:17" ht="15" x14ac:dyDescent="0.25">
      <c r="A199" s="3">
        <f>192</f>
        <v>192</v>
      </c>
      <c r="B199" s="3" t="s">
        <v>201</v>
      </c>
      <c r="C199" s="3" t="s">
        <v>10</v>
      </c>
      <c r="D199" s="3" t="s">
        <v>9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/>
      <c r="P199" s="3"/>
      <c r="Q199" s="3"/>
    </row>
    <row r="200" spans="1:17" ht="15" x14ac:dyDescent="0.25">
      <c r="A200" s="3">
        <f>193</f>
        <v>193</v>
      </c>
      <c r="B200" s="3" t="s">
        <v>202</v>
      </c>
      <c r="C200" s="3" t="s">
        <v>10</v>
      </c>
      <c r="D200" s="3" t="s">
        <v>9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/>
      <c r="P200" s="3"/>
      <c r="Q200" s="3"/>
    </row>
    <row r="201" spans="1:17" ht="15" x14ac:dyDescent="0.25">
      <c r="A201" s="3">
        <f>194</f>
        <v>194</v>
      </c>
      <c r="B201" s="3" t="s">
        <v>203</v>
      </c>
      <c r="C201" s="3" t="s">
        <v>10</v>
      </c>
      <c r="D201" s="3" t="s">
        <v>9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/>
      <c r="P201" s="3"/>
      <c r="Q201" s="3"/>
    </row>
    <row r="202" spans="1:17" ht="15" x14ac:dyDescent="0.25">
      <c r="A202" s="3">
        <f>195</f>
        <v>195</v>
      </c>
      <c r="B202" s="3" t="s">
        <v>204</v>
      </c>
      <c r="C202" s="3" t="s">
        <v>10</v>
      </c>
      <c r="D202" s="3" t="s">
        <v>9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/>
      <c r="P202" s="3"/>
      <c r="Q202" s="3"/>
    </row>
    <row r="203" spans="1:17" ht="15" x14ac:dyDescent="0.25">
      <c r="A203" s="3">
        <f>196</f>
        <v>196</v>
      </c>
      <c r="B203" s="3" t="s">
        <v>205</v>
      </c>
      <c r="C203" s="3" t="s">
        <v>10</v>
      </c>
      <c r="D203" s="3" t="s">
        <v>9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/>
      <c r="P203" s="3"/>
      <c r="Q203" s="3"/>
    </row>
    <row r="204" spans="1:17" ht="15" x14ac:dyDescent="0.25">
      <c r="A204" s="3">
        <f>197</f>
        <v>197</v>
      </c>
      <c r="B204" s="3" t="s">
        <v>206</v>
      </c>
      <c r="C204" s="3" t="s">
        <v>10</v>
      </c>
      <c r="D204" s="3" t="s">
        <v>9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/>
      <c r="P204" s="3"/>
      <c r="Q204" s="3"/>
    </row>
    <row r="205" spans="1:17" ht="15" x14ac:dyDescent="0.25">
      <c r="A205" s="3">
        <f>198</f>
        <v>198</v>
      </c>
      <c r="B205" s="3" t="s">
        <v>207</v>
      </c>
      <c r="C205" s="3" t="s">
        <v>10</v>
      </c>
      <c r="D205" s="3" t="s">
        <v>9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/>
      <c r="P205" s="3"/>
      <c r="Q205" s="3"/>
    </row>
    <row r="206" spans="1:17" ht="15" x14ac:dyDescent="0.25">
      <c r="A206" s="3">
        <f>199</f>
        <v>199</v>
      </c>
      <c r="B206" s="3" t="s">
        <v>208</v>
      </c>
      <c r="C206" s="3" t="s">
        <v>10</v>
      </c>
      <c r="D206" s="3" t="s">
        <v>9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/>
      <c r="P206" s="3"/>
      <c r="Q206" s="3"/>
    </row>
    <row r="207" spans="1:17" ht="15" x14ac:dyDescent="0.25">
      <c r="A207" s="3">
        <f>200</f>
        <v>200</v>
      </c>
      <c r="B207" s="3" t="s">
        <v>209</v>
      </c>
      <c r="C207" s="3" t="s">
        <v>10</v>
      </c>
      <c r="D207" s="3" t="s">
        <v>9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/>
      <c r="P207" s="3"/>
      <c r="Q207" s="3"/>
    </row>
    <row r="208" spans="1:17" ht="15" x14ac:dyDescent="0.25">
      <c r="A208" s="3">
        <f>201</f>
        <v>201</v>
      </c>
      <c r="B208" s="3" t="s">
        <v>210</v>
      </c>
      <c r="C208" s="3" t="s">
        <v>10</v>
      </c>
      <c r="D208" s="3" t="s">
        <v>9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/>
      <c r="P208" s="3"/>
      <c r="Q208" s="3"/>
    </row>
    <row r="209" spans="1:17" ht="15" x14ac:dyDescent="0.25">
      <c r="A209" s="3">
        <f>202</f>
        <v>202</v>
      </c>
      <c r="B209" s="3" t="s">
        <v>211</v>
      </c>
      <c r="C209" s="3" t="s">
        <v>10</v>
      </c>
      <c r="D209" s="3" t="s">
        <v>9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/>
      <c r="P209" s="3"/>
      <c r="Q209" s="3"/>
    </row>
    <row r="210" spans="1:17" ht="15" x14ac:dyDescent="0.25">
      <c r="A210" s="3">
        <f>203</f>
        <v>203</v>
      </c>
      <c r="B210" s="3" t="s">
        <v>212</v>
      </c>
      <c r="C210" s="3" t="s">
        <v>10</v>
      </c>
      <c r="D210" s="3" t="s">
        <v>9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/>
      <c r="P210" s="3"/>
      <c r="Q210" s="3"/>
    </row>
    <row r="211" spans="1:17" ht="15" x14ac:dyDescent="0.25">
      <c r="A211" s="3">
        <f>204</f>
        <v>204</v>
      </c>
      <c r="B211" s="3" t="s">
        <v>213</v>
      </c>
      <c r="C211" s="3" t="s">
        <v>10</v>
      </c>
      <c r="D211" s="3" t="s">
        <v>9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/>
      <c r="P211" s="3"/>
      <c r="Q211" s="3"/>
    </row>
    <row r="212" spans="1:17" ht="15" x14ac:dyDescent="0.25">
      <c r="A212" s="3">
        <f>205</f>
        <v>205</v>
      </c>
      <c r="B212" s="3" t="s">
        <v>214</v>
      </c>
      <c r="C212" s="3" t="s">
        <v>10</v>
      </c>
      <c r="D212" s="3" t="s">
        <v>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/>
      <c r="P212" s="3"/>
      <c r="Q212" s="3"/>
    </row>
    <row r="213" spans="1:17" ht="15" x14ac:dyDescent="0.25">
      <c r="A213" s="3">
        <f>206</f>
        <v>206</v>
      </c>
      <c r="B213" s="3" t="s">
        <v>215</v>
      </c>
      <c r="C213" s="3" t="s">
        <v>10</v>
      </c>
      <c r="D213" s="3" t="s">
        <v>9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/>
      <c r="P213" s="3"/>
      <c r="Q213" s="3"/>
    </row>
    <row r="214" spans="1:17" ht="15" x14ac:dyDescent="0.25">
      <c r="A214" s="3">
        <f>207</f>
        <v>207</v>
      </c>
      <c r="B214" s="3" t="s">
        <v>216</v>
      </c>
      <c r="C214" s="3" t="s">
        <v>10</v>
      </c>
      <c r="D214" s="3" t="s">
        <v>9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/>
      <c r="P214" s="3"/>
      <c r="Q214" s="3"/>
    </row>
    <row r="215" spans="1:17" ht="15" x14ac:dyDescent="0.25">
      <c r="A215" s="3">
        <f>208</f>
        <v>208</v>
      </c>
      <c r="B215" s="3" t="s">
        <v>217</v>
      </c>
      <c r="C215" s="3" t="s">
        <v>10</v>
      </c>
      <c r="D215" s="3" t="s">
        <v>9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/>
      <c r="P215" s="3"/>
      <c r="Q215" s="3"/>
    </row>
    <row r="216" spans="1:17" ht="15" x14ac:dyDescent="0.25">
      <c r="A216" s="3">
        <f>209</f>
        <v>209</v>
      </c>
      <c r="B216" s="3" t="s">
        <v>218</v>
      </c>
      <c r="C216" s="3" t="s">
        <v>10</v>
      </c>
      <c r="D216" s="3" t="s">
        <v>9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/>
      <c r="P216" s="3"/>
      <c r="Q216" s="3"/>
    </row>
    <row r="217" spans="1:17" ht="15" x14ac:dyDescent="0.25">
      <c r="A217" s="3">
        <f>210</f>
        <v>210</v>
      </c>
      <c r="B217" s="3" t="s">
        <v>219</v>
      </c>
      <c r="C217" s="3" t="s">
        <v>10</v>
      </c>
      <c r="D217" s="3" t="s">
        <v>9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/>
      <c r="P217" s="3"/>
      <c r="Q217" s="3"/>
    </row>
    <row r="218" spans="1:17" ht="15" x14ac:dyDescent="0.25">
      <c r="A218" s="3">
        <f>211</f>
        <v>211</v>
      </c>
      <c r="B218" s="3" t="s">
        <v>220</v>
      </c>
      <c r="C218" s="3" t="s">
        <v>10</v>
      </c>
      <c r="D218" s="3" t="s">
        <v>9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/>
      <c r="P218" s="3"/>
      <c r="Q218" s="3"/>
    </row>
    <row r="219" spans="1:17" ht="15" x14ac:dyDescent="0.25">
      <c r="A219" s="3">
        <f>212</f>
        <v>212</v>
      </c>
      <c r="B219" s="3" t="s">
        <v>221</v>
      </c>
      <c r="C219" s="3" t="s">
        <v>10</v>
      </c>
      <c r="D219" s="3" t="s">
        <v>9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/>
      <c r="P219" s="3"/>
      <c r="Q219" s="3"/>
    </row>
    <row r="220" spans="1:17" ht="15" x14ac:dyDescent="0.25">
      <c r="A220" s="3">
        <f>213</f>
        <v>213</v>
      </c>
      <c r="B220" s="3" t="s">
        <v>222</v>
      </c>
      <c r="C220" s="3" t="s">
        <v>10</v>
      </c>
      <c r="D220" s="3" t="s">
        <v>9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/>
      <c r="P220" s="3"/>
      <c r="Q220" s="3"/>
    </row>
    <row r="221" spans="1:17" ht="15" x14ac:dyDescent="0.25">
      <c r="A221" s="3">
        <f>214</f>
        <v>214</v>
      </c>
      <c r="B221" s="3" t="s">
        <v>223</v>
      </c>
      <c r="C221" s="3" t="s">
        <v>10</v>
      </c>
      <c r="D221" s="3" t="s">
        <v>9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/>
      <c r="P221" s="3"/>
      <c r="Q221" s="3"/>
    </row>
    <row r="222" spans="1:17" ht="15" x14ac:dyDescent="0.25">
      <c r="A222" s="3">
        <f>215</f>
        <v>215</v>
      </c>
      <c r="B222" s="3" t="s">
        <v>224</v>
      </c>
      <c r="C222" s="3" t="s">
        <v>10</v>
      </c>
      <c r="D222" s="3" t="s">
        <v>9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/>
      <c r="P222" s="3"/>
      <c r="Q222" s="3"/>
    </row>
    <row r="223" spans="1:17" ht="15" x14ac:dyDescent="0.25">
      <c r="A223" s="3">
        <f>216</f>
        <v>216</v>
      </c>
      <c r="B223" s="3" t="s">
        <v>225</v>
      </c>
      <c r="C223" s="3" t="s">
        <v>10</v>
      </c>
      <c r="D223" s="3" t="s">
        <v>9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/>
      <c r="P223" s="3"/>
      <c r="Q223" s="3"/>
    </row>
    <row r="224" spans="1:17" ht="15" x14ac:dyDescent="0.25">
      <c r="A224" s="3">
        <f>217</f>
        <v>217</v>
      </c>
      <c r="B224" s="3" t="s">
        <v>226</v>
      </c>
      <c r="C224" s="3" t="s">
        <v>10</v>
      </c>
      <c r="D224" s="3" t="s">
        <v>9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/>
      <c r="P224" s="3"/>
      <c r="Q224" s="3"/>
    </row>
    <row r="225" spans="1:17" ht="15" x14ac:dyDescent="0.25">
      <c r="A225" s="3">
        <f>218</f>
        <v>218</v>
      </c>
      <c r="B225" s="3" t="s">
        <v>227</v>
      </c>
      <c r="C225" s="3" t="s">
        <v>10</v>
      </c>
      <c r="D225" s="3" t="s">
        <v>9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/>
      <c r="P225" s="3"/>
      <c r="Q225" s="3"/>
    </row>
    <row r="226" spans="1:17" ht="15" x14ac:dyDescent="0.25">
      <c r="A226" s="3">
        <f>219</f>
        <v>219</v>
      </c>
      <c r="B226" s="3" t="s">
        <v>228</v>
      </c>
      <c r="C226" s="3" t="s">
        <v>10</v>
      </c>
      <c r="D226" s="3" t="s">
        <v>9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/>
      <c r="P226" s="3"/>
      <c r="Q226" s="3"/>
    </row>
    <row r="227" spans="1:17" ht="15" x14ac:dyDescent="0.25">
      <c r="A227" s="3">
        <f>220</f>
        <v>220</v>
      </c>
      <c r="B227" s="3" t="s">
        <v>229</v>
      </c>
      <c r="C227" s="3" t="s">
        <v>10</v>
      </c>
      <c r="D227" s="3" t="s">
        <v>9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/>
      <c r="P227" s="3"/>
      <c r="Q227" s="3"/>
    </row>
    <row r="228" spans="1:17" ht="15" x14ac:dyDescent="0.25">
      <c r="A228" s="3">
        <f>221</f>
        <v>221</v>
      </c>
      <c r="B228" s="3" t="s">
        <v>230</v>
      </c>
      <c r="C228" s="3" t="s">
        <v>10</v>
      </c>
      <c r="D228" s="3" t="s">
        <v>9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/>
      <c r="P228" s="3"/>
      <c r="Q228" s="3"/>
    </row>
    <row r="229" spans="1:17" ht="15" x14ac:dyDescent="0.25">
      <c r="A229" s="3">
        <f>222</f>
        <v>222</v>
      </c>
      <c r="B229" s="3" t="s">
        <v>231</v>
      </c>
      <c r="C229" s="3" t="s">
        <v>10</v>
      </c>
      <c r="D229" s="3" t="s">
        <v>9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/>
      <c r="P229" s="3"/>
      <c r="Q229" s="3"/>
    </row>
    <row r="230" spans="1:17" ht="15" x14ac:dyDescent="0.25">
      <c r="A230" s="3">
        <f>223</f>
        <v>223</v>
      </c>
      <c r="B230" s="3" t="s">
        <v>232</v>
      </c>
      <c r="C230" s="3" t="s">
        <v>10</v>
      </c>
      <c r="D230" s="3" t="s">
        <v>9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/>
      <c r="P230" s="3"/>
      <c r="Q230" s="3"/>
    </row>
    <row r="231" spans="1:17" ht="15" x14ac:dyDescent="0.25">
      <c r="A231" s="3">
        <f>224</f>
        <v>224</v>
      </c>
      <c r="B231" s="3" t="s">
        <v>233</v>
      </c>
      <c r="C231" s="3" t="s">
        <v>10</v>
      </c>
      <c r="D231" s="3" t="s">
        <v>9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/>
      <c r="P231" s="3"/>
      <c r="Q231" s="3"/>
    </row>
    <row r="232" spans="1:17" ht="15" x14ac:dyDescent="0.25">
      <c r="A232" s="3">
        <f>225</f>
        <v>225</v>
      </c>
      <c r="B232" s="3" t="s">
        <v>234</v>
      </c>
      <c r="C232" s="3" t="s">
        <v>10</v>
      </c>
      <c r="D232" s="3" t="s">
        <v>9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/>
      <c r="P232" s="3"/>
      <c r="Q232" s="3"/>
    </row>
    <row r="233" spans="1:17" ht="15" x14ac:dyDescent="0.25">
      <c r="A233" s="3">
        <f>226</f>
        <v>226</v>
      </c>
      <c r="B233" s="3" t="s">
        <v>235</v>
      </c>
      <c r="C233" s="3" t="s">
        <v>9</v>
      </c>
      <c r="D233" s="3" t="s">
        <v>9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/>
      <c r="P233" s="3"/>
      <c r="Q233" s="3"/>
    </row>
    <row r="234" spans="1:17" ht="15" x14ac:dyDescent="0.25">
      <c r="A234" s="3">
        <f>227</f>
        <v>227</v>
      </c>
      <c r="B234" s="3" t="s">
        <v>236</v>
      </c>
      <c r="C234" s="3" t="s">
        <v>9</v>
      </c>
      <c r="D234" s="3" t="s">
        <v>9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/>
      <c r="P234" s="3"/>
      <c r="Q234" s="3"/>
    </row>
    <row r="235" spans="1:17" ht="15" x14ac:dyDescent="0.25">
      <c r="A235" s="3">
        <f>228</f>
        <v>228</v>
      </c>
      <c r="B235" s="3" t="s">
        <v>237</v>
      </c>
      <c r="C235" s="3" t="s">
        <v>9</v>
      </c>
      <c r="D235" s="3" t="s">
        <v>9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/>
      <c r="P235" s="3"/>
      <c r="Q235" s="3"/>
    </row>
    <row r="236" spans="1:17" ht="15" x14ac:dyDescent="0.25">
      <c r="A236" s="3">
        <f>229</f>
        <v>229</v>
      </c>
      <c r="B236" s="3" t="s">
        <v>238</v>
      </c>
      <c r="C236" s="3" t="s">
        <v>9</v>
      </c>
      <c r="D236" s="3" t="s">
        <v>9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/>
      <c r="P236" s="3"/>
      <c r="Q236" s="3"/>
    </row>
    <row r="237" spans="1:17" ht="15" x14ac:dyDescent="0.25">
      <c r="A237" s="3">
        <f>230</f>
        <v>230</v>
      </c>
      <c r="B237" s="3" t="s">
        <v>239</v>
      </c>
      <c r="C237" s="3" t="s">
        <v>9</v>
      </c>
      <c r="D237" s="3" t="s">
        <v>9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/>
      <c r="P237" s="3"/>
      <c r="Q237" s="3"/>
    </row>
    <row r="238" spans="1:17" ht="15" x14ac:dyDescent="0.25">
      <c r="A238" s="3">
        <f>231</f>
        <v>231</v>
      </c>
      <c r="B238" s="3" t="s">
        <v>240</v>
      </c>
      <c r="C238" s="3" t="s">
        <v>9</v>
      </c>
      <c r="D238" s="3" t="s">
        <v>9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/>
      <c r="P238" s="3"/>
      <c r="Q238" s="3"/>
    </row>
    <row r="239" spans="1:17" ht="15" x14ac:dyDescent="0.25">
      <c r="A239" s="3">
        <f>232</f>
        <v>232</v>
      </c>
      <c r="B239" s="3" t="s">
        <v>241</v>
      </c>
      <c r="C239" s="3" t="s">
        <v>10</v>
      </c>
      <c r="D239" s="3" t="s">
        <v>9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/>
      <c r="P239" s="3"/>
      <c r="Q239" s="3"/>
    </row>
    <row r="240" spans="1:17" ht="15" x14ac:dyDescent="0.25">
      <c r="A240" s="3">
        <f>233</f>
        <v>233</v>
      </c>
      <c r="B240" s="3" t="s">
        <v>242</v>
      </c>
      <c r="C240" s="3" t="s">
        <v>10</v>
      </c>
      <c r="D240" s="3" t="s">
        <v>9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/>
      <c r="P240" s="3"/>
      <c r="Q240" s="3"/>
    </row>
    <row r="241" spans="1:17" ht="15" x14ac:dyDescent="0.25">
      <c r="A241" s="3">
        <f>234</f>
        <v>234</v>
      </c>
      <c r="B241" s="3" t="s">
        <v>243</v>
      </c>
      <c r="C241" s="3" t="s">
        <v>10</v>
      </c>
      <c r="D241" s="3" t="s">
        <v>9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/>
      <c r="P241" s="3"/>
      <c r="Q241" s="3"/>
    </row>
    <row r="242" spans="1:17" ht="15" x14ac:dyDescent="0.25">
      <c r="A242" s="3">
        <f>235</f>
        <v>235</v>
      </c>
      <c r="B242" s="3" t="s">
        <v>244</v>
      </c>
      <c r="C242" s="3" t="s">
        <v>10</v>
      </c>
      <c r="D242" s="3" t="s">
        <v>9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/>
      <c r="P242" s="3"/>
      <c r="Q242" s="3"/>
    </row>
    <row r="243" spans="1:17" ht="15" x14ac:dyDescent="0.25">
      <c r="A243" s="3">
        <f>236</f>
        <v>236</v>
      </c>
      <c r="B243" s="3" t="s">
        <v>245</v>
      </c>
      <c r="C243" s="3" t="s">
        <v>10</v>
      </c>
      <c r="D243" s="3" t="s">
        <v>9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/>
      <c r="P243" s="3"/>
      <c r="Q243" s="3"/>
    </row>
    <row r="244" spans="1:17" ht="15" x14ac:dyDescent="0.25">
      <c r="A244" s="3">
        <f>237</f>
        <v>237</v>
      </c>
      <c r="B244" s="3" t="s">
        <v>246</v>
      </c>
      <c r="C244" s="3" t="s">
        <v>10</v>
      </c>
      <c r="D244" s="3" t="s">
        <v>9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/>
      <c r="P244" s="3"/>
      <c r="Q244" s="3"/>
    </row>
    <row r="245" spans="1:17" ht="15" x14ac:dyDescent="0.25">
      <c r="A245" s="3">
        <f>238</f>
        <v>238</v>
      </c>
      <c r="B245" s="3" t="s">
        <v>247</v>
      </c>
      <c r="C245" s="3" t="s">
        <v>10</v>
      </c>
      <c r="D245" s="3" t="s">
        <v>9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/>
      <c r="P245" s="3"/>
      <c r="Q245" s="3"/>
    </row>
    <row r="246" spans="1:17" ht="15" x14ac:dyDescent="0.25">
      <c r="A246" s="3">
        <f>239</f>
        <v>239</v>
      </c>
      <c r="B246" s="3" t="s">
        <v>248</v>
      </c>
      <c r="C246" s="3" t="s">
        <v>10</v>
      </c>
      <c r="D246" s="3" t="s">
        <v>9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/>
      <c r="P246" s="3"/>
      <c r="Q246" s="3"/>
    </row>
    <row r="247" spans="1:17" ht="15" x14ac:dyDescent="0.25">
      <c r="A247" s="3">
        <f>240</f>
        <v>240</v>
      </c>
      <c r="B247" s="3" t="s">
        <v>249</v>
      </c>
      <c r="C247" s="3" t="s">
        <v>10</v>
      </c>
      <c r="D247" s="3" t="s">
        <v>9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/>
      <c r="P247" s="3"/>
      <c r="Q247" s="3"/>
    </row>
    <row r="248" spans="1:17" ht="15" x14ac:dyDescent="0.25">
      <c r="A248" s="3">
        <f>241</f>
        <v>241</v>
      </c>
      <c r="B248" s="3" t="s">
        <v>250</v>
      </c>
      <c r="C248" s="3" t="s">
        <v>10</v>
      </c>
      <c r="D248" s="3" t="s">
        <v>9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/>
      <c r="P248" s="3"/>
      <c r="Q248" s="3"/>
    </row>
    <row r="249" spans="1:17" ht="15" x14ac:dyDescent="0.25">
      <c r="A249" s="3">
        <f>242</f>
        <v>242</v>
      </c>
      <c r="B249" s="3" t="s">
        <v>251</v>
      </c>
      <c r="C249" s="3" t="s">
        <v>10</v>
      </c>
      <c r="D249" s="3" t="s">
        <v>9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/>
      <c r="P249" s="3"/>
      <c r="Q249" s="3"/>
    </row>
    <row r="250" spans="1:17" ht="15" x14ac:dyDescent="0.25">
      <c r="A250" s="3">
        <f>243</f>
        <v>243</v>
      </c>
      <c r="B250" s="3" t="s">
        <v>252</v>
      </c>
      <c r="C250" s="3" t="s">
        <v>10</v>
      </c>
      <c r="D250" s="3" t="s">
        <v>9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/>
      <c r="P250" s="3"/>
      <c r="Q250" s="3"/>
    </row>
    <row r="251" spans="1:17" ht="15" x14ac:dyDescent="0.25">
      <c r="A251" s="3">
        <f>244</f>
        <v>244</v>
      </c>
      <c r="B251" s="3" t="s">
        <v>253</v>
      </c>
      <c r="C251" s="3" t="s">
        <v>10</v>
      </c>
      <c r="D251" s="3" t="s">
        <v>9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/>
      <c r="P251" s="3"/>
      <c r="Q251" s="3"/>
    </row>
    <row r="252" spans="1:17" ht="15" x14ac:dyDescent="0.25">
      <c r="A252" s="3">
        <f>245</f>
        <v>245</v>
      </c>
      <c r="B252" s="3" t="s">
        <v>254</v>
      </c>
      <c r="C252" s="3" t="s">
        <v>10</v>
      </c>
      <c r="D252" s="3" t="s">
        <v>9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/>
      <c r="P252" s="3"/>
      <c r="Q252" s="3"/>
    </row>
    <row r="253" spans="1:17" ht="15" x14ac:dyDescent="0.25">
      <c r="A253" s="3">
        <f>246</f>
        <v>246</v>
      </c>
      <c r="B253" s="3" t="s">
        <v>255</v>
      </c>
      <c r="C253" s="3" t="s">
        <v>10</v>
      </c>
      <c r="D253" s="3" t="s">
        <v>9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/>
      <c r="P253" s="3"/>
      <c r="Q253" s="3"/>
    </row>
    <row r="254" spans="1:17" ht="15" x14ac:dyDescent="0.25">
      <c r="A254" s="3">
        <f>247</f>
        <v>247</v>
      </c>
      <c r="B254" s="3" t="s">
        <v>256</v>
      </c>
      <c r="C254" s="3" t="s">
        <v>10</v>
      </c>
      <c r="D254" s="3" t="s">
        <v>9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/>
      <c r="P254" s="3"/>
      <c r="Q254" s="3"/>
    </row>
    <row r="255" spans="1:17" ht="15" x14ac:dyDescent="0.25">
      <c r="A255" s="3">
        <f>248</f>
        <v>248</v>
      </c>
      <c r="B255" s="3" t="s">
        <v>257</v>
      </c>
      <c r="C255" s="3" t="s">
        <v>10</v>
      </c>
      <c r="D255" s="3" t="s">
        <v>9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/>
      <c r="P255" s="3"/>
      <c r="Q255" s="3"/>
    </row>
    <row r="256" spans="1:17" ht="15" x14ac:dyDescent="0.25">
      <c r="A256" s="3">
        <f>249</f>
        <v>249</v>
      </c>
      <c r="B256" s="3" t="s">
        <v>258</v>
      </c>
      <c r="C256" s="3" t="s">
        <v>10</v>
      </c>
      <c r="D256" s="3" t="s">
        <v>9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/>
      <c r="P256" s="3"/>
      <c r="Q256" s="3"/>
    </row>
    <row r="257" spans="1:17" ht="15" x14ac:dyDescent="0.25">
      <c r="A257" s="3">
        <f>250</f>
        <v>250</v>
      </c>
      <c r="B257" s="3" t="s">
        <v>259</v>
      </c>
      <c r="C257" s="3" t="s">
        <v>10</v>
      </c>
      <c r="D257" s="3" t="s">
        <v>9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/>
      <c r="P257" s="3"/>
      <c r="Q257" s="3"/>
    </row>
    <row r="258" spans="1:17" ht="15" x14ac:dyDescent="0.25">
      <c r="A258" s="3">
        <f>251</f>
        <v>251</v>
      </c>
      <c r="B258" s="3" t="s">
        <v>260</v>
      </c>
      <c r="C258" s="3" t="s">
        <v>10</v>
      </c>
      <c r="D258" s="3" t="s">
        <v>9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/>
      <c r="P258" s="3"/>
      <c r="Q258" s="3"/>
    </row>
    <row r="259" spans="1:17" ht="15" x14ac:dyDescent="0.25">
      <c r="A259" s="3">
        <f>252</f>
        <v>252</v>
      </c>
      <c r="B259" s="3" t="s">
        <v>261</v>
      </c>
      <c r="C259" s="3" t="s">
        <v>10</v>
      </c>
      <c r="D259" s="3" t="s">
        <v>9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/>
      <c r="P259" s="3"/>
      <c r="Q259" s="3"/>
    </row>
    <row r="260" spans="1:17" ht="15" x14ac:dyDescent="0.25">
      <c r="A260" s="3">
        <f>253</f>
        <v>253</v>
      </c>
      <c r="B260" s="3" t="s">
        <v>262</v>
      </c>
      <c r="C260" s="3" t="s">
        <v>10</v>
      </c>
      <c r="D260" s="3" t="s">
        <v>9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/>
      <c r="P260" s="3"/>
      <c r="Q260" s="3"/>
    </row>
    <row r="261" spans="1:17" ht="15" x14ac:dyDescent="0.25">
      <c r="A261" s="3">
        <f>254</f>
        <v>254</v>
      </c>
      <c r="B261" s="3" t="s">
        <v>263</v>
      </c>
      <c r="C261" s="3" t="s">
        <v>10</v>
      </c>
      <c r="D261" s="3" t="s">
        <v>9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/>
      <c r="P261" s="3"/>
      <c r="Q261" s="3"/>
    </row>
    <row r="262" spans="1:17" ht="15" x14ac:dyDescent="0.25">
      <c r="A262" s="3">
        <f>255</f>
        <v>255</v>
      </c>
      <c r="B262" s="3" t="s">
        <v>264</v>
      </c>
      <c r="C262" s="3" t="s">
        <v>10</v>
      </c>
      <c r="D262" s="3" t="s">
        <v>9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/>
      <c r="P262" s="3"/>
      <c r="Q262" s="3"/>
    </row>
    <row r="263" spans="1:17" ht="15" x14ac:dyDescent="0.25">
      <c r="A263" s="3">
        <f>256</f>
        <v>256</v>
      </c>
      <c r="B263" s="3" t="s">
        <v>265</v>
      </c>
      <c r="C263" s="3" t="s">
        <v>10</v>
      </c>
      <c r="D263" s="3" t="s">
        <v>9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/>
      <c r="P263" s="3"/>
      <c r="Q263" s="3"/>
    </row>
    <row r="264" spans="1:17" ht="15" x14ac:dyDescent="0.25">
      <c r="A264" s="3">
        <f>257</f>
        <v>257</v>
      </c>
      <c r="B264" s="3" t="s">
        <v>266</v>
      </c>
      <c r="C264" s="3" t="s">
        <v>10</v>
      </c>
      <c r="D264" s="3" t="s">
        <v>9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/>
      <c r="P264" s="3"/>
      <c r="Q264" s="3"/>
    </row>
    <row r="265" spans="1:17" ht="15" x14ac:dyDescent="0.25">
      <c r="A265" s="3">
        <f>258</f>
        <v>258</v>
      </c>
      <c r="B265" s="3" t="s">
        <v>267</v>
      </c>
      <c r="C265" s="3" t="s">
        <v>10</v>
      </c>
      <c r="D265" s="3" t="s">
        <v>9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/>
      <c r="P265" s="3"/>
      <c r="Q265" s="3"/>
    </row>
    <row r="266" spans="1:17" ht="15" x14ac:dyDescent="0.25">
      <c r="A266" s="3">
        <f>259</f>
        <v>259</v>
      </c>
      <c r="B266" s="3" t="s">
        <v>268</v>
      </c>
      <c r="C266" s="3" t="s">
        <v>10</v>
      </c>
      <c r="D266" s="3" t="s">
        <v>9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/>
      <c r="P266" s="3"/>
      <c r="Q266" s="3"/>
    </row>
    <row r="267" spans="1:17" ht="15" x14ac:dyDescent="0.25">
      <c r="A267" s="3">
        <f>260</f>
        <v>260</v>
      </c>
      <c r="B267" s="3" t="s">
        <v>269</v>
      </c>
      <c r="C267" s="3" t="s">
        <v>10</v>
      </c>
      <c r="D267" s="3" t="s">
        <v>9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/>
      <c r="P267" s="3"/>
      <c r="Q267" s="3"/>
    </row>
    <row r="268" spans="1:17" ht="15" x14ac:dyDescent="0.25">
      <c r="A268" s="3">
        <f>261</f>
        <v>261</v>
      </c>
      <c r="B268" s="3" t="s">
        <v>270</v>
      </c>
      <c r="C268" s="3" t="s">
        <v>10</v>
      </c>
      <c r="D268" s="3" t="s">
        <v>9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/>
      <c r="P268" s="3"/>
      <c r="Q268" s="3"/>
    </row>
    <row r="269" spans="1:17" ht="15" x14ac:dyDescent="0.25">
      <c r="A269" s="3">
        <f>262</f>
        <v>262</v>
      </c>
      <c r="B269" s="3" t="s">
        <v>271</v>
      </c>
      <c r="C269" s="3" t="s">
        <v>10</v>
      </c>
      <c r="D269" s="3" t="s">
        <v>9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/>
      <c r="P269" s="3"/>
      <c r="Q269" s="3"/>
    </row>
    <row r="270" spans="1:17" ht="15" x14ac:dyDescent="0.25">
      <c r="A270" s="3">
        <f>263</f>
        <v>263</v>
      </c>
      <c r="B270" s="3" t="s">
        <v>272</v>
      </c>
      <c r="C270" s="3" t="s">
        <v>10</v>
      </c>
      <c r="D270" s="3" t="s">
        <v>9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/>
      <c r="P270" s="3"/>
      <c r="Q270" s="3"/>
    </row>
    <row r="271" spans="1:17" ht="15" x14ac:dyDescent="0.25">
      <c r="A271" s="3">
        <f>264</f>
        <v>264</v>
      </c>
      <c r="B271" s="3" t="s">
        <v>273</v>
      </c>
      <c r="C271" s="3" t="s">
        <v>10</v>
      </c>
      <c r="D271" s="3" t="s">
        <v>9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/>
      <c r="P271" s="3"/>
      <c r="Q271" s="3"/>
    </row>
    <row r="272" spans="1:17" ht="15" x14ac:dyDescent="0.25">
      <c r="A272" s="3">
        <f>265</f>
        <v>265</v>
      </c>
      <c r="B272" s="3" t="s">
        <v>274</v>
      </c>
      <c r="C272" s="3" t="s">
        <v>10</v>
      </c>
      <c r="D272" s="3" t="s">
        <v>9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/>
      <c r="P272" s="3"/>
      <c r="Q272" s="3"/>
    </row>
    <row r="273" spans="1:17" ht="15" x14ac:dyDescent="0.25">
      <c r="A273" s="3">
        <f>266</f>
        <v>266</v>
      </c>
      <c r="B273" s="3" t="s">
        <v>275</v>
      </c>
      <c r="C273" s="3" t="s">
        <v>10</v>
      </c>
      <c r="D273" s="3" t="s">
        <v>9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/>
      <c r="P273" s="3"/>
      <c r="Q273" s="3"/>
    </row>
    <row r="274" spans="1:17" ht="15" x14ac:dyDescent="0.25">
      <c r="A274" s="3">
        <f>267</f>
        <v>267</v>
      </c>
      <c r="B274" s="3" t="s">
        <v>276</v>
      </c>
      <c r="C274" s="3" t="s">
        <v>10</v>
      </c>
      <c r="D274" s="3" t="s">
        <v>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/>
      <c r="P274" s="3"/>
      <c r="Q274" s="3"/>
    </row>
    <row r="275" spans="1:17" ht="15" x14ac:dyDescent="0.25">
      <c r="A275" s="3">
        <f>268</f>
        <v>268</v>
      </c>
      <c r="B275" s="3" t="s">
        <v>277</v>
      </c>
      <c r="C275" s="3" t="s">
        <v>10</v>
      </c>
      <c r="D275" s="3" t="s">
        <v>9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/>
      <c r="P275" s="3"/>
      <c r="Q275" s="3"/>
    </row>
    <row r="276" spans="1:17" ht="15" x14ac:dyDescent="0.25">
      <c r="A276" s="3">
        <f>269</f>
        <v>269</v>
      </c>
      <c r="B276" s="3" t="s">
        <v>278</v>
      </c>
      <c r="C276" s="3" t="s">
        <v>10</v>
      </c>
      <c r="D276" s="3" t="s">
        <v>9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/>
      <c r="P276" s="3"/>
      <c r="Q276" s="3"/>
    </row>
    <row r="277" spans="1:17" ht="15" x14ac:dyDescent="0.25">
      <c r="A277" s="3">
        <f>270</f>
        <v>270</v>
      </c>
      <c r="B277" s="3" t="s">
        <v>279</v>
      </c>
      <c r="C277" s="3" t="s">
        <v>10</v>
      </c>
      <c r="D277" s="3" t="s">
        <v>9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/>
      <c r="P277" s="3"/>
      <c r="Q277" s="3"/>
    </row>
    <row r="278" spans="1:17" ht="15" x14ac:dyDescent="0.25">
      <c r="A278" s="3">
        <f>271</f>
        <v>271</v>
      </c>
      <c r="B278" s="3" t="s">
        <v>280</v>
      </c>
      <c r="C278" s="3" t="s">
        <v>10</v>
      </c>
      <c r="D278" s="3" t="s">
        <v>9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/>
      <c r="P278" s="3"/>
      <c r="Q278" s="3"/>
    </row>
    <row r="279" spans="1:17" ht="15" x14ac:dyDescent="0.25">
      <c r="A279" s="3">
        <f>272</f>
        <v>272</v>
      </c>
      <c r="B279" s="3" t="s">
        <v>281</v>
      </c>
      <c r="C279" s="3" t="s">
        <v>10</v>
      </c>
      <c r="D279" s="3" t="s">
        <v>9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/>
      <c r="P279" s="3"/>
      <c r="Q279" s="3"/>
    </row>
    <row r="280" spans="1:17" ht="15" x14ac:dyDescent="0.25">
      <c r="A280" s="3">
        <f>273</f>
        <v>273</v>
      </c>
      <c r="B280" s="3" t="s">
        <v>282</v>
      </c>
      <c r="C280" s="3" t="s">
        <v>10</v>
      </c>
      <c r="D280" s="3" t="s">
        <v>9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/>
      <c r="P280" s="3"/>
      <c r="Q280" s="3"/>
    </row>
    <row r="281" spans="1:17" ht="15" x14ac:dyDescent="0.25">
      <c r="A281" s="3">
        <f>274</f>
        <v>274</v>
      </c>
      <c r="B281" s="3" t="s">
        <v>283</v>
      </c>
      <c r="C281" s="3" t="s">
        <v>10</v>
      </c>
      <c r="D281" s="3" t="s">
        <v>9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/>
      <c r="P281" s="3"/>
      <c r="Q281" s="3"/>
    </row>
    <row r="282" spans="1:17" ht="15" x14ac:dyDescent="0.25">
      <c r="A282" s="3">
        <f>275</f>
        <v>275</v>
      </c>
      <c r="B282" s="3" t="s">
        <v>284</v>
      </c>
      <c r="C282" s="3" t="s">
        <v>10</v>
      </c>
      <c r="D282" s="3" t="s">
        <v>9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/>
      <c r="P282" s="3"/>
      <c r="Q282" s="3"/>
    </row>
    <row r="283" spans="1:17" ht="15" x14ac:dyDescent="0.25">
      <c r="A283" s="3">
        <f>276</f>
        <v>276</v>
      </c>
      <c r="B283" s="3" t="s">
        <v>285</v>
      </c>
      <c r="C283" s="3" t="s">
        <v>10</v>
      </c>
      <c r="D283" s="3" t="s">
        <v>9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/>
      <c r="P283" s="3"/>
      <c r="Q283" s="3"/>
    </row>
    <row r="284" spans="1:17" ht="15" x14ac:dyDescent="0.25">
      <c r="A284" s="3">
        <f>277</f>
        <v>277</v>
      </c>
      <c r="B284" s="3" t="s">
        <v>286</v>
      </c>
      <c r="C284" s="3" t="s">
        <v>10</v>
      </c>
      <c r="D284" s="3" t="s">
        <v>9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/>
      <c r="P284" s="3"/>
      <c r="Q284" s="3"/>
    </row>
    <row r="285" spans="1:17" ht="15" x14ac:dyDescent="0.25">
      <c r="A285" s="3">
        <f>278</f>
        <v>278</v>
      </c>
      <c r="B285" s="3" t="s">
        <v>287</v>
      </c>
      <c r="C285" s="3" t="s">
        <v>10</v>
      </c>
      <c r="D285" s="3" t="s">
        <v>9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/>
      <c r="P285" s="3"/>
      <c r="Q285" s="3"/>
    </row>
    <row r="286" spans="1:17" ht="15" x14ac:dyDescent="0.25">
      <c r="A286" s="3">
        <f>279</f>
        <v>279</v>
      </c>
      <c r="B286" s="3" t="s">
        <v>288</v>
      </c>
      <c r="C286" s="3" t="s">
        <v>10</v>
      </c>
      <c r="D286" s="3" t="s">
        <v>9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/>
      <c r="P286" s="3"/>
      <c r="Q286" s="3"/>
    </row>
    <row r="287" spans="1:17" ht="15" x14ac:dyDescent="0.25">
      <c r="A287" s="3">
        <f>280</f>
        <v>280</v>
      </c>
      <c r="B287" s="3" t="s">
        <v>289</v>
      </c>
      <c r="C287" s="3" t="s">
        <v>10</v>
      </c>
      <c r="D287" s="3" t="s">
        <v>9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/>
      <c r="P287" s="3"/>
      <c r="Q287" s="3"/>
    </row>
    <row r="288" spans="1:17" ht="15" x14ac:dyDescent="0.25">
      <c r="A288" s="3">
        <f>281</f>
        <v>281</v>
      </c>
      <c r="B288" s="3" t="s">
        <v>290</v>
      </c>
      <c r="C288" s="3" t="s">
        <v>10</v>
      </c>
      <c r="D288" s="3" t="s">
        <v>9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/>
      <c r="P288" s="3"/>
      <c r="Q288" s="3"/>
    </row>
    <row r="289" spans="1:17" ht="15" x14ac:dyDescent="0.25">
      <c r="A289" s="3">
        <f>282</f>
        <v>282</v>
      </c>
      <c r="B289" s="3" t="s">
        <v>291</v>
      </c>
      <c r="C289" s="3" t="s">
        <v>10</v>
      </c>
      <c r="D289" s="3" t="s">
        <v>9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/>
      <c r="P289" s="3"/>
      <c r="Q289" s="3"/>
    </row>
    <row r="290" spans="1:17" ht="15" x14ac:dyDescent="0.25">
      <c r="A290" s="3">
        <f>283</f>
        <v>283</v>
      </c>
      <c r="B290" s="3" t="s">
        <v>292</v>
      </c>
      <c r="C290" s="3" t="s">
        <v>10</v>
      </c>
      <c r="D290" s="3" t="s">
        <v>9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/>
      <c r="P290" s="3"/>
      <c r="Q290" s="3"/>
    </row>
    <row r="291" spans="1:17" ht="15" x14ac:dyDescent="0.25">
      <c r="A291" s="3">
        <f>284</f>
        <v>284</v>
      </c>
      <c r="B291" s="3" t="s">
        <v>293</v>
      </c>
      <c r="C291" s="3" t="s">
        <v>10</v>
      </c>
      <c r="D291" s="3" t="s">
        <v>9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/>
      <c r="P291" s="3"/>
      <c r="Q291" s="3"/>
    </row>
    <row r="292" spans="1:17" ht="15" x14ac:dyDescent="0.25">
      <c r="A292" s="3">
        <f>285</f>
        <v>285</v>
      </c>
      <c r="B292" s="3" t="s">
        <v>294</v>
      </c>
      <c r="C292" s="3" t="s">
        <v>10</v>
      </c>
      <c r="D292" s="3" t="s">
        <v>9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/>
      <c r="P292" s="3"/>
      <c r="Q292" s="3"/>
    </row>
    <row r="293" spans="1:17" ht="15" x14ac:dyDescent="0.25">
      <c r="A293" s="3">
        <f>286</f>
        <v>286</v>
      </c>
      <c r="B293" s="3" t="s">
        <v>295</v>
      </c>
      <c r="C293" s="3" t="s">
        <v>10</v>
      </c>
      <c r="D293" s="3" t="s">
        <v>9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/>
      <c r="P293" s="3"/>
      <c r="Q293" s="3"/>
    </row>
    <row r="294" spans="1:17" ht="15" x14ac:dyDescent="0.25">
      <c r="A294" s="3">
        <f>287</f>
        <v>287</v>
      </c>
      <c r="B294" s="3" t="s">
        <v>296</v>
      </c>
      <c r="C294" s="3" t="s">
        <v>10</v>
      </c>
      <c r="D294" s="3" t="s">
        <v>9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/>
      <c r="P294" s="3"/>
      <c r="Q294" s="3"/>
    </row>
    <row r="295" spans="1:17" ht="15" x14ac:dyDescent="0.25">
      <c r="A295" s="3">
        <f>288</f>
        <v>288</v>
      </c>
      <c r="B295" s="3" t="s">
        <v>297</v>
      </c>
      <c r="C295" s="3" t="s">
        <v>10</v>
      </c>
      <c r="D295" s="3" t="s">
        <v>9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/>
      <c r="P295" s="3"/>
      <c r="Q295" s="3"/>
    </row>
    <row r="296" spans="1:17" ht="15" x14ac:dyDescent="0.25">
      <c r="A296" s="3">
        <f>289</f>
        <v>289</v>
      </c>
      <c r="B296" s="3" t="s">
        <v>298</v>
      </c>
      <c r="C296" s="3" t="s">
        <v>10</v>
      </c>
      <c r="D296" s="3" t="s">
        <v>9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/>
      <c r="P296" s="3"/>
      <c r="Q296" s="3"/>
    </row>
    <row r="297" spans="1:17" ht="15" x14ac:dyDescent="0.25">
      <c r="A297" s="3">
        <f>290</f>
        <v>290</v>
      </c>
      <c r="B297" s="3" t="s">
        <v>299</v>
      </c>
      <c r="C297" s="3" t="s">
        <v>10</v>
      </c>
      <c r="D297" s="3" t="s">
        <v>9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/>
      <c r="P297" s="3"/>
      <c r="Q297" s="3"/>
    </row>
    <row r="298" spans="1:17" ht="15" x14ac:dyDescent="0.25">
      <c r="A298" s="3">
        <f>291</f>
        <v>291</v>
      </c>
      <c r="B298" s="3" t="s">
        <v>300</v>
      </c>
      <c r="C298" s="3" t="s">
        <v>10</v>
      </c>
      <c r="D298" s="3" t="s">
        <v>9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/>
      <c r="P298" s="3"/>
      <c r="Q298" s="3"/>
    </row>
    <row r="299" spans="1:17" ht="15" x14ac:dyDescent="0.25">
      <c r="A299" s="3">
        <f>292</f>
        <v>292</v>
      </c>
      <c r="B299" s="3" t="s">
        <v>301</v>
      </c>
      <c r="C299" s="3" t="s">
        <v>10</v>
      </c>
      <c r="D299" s="3" t="s">
        <v>9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/>
      <c r="P299" s="3"/>
      <c r="Q299" s="3"/>
    </row>
    <row r="300" spans="1:17" ht="15" x14ac:dyDescent="0.25">
      <c r="A300" s="3">
        <f>293</f>
        <v>293</v>
      </c>
      <c r="B300" s="3" t="s">
        <v>302</v>
      </c>
      <c r="C300" s="3" t="s">
        <v>10</v>
      </c>
      <c r="D300" s="3" t="s">
        <v>9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/>
      <c r="P300" s="3"/>
      <c r="Q300" s="3"/>
    </row>
    <row r="301" spans="1:17" ht="15" x14ac:dyDescent="0.25">
      <c r="A301" s="3">
        <f>294</f>
        <v>294</v>
      </c>
      <c r="B301" s="3" t="s">
        <v>303</v>
      </c>
      <c r="C301" s="3" t="s">
        <v>10</v>
      </c>
      <c r="D301" s="3" t="s">
        <v>9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/>
      <c r="P301" s="3"/>
      <c r="Q301" s="3"/>
    </row>
    <row r="302" spans="1:17" ht="15" x14ac:dyDescent="0.25">
      <c r="A302" s="3">
        <f>295</f>
        <v>295</v>
      </c>
      <c r="B302" s="3" t="s">
        <v>304</v>
      </c>
      <c r="C302" s="3" t="s">
        <v>10</v>
      </c>
      <c r="D302" s="3" t="s">
        <v>9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/>
      <c r="P302" s="3"/>
      <c r="Q302" s="3"/>
    </row>
    <row r="303" spans="1:17" ht="15" x14ac:dyDescent="0.25">
      <c r="A303" s="3">
        <f>296</f>
        <v>296</v>
      </c>
      <c r="B303" s="3" t="s">
        <v>305</v>
      </c>
      <c r="C303" s="3" t="s">
        <v>10</v>
      </c>
      <c r="D303" s="3" t="s">
        <v>9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/>
      <c r="P303" s="3"/>
      <c r="Q303" s="3"/>
    </row>
    <row r="304" spans="1:17" ht="15" x14ac:dyDescent="0.25">
      <c r="A304" s="3">
        <f>297</f>
        <v>297</v>
      </c>
      <c r="B304" s="3" t="s">
        <v>306</v>
      </c>
      <c r="C304" s="3" t="s">
        <v>10</v>
      </c>
      <c r="D304" s="3" t="s">
        <v>9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/>
      <c r="P304" s="3"/>
      <c r="Q304" s="3"/>
    </row>
    <row r="305" spans="1:17" ht="15" x14ac:dyDescent="0.25">
      <c r="A305" s="3">
        <f>298</f>
        <v>298</v>
      </c>
      <c r="B305" s="3" t="s">
        <v>307</v>
      </c>
      <c r="C305" s="3" t="s">
        <v>10</v>
      </c>
      <c r="D305" s="3" t="s">
        <v>9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/>
      <c r="P305" s="3"/>
      <c r="Q305" s="3"/>
    </row>
    <row r="306" spans="1:17" ht="15" x14ac:dyDescent="0.25">
      <c r="A306" s="3">
        <f>299</f>
        <v>299</v>
      </c>
      <c r="B306" s="3" t="s">
        <v>308</v>
      </c>
      <c r="C306" s="3" t="s">
        <v>10</v>
      </c>
      <c r="D306" s="3" t="s">
        <v>9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/>
      <c r="P306" s="3"/>
      <c r="Q306" s="3"/>
    </row>
    <row r="307" spans="1:17" ht="15" x14ac:dyDescent="0.25">
      <c r="A307" s="3">
        <f>300</f>
        <v>300</v>
      </c>
      <c r="B307" s="3" t="s">
        <v>309</v>
      </c>
      <c r="C307" s="3" t="s">
        <v>10</v>
      </c>
      <c r="D307" s="3" t="s">
        <v>9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/>
      <c r="P307" s="3"/>
      <c r="Q307" s="3"/>
    </row>
    <row r="308" spans="1:17" ht="15" x14ac:dyDescent="0.25">
      <c r="A308" s="3">
        <f>301</f>
        <v>301</v>
      </c>
      <c r="B308" s="3" t="s">
        <v>310</v>
      </c>
      <c r="C308" s="3" t="s">
        <v>10</v>
      </c>
      <c r="D308" s="3" t="s">
        <v>9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/>
      <c r="P308" s="3"/>
      <c r="Q308" s="3"/>
    </row>
    <row r="309" spans="1:17" ht="15" x14ac:dyDescent="0.25">
      <c r="A309" s="3">
        <f>302</f>
        <v>302</v>
      </c>
      <c r="B309" s="3" t="s">
        <v>311</v>
      </c>
      <c r="C309" s="3" t="s">
        <v>10</v>
      </c>
      <c r="D309" s="3" t="s">
        <v>9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/>
      <c r="P309" s="3"/>
      <c r="Q309" s="3"/>
    </row>
    <row r="310" spans="1:17" ht="15" x14ac:dyDescent="0.25">
      <c r="A310" s="3">
        <f>303</f>
        <v>303</v>
      </c>
      <c r="B310" s="3" t="s">
        <v>312</v>
      </c>
      <c r="C310" s="3" t="s">
        <v>10</v>
      </c>
      <c r="D310" s="3" t="s">
        <v>9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/>
      <c r="P310" s="3"/>
      <c r="Q310" s="3"/>
    </row>
    <row r="311" spans="1:17" ht="15" x14ac:dyDescent="0.25">
      <c r="A311" s="3">
        <f>304</f>
        <v>304</v>
      </c>
      <c r="B311" s="3" t="s">
        <v>313</v>
      </c>
      <c r="C311" s="3" t="s">
        <v>10</v>
      </c>
      <c r="D311" s="3" t="s">
        <v>9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/>
      <c r="P311" s="3"/>
      <c r="Q311" s="3"/>
    </row>
    <row r="312" spans="1:17" ht="15" x14ac:dyDescent="0.25">
      <c r="A312" s="3">
        <f>305</f>
        <v>305</v>
      </c>
      <c r="B312" s="3" t="s">
        <v>314</v>
      </c>
      <c r="C312" s="3" t="s">
        <v>10</v>
      </c>
      <c r="D312" s="3" t="s">
        <v>9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/>
      <c r="P312" s="3"/>
      <c r="Q312" s="3"/>
    </row>
    <row r="313" spans="1:17" ht="15" x14ac:dyDescent="0.25">
      <c r="A313" s="3">
        <f>306</f>
        <v>306</v>
      </c>
      <c r="B313" s="3" t="s">
        <v>315</v>
      </c>
      <c r="C313" s="3" t="s">
        <v>10</v>
      </c>
      <c r="D313" s="3" t="s">
        <v>9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/>
      <c r="P313" s="3"/>
      <c r="Q313" s="3"/>
    </row>
    <row r="314" spans="1:17" ht="15" x14ac:dyDescent="0.25">
      <c r="A314" s="3">
        <f>307</f>
        <v>307</v>
      </c>
      <c r="B314" s="3" t="s">
        <v>316</v>
      </c>
      <c r="C314" s="3" t="s">
        <v>10</v>
      </c>
      <c r="D314" s="3" t="s">
        <v>9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/>
      <c r="P314" s="3"/>
      <c r="Q314" s="3"/>
    </row>
    <row r="315" spans="1:17" ht="15" x14ac:dyDescent="0.25">
      <c r="A315" s="3">
        <f>308</f>
        <v>308</v>
      </c>
      <c r="B315" s="3" t="s">
        <v>317</v>
      </c>
      <c r="C315" s="3" t="s">
        <v>10</v>
      </c>
      <c r="D315" s="3" t="s">
        <v>9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/>
      <c r="P315" s="3"/>
      <c r="Q315" s="3"/>
    </row>
    <row r="316" spans="1:17" ht="15" x14ac:dyDescent="0.25">
      <c r="A316" s="3">
        <f>309</f>
        <v>309</v>
      </c>
      <c r="B316" s="3" t="s">
        <v>318</v>
      </c>
      <c r="C316" s="3" t="s">
        <v>10</v>
      </c>
      <c r="D316" s="3" t="s">
        <v>9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/>
      <c r="P316" s="3"/>
      <c r="Q316" s="3"/>
    </row>
    <row r="317" spans="1:17" ht="15" x14ac:dyDescent="0.25">
      <c r="A317" s="3">
        <f>310</f>
        <v>310</v>
      </c>
      <c r="B317" s="3" t="s">
        <v>319</v>
      </c>
      <c r="C317" s="3" t="s">
        <v>10</v>
      </c>
      <c r="D317" s="3" t="s">
        <v>9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/>
      <c r="P317" s="3"/>
      <c r="Q317" s="3"/>
    </row>
    <row r="318" spans="1:17" ht="15" x14ac:dyDescent="0.25">
      <c r="A318" s="3">
        <f>311</f>
        <v>311</v>
      </c>
      <c r="B318" s="3" t="s">
        <v>320</v>
      </c>
      <c r="C318" s="3" t="s">
        <v>10</v>
      </c>
      <c r="D318" s="3" t="s">
        <v>9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/>
      <c r="P318" s="3"/>
      <c r="Q318" s="3"/>
    </row>
    <row r="319" spans="1:17" ht="15" x14ac:dyDescent="0.25">
      <c r="A319" s="3">
        <f>312</f>
        <v>312</v>
      </c>
      <c r="B319" s="3" t="s">
        <v>321</v>
      </c>
      <c r="C319" s="3" t="s">
        <v>10</v>
      </c>
      <c r="D319" s="3" t="s">
        <v>9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/>
      <c r="P319" s="3"/>
      <c r="Q319" s="3"/>
    </row>
    <row r="320" spans="1:17" ht="15" x14ac:dyDescent="0.25">
      <c r="A320" s="3">
        <f>313</f>
        <v>313</v>
      </c>
      <c r="B320" s="3" t="s">
        <v>322</v>
      </c>
      <c r="C320" s="3" t="s">
        <v>10</v>
      </c>
      <c r="D320" s="3" t="s">
        <v>9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/>
      <c r="P320" s="3"/>
      <c r="Q320" s="3"/>
    </row>
    <row r="321" spans="1:17" ht="15" x14ac:dyDescent="0.25">
      <c r="A321" s="3">
        <f>314</f>
        <v>314</v>
      </c>
      <c r="B321" s="3" t="s">
        <v>323</v>
      </c>
      <c r="C321" s="3" t="s">
        <v>10</v>
      </c>
      <c r="D321" s="3" t="s">
        <v>9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/>
      <c r="P321" s="3"/>
      <c r="Q321" s="3"/>
    </row>
    <row r="322" spans="1:17" ht="15" x14ac:dyDescent="0.25">
      <c r="A322" s="3">
        <f>315</f>
        <v>315</v>
      </c>
      <c r="B322" s="3" t="s">
        <v>324</v>
      </c>
      <c r="C322" s="3" t="s">
        <v>10</v>
      </c>
      <c r="D322" s="3" t="s">
        <v>9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/>
      <c r="P322" s="3"/>
      <c r="Q322" s="3"/>
    </row>
    <row r="323" spans="1:17" ht="15" x14ac:dyDescent="0.25">
      <c r="A323" s="3">
        <f>316</f>
        <v>316</v>
      </c>
      <c r="B323" s="3" t="s">
        <v>325</v>
      </c>
      <c r="C323" s="3" t="s">
        <v>10</v>
      </c>
      <c r="D323" s="3" t="s">
        <v>9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/>
      <c r="P323" s="3"/>
      <c r="Q323" s="3"/>
    </row>
    <row r="324" spans="1:17" ht="15" x14ac:dyDescent="0.25">
      <c r="A324" s="3">
        <f>317</f>
        <v>317</v>
      </c>
      <c r="B324" s="3" t="s">
        <v>326</v>
      </c>
      <c r="C324" s="3" t="s">
        <v>10</v>
      </c>
      <c r="D324" s="3" t="s">
        <v>9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/>
      <c r="P324" s="3"/>
      <c r="Q324" s="3"/>
    </row>
    <row r="325" spans="1:17" ht="15" x14ac:dyDescent="0.25">
      <c r="A325" s="3">
        <f>318</f>
        <v>318</v>
      </c>
      <c r="B325" s="3" t="s">
        <v>327</v>
      </c>
      <c r="C325" s="3" t="s">
        <v>10</v>
      </c>
      <c r="D325" s="3" t="s">
        <v>9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/>
      <c r="P325" s="3"/>
      <c r="Q325" s="3"/>
    </row>
    <row r="326" spans="1:17" ht="15" x14ac:dyDescent="0.25">
      <c r="A326" s="3">
        <f>319</f>
        <v>319</v>
      </c>
      <c r="B326" s="3" t="s">
        <v>328</v>
      </c>
      <c r="C326" s="3" t="s">
        <v>10</v>
      </c>
      <c r="D326" s="3" t="s">
        <v>9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/>
      <c r="P326" s="3"/>
      <c r="Q326" s="3"/>
    </row>
    <row r="327" spans="1:17" ht="15" x14ac:dyDescent="0.25">
      <c r="A327" s="3">
        <f>320</f>
        <v>320</v>
      </c>
      <c r="B327" s="3" t="s">
        <v>329</v>
      </c>
      <c r="C327" s="3" t="s">
        <v>10</v>
      </c>
      <c r="D327" s="3" t="s">
        <v>9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/>
      <c r="P327" s="3"/>
      <c r="Q327" s="3"/>
    </row>
    <row r="328" spans="1:17" ht="15" x14ac:dyDescent="0.25">
      <c r="A328" s="3">
        <f>321</f>
        <v>321</v>
      </c>
      <c r="B328" s="3" t="s">
        <v>330</v>
      </c>
      <c r="C328" s="3" t="s">
        <v>10</v>
      </c>
      <c r="D328" s="3" t="s">
        <v>9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/>
      <c r="P328" s="3"/>
      <c r="Q328" s="3"/>
    </row>
    <row r="329" spans="1:17" ht="15" x14ac:dyDescent="0.25">
      <c r="A329" s="3">
        <f>322</f>
        <v>322</v>
      </c>
      <c r="B329" s="3" t="s">
        <v>331</v>
      </c>
      <c r="C329" s="3" t="s">
        <v>10</v>
      </c>
      <c r="D329" s="3" t="s">
        <v>9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/>
      <c r="P329" s="3"/>
      <c r="Q329" s="3"/>
    </row>
    <row r="330" spans="1:17" ht="15" x14ac:dyDescent="0.25">
      <c r="A330" s="3">
        <f>323</f>
        <v>323</v>
      </c>
      <c r="B330" s="3" t="s">
        <v>332</v>
      </c>
      <c r="C330" s="3" t="s">
        <v>10</v>
      </c>
      <c r="D330" s="3" t="s">
        <v>9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/>
      <c r="P330" s="3"/>
      <c r="Q330" s="3"/>
    </row>
    <row r="331" spans="1:17" ht="15" x14ac:dyDescent="0.25">
      <c r="A331" s="3">
        <f>324</f>
        <v>324</v>
      </c>
      <c r="B331" s="3" t="s">
        <v>333</v>
      </c>
      <c r="C331" s="3" t="s">
        <v>10</v>
      </c>
      <c r="D331" s="3" t="s">
        <v>9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/>
      <c r="P331" s="3"/>
      <c r="Q331" s="3"/>
    </row>
    <row r="332" spans="1:17" ht="15" x14ac:dyDescent="0.25">
      <c r="A332" s="3">
        <f>325</f>
        <v>325</v>
      </c>
      <c r="B332" s="3" t="s">
        <v>334</v>
      </c>
      <c r="C332" s="3" t="s">
        <v>10</v>
      </c>
      <c r="D332" s="3" t="s">
        <v>9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/>
      <c r="P332" s="3"/>
      <c r="Q332" s="3"/>
    </row>
    <row r="333" spans="1:17" ht="15" x14ac:dyDescent="0.25">
      <c r="A333" s="3">
        <f>326</f>
        <v>326</v>
      </c>
      <c r="B333" s="3" t="s">
        <v>335</v>
      </c>
      <c r="C333" s="3" t="s">
        <v>10</v>
      </c>
      <c r="D333" s="3" t="s">
        <v>9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/>
      <c r="P333" s="3"/>
      <c r="Q333" s="3"/>
    </row>
    <row r="334" spans="1:17" ht="15" x14ac:dyDescent="0.25">
      <c r="A334" s="3">
        <f>327</f>
        <v>327</v>
      </c>
      <c r="B334" s="3" t="s">
        <v>336</v>
      </c>
      <c r="C334" s="3" t="s">
        <v>10</v>
      </c>
      <c r="D334" s="3" t="s">
        <v>9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/>
      <c r="P334" s="3"/>
      <c r="Q334" s="3"/>
    </row>
    <row r="335" spans="1:17" ht="15" x14ac:dyDescent="0.25">
      <c r="A335" s="3">
        <f>328</f>
        <v>328</v>
      </c>
      <c r="B335" s="3" t="s">
        <v>337</v>
      </c>
      <c r="C335" s="3" t="s">
        <v>10</v>
      </c>
      <c r="D335" s="3" t="s">
        <v>9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/>
      <c r="P335" s="3"/>
      <c r="Q335" s="3"/>
    </row>
    <row r="336" spans="1:17" ht="15" x14ac:dyDescent="0.25">
      <c r="A336" s="3">
        <f>329</f>
        <v>329</v>
      </c>
      <c r="B336" s="3" t="s">
        <v>338</v>
      </c>
      <c r="C336" s="3" t="s">
        <v>10</v>
      </c>
      <c r="D336" s="3" t="s">
        <v>9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/>
      <c r="P336" s="3"/>
      <c r="Q336" s="3"/>
    </row>
    <row r="337" spans="1:17" ht="15" x14ac:dyDescent="0.25">
      <c r="A337" s="3">
        <f>330</f>
        <v>330</v>
      </c>
      <c r="B337" s="3" t="s">
        <v>339</v>
      </c>
      <c r="C337" s="3" t="s">
        <v>10</v>
      </c>
      <c r="D337" s="3" t="s">
        <v>9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/>
      <c r="P337" s="3"/>
      <c r="Q337" s="3"/>
    </row>
    <row r="338" spans="1:17" ht="15" x14ac:dyDescent="0.25">
      <c r="A338" s="3">
        <f>331</f>
        <v>331</v>
      </c>
      <c r="B338" s="3" t="s">
        <v>340</v>
      </c>
      <c r="C338" s="3" t="s">
        <v>10</v>
      </c>
      <c r="D338" s="3" t="s">
        <v>9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/>
      <c r="P338" s="3"/>
      <c r="Q338" s="3"/>
    </row>
    <row r="339" spans="1:17" ht="15" x14ac:dyDescent="0.25">
      <c r="A339" s="3">
        <f>332</f>
        <v>332</v>
      </c>
      <c r="B339" s="3" t="s">
        <v>341</v>
      </c>
      <c r="C339" s="3" t="s">
        <v>10</v>
      </c>
      <c r="D339" s="3" t="s">
        <v>9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/>
      <c r="P339" s="3"/>
      <c r="Q339" s="3"/>
    </row>
    <row r="340" spans="1:17" ht="15" x14ac:dyDescent="0.25">
      <c r="A340" s="3">
        <f>333</f>
        <v>333</v>
      </c>
      <c r="B340" s="3" t="s">
        <v>342</v>
      </c>
      <c r="C340" s="3" t="s">
        <v>10</v>
      </c>
      <c r="D340" s="3" t="s">
        <v>9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/>
      <c r="P340" s="3"/>
      <c r="Q340" s="3"/>
    </row>
    <row r="341" spans="1:17" ht="15" x14ac:dyDescent="0.25">
      <c r="A341" s="3">
        <f>334</f>
        <v>334</v>
      </c>
      <c r="B341" s="3" t="s">
        <v>343</v>
      </c>
      <c r="C341" s="3" t="s">
        <v>10</v>
      </c>
      <c r="D341" s="3" t="s">
        <v>9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/>
      <c r="P341" s="3"/>
      <c r="Q341" s="3"/>
    </row>
    <row r="342" spans="1:17" ht="15" x14ac:dyDescent="0.25">
      <c r="A342" s="3">
        <f>335</f>
        <v>335</v>
      </c>
      <c r="B342" s="3" t="s">
        <v>344</v>
      </c>
      <c r="C342" s="3" t="s">
        <v>10</v>
      </c>
      <c r="D342" s="3" t="s">
        <v>9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/>
      <c r="P342" s="3"/>
      <c r="Q342" s="3"/>
    </row>
    <row r="343" spans="1:17" ht="15" x14ac:dyDescent="0.25">
      <c r="A343" s="3">
        <f>336</f>
        <v>336</v>
      </c>
      <c r="B343" s="3" t="s">
        <v>345</v>
      </c>
      <c r="C343" s="3" t="s">
        <v>10</v>
      </c>
      <c r="D343" s="3" t="s">
        <v>9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/>
      <c r="P343" s="3"/>
      <c r="Q343" s="3"/>
    </row>
    <row r="344" spans="1:17" ht="15" x14ac:dyDescent="0.25">
      <c r="A344" s="3">
        <f>337</f>
        <v>337</v>
      </c>
      <c r="B344" s="3" t="s">
        <v>346</v>
      </c>
      <c r="C344" s="3" t="s">
        <v>10</v>
      </c>
      <c r="D344" s="3" t="s">
        <v>9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/>
      <c r="P344" s="3"/>
      <c r="Q344" s="3"/>
    </row>
    <row r="345" spans="1:17" ht="15" x14ac:dyDescent="0.25">
      <c r="A345" s="3">
        <f>338</f>
        <v>338</v>
      </c>
      <c r="B345" s="3" t="s">
        <v>347</v>
      </c>
      <c r="C345" s="3" t="s">
        <v>10</v>
      </c>
      <c r="D345" s="3" t="s">
        <v>9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/>
      <c r="P345" s="3"/>
      <c r="Q345" s="3"/>
    </row>
    <row r="346" spans="1:17" ht="15" x14ac:dyDescent="0.25">
      <c r="A346" s="3">
        <f>339</f>
        <v>339</v>
      </c>
      <c r="B346" s="3" t="s">
        <v>348</v>
      </c>
      <c r="C346" s="3" t="s">
        <v>10</v>
      </c>
      <c r="D346" s="3" t="s">
        <v>9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/>
      <c r="P346" s="3"/>
      <c r="Q346" s="3"/>
    </row>
    <row r="347" spans="1:17" ht="15" x14ac:dyDescent="0.25">
      <c r="A347" s="3">
        <f>340</f>
        <v>340</v>
      </c>
      <c r="B347" s="3" t="s">
        <v>349</v>
      </c>
      <c r="C347" s="3" t="s">
        <v>10</v>
      </c>
      <c r="D347" s="3" t="s">
        <v>9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/>
      <c r="P347" s="3"/>
      <c r="Q347" s="3"/>
    </row>
    <row r="348" spans="1:17" ht="15" x14ac:dyDescent="0.25">
      <c r="A348" s="3">
        <f>341</f>
        <v>341</v>
      </c>
      <c r="B348" s="3" t="s">
        <v>350</v>
      </c>
      <c r="C348" s="3" t="s">
        <v>10</v>
      </c>
      <c r="D348" s="3" t="s">
        <v>9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/>
      <c r="P348" s="3"/>
      <c r="Q348" s="3"/>
    </row>
    <row r="349" spans="1:17" ht="15" x14ac:dyDescent="0.25">
      <c r="A349" s="3">
        <f>342</f>
        <v>342</v>
      </c>
      <c r="B349" s="3" t="s">
        <v>351</v>
      </c>
      <c r="C349" s="3" t="s">
        <v>10</v>
      </c>
      <c r="D349" s="3" t="s">
        <v>9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/>
      <c r="P349" s="3"/>
      <c r="Q349" s="3"/>
    </row>
    <row r="350" spans="1:17" ht="15" x14ac:dyDescent="0.25">
      <c r="A350" s="3">
        <f>343</f>
        <v>343</v>
      </c>
      <c r="B350" s="3" t="s">
        <v>352</v>
      </c>
      <c r="C350" s="3" t="s">
        <v>10</v>
      </c>
      <c r="D350" s="3" t="s">
        <v>9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/>
      <c r="P350" s="3"/>
      <c r="Q350" s="3"/>
    </row>
    <row r="351" spans="1:17" ht="15" x14ac:dyDescent="0.25">
      <c r="A351" s="3">
        <f>344</f>
        <v>344</v>
      </c>
      <c r="B351" s="3" t="s">
        <v>353</v>
      </c>
      <c r="C351" s="3" t="s">
        <v>10</v>
      </c>
      <c r="D351" s="3" t="s">
        <v>9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/>
      <c r="P351" s="3"/>
      <c r="Q351" s="3"/>
    </row>
    <row r="352" spans="1:17" ht="15" x14ac:dyDescent="0.25">
      <c r="A352" s="3">
        <f>345</f>
        <v>345</v>
      </c>
      <c r="B352" s="3" t="s">
        <v>354</v>
      </c>
      <c r="C352" s="3" t="s">
        <v>10</v>
      </c>
      <c r="D352" s="3" t="s">
        <v>9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/>
      <c r="P352" s="3"/>
      <c r="Q352" s="3"/>
    </row>
    <row r="353" spans="1:17" ht="15" x14ac:dyDescent="0.25">
      <c r="A353" s="3">
        <f>346</f>
        <v>346</v>
      </c>
      <c r="B353" s="3" t="s">
        <v>355</v>
      </c>
      <c r="C353" s="3" t="s">
        <v>10</v>
      </c>
      <c r="D353" s="3" t="s">
        <v>9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/>
      <c r="P353" s="3"/>
      <c r="Q353" s="3"/>
    </row>
    <row r="354" spans="1:17" ht="15" x14ac:dyDescent="0.25">
      <c r="A354" s="3">
        <f>347</f>
        <v>347</v>
      </c>
      <c r="B354" s="3" t="s">
        <v>356</v>
      </c>
      <c r="C354" s="3" t="s">
        <v>10</v>
      </c>
      <c r="D354" s="3" t="s">
        <v>9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/>
      <c r="P354" s="3"/>
      <c r="Q354" s="3"/>
    </row>
    <row r="355" spans="1:17" ht="15" x14ac:dyDescent="0.25">
      <c r="A355" s="3">
        <f>348</f>
        <v>348</v>
      </c>
      <c r="B355" s="3" t="s">
        <v>357</v>
      </c>
      <c r="C355" s="3" t="s">
        <v>10</v>
      </c>
      <c r="D355" s="3" t="s">
        <v>9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/>
      <c r="P355" s="3"/>
      <c r="Q355" s="3"/>
    </row>
    <row r="356" spans="1:17" ht="15" x14ac:dyDescent="0.25">
      <c r="A356" s="3">
        <f>349</f>
        <v>349</v>
      </c>
      <c r="B356" s="3" t="s">
        <v>358</v>
      </c>
      <c r="C356" s="3" t="s">
        <v>10</v>
      </c>
      <c r="D356" s="3" t="s">
        <v>9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/>
      <c r="P356" s="3"/>
      <c r="Q356" s="3"/>
    </row>
    <row r="357" spans="1:17" ht="15" x14ac:dyDescent="0.25">
      <c r="A357" s="3">
        <f>350</f>
        <v>350</v>
      </c>
      <c r="B357" s="3" t="s">
        <v>359</v>
      </c>
      <c r="C357" s="3" t="s">
        <v>10</v>
      </c>
      <c r="D357" s="3" t="s">
        <v>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/>
      <c r="P357" s="3"/>
      <c r="Q357" s="3"/>
    </row>
    <row r="358" spans="1:17" ht="15" x14ac:dyDescent="0.25">
      <c r="A358" s="3">
        <f>351</f>
        <v>351</v>
      </c>
      <c r="B358" s="3" t="s">
        <v>360</v>
      </c>
      <c r="C358" s="3" t="s">
        <v>10</v>
      </c>
      <c r="D358" s="3" t="s">
        <v>9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/>
      <c r="P358" s="3"/>
      <c r="Q358" s="3"/>
    </row>
    <row r="359" spans="1:17" ht="15" x14ac:dyDescent="0.25">
      <c r="A359" s="3">
        <f>352</f>
        <v>352</v>
      </c>
      <c r="B359" s="3" t="s">
        <v>361</v>
      </c>
      <c r="C359" s="3" t="s">
        <v>10</v>
      </c>
      <c r="D359" s="3" t="s">
        <v>9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/>
      <c r="P359" s="3"/>
      <c r="Q359" s="3"/>
    </row>
    <row r="360" spans="1:17" ht="15" x14ac:dyDescent="0.25">
      <c r="A360" s="3">
        <f>353</f>
        <v>353</v>
      </c>
      <c r="B360" s="3" t="s">
        <v>362</v>
      </c>
      <c r="C360" s="3" t="s">
        <v>10</v>
      </c>
      <c r="D360" s="3" t="s">
        <v>9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/>
      <c r="P360" s="3"/>
      <c r="Q360" s="3"/>
    </row>
    <row r="361" spans="1:17" ht="15" x14ac:dyDescent="0.25">
      <c r="A361" s="3">
        <f>354</f>
        <v>354</v>
      </c>
      <c r="B361" s="3" t="s">
        <v>363</v>
      </c>
      <c r="C361" s="3" t="s">
        <v>10</v>
      </c>
      <c r="D361" s="3" t="s">
        <v>9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/>
      <c r="P361" s="3"/>
      <c r="Q361" s="3"/>
    </row>
    <row r="362" spans="1:17" ht="15" x14ac:dyDescent="0.25">
      <c r="A362" s="3">
        <f>355</f>
        <v>355</v>
      </c>
      <c r="B362" s="3" t="s">
        <v>364</v>
      </c>
      <c r="C362" s="3" t="s">
        <v>10</v>
      </c>
      <c r="D362" s="3" t="s">
        <v>9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/>
      <c r="P362" s="3"/>
      <c r="Q362" s="3"/>
    </row>
    <row r="363" spans="1:17" ht="15" x14ac:dyDescent="0.25">
      <c r="A363" s="3">
        <f>356</f>
        <v>356</v>
      </c>
      <c r="B363" s="3" t="s">
        <v>365</v>
      </c>
      <c r="C363" s="3" t="s">
        <v>10</v>
      </c>
      <c r="D363" s="3" t="s">
        <v>9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/>
      <c r="P363" s="3"/>
      <c r="Q363" s="3"/>
    </row>
    <row r="364" spans="1:17" ht="15" x14ac:dyDescent="0.25">
      <c r="A364" s="3">
        <f>357</f>
        <v>357</v>
      </c>
      <c r="B364" s="3" t="s">
        <v>366</v>
      </c>
      <c r="C364" s="3" t="s">
        <v>10</v>
      </c>
      <c r="D364" s="3" t="s">
        <v>9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/>
      <c r="P364" s="3"/>
      <c r="Q364" s="3"/>
    </row>
    <row r="365" spans="1:17" ht="15" x14ac:dyDescent="0.25">
      <c r="A365" s="3">
        <f>358</f>
        <v>358</v>
      </c>
      <c r="B365" s="3" t="s">
        <v>367</v>
      </c>
      <c r="C365" s="3" t="s">
        <v>10</v>
      </c>
      <c r="D365" s="3" t="s">
        <v>9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/>
      <c r="P365" s="3"/>
      <c r="Q365" s="3"/>
    </row>
    <row r="366" spans="1:17" ht="15" x14ac:dyDescent="0.25">
      <c r="A366" s="3">
        <f>359</f>
        <v>359</v>
      </c>
      <c r="B366" s="3" t="s">
        <v>368</v>
      </c>
      <c r="C366" s="3" t="s">
        <v>10</v>
      </c>
      <c r="D366" s="3" t="s">
        <v>9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/>
      <c r="P366" s="3"/>
      <c r="Q366" s="3"/>
    </row>
    <row r="367" spans="1:17" ht="15" x14ac:dyDescent="0.25">
      <c r="A367" s="3">
        <f>360</f>
        <v>360</v>
      </c>
      <c r="B367" s="3" t="s">
        <v>369</v>
      </c>
      <c r="C367" s="3" t="s">
        <v>10</v>
      </c>
      <c r="D367" s="3" t="s">
        <v>9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/>
      <c r="P367" s="3"/>
      <c r="Q367" s="3"/>
    </row>
    <row r="368" spans="1:17" ht="15" x14ac:dyDescent="0.25">
      <c r="A368" s="3">
        <f>361</f>
        <v>361</v>
      </c>
      <c r="B368" s="3" t="s">
        <v>370</v>
      </c>
      <c r="C368" s="3" t="s">
        <v>10</v>
      </c>
      <c r="D368" s="3" t="s">
        <v>9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/>
      <c r="P368" s="3"/>
      <c r="Q368" s="3"/>
    </row>
    <row r="369" spans="1:17" ht="15" x14ac:dyDescent="0.25">
      <c r="A369" s="3">
        <f>362</f>
        <v>362</v>
      </c>
      <c r="B369" s="3" t="s">
        <v>371</v>
      </c>
      <c r="C369" s="3" t="s">
        <v>10</v>
      </c>
      <c r="D369" s="3" t="s">
        <v>9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/>
      <c r="P369" s="3"/>
      <c r="Q369" s="3"/>
    </row>
    <row r="370" spans="1:17" ht="15" x14ac:dyDescent="0.25">
      <c r="A370" s="3">
        <f>363</f>
        <v>363</v>
      </c>
      <c r="B370" s="3" t="s">
        <v>372</v>
      </c>
      <c r="C370" s="3" t="s">
        <v>10</v>
      </c>
      <c r="D370" s="3" t="s">
        <v>9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/>
      <c r="P370" s="3"/>
      <c r="Q370" s="3"/>
    </row>
    <row r="371" spans="1:17" ht="15" x14ac:dyDescent="0.25">
      <c r="A371" s="3">
        <f>364</f>
        <v>364</v>
      </c>
      <c r="B371" s="3" t="s">
        <v>373</v>
      </c>
      <c r="C371" s="3" t="s">
        <v>10</v>
      </c>
      <c r="D371" s="3" t="s">
        <v>9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/>
      <c r="P371" s="3"/>
      <c r="Q371" s="3"/>
    </row>
    <row r="372" spans="1:17" ht="15" x14ac:dyDescent="0.25">
      <c r="A372" s="3">
        <f>365</f>
        <v>365</v>
      </c>
      <c r="B372" s="3" t="s">
        <v>374</v>
      </c>
      <c r="C372" s="3" t="s">
        <v>10</v>
      </c>
      <c r="D372" s="3" t="s">
        <v>9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/>
      <c r="P372" s="3"/>
      <c r="Q372" s="3"/>
    </row>
    <row r="373" spans="1:17" ht="15" x14ac:dyDescent="0.25">
      <c r="A373" s="3">
        <f>366</f>
        <v>366</v>
      </c>
      <c r="B373" s="3" t="s">
        <v>375</v>
      </c>
      <c r="C373" s="3" t="s">
        <v>10</v>
      </c>
      <c r="D373" s="3" t="s">
        <v>9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/>
      <c r="P373" s="3"/>
      <c r="Q373" s="3"/>
    </row>
    <row r="374" spans="1:17" ht="15" x14ac:dyDescent="0.25">
      <c r="A374" s="3">
        <f>367</f>
        <v>367</v>
      </c>
      <c r="B374" s="3" t="s">
        <v>376</v>
      </c>
      <c r="C374" s="3" t="s">
        <v>10</v>
      </c>
      <c r="D374" s="3" t="s">
        <v>9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/>
      <c r="P374" s="3"/>
      <c r="Q374" s="3"/>
    </row>
    <row r="375" spans="1:17" ht="15" x14ac:dyDescent="0.25">
      <c r="A375" s="3">
        <f>368</f>
        <v>368</v>
      </c>
      <c r="B375" s="3" t="s">
        <v>377</v>
      </c>
      <c r="C375" s="3" t="s">
        <v>10</v>
      </c>
      <c r="D375" s="3" t="s">
        <v>9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/>
      <c r="P375" s="3"/>
      <c r="Q375" s="3"/>
    </row>
    <row r="376" spans="1:17" ht="15" x14ac:dyDescent="0.25">
      <c r="A376" s="3">
        <f>369</f>
        <v>369</v>
      </c>
      <c r="B376" s="3" t="s">
        <v>378</v>
      </c>
      <c r="C376" s="3" t="s">
        <v>10</v>
      </c>
      <c r="D376" s="3" t="s">
        <v>9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/>
      <c r="P376" s="3"/>
      <c r="Q376" s="3"/>
    </row>
    <row r="377" spans="1:17" ht="15" x14ac:dyDescent="0.25">
      <c r="A377" s="3">
        <f>370</f>
        <v>370</v>
      </c>
      <c r="B377" s="3" t="s">
        <v>379</v>
      </c>
      <c r="C377" s="3" t="s">
        <v>10</v>
      </c>
      <c r="D377" s="3" t="s">
        <v>9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/>
      <c r="P377" s="3"/>
      <c r="Q377" s="3"/>
    </row>
    <row r="378" spans="1:17" ht="15" x14ac:dyDescent="0.25">
      <c r="A378" s="3">
        <f>371</f>
        <v>371</v>
      </c>
      <c r="B378" s="3" t="s">
        <v>380</v>
      </c>
      <c r="C378" s="3" t="s">
        <v>10</v>
      </c>
      <c r="D378" s="3" t="s">
        <v>9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/>
      <c r="P378" s="3"/>
      <c r="Q378" s="3"/>
    </row>
    <row r="379" spans="1:17" ht="15" x14ac:dyDescent="0.25">
      <c r="A379" s="3">
        <f>372</f>
        <v>372</v>
      </c>
      <c r="B379" s="3" t="s">
        <v>381</v>
      </c>
      <c r="C379" s="3" t="s">
        <v>10</v>
      </c>
      <c r="D379" s="3" t="s">
        <v>9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/>
      <c r="P379" s="3"/>
      <c r="Q379" s="3"/>
    </row>
    <row r="380" spans="1:17" ht="15" x14ac:dyDescent="0.25">
      <c r="A380" s="3">
        <f>373</f>
        <v>373</v>
      </c>
      <c r="B380" s="3" t="s">
        <v>382</v>
      </c>
      <c r="C380" s="3" t="s">
        <v>10</v>
      </c>
      <c r="D380" s="3" t="s">
        <v>9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/>
      <c r="P380" s="3"/>
      <c r="Q380" s="3"/>
    </row>
    <row r="381" spans="1:17" ht="15" x14ac:dyDescent="0.25">
      <c r="A381" s="3">
        <f>374</f>
        <v>374</v>
      </c>
      <c r="B381" s="3" t="s">
        <v>383</v>
      </c>
      <c r="C381" s="3" t="s">
        <v>10</v>
      </c>
      <c r="D381" s="3" t="s">
        <v>9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/>
      <c r="P381" s="3"/>
      <c r="Q381" s="3"/>
    </row>
    <row r="382" spans="1:17" ht="15" x14ac:dyDescent="0.25">
      <c r="A382" s="3">
        <f>375</f>
        <v>375</v>
      </c>
      <c r="B382" s="3" t="s">
        <v>384</v>
      </c>
      <c r="C382" s="3" t="s">
        <v>10</v>
      </c>
      <c r="D382" s="3" t="s">
        <v>9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/>
      <c r="P382" s="3"/>
      <c r="Q382" s="3"/>
    </row>
    <row r="383" spans="1:17" ht="15" x14ac:dyDescent="0.25">
      <c r="A383" s="3">
        <f>376</f>
        <v>376</v>
      </c>
      <c r="B383" s="3" t="s">
        <v>385</v>
      </c>
      <c r="C383" s="3" t="s">
        <v>10</v>
      </c>
      <c r="D383" s="3" t="s">
        <v>9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/>
      <c r="P383" s="3"/>
      <c r="Q383" s="3"/>
    </row>
    <row r="384" spans="1:17" ht="15" x14ac:dyDescent="0.25">
      <c r="A384" s="3">
        <f>377</f>
        <v>377</v>
      </c>
      <c r="B384" s="3" t="s">
        <v>386</v>
      </c>
      <c r="C384" s="3" t="s">
        <v>10</v>
      </c>
      <c r="D384" s="3" t="s">
        <v>9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/>
      <c r="P384" s="3"/>
      <c r="Q384" s="3"/>
    </row>
    <row r="385" spans="1:17" ht="15" x14ac:dyDescent="0.25">
      <c r="A385" s="3">
        <f>378</f>
        <v>378</v>
      </c>
      <c r="B385" s="3" t="s">
        <v>387</v>
      </c>
      <c r="C385" s="3" t="s">
        <v>10</v>
      </c>
      <c r="D385" s="3" t="s">
        <v>9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/>
      <c r="P385" s="3"/>
      <c r="Q385" s="3"/>
    </row>
    <row r="386" spans="1:17" ht="15" x14ac:dyDescent="0.25">
      <c r="A386" s="3">
        <f>379</f>
        <v>379</v>
      </c>
      <c r="B386" s="3" t="s">
        <v>388</v>
      </c>
      <c r="C386" s="3" t="s">
        <v>10</v>
      </c>
      <c r="D386" s="3" t="s">
        <v>9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/>
      <c r="P386" s="3"/>
      <c r="Q386" s="3"/>
    </row>
    <row r="387" spans="1:17" ht="15" x14ac:dyDescent="0.25">
      <c r="A387" s="3">
        <f>380</f>
        <v>380</v>
      </c>
      <c r="B387" s="3" t="s">
        <v>389</v>
      </c>
      <c r="C387" s="3" t="s">
        <v>10</v>
      </c>
      <c r="D387" s="3" t="s">
        <v>9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/>
      <c r="P387" s="3"/>
      <c r="Q387" s="3"/>
    </row>
    <row r="388" spans="1:17" ht="15" x14ac:dyDescent="0.25">
      <c r="A388" s="3">
        <f>381</f>
        <v>381</v>
      </c>
      <c r="B388" s="3" t="s">
        <v>390</v>
      </c>
      <c r="C388" s="3" t="s">
        <v>10</v>
      </c>
      <c r="D388" s="3" t="s">
        <v>9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/>
      <c r="P388" s="3"/>
      <c r="Q388" s="3"/>
    </row>
    <row r="389" spans="1:17" ht="15" x14ac:dyDescent="0.25">
      <c r="A389" s="3">
        <f>382</f>
        <v>382</v>
      </c>
      <c r="B389" s="3" t="s">
        <v>391</v>
      </c>
      <c r="C389" s="3" t="s">
        <v>10</v>
      </c>
      <c r="D389" s="3" t="s">
        <v>9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/>
      <c r="P389" s="3"/>
      <c r="Q389" s="3"/>
    </row>
    <row r="390" spans="1:17" ht="15" x14ac:dyDescent="0.25">
      <c r="A390" s="3">
        <f>383</f>
        <v>383</v>
      </c>
      <c r="B390" s="3" t="s">
        <v>392</v>
      </c>
      <c r="C390" s="3" t="s">
        <v>10</v>
      </c>
      <c r="D390" s="3" t="s">
        <v>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/>
      <c r="P390" s="3"/>
      <c r="Q390" s="3"/>
    </row>
    <row r="391" spans="1:17" ht="15" x14ac:dyDescent="0.25">
      <c r="A391" s="3">
        <f>384</f>
        <v>384</v>
      </c>
      <c r="B391" s="3" t="s">
        <v>393</v>
      </c>
      <c r="C391" s="3" t="s">
        <v>10</v>
      </c>
      <c r="D391" s="3" t="s">
        <v>9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/>
      <c r="P391" s="3"/>
      <c r="Q391" s="3"/>
    </row>
    <row r="392" spans="1:17" ht="15" x14ac:dyDescent="0.25">
      <c r="A392" s="3">
        <f>385</f>
        <v>385</v>
      </c>
      <c r="B392" s="3" t="s">
        <v>394</v>
      </c>
      <c r="C392" s="3" t="s">
        <v>10</v>
      </c>
      <c r="D392" s="3" t="s">
        <v>9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/>
      <c r="P392" s="3"/>
      <c r="Q392" s="3"/>
    </row>
    <row r="393" spans="1:17" ht="15" x14ac:dyDescent="0.25">
      <c r="A393" s="3">
        <f>386</f>
        <v>386</v>
      </c>
      <c r="B393" s="3" t="s">
        <v>395</v>
      </c>
      <c r="C393" s="3" t="s">
        <v>10</v>
      </c>
      <c r="D393" s="3" t="s">
        <v>9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/>
      <c r="P393" s="3"/>
      <c r="Q393" s="3"/>
    </row>
    <row r="394" spans="1:17" ht="15" x14ac:dyDescent="0.25">
      <c r="A394" s="3">
        <f>387</f>
        <v>387</v>
      </c>
      <c r="B394" s="3" t="s">
        <v>396</v>
      </c>
      <c r="C394" s="3" t="s">
        <v>10</v>
      </c>
      <c r="D394" s="3" t="s">
        <v>9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/>
      <c r="P394" s="3"/>
      <c r="Q394" s="3"/>
    </row>
    <row r="395" spans="1:17" ht="15" x14ac:dyDescent="0.25">
      <c r="A395" s="3">
        <f>388</f>
        <v>388</v>
      </c>
      <c r="B395" s="3" t="s">
        <v>397</v>
      </c>
      <c r="C395" s="3" t="s">
        <v>10</v>
      </c>
      <c r="D395" s="3" t="s">
        <v>9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/>
      <c r="P395" s="3"/>
      <c r="Q395" s="3"/>
    </row>
    <row r="396" spans="1:17" ht="15" x14ac:dyDescent="0.25">
      <c r="A396" s="3">
        <f>389</f>
        <v>389</v>
      </c>
      <c r="B396" s="3" t="s">
        <v>398</v>
      </c>
      <c r="C396" s="3" t="s">
        <v>10</v>
      </c>
      <c r="D396" s="3" t="s">
        <v>9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/>
      <c r="P396" s="3"/>
      <c r="Q396" s="3"/>
    </row>
    <row r="397" spans="1:17" ht="15" x14ac:dyDescent="0.25">
      <c r="A397" s="3">
        <f>390</f>
        <v>390</v>
      </c>
      <c r="B397" s="3" t="s">
        <v>399</v>
      </c>
      <c r="C397" s="3" t="s">
        <v>10</v>
      </c>
      <c r="D397" s="3" t="s">
        <v>9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/>
      <c r="P397" s="3"/>
      <c r="Q397" s="3"/>
    </row>
    <row r="398" spans="1:17" ht="15" x14ac:dyDescent="0.25">
      <c r="A398" s="3">
        <f>391</f>
        <v>391</v>
      </c>
      <c r="B398" s="3" t="s">
        <v>400</v>
      </c>
      <c r="C398" s="3" t="s">
        <v>10</v>
      </c>
      <c r="D398" s="3" t="s">
        <v>9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/>
      <c r="P398" s="3"/>
      <c r="Q398" s="3"/>
    </row>
    <row r="399" spans="1:17" ht="15" x14ac:dyDescent="0.25">
      <c r="A399" s="3">
        <f>392</f>
        <v>392</v>
      </c>
      <c r="B399" s="3" t="s">
        <v>401</v>
      </c>
      <c r="C399" s="3" t="s">
        <v>10</v>
      </c>
      <c r="D399" s="3" t="s">
        <v>9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/>
      <c r="P399" s="3"/>
      <c r="Q399" s="3"/>
    </row>
    <row r="400" spans="1:17" ht="15" x14ac:dyDescent="0.25">
      <c r="A400" s="3">
        <f>393</f>
        <v>393</v>
      </c>
      <c r="B400" s="3" t="s">
        <v>402</v>
      </c>
      <c r="C400" s="3" t="s">
        <v>10</v>
      </c>
      <c r="D400" s="3" t="s">
        <v>9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/>
      <c r="P400" s="3"/>
      <c r="Q400" s="3"/>
    </row>
    <row r="401" spans="1:17" ht="15" x14ac:dyDescent="0.25">
      <c r="A401" s="3">
        <f>394</f>
        <v>394</v>
      </c>
      <c r="B401" s="3" t="s">
        <v>403</v>
      </c>
      <c r="C401" s="3" t="s">
        <v>10</v>
      </c>
      <c r="D401" s="3" t="s">
        <v>9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/>
      <c r="P401" s="3"/>
      <c r="Q401" s="3"/>
    </row>
    <row r="402" spans="1:17" ht="15" x14ac:dyDescent="0.25">
      <c r="A402" s="3">
        <f>395</f>
        <v>395</v>
      </c>
      <c r="B402" s="3" t="s">
        <v>404</v>
      </c>
      <c r="C402" s="3" t="s">
        <v>10</v>
      </c>
      <c r="D402" s="3" t="s">
        <v>9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/>
      <c r="P402" s="3"/>
      <c r="Q402" s="3"/>
    </row>
    <row r="403" spans="1:17" ht="15" x14ac:dyDescent="0.25">
      <c r="A403" s="3">
        <f>396</f>
        <v>396</v>
      </c>
      <c r="B403" s="3" t="s">
        <v>405</v>
      </c>
      <c r="C403" s="3" t="s">
        <v>10</v>
      </c>
      <c r="D403" s="3" t="s">
        <v>9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/>
      <c r="P403" s="3"/>
      <c r="Q403" s="3"/>
    </row>
    <row r="404" spans="1:17" ht="15" x14ac:dyDescent="0.25">
      <c r="A404" s="3">
        <f>397</f>
        <v>397</v>
      </c>
      <c r="B404" s="3" t="s">
        <v>406</v>
      </c>
      <c r="C404" s="3" t="s">
        <v>10</v>
      </c>
      <c r="D404" s="3" t="s">
        <v>9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/>
      <c r="P404" s="3"/>
      <c r="Q404" s="3"/>
    </row>
    <row r="405" spans="1:17" ht="15" x14ac:dyDescent="0.25">
      <c r="A405" s="3">
        <f>398</f>
        <v>398</v>
      </c>
      <c r="B405" s="3" t="s">
        <v>407</v>
      </c>
      <c r="C405" s="3" t="s">
        <v>10</v>
      </c>
      <c r="D405" s="3" t="s">
        <v>9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/>
      <c r="P405" s="3"/>
      <c r="Q405" s="3"/>
    </row>
    <row r="406" spans="1:17" ht="15" x14ac:dyDescent="0.25">
      <c r="A406" s="3">
        <f>399</f>
        <v>399</v>
      </c>
      <c r="B406" s="3" t="s">
        <v>408</v>
      </c>
      <c r="C406" s="3" t="s">
        <v>10</v>
      </c>
      <c r="D406" s="3" t="s">
        <v>9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/>
      <c r="P406" s="3"/>
      <c r="Q406" s="3"/>
    </row>
    <row r="407" spans="1:17" ht="15" x14ac:dyDescent="0.25">
      <c r="A407" s="3">
        <f>400</f>
        <v>400</v>
      </c>
      <c r="B407" s="3" t="s">
        <v>409</v>
      </c>
      <c r="C407" s="3" t="s">
        <v>10</v>
      </c>
      <c r="D407" s="3" t="s">
        <v>9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/>
      <c r="P407" s="3"/>
      <c r="Q407" s="3"/>
    </row>
    <row r="408" spans="1:17" ht="15" x14ac:dyDescent="0.25">
      <c r="A408" s="3">
        <f>401</f>
        <v>401</v>
      </c>
      <c r="B408" s="3" t="s">
        <v>410</v>
      </c>
      <c r="C408" s="3" t="s">
        <v>10</v>
      </c>
      <c r="D408" s="3" t="s">
        <v>9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/>
      <c r="P408" s="3"/>
      <c r="Q408" s="3"/>
    </row>
    <row r="409" spans="1:17" ht="15" x14ac:dyDescent="0.25">
      <c r="A409" s="3">
        <f>402</f>
        <v>402</v>
      </c>
      <c r="B409" s="3" t="s">
        <v>411</v>
      </c>
      <c r="C409" s="3" t="s">
        <v>10</v>
      </c>
      <c r="D409" s="3" t="s">
        <v>9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/>
      <c r="P409" s="3"/>
      <c r="Q409" s="3"/>
    </row>
    <row r="410" spans="1:17" ht="15" x14ac:dyDescent="0.25">
      <c r="A410" s="3">
        <f>403</f>
        <v>403</v>
      </c>
      <c r="B410" s="3" t="s">
        <v>412</v>
      </c>
      <c r="C410" s="3" t="s">
        <v>10</v>
      </c>
      <c r="D410" s="3" t="s">
        <v>9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/>
      <c r="P410" s="3"/>
      <c r="Q410" s="3"/>
    </row>
    <row r="411" spans="1:17" ht="15" x14ac:dyDescent="0.25">
      <c r="A411" s="3">
        <f>404</f>
        <v>404</v>
      </c>
      <c r="B411" s="3" t="s">
        <v>413</v>
      </c>
      <c r="C411" s="3" t="s">
        <v>10</v>
      </c>
      <c r="D411" s="3" t="s">
        <v>9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/>
      <c r="P411" s="3"/>
      <c r="Q411" s="3"/>
    </row>
    <row r="412" spans="1:17" ht="15" x14ac:dyDescent="0.25">
      <c r="A412" s="3">
        <f>405</f>
        <v>405</v>
      </c>
      <c r="B412" s="3" t="s">
        <v>414</v>
      </c>
      <c r="C412" s="3" t="s">
        <v>10</v>
      </c>
      <c r="D412" s="3" t="s">
        <v>9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/>
      <c r="P412" s="3"/>
      <c r="Q412" s="3"/>
    </row>
    <row r="413" spans="1:17" ht="15" x14ac:dyDescent="0.25">
      <c r="A413" s="3">
        <f>406</f>
        <v>406</v>
      </c>
      <c r="B413" s="3" t="s">
        <v>415</v>
      </c>
      <c r="C413" s="3" t="s">
        <v>10</v>
      </c>
      <c r="D413" s="3" t="s">
        <v>9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/>
      <c r="P413" s="3"/>
      <c r="Q413" s="3"/>
    </row>
    <row r="414" spans="1:17" ht="15" x14ac:dyDescent="0.25">
      <c r="A414" s="3">
        <f>407</f>
        <v>407</v>
      </c>
      <c r="B414" s="3" t="s">
        <v>416</v>
      </c>
      <c r="C414" s="3" t="s">
        <v>10</v>
      </c>
      <c r="D414" s="3" t="s">
        <v>9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/>
      <c r="P414" s="3"/>
      <c r="Q414" s="3"/>
    </row>
    <row r="415" spans="1:17" ht="15" x14ac:dyDescent="0.25">
      <c r="A415" s="3">
        <f>408</f>
        <v>408</v>
      </c>
      <c r="B415" s="3" t="s">
        <v>417</v>
      </c>
      <c r="C415" s="3" t="s">
        <v>10</v>
      </c>
      <c r="D415" s="3" t="s">
        <v>9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/>
      <c r="P415" s="3"/>
      <c r="Q415" s="3"/>
    </row>
    <row r="416" spans="1:17" ht="15" x14ac:dyDescent="0.25">
      <c r="A416" s="3">
        <f>409</f>
        <v>409</v>
      </c>
      <c r="B416" s="3" t="s">
        <v>418</v>
      </c>
      <c r="C416" s="3" t="s">
        <v>10</v>
      </c>
      <c r="D416" s="3" t="s">
        <v>9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/>
      <c r="P416" s="3"/>
      <c r="Q416" s="3"/>
    </row>
    <row r="417" spans="1:17" ht="15" x14ac:dyDescent="0.25">
      <c r="A417" s="3">
        <f>410</f>
        <v>410</v>
      </c>
      <c r="B417" s="3" t="s">
        <v>419</v>
      </c>
      <c r="C417" s="3" t="s">
        <v>10</v>
      </c>
      <c r="D417" s="3" t="s">
        <v>9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/>
      <c r="P417" s="3"/>
      <c r="Q417" s="3"/>
    </row>
    <row r="418" spans="1:17" ht="15" x14ac:dyDescent="0.25">
      <c r="A418" s="3">
        <f>411</f>
        <v>411</v>
      </c>
      <c r="B418" s="3" t="s">
        <v>420</v>
      </c>
      <c r="C418" s="3" t="s">
        <v>10</v>
      </c>
      <c r="D418" s="3" t="s">
        <v>9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/>
      <c r="P418" s="3"/>
      <c r="Q418" s="3"/>
    </row>
    <row r="419" spans="1:17" ht="15" x14ac:dyDescent="0.25">
      <c r="A419" s="3">
        <f>412</f>
        <v>412</v>
      </c>
      <c r="B419" s="3" t="s">
        <v>421</v>
      </c>
      <c r="C419" s="3" t="s">
        <v>10</v>
      </c>
      <c r="D419" s="3" t="s">
        <v>9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/>
      <c r="P419" s="3"/>
      <c r="Q419" s="3"/>
    </row>
    <row r="420" spans="1:17" ht="15" x14ac:dyDescent="0.25">
      <c r="A420" s="3">
        <f>413</f>
        <v>413</v>
      </c>
      <c r="B420" s="3" t="s">
        <v>422</v>
      </c>
      <c r="C420" s="3" t="s">
        <v>10</v>
      </c>
      <c r="D420" s="3" t="s">
        <v>9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/>
      <c r="P420" s="3"/>
      <c r="Q420" s="3"/>
    </row>
    <row r="421" spans="1:17" ht="15" x14ac:dyDescent="0.25">
      <c r="A421" s="3">
        <f>414</f>
        <v>414</v>
      </c>
      <c r="B421" s="3" t="s">
        <v>423</v>
      </c>
      <c r="C421" s="3" t="s">
        <v>10</v>
      </c>
      <c r="D421" s="3" t="s">
        <v>9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/>
      <c r="P421" s="3"/>
      <c r="Q421" s="3"/>
    </row>
    <row r="422" spans="1:17" ht="15" x14ac:dyDescent="0.25">
      <c r="A422" s="3">
        <f>415</f>
        <v>415</v>
      </c>
      <c r="B422" s="3" t="s">
        <v>424</v>
      </c>
      <c r="C422" s="3" t="s">
        <v>10</v>
      </c>
      <c r="D422" s="3" t="s">
        <v>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/>
      <c r="P422" s="3"/>
      <c r="Q422" s="3"/>
    </row>
    <row r="423" spans="1:17" ht="15" x14ac:dyDescent="0.25">
      <c r="A423" s="3">
        <f>416</f>
        <v>416</v>
      </c>
      <c r="B423" s="3" t="s">
        <v>425</v>
      </c>
      <c r="C423" s="3" t="s">
        <v>10</v>
      </c>
      <c r="D423" s="3" t="s">
        <v>9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/>
      <c r="P423" s="3"/>
      <c r="Q423" s="3"/>
    </row>
    <row r="424" spans="1:17" ht="15" x14ac:dyDescent="0.25">
      <c r="A424" s="3">
        <f>417</f>
        <v>417</v>
      </c>
      <c r="B424" s="3" t="s">
        <v>426</v>
      </c>
      <c r="C424" s="3" t="s">
        <v>10</v>
      </c>
      <c r="D424" s="3" t="s">
        <v>9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/>
      <c r="P424" s="3"/>
      <c r="Q424" s="3"/>
    </row>
    <row r="425" spans="1:17" ht="15" x14ac:dyDescent="0.25">
      <c r="A425" s="3">
        <f>418</f>
        <v>418</v>
      </c>
      <c r="B425" s="3" t="s">
        <v>427</v>
      </c>
      <c r="C425" s="3" t="s">
        <v>10</v>
      </c>
      <c r="D425" s="3" t="s">
        <v>9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/>
      <c r="P425" s="3"/>
      <c r="Q425" s="3"/>
    </row>
    <row r="426" spans="1:17" ht="15" x14ac:dyDescent="0.25">
      <c r="A426" s="3">
        <f>419</f>
        <v>419</v>
      </c>
      <c r="B426" s="3" t="s">
        <v>428</v>
      </c>
      <c r="C426" s="3" t="s">
        <v>10</v>
      </c>
      <c r="D426" s="3" t="s">
        <v>9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/>
      <c r="P426" s="3"/>
      <c r="Q426" s="3"/>
    </row>
    <row r="427" spans="1:17" ht="15" x14ac:dyDescent="0.25">
      <c r="A427" s="3">
        <f>420</f>
        <v>420</v>
      </c>
      <c r="B427" s="3" t="s">
        <v>429</v>
      </c>
      <c r="C427" s="3" t="s">
        <v>10</v>
      </c>
      <c r="D427" s="3" t="s">
        <v>9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/>
      <c r="P427" s="3"/>
      <c r="Q427" s="3"/>
    </row>
    <row r="428" spans="1:17" ht="15" x14ac:dyDescent="0.25">
      <c r="A428" s="3">
        <f>421</f>
        <v>421</v>
      </c>
      <c r="B428" s="3" t="s">
        <v>430</v>
      </c>
      <c r="C428" s="3" t="s">
        <v>10</v>
      </c>
      <c r="D428" s="3" t="s">
        <v>9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/>
      <c r="P428" s="3"/>
      <c r="Q428" s="3"/>
    </row>
    <row r="429" spans="1:17" ht="15" x14ac:dyDescent="0.25">
      <c r="A429" s="3">
        <f>422</f>
        <v>422</v>
      </c>
      <c r="B429" s="3" t="s">
        <v>431</v>
      </c>
      <c r="C429" s="3" t="s">
        <v>10</v>
      </c>
      <c r="D429" s="3" t="s">
        <v>9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/>
      <c r="P429" s="3"/>
      <c r="Q429" s="3"/>
    </row>
    <row r="430" spans="1:17" ht="15" x14ac:dyDescent="0.25">
      <c r="A430" s="3">
        <f>423</f>
        <v>423</v>
      </c>
      <c r="B430" s="3" t="s">
        <v>432</v>
      </c>
      <c r="C430" s="3" t="s">
        <v>10</v>
      </c>
      <c r="D430" s="3" t="s">
        <v>9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/>
      <c r="P430" s="3"/>
      <c r="Q430" s="3"/>
    </row>
    <row r="431" spans="1:17" ht="15" x14ac:dyDescent="0.25">
      <c r="A431" s="3">
        <f>424</f>
        <v>424</v>
      </c>
      <c r="B431" s="3" t="s">
        <v>433</v>
      </c>
      <c r="C431" s="3" t="s">
        <v>10</v>
      </c>
      <c r="D431" s="3" t="s">
        <v>9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/>
      <c r="P431" s="3"/>
      <c r="Q431" s="3"/>
    </row>
    <row r="432" spans="1:17" ht="15" x14ac:dyDescent="0.25">
      <c r="A432" s="3">
        <f>425</f>
        <v>425</v>
      </c>
      <c r="B432" s="3" t="s">
        <v>434</v>
      </c>
      <c r="C432" s="3" t="s">
        <v>10</v>
      </c>
      <c r="D432" s="3" t="s">
        <v>9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/>
      <c r="P432" s="3"/>
      <c r="Q432" s="3"/>
    </row>
    <row r="433" spans="1:17" ht="15" x14ac:dyDescent="0.25">
      <c r="A433" s="3">
        <f>426</f>
        <v>426</v>
      </c>
      <c r="B433" s="3" t="s">
        <v>435</v>
      </c>
      <c r="C433" s="3" t="s">
        <v>10</v>
      </c>
      <c r="D433" s="3" t="s">
        <v>9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/>
      <c r="P433" s="3"/>
      <c r="Q433" s="3"/>
    </row>
    <row r="434" spans="1:17" ht="15" x14ac:dyDescent="0.25">
      <c r="A434" s="3">
        <f>427</f>
        <v>427</v>
      </c>
      <c r="B434" s="3" t="s">
        <v>436</v>
      </c>
      <c r="C434" s="3" t="s">
        <v>10</v>
      </c>
      <c r="D434" s="3" t="s">
        <v>9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/>
      <c r="P434" s="3"/>
      <c r="Q434" s="3"/>
    </row>
    <row r="435" spans="1:17" ht="15" x14ac:dyDescent="0.25">
      <c r="A435" s="3">
        <f>428</f>
        <v>428</v>
      </c>
      <c r="B435" s="3" t="s">
        <v>437</v>
      </c>
      <c r="C435" s="3" t="s">
        <v>10</v>
      </c>
      <c r="D435" s="3" t="s">
        <v>9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/>
      <c r="P435" s="3"/>
      <c r="Q435" s="3"/>
    </row>
    <row r="436" spans="1:17" ht="15" x14ac:dyDescent="0.25">
      <c r="A436" s="3">
        <f>429</f>
        <v>429</v>
      </c>
      <c r="B436" s="3" t="s">
        <v>438</v>
      </c>
      <c r="C436" s="3" t="s">
        <v>10</v>
      </c>
      <c r="D436" s="3" t="s">
        <v>9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/>
      <c r="P436" s="3"/>
      <c r="Q436" s="3"/>
    </row>
    <row r="437" spans="1:17" ht="15" x14ac:dyDescent="0.25">
      <c r="A437" s="3">
        <f>430</f>
        <v>430</v>
      </c>
      <c r="B437" s="3" t="s">
        <v>439</v>
      </c>
      <c r="C437" s="3" t="s">
        <v>10</v>
      </c>
      <c r="D437" s="3" t="s">
        <v>9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/>
      <c r="P437" s="3"/>
      <c r="Q437" s="3"/>
    </row>
    <row r="438" spans="1:17" ht="15" x14ac:dyDescent="0.25">
      <c r="A438" s="3">
        <f>431</f>
        <v>431</v>
      </c>
      <c r="B438" s="3" t="s">
        <v>440</v>
      </c>
      <c r="C438" s="3" t="s">
        <v>10</v>
      </c>
      <c r="D438" s="3" t="s">
        <v>9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/>
      <c r="P438" s="3"/>
      <c r="Q438" s="3"/>
    </row>
    <row r="439" spans="1:17" ht="15" x14ac:dyDescent="0.25">
      <c r="A439" s="3">
        <f>432</f>
        <v>432</v>
      </c>
      <c r="B439" s="3" t="s">
        <v>441</v>
      </c>
      <c r="C439" s="3" t="s">
        <v>10</v>
      </c>
      <c r="D439" s="3" t="s">
        <v>9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/>
      <c r="P439" s="3"/>
      <c r="Q439" s="3"/>
    </row>
    <row r="440" spans="1:17" ht="15" x14ac:dyDescent="0.25">
      <c r="A440" s="3">
        <f>433</f>
        <v>433</v>
      </c>
      <c r="B440" s="3" t="s">
        <v>442</v>
      </c>
      <c r="C440" s="3" t="s">
        <v>10</v>
      </c>
      <c r="D440" s="3" t="s">
        <v>9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/>
      <c r="P440" s="3"/>
      <c r="Q440" s="3"/>
    </row>
    <row r="441" spans="1:17" ht="15" x14ac:dyDescent="0.25">
      <c r="A441" s="3">
        <f>434</f>
        <v>434</v>
      </c>
      <c r="B441" s="3" t="s">
        <v>443</v>
      </c>
      <c r="C441" s="3" t="s">
        <v>10</v>
      </c>
      <c r="D441" s="3" t="s">
        <v>9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/>
      <c r="P441" s="3"/>
      <c r="Q441" s="3"/>
    </row>
    <row r="442" spans="1:17" ht="15" x14ac:dyDescent="0.25">
      <c r="A442" s="3">
        <f>435</f>
        <v>435</v>
      </c>
      <c r="B442" s="3" t="s">
        <v>444</v>
      </c>
      <c r="C442" s="3" t="s">
        <v>10</v>
      </c>
      <c r="D442" s="3" t="s">
        <v>9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/>
      <c r="P442" s="3"/>
      <c r="Q442" s="3"/>
    </row>
    <row r="443" spans="1:17" ht="15" x14ac:dyDescent="0.25">
      <c r="A443" s="3">
        <f>436</f>
        <v>436</v>
      </c>
      <c r="B443" s="3" t="s">
        <v>445</v>
      </c>
      <c r="C443" s="3" t="s">
        <v>10</v>
      </c>
      <c r="D443" s="3" t="s">
        <v>9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/>
      <c r="P443" s="3"/>
      <c r="Q443" s="3"/>
    </row>
    <row r="444" spans="1:17" ht="15" x14ac:dyDescent="0.25">
      <c r="A444" s="3">
        <f>437</f>
        <v>437</v>
      </c>
      <c r="B444" s="3" t="s">
        <v>446</v>
      </c>
      <c r="C444" s="3" t="s">
        <v>10</v>
      </c>
      <c r="D444" s="3" t="s">
        <v>9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/>
      <c r="P444" s="3"/>
      <c r="Q444" s="3"/>
    </row>
    <row r="445" spans="1:17" ht="15" x14ac:dyDescent="0.25">
      <c r="A445" s="3">
        <f>438</f>
        <v>438</v>
      </c>
      <c r="B445" s="3" t="s">
        <v>447</v>
      </c>
      <c r="C445" s="3" t="s">
        <v>10</v>
      </c>
      <c r="D445" s="3" t="s">
        <v>9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/>
      <c r="P445" s="3"/>
      <c r="Q445" s="3"/>
    </row>
    <row r="446" spans="1:17" ht="15" x14ac:dyDescent="0.25">
      <c r="A446" s="3">
        <f>439</f>
        <v>439</v>
      </c>
      <c r="B446" s="3" t="s">
        <v>448</v>
      </c>
      <c r="C446" s="3" t="s">
        <v>10</v>
      </c>
      <c r="D446" s="3" t="s">
        <v>9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/>
      <c r="P446" s="3"/>
      <c r="Q446" s="3"/>
    </row>
    <row r="447" spans="1:17" ht="15" x14ac:dyDescent="0.25">
      <c r="A447" s="3">
        <f>440</f>
        <v>440</v>
      </c>
      <c r="B447" s="3" t="s">
        <v>449</v>
      </c>
      <c r="C447" s="3" t="s">
        <v>10</v>
      </c>
      <c r="D447" s="3" t="s">
        <v>9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/>
      <c r="P447" s="3"/>
      <c r="Q447" s="3"/>
    </row>
    <row r="448" spans="1:17" ht="15" x14ac:dyDescent="0.25">
      <c r="A448" s="3">
        <f>441</f>
        <v>441</v>
      </c>
      <c r="B448" s="3" t="s">
        <v>450</v>
      </c>
      <c r="C448" s="3" t="s">
        <v>10</v>
      </c>
      <c r="D448" s="3" t="s">
        <v>9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/>
      <c r="P448" s="3"/>
      <c r="Q448" s="3"/>
    </row>
    <row r="449" spans="1:17" ht="15" x14ac:dyDescent="0.25">
      <c r="A449" s="3">
        <f>442</f>
        <v>442</v>
      </c>
      <c r="B449" s="3" t="s">
        <v>451</v>
      </c>
      <c r="C449" s="3" t="s">
        <v>10</v>
      </c>
      <c r="D449" s="3" t="s">
        <v>9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/>
      <c r="P449" s="3"/>
      <c r="Q449" s="3"/>
    </row>
    <row r="450" spans="1:17" ht="15" x14ac:dyDescent="0.25">
      <c r="A450" s="3">
        <f>443</f>
        <v>443</v>
      </c>
      <c r="B450" s="3" t="s">
        <v>452</v>
      </c>
      <c r="C450" s="3" t="s">
        <v>10</v>
      </c>
      <c r="D450" s="3" t="s">
        <v>9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/>
      <c r="P450" s="3"/>
      <c r="Q450" s="3"/>
    </row>
    <row r="451" spans="1:17" ht="15" x14ac:dyDescent="0.25">
      <c r="A451" s="3">
        <f>444</f>
        <v>444</v>
      </c>
      <c r="B451" s="3" t="s">
        <v>453</v>
      </c>
      <c r="C451" s="3" t="s">
        <v>10</v>
      </c>
      <c r="D451" s="3" t="s">
        <v>9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/>
      <c r="P451" s="3"/>
      <c r="Q451" s="3"/>
    </row>
    <row r="452" spans="1:17" ht="15" x14ac:dyDescent="0.25">
      <c r="A452" s="3">
        <f>445</f>
        <v>445</v>
      </c>
      <c r="B452" s="3" t="s">
        <v>454</v>
      </c>
      <c r="C452" s="3" t="s">
        <v>10</v>
      </c>
      <c r="D452" s="3" t="s">
        <v>9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/>
      <c r="P452" s="3"/>
      <c r="Q452" s="3"/>
    </row>
    <row r="453" spans="1:17" ht="15" x14ac:dyDescent="0.25">
      <c r="A453" s="3">
        <f>446</f>
        <v>446</v>
      </c>
      <c r="B453" s="3" t="s">
        <v>455</v>
      </c>
      <c r="C453" s="3" t="s">
        <v>10</v>
      </c>
      <c r="D453" s="3" t="s">
        <v>9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/>
      <c r="P453" s="3"/>
      <c r="Q453" s="3"/>
    </row>
    <row r="454" spans="1:17" ht="15" x14ac:dyDescent="0.25">
      <c r="A454" s="3">
        <f>447</f>
        <v>447</v>
      </c>
      <c r="B454" s="3" t="s">
        <v>456</v>
      </c>
      <c r="C454" s="3" t="s">
        <v>10</v>
      </c>
      <c r="D454" s="3" t="s">
        <v>9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/>
      <c r="P454" s="3"/>
      <c r="Q454" s="3"/>
    </row>
    <row r="455" spans="1:17" ht="15" x14ac:dyDescent="0.25">
      <c r="A455" s="3">
        <f>448</f>
        <v>448</v>
      </c>
      <c r="B455" s="3" t="s">
        <v>457</v>
      </c>
      <c r="C455" s="3" t="s">
        <v>10</v>
      </c>
      <c r="D455" s="3" t="s">
        <v>9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/>
      <c r="P455" s="3"/>
      <c r="Q455" s="3"/>
    </row>
    <row r="456" spans="1:17" ht="15" x14ac:dyDescent="0.25">
      <c r="A456" s="3">
        <f>449</f>
        <v>449</v>
      </c>
      <c r="B456" s="3" t="s">
        <v>458</v>
      </c>
      <c r="C456" s="3" t="s">
        <v>10</v>
      </c>
      <c r="D456" s="3" t="s">
        <v>9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/>
      <c r="P456" s="3"/>
      <c r="Q456" s="3"/>
    </row>
    <row r="457" spans="1:17" ht="15" x14ac:dyDescent="0.25">
      <c r="A457" s="3">
        <f>450</f>
        <v>450</v>
      </c>
      <c r="B457" s="3" t="s">
        <v>459</v>
      </c>
      <c r="C457" s="3" t="s">
        <v>10</v>
      </c>
      <c r="D457" s="3" t="s">
        <v>9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/>
      <c r="P457" s="3"/>
      <c r="Q457" s="3"/>
    </row>
    <row r="458" spans="1:17" ht="15" x14ac:dyDescent="0.25">
      <c r="A458" s="3">
        <f>451</f>
        <v>451</v>
      </c>
      <c r="B458" s="3" t="s">
        <v>460</v>
      </c>
      <c r="C458" s="3" t="s">
        <v>10</v>
      </c>
      <c r="D458" s="3" t="s">
        <v>9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/>
      <c r="P458" s="3"/>
      <c r="Q458" s="3"/>
    </row>
    <row r="459" spans="1:17" ht="15" x14ac:dyDescent="0.25">
      <c r="A459" s="3">
        <f>452</f>
        <v>452</v>
      </c>
      <c r="B459" s="3" t="s">
        <v>461</v>
      </c>
      <c r="C459" s="3" t="s">
        <v>10</v>
      </c>
      <c r="D459" s="3" t="s">
        <v>9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/>
      <c r="P459" s="3"/>
      <c r="Q459" s="3"/>
    </row>
    <row r="460" spans="1:17" ht="15" x14ac:dyDescent="0.25">
      <c r="A460" s="3">
        <f>453</f>
        <v>453</v>
      </c>
      <c r="B460" s="3" t="s">
        <v>462</v>
      </c>
      <c r="C460" s="3" t="s">
        <v>10</v>
      </c>
      <c r="D460" s="3" t="s">
        <v>9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/>
      <c r="P460" s="3"/>
      <c r="Q460" s="3"/>
    </row>
    <row r="461" spans="1:17" ht="15" x14ac:dyDescent="0.25">
      <c r="A461" s="3">
        <f>454</f>
        <v>454</v>
      </c>
      <c r="B461" s="3" t="s">
        <v>463</v>
      </c>
      <c r="C461" s="3" t="s">
        <v>10</v>
      </c>
      <c r="D461" s="3" t="s">
        <v>9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/>
      <c r="P461" s="3"/>
      <c r="Q461" s="3"/>
    </row>
    <row r="462" spans="1:17" ht="15" x14ac:dyDescent="0.25">
      <c r="A462" s="3">
        <f>455</f>
        <v>455</v>
      </c>
      <c r="B462" s="3" t="s">
        <v>464</v>
      </c>
      <c r="C462" s="3" t="s">
        <v>10</v>
      </c>
      <c r="D462" s="3" t="s">
        <v>9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/>
      <c r="P462" s="3"/>
      <c r="Q462" s="3"/>
    </row>
    <row r="463" spans="1:17" ht="15" x14ac:dyDescent="0.25">
      <c r="A463" s="3">
        <f>456</f>
        <v>456</v>
      </c>
      <c r="B463" s="3" t="s">
        <v>465</v>
      </c>
      <c r="C463" s="3" t="s">
        <v>10</v>
      </c>
      <c r="D463" s="3" t="s">
        <v>9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/>
      <c r="P463" s="3"/>
      <c r="Q463" s="3"/>
    </row>
    <row r="464" spans="1:17" ht="15" x14ac:dyDescent="0.25">
      <c r="A464" s="3">
        <f>457</f>
        <v>457</v>
      </c>
      <c r="B464" s="3" t="s">
        <v>466</v>
      </c>
      <c r="C464" s="3" t="s">
        <v>10</v>
      </c>
      <c r="D464" s="3" t="s">
        <v>9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/>
      <c r="P464" s="3"/>
      <c r="Q464" s="3"/>
    </row>
    <row r="465" spans="1:17" ht="15" x14ac:dyDescent="0.25">
      <c r="A465" s="3">
        <f>458</f>
        <v>458</v>
      </c>
      <c r="B465" s="3" t="s">
        <v>467</v>
      </c>
      <c r="C465" s="3" t="s">
        <v>10</v>
      </c>
      <c r="D465" s="3" t="s">
        <v>9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/>
      <c r="P465" s="3"/>
      <c r="Q465" s="3"/>
    </row>
    <row r="466" spans="1:17" ht="15" x14ac:dyDescent="0.25">
      <c r="A466" s="3">
        <f>459</f>
        <v>459</v>
      </c>
      <c r="B466" s="3" t="s">
        <v>468</v>
      </c>
      <c r="C466" s="3" t="s">
        <v>10</v>
      </c>
      <c r="D466" s="3" t="s">
        <v>9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/>
      <c r="P466" s="3"/>
      <c r="Q466" s="3"/>
    </row>
    <row r="467" spans="1:17" ht="15" x14ac:dyDescent="0.25">
      <c r="A467" s="3">
        <f>460</f>
        <v>460</v>
      </c>
      <c r="B467" s="3" t="s">
        <v>469</v>
      </c>
      <c r="C467" s="3" t="s">
        <v>10</v>
      </c>
      <c r="D467" s="3" t="s">
        <v>9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/>
      <c r="P467" s="3"/>
      <c r="Q467" s="3"/>
    </row>
    <row r="468" spans="1:17" ht="15" x14ac:dyDescent="0.25">
      <c r="A468" s="3">
        <f>461</f>
        <v>461</v>
      </c>
      <c r="B468" s="3" t="s">
        <v>470</v>
      </c>
      <c r="C468" s="3" t="s">
        <v>10</v>
      </c>
      <c r="D468" s="3" t="s">
        <v>9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/>
      <c r="P468" s="3"/>
      <c r="Q468" s="3"/>
    </row>
    <row r="469" spans="1:17" ht="15" x14ac:dyDescent="0.25">
      <c r="A469" s="3">
        <f>462</f>
        <v>462</v>
      </c>
      <c r="B469" s="3" t="s">
        <v>471</v>
      </c>
      <c r="C469" s="3" t="s">
        <v>10</v>
      </c>
      <c r="D469" s="3" t="s">
        <v>9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/>
      <c r="P469" s="3"/>
      <c r="Q469" s="3"/>
    </row>
    <row r="470" spans="1:17" ht="15" x14ac:dyDescent="0.25">
      <c r="A470" s="3">
        <f>463</f>
        <v>463</v>
      </c>
      <c r="B470" s="3" t="s">
        <v>472</v>
      </c>
      <c r="C470" s="3" t="s">
        <v>10</v>
      </c>
      <c r="D470" s="3" t="s">
        <v>9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/>
      <c r="P470" s="3"/>
      <c r="Q470" s="3"/>
    </row>
    <row r="471" spans="1:17" ht="15" x14ac:dyDescent="0.25">
      <c r="A471" s="3">
        <f>464</f>
        <v>464</v>
      </c>
      <c r="B471" s="3" t="s">
        <v>473</v>
      </c>
      <c r="C471" s="3" t="s">
        <v>10</v>
      </c>
      <c r="D471" s="3" t="s">
        <v>9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/>
      <c r="P471" s="3"/>
      <c r="Q471" s="3"/>
    </row>
    <row r="472" spans="1:17" ht="15" x14ac:dyDescent="0.25">
      <c r="A472" s="3">
        <f>465</f>
        <v>465</v>
      </c>
      <c r="B472" s="3" t="s">
        <v>474</v>
      </c>
      <c r="C472" s="3" t="s">
        <v>10</v>
      </c>
      <c r="D472" s="3" t="s">
        <v>9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/>
      <c r="P472" s="3"/>
      <c r="Q472" s="3"/>
    </row>
    <row r="473" spans="1:17" ht="15" x14ac:dyDescent="0.25">
      <c r="A473" s="3">
        <f>466</f>
        <v>466</v>
      </c>
      <c r="B473" s="3" t="s">
        <v>475</v>
      </c>
      <c r="C473" s="3" t="s">
        <v>10</v>
      </c>
      <c r="D473" s="3" t="s">
        <v>9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/>
      <c r="P473" s="3"/>
      <c r="Q473" s="3"/>
    </row>
    <row r="474" spans="1:17" ht="15" x14ac:dyDescent="0.25">
      <c r="A474" s="3">
        <f>467</f>
        <v>467</v>
      </c>
      <c r="B474" s="3" t="s">
        <v>476</v>
      </c>
      <c r="C474" s="3" t="s">
        <v>10</v>
      </c>
      <c r="D474" s="3" t="s">
        <v>9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/>
      <c r="P474" s="3"/>
      <c r="Q474" s="3"/>
    </row>
    <row r="475" spans="1:17" ht="15" x14ac:dyDescent="0.25">
      <c r="A475" s="3">
        <f>468</f>
        <v>468</v>
      </c>
      <c r="B475" s="3" t="s">
        <v>477</v>
      </c>
      <c r="C475" s="3" t="s">
        <v>10</v>
      </c>
      <c r="D475" s="3" t="s">
        <v>9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/>
      <c r="P475" s="3"/>
      <c r="Q475" s="3"/>
    </row>
    <row r="476" spans="1:17" ht="15" x14ac:dyDescent="0.25">
      <c r="A476" s="3">
        <f>469</f>
        <v>469</v>
      </c>
      <c r="B476" s="3" t="s">
        <v>478</v>
      </c>
      <c r="C476" s="3" t="s">
        <v>10</v>
      </c>
      <c r="D476" s="3" t="s">
        <v>9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/>
      <c r="P476" s="3"/>
      <c r="Q476" s="3"/>
    </row>
    <row r="477" spans="1:17" ht="15" x14ac:dyDescent="0.25">
      <c r="A477" s="3">
        <f>470</f>
        <v>470</v>
      </c>
      <c r="B477" s="3" t="s">
        <v>479</v>
      </c>
      <c r="C477" s="3" t="s">
        <v>10</v>
      </c>
      <c r="D477" s="3" t="s">
        <v>9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/>
      <c r="P477" s="3"/>
      <c r="Q477" s="3"/>
    </row>
    <row r="478" spans="1:17" ht="15" x14ac:dyDescent="0.25">
      <c r="A478" s="3">
        <f>471</f>
        <v>471</v>
      </c>
      <c r="B478" s="3" t="s">
        <v>480</v>
      </c>
      <c r="C478" s="3" t="s">
        <v>10</v>
      </c>
      <c r="D478" s="3" t="s">
        <v>9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/>
      <c r="P478" s="3"/>
      <c r="Q478" s="3"/>
    </row>
    <row r="479" spans="1:17" ht="15" x14ac:dyDescent="0.25">
      <c r="A479" s="3">
        <f>472</f>
        <v>472</v>
      </c>
      <c r="B479" s="3" t="s">
        <v>481</v>
      </c>
      <c r="C479" s="3" t="s">
        <v>10</v>
      </c>
      <c r="D479" s="3" t="s">
        <v>9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/>
      <c r="P479" s="3"/>
      <c r="Q479" s="3"/>
    </row>
    <row r="480" spans="1:17" ht="15" x14ac:dyDescent="0.25">
      <c r="A480" s="3">
        <f>473</f>
        <v>473</v>
      </c>
      <c r="B480" s="3" t="s">
        <v>482</v>
      </c>
      <c r="C480" s="3" t="s">
        <v>10</v>
      </c>
      <c r="D480" s="3" t="s">
        <v>9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/>
      <c r="P480" s="3"/>
      <c r="Q480" s="3"/>
    </row>
    <row r="481" spans="1:17" ht="15" x14ac:dyDescent="0.25">
      <c r="A481" s="3">
        <f>474</f>
        <v>474</v>
      </c>
      <c r="B481" s="3" t="s">
        <v>483</v>
      </c>
      <c r="C481" s="3" t="s">
        <v>10</v>
      </c>
      <c r="D481" s="3" t="s">
        <v>9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/>
      <c r="P481" s="3"/>
      <c r="Q481" s="3"/>
    </row>
    <row r="482" spans="1:17" ht="15" x14ac:dyDescent="0.25">
      <c r="A482" s="3">
        <f>475</f>
        <v>475</v>
      </c>
      <c r="B482" s="3" t="s">
        <v>484</v>
      </c>
      <c r="C482" s="3" t="s">
        <v>10</v>
      </c>
      <c r="D482" s="3" t="s">
        <v>9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/>
      <c r="P482" s="3"/>
      <c r="Q482" s="3"/>
    </row>
    <row r="483" spans="1:17" ht="15" x14ac:dyDescent="0.25">
      <c r="A483" s="3">
        <f>476</f>
        <v>476</v>
      </c>
      <c r="B483" s="3" t="s">
        <v>485</v>
      </c>
      <c r="C483" s="3" t="s">
        <v>10</v>
      </c>
      <c r="D483" s="3" t="s">
        <v>9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/>
      <c r="P483" s="3"/>
      <c r="Q483" s="3"/>
    </row>
    <row r="484" spans="1:17" ht="15" x14ac:dyDescent="0.25">
      <c r="A484" s="3">
        <f>477</f>
        <v>477</v>
      </c>
      <c r="B484" s="3" t="s">
        <v>486</v>
      </c>
      <c r="C484" s="3" t="s">
        <v>10</v>
      </c>
      <c r="D484" s="3" t="s">
        <v>9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/>
      <c r="P484" s="3"/>
      <c r="Q484" s="3"/>
    </row>
    <row r="485" spans="1:17" ht="15" x14ac:dyDescent="0.25">
      <c r="A485" s="3">
        <f>478</f>
        <v>478</v>
      </c>
      <c r="B485" s="3" t="s">
        <v>487</v>
      </c>
      <c r="C485" s="3" t="s">
        <v>10</v>
      </c>
      <c r="D485" s="3" t="s">
        <v>9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/>
      <c r="P485" s="3"/>
      <c r="Q485" s="3"/>
    </row>
    <row r="486" spans="1:17" ht="15" x14ac:dyDescent="0.25">
      <c r="A486" s="3">
        <f>479</f>
        <v>479</v>
      </c>
      <c r="B486" s="3" t="s">
        <v>488</v>
      </c>
      <c r="C486" s="3" t="s">
        <v>10</v>
      </c>
      <c r="D486" s="3" t="s">
        <v>9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/>
      <c r="P486" s="3"/>
      <c r="Q486" s="3"/>
    </row>
    <row r="487" spans="1:17" ht="15" x14ac:dyDescent="0.25">
      <c r="A487" s="3">
        <f>480</f>
        <v>480</v>
      </c>
      <c r="B487" s="3" t="s">
        <v>489</v>
      </c>
      <c r="C487" s="3" t="s">
        <v>10</v>
      </c>
      <c r="D487" s="3" t="s">
        <v>9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/>
      <c r="P487" s="3"/>
      <c r="Q487" s="3"/>
    </row>
    <row r="488" spans="1:17" ht="15" x14ac:dyDescent="0.25">
      <c r="A488" s="3">
        <f>481</f>
        <v>481</v>
      </c>
      <c r="B488" s="3" t="s">
        <v>490</v>
      </c>
      <c r="C488" s="3" t="s">
        <v>10</v>
      </c>
      <c r="D488" s="3" t="s">
        <v>9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/>
      <c r="P488" s="3"/>
      <c r="Q488" s="3"/>
    </row>
    <row r="489" spans="1:17" ht="15" x14ac:dyDescent="0.25">
      <c r="A489" s="3">
        <f>482</f>
        <v>482</v>
      </c>
      <c r="B489" s="3" t="s">
        <v>491</v>
      </c>
      <c r="C489" s="3" t="s">
        <v>10</v>
      </c>
      <c r="D489" s="3" t="s">
        <v>9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/>
      <c r="P489" s="3"/>
      <c r="Q489" s="3"/>
    </row>
    <row r="490" spans="1:17" ht="15" x14ac:dyDescent="0.25">
      <c r="A490" s="3">
        <f>483</f>
        <v>483</v>
      </c>
      <c r="B490" s="3" t="s">
        <v>492</v>
      </c>
      <c r="C490" s="3" t="s">
        <v>10</v>
      </c>
      <c r="D490" s="3" t="s">
        <v>9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/>
      <c r="P490" s="3"/>
      <c r="Q490" s="3"/>
    </row>
    <row r="491" spans="1:17" ht="15" x14ac:dyDescent="0.25">
      <c r="A491" s="3">
        <f>484</f>
        <v>484</v>
      </c>
      <c r="B491" s="3" t="s">
        <v>493</v>
      </c>
      <c r="C491" s="3" t="s">
        <v>10</v>
      </c>
      <c r="D491" s="3" t="s">
        <v>9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/>
      <c r="P491" s="3"/>
      <c r="Q491" s="3"/>
    </row>
    <row r="492" spans="1:17" ht="15" x14ac:dyDescent="0.25">
      <c r="A492" s="3">
        <f>485</f>
        <v>485</v>
      </c>
      <c r="B492" s="3" t="s">
        <v>494</v>
      </c>
      <c r="C492" s="3" t="s">
        <v>10</v>
      </c>
      <c r="D492" s="3" t="s">
        <v>9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/>
      <c r="P492" s="3"/>
      <c r="Q492" s="3"/>
    </row>
    <row r="493" spans="1:17" ht="15" x14ac:dyDescent="0.25">
      <c r="A493" s="3">
        <f>486</f>
        <v>486</v>
      </c>
      <c r="B493" s="3" t="s">
        <v>495</v>
      </c>
      <c r="C493" s="3" t="s">
        <v>10</v>
      </c>
      <c r="D493" s="3" t="s">
        <v>9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/>
      <c r="P493" s="3"/>
      <c r="Q493" s="3"/>
    </row>
    <row r="494" spans="1:17" ht="15" x14ac:dyDescent="0.25">
      <c r="A494" s="3">
        <f>487</f>
        <v>487</v>
      </c>
      <c r="B494" s="3" t="s">
        <v>496</v>
      </c>
      <c r="C494" s="3" t="s">
        <v>10</v>
      </c>
      <c r="D494" s="3" t="s">
        <v>9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/>
      <c r="P494" s="3"/>
      <c r="Q494" s="3"/>
    </row>
    <row r="495" spans="1:17" ht="15" x14ac:dyDescent="0.25">
      <c r="A495" s="3">
        <f>488</f>
        <v>488</v>
      </c>
      <c r="B495" s="3" t="s">
        <v>497</v>
      </c>
      <c r="C495" s="3" t="s">
        <v>10</v>
      </c>
      <c r="D495" s="3" t="s">
        <v>9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/>
      <c r="P495" s="3"/>
      <c r="Q495" s="3"/>
    </row>
    <row r="496" spans="1:17" ht="15" x14ac:dyDescent="0.25">
      <c r="A496" s="3">
        <f>489</f>
        <v>489</v>
      </c>
      <c r="B496" s="3" t="s">
        <v>498</v>
      </c>
      <c r="C496" s="3" t="s">
        <v>10</v>
      </c>
      <c r="D496" s="3" t="s">
        <v>9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/>
      <c r="P496" s="3"/>
      <c r="Q496" s="3"/>
    </row>
    <row r="497" spans="1:17" ht="15" x14ac:dyDescent="0.25">
      <c r="A497" s="3">
        <f>490</f>
        <v>490</v>
      </c>
      <c r="B497" s="3" t="s">
        <v>499</v>
      </c>
      <c r="C497" s="3" t="s">
        <v>10</v>
      </c>
      <c r="D497" s="3" t="s">
        <v>9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/>
      <c r="P497" s="3"/>
      <c r="Q497" s="3"/>
    </row>
    <row r="498" spans="1:17" ht="15" x14ac:dyDescent="0.25">
      <c r="A498" s="3">
        <f>491</f>
        <v>491</v>
      </c>
      <c r="B498" s="3" t="s">
        <v>500</v>
      </c>
      <c r="C498" s="3" t="s">
        <v>10</v>
      </c>
      <c r="D498" s="3" t="s">
        <v>9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/>
      <c r="P498" s="3"/>
      <c r="Q498" s="3"/>
    </row>
    <row r="499" spans="1:17" ht="15" x14ac:dyDescent="0.25">
      <c r="A499" s="3">
        <f>492</f>
        <v>492</v>
      </c>
      <c r="B499" s="3" t="s">
        <v>501</v>
      </c>
      <c r="C499" s="3" t="s">
        <v>10</v>
      </c>
      <c r="D499" s="3" t="s">
        <v>9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/>
      <c r="P499" s="3"/>
      <c r="Q499" s="3"/>
    </row>
    <row r="500" spans="1:17" ht="15" x14ac:dyDescent="0.25">
      <c r="A500" s="3">
        <f>493</f>
        <v>493</v>
      </c>
      <c r="B500" s="3" t="s">
        <v>502</v>
      </c>
      <c r="C500" s="3" t="s">
        <v>10</v>
      </c>
      <c r="D500" s="3" t="s">
        <v>9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/>
      <c r="P500" s="3"/>
      <c r="Q500" s="3"/>
    </row>
    <row r="501" spans="1:17" ht="15" x14ac:dyDescent="0.25">
      <c r="A501" s="3">
        <f>494</f>
        <v>494</v>
      </c>
      <c r="B501" s="3" t="s">
        <v>503</v>
      </c>
      <c r="C501" s="3" t="s">
        <v>10</v>
      </c>
      <c r="D501" s="3" t="s">
        <v>9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/>
      <c r="P501" s="3"/>
      <c r="Q501" s="3"/>
    </row>
    <row r="502" spans="1:17" ht="15" x14ac:dyDescent="0.25">
      <c r="A502" s="3">
        <f>495</f>
        <v>495</v>
      </c>
      <c r="B502" s="3" t="s">
        <v>504</v>
      </c>
      <c r="C502" s="3" t="s">
        <v>10</v>
      </c>
      <c r="D502" s="3" t="s">
        <v>9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/>
      <c r="P502" s="3"/>
      <c r="Q502" s="3"/>
    </row>
    <row r="503" spans="1:17" ht="15" x14ac:dyDescent="0.25">
      <c r="A503" s="3">
        <f>496</f>
        <v>496</v>
      </c>
      <c r="B503" s="3" t="s">
        <v>505</v>
      </c>
      <c r="C503" s="3" t="s">
        <v>10</v>
      </c>
      <c r="D503" s="3" t="s">
        <v>9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/>
      <c r="P503" s="3"/>
      <c r="Q503" s="3"/>
    </row>
    <row r="504" spans="1:17" ht="15" x14ac:dyDescent="0.25">
      <c r="A504" s="3">
        <f>497</f>
        <v>497</v>
      </c>
      <c r="B504" s="3" t="s">
        <v>506</v>
      </c>
      <c r="C504" s="3" t="s">
        <v>10</v>
      </c>
      <c r="D504" s="3" t="s">
        <v>9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/>
      <c r="P504" s="3"/>
      <c r="Q504" s="3"/>
    </row>
    <row r="505" spans="1:17" ht="15" x14ac:dyDescent="0.25">
      <c r="A505" s="3">
        <f>498</f>
        <v>498</v>
      </c>
      <c r="B505" s="3" t="s">
        <v>507</v>
      </c>
      <c r="C505" s="3" t="s">
        <v>10</v>
      </c>
      <c r="D505" s="3" t="s">
        <v>9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/>
      <c r="P505" s="3"/>
      <c r="Q505" s="3"/>
    </row>
    <row r="506" spans="1:17" ht="15" x14ac:dyDescent="0.25">
      <c r="A506" s="3">
        <f>499</f>
        <v>499</v>
      </c>
      <c r="B506" s="3" t="s">
        <v>508</v>
      </c>
      <c r="C506" s="3" t="s">
        <v>10</v>
      </c>
      <c r="D506" s="3" t="s">
        <v>9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/>
      <c r="P506" s="3"/>
      <c r="Q506" s="3"/>
    </row>
    <row r="507" spans="1:17" ht="15" x14ac:dyDescent="0.25">
      <c r="A507" s="3">
        <f>500</f>
        <v>500</v>
      </c>
      <c r="B507" s="3" t="s">
        <v>509</v>
      </c>
      <c r="C507" s="3" t="s">
        <v>10</v>
      </c>
      <c r="D507" s="3" t="s">
        <v>9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/>
      <c r="P507" s="3"/>
      <c r="Q507" s="3"/>
    </row>
    <row r="508" spans="1:17" ht="15" x14ac:dyDescent="0.25">
      <c r="A508" s="3">
        <f>501</f>
        <v>501</v>
      </c>
      <c r="B508" s="3" t="s">
        <v>510</v>
      </c>
      <c r="C508" s="3" t="s">
        <v>10</v>
      </c>
      <c r="D508" s="3" t="s">
        <v>9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/>
      <c r="P508" s="3"/>
      <c r="Q508" s="3"/>
    </row>
    <row r="509" spans="1:17" ht="15" x14ac:dyDescent="0.25">
      <c r="A509" s="3">
        <f>502</f>
        <v>502</v>
      </c>
      <c r="B509" s="3" t="s">
        <v>511</v>
      </c>
      <c r="C509" s="3" t="s">
        <v>10</v>
      </c>
      <c r="D509" s="3" t="s">
        <v>9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/>
      <c r="P509" s="3"/>
      <c r="Q509" s="3"/>
    </row>
    <row r="510" spans="1:17" ht="15" x14ac:dyDescent="0.25">
      <c r="A510" s="3">
        <f>503</f>
        <v>503</v>
      </c>
      <c r="B510" s="3" t="s">
        <v>512</v>
      </c>
      <c r="C510" s="3" t="s">
        <v>10</v>
      </c>
      <c r="D510" s="3" t="s">
        <v>9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/>
      <c r="P510" s="3"/>
      <c r="Q510" s="3"/>
    </row>
    <row r="511" spans="1:17" ht="15" x14ac:dyDescent="0.25">
      <c r="A511" s="3">
        <f>504</f>
        <v>504</v>
      </c>
      <c r="B511" s="3" t="s">
        <v>513</v>
      </c>
      <c r="C511" s="3" t="s">
        <v>10</v>
      </c>
      <c r="D511" s="3" t="s">
        <v>9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/>
      <c r="P511" s="3"/>
      <c r="Q511" s="3"/>
    </row>
    <row r="512" spans="1:17" ht="15" x14ac:dyDescent="0.25">
      <c r="A512" s="3">
        <f>505</f>
        <v>505</v>
      </c>
      <c r="B512" s="3" t="s">
        <v>514</v>
      </c>
      <c r="C512" s="3" t="s">
        <v>10</v>
      </c>
      <c r="D512" s="3" t="s">
        <v>9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/>
      <c r="P512" s="3"/>
      <c r="Q512" s="3"/>
    </row>
    <row r="513" spans="1:17" ht="15" x14ac:dyDescent="0.25">
      <c r="A513" s="3">
        <f>506</f>
        <v>506</v>
      </c>
      <c r="B513" s="3" t="s">
        <v>515</v>
      </c>
      <c r="C513" s="3" t="s">
        <v>10</v>
      </c>
      <c r="D513" s="3" t="s">
        <v>9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/>
      <c r="P513" s="3"/>
      <c r="Q513" s="3"/>
    </row>
    <row r="514" spans="1:17" ht="15" x14ac:dyDescent="0.25">
      <c r="A514" s="3">
        <f>507</f>
        <v>507</v>
      </c>
      <c r="B514" s="3" t="s">
        <v>516</v>
      </c>
      <c r="C514" s="3" t="s">
        <v>10</v>
      </c>
      <c r="D514" s="3" t="s">
        <v>9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/>
      <c r="P514" s="3"/>
      <c r="Q514" s="3"/>
    </row>
    <row r="515" spans="1:17" ht="15" x14ac:dyDescent="0.25">
      <c r="A515" s="3">
        <f>508</f>
        <v>508</v>
      </c>
      <c r="B515" s="3" t="s">
        <v>517</v>
      </c>
      <c r="C515" s="3" t="s">
        <v>10</v>
      </c>
      <c r="D515" s="3" t="s">
        <v>9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/>
      <c r="P515" s="3"/>
      <c r="Q515" s="3"/>
    </row>
    <row r="516" spans="1:17" ht="15" x14ac:dyDescent="0.25">
      <c r="A516" s="3">
        <f>509</f>
        <v>509</v>
      </c>
      <c r="B516" s="3" t="s">
        <v>518</v>
      </c>
      <c r="C516" s="3" t="s">
        <v>10</v>
      </c>
      <c r="D516" s="3" t="s">
        <v>9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/>
      <c r="P516" s="3"/>
      <c r="Q516" s="3"/>
    </row>
    <row r="517" spans="1:17" ht="15" x14ac:dyDescent="0.25">
      <c r="A517" s="3">
        <f>510</f>
        <v>510</v>
      </c>
      <c r="B517" s="3" t="s">
        <v>519</v>
      </c>
      <c r="C517" s="3" t="s">
        <v>10</v>
      </c>
      <c r="D517" s="3" t="s">
        <v>9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/>
      <c r="P517" s="3"/>
      <c r="Q517" s="3"/>
    </row>
    <row r="518" spans="1:17" ht="15" x14ac:dyDescent="0.25">
      <c r="A518" s="3">
        <f>511</f>
        <v>511</v>
      </c>
      <c r="B518" s="3" t="s">
        <v>520</v>
      </c>
      <c r="C518" s="3" t="s">
        <v>10</v>
      </c>
      <c r="D518" s="3" t="s">
        <v>9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/>
      <c r="P518" s="3"/>
      <c r="Q518" s="3"/>
    </row>
    <row r="519" spans="1:17" ht="15" x14ac:dyDescent="0.25">
      <c r="A519" s="3">
        <f>512</f>
        <v>512</v>
      </c>
      <c r="B519" s="3" t="s">
        <v>521</v>
      </c>
      <c r="C519" s="3" t="s">
        <v>10</v>
      </c>
      <c r="D519" s="3" t="s">
        <v>9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/>
      <c r="P519" s="3"/>
      <c r="Q519" s="3"/>
    </row>
    <row r="520" spans="1:17" ht="15" x14ac:dyDescent="0.25">
      <c r="A520" s="3">
        <f>513</f>
        <v>513</v>
      </c>
      <c r="B520" s="3" t="s">
        <v>522</v>
      </c>
      <c r="C520" s="3" t="s">
        <v>10</v>
      </c>
      <c r="D520" s="3" t="s">
        <v>9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/>
      <c r="P520" s="3"/>
      <c r="Q520" s="3"/>
    </row>
    <row r="521" spans="1:17" ht="15" x14ac:dyDescent="0.25">
      <c r="A521" s="3">
        <f>514</f>
        <v>514</v>
      </c>
      <c r="B521" s="3" t="s">
        <v>523</v>
      </c>
      <c r="C521" s="3" t="s">
        <v>10</v>
      </c>
      <c r="D521" s="3" t="s">
        <v>9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/>
      <c r="P521" s="3"/>
      <c r="Q521" s="3"/>
    </row>
    <row r="522" spans="1:17" ht="15" x14ac:dyDescent="0.25">
      <c r="A522" s="3">
        <f>515</f>
        <v>515</v>
      </c>
      <c r="B522" s="3" t="s">
        <v>524</v>
      </c>
      <c r="C522" s="3" t="s">
        <v>10</v>
      </c>
      <c r="D522" s="3" t="s">
        <v>9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/>
      <c r="P522" s="3"/>
      <c r="Q522" s="3"/>
    </row>
    <row r="523" spans="1:17" ht="15" x14ac:dyDescent="0.25">
      <c r="A523" s="3">
        <f>516</f>
        <v>516</v>
      </c>
      <c r="B523" s="3" t="s">
        <v>525</v>
      </c>
      <c r="C523" s="3" t="s">
        <v>10</v>
      </c>
      <c r="D523" s="3" t="s">
        <v>9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/>
      <c r="P523" s="3"/>
      <c r="Q523" s="3"/>
    </row>
    <row r="524" spans="1:17" ht="15" x14ac:dyDescent="0.25">
      <c r="A524" s="3">
        <f>517</f>
        <v>517</v>
      </c>
      <c r="B524" s="3" t="s">
        <v>526</v>
      </c>
      <c r="C524" s="3" t="s">
        <v>10</v>
      </c>
      <c r="D524" s="3" t="s">
        <v>9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/>
      <c r="P524" s="3"/>
      <c r="Q524" s="3"/>
    </row>
    <row r="525" spans="1:17" ht="15" x14ac:dyDescent="0.25">
      <c r="A525" s="3">
        <f>518</f>
        <v>518</v>
      </c>
      <c r="B525" s="3" t="s">
        <v>527</v>
      </c>
      <c r="C525" s="3" t="s">
        <v>10</v>
      </c>
      <c r="D525" s="3" t="s">
        <v>9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/>
      <c r="P525" s="3"/>
      <c r="Q525" s="3"/>
    </row>
    <row r="526" spans="1:17" ht="15" x14ac:dyDescent="0.25">
      <c r="A526" s="3">
        <f>519</f>
        <v>519</v>
      </c>
      <c r="B526" s="3" t="s">
        <v>528</v>
      </c>
      <c r="C526" s="3" t="s">
        <v>10</v>
      </c>
      <c r="D526" s="3" t="s">
        <v>9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/>
      <c r="P526" s="3"/>
      <c r="Q526" s="3"/>
    </row>
    <row r="527" spans="1:17" ht="15" x14ac:dyDescent="0.25">
      <c r="A527" s="3">
        <f>520</f>
        <v>520</v>
      </c>
      <c r="B527" s="3" t="s">
        <v>529</v>
      </c>
      <c r="C527" s="3" t="s">
        <v>10</v>
      </c>
      <c r="D527" s="3" t="s">
        <v>9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/>
      <c r="P527" s="3"/>
      <c r="Q527" s="3"/>
    </row>
    <row r="528" spans="1:17" ht="15" x14ac:dyDescent="0.25">
      <c r="A528" s="3">
        <f>521</f>
        <v>521</v>
      </c>
      <c r="B528" s="3" t="s">
        <v>530</v>
      </c>
      <c r="C528" s="3" t="s">
        <v>10</v>
      </c>
      <c r="D528" s="3" t="s">
        <v>9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/>
      <c r="P528" s="3"/>
      <c r="Q528" s="3"/>
    </row>
    <row r="529" spans="1:17" ht="15" x14ac:dyDescent="0.25">
      <c r="A529" s="3">
        <f>522</f>
        <v>522</v>
      </c>
      <c r="B529" s="3" t="s">
        <v>531</v>
      </c>
      <c r="C529" s="3" t="s">
        <v>10</v>
      </c>
      <c r="D529" s="3" t="s">
        <v>9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/>
      <c r="P529" s="3"/>
      <c r="Q529" s="3"/>
    </row>
    <row r="530" spans="1:17" ht="15" x14ac:dyDescent="0.25">
      <c r="A530" s="3">
        <f>523</f>
        <v>523</v>
      </c>
      <c r="B530" s="3" t="s">
        <v>532</v>
      </c>
      <c r="C530" s="3" t="s">
        <v>10</v>
      </c>
      <c r="D530" s="3" t="s">
        <v>9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/>
      <c r="P530" s="3"/>
      <c r="Q530" s="3"/>
    </row>
    <row r="531" spans="1:17" ht="15" x14ac:dyDescent="0.25">
      <c r="A531" s="3">
        <f>524</f>
        <v>524</v>
      </c>
      <c r="B531" s="3" t="s">
        <v>533</v>
      </c>
      <c r="C531" s="3" t="s">
        <v>10</v>
      </c>
      <c r="D531" s="3" t="s">
        <v>9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/>
      <c r="P531" s="3"/>
      <c r="Q531" s="3"/>
    </row>
    <row r="532" spans="1:17" ht="15" x14ac:dyDescent="0.25">
      <c r="A532" s="3">
        <f>525</f>
        <v>525</v>
      </c>
      <c r="B532" s="3" t="s">
        <v>534</v>
      </c>
      <c r="C532" s="3" t="s">
        <v>10</v>
      </c>
      <c r="D532" s="3" t="s">
        <v>9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/>
      <c r="P532" s="3"/>
      <c r="Q532" s="3"/>
    </row>
    <row r="533" spans="1:17" ht="15" x14ac:dyDescent="0.25">
      <c r="A533" s="3">
        <f>526</f>
        <v>526</v>
      </c>
      <c r="B533" s="3" t="s">
        <v>535</v>
      </c>
      <c r="C533" s="3" t="s">
        <v>10</v>
      </c>
      <c r="D533" s="3" t="s">
        <v>9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/>
      <c r="P533" s="3"/>
      <c r="Q533" s="3"/>
    </row>
    <row r="534" spans="1:17" ht="15" x14ac:dyDescent="0.25">
      <c r="A534" s="3">
        <f>527</f>
        <v>527</v>
      </c>
      <c r="B534" s="3" t="s">
        <v>536</v>
      </c>
      <c r="C534" s="3" t="s">
        <v>10</v>
      </c>
      <c r="D534" s="3" t="s">
        <v>9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/>
      <c r="P534" s="3"/>
      <c r="Q534" s="3"/>
    </row>
    <row r="535" spans="1:17" ht="15" x14ac:dyDescent="0.25">
      <c r="A535" s="3">
        <f>528</f>
        <v>528</v>
      </c>
      <c r="B535" s="3" t="s">
        <v>537</v>
      </c>
      <c r="C535" s="3" t="s">
        <v>10</v>
      </c>
      <c r="D535" s="3" t="s">
        <v>9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/>
      <c r="P535" s="3"/>
      <c r="Q535" s="3"/>
    </row>
    <row r="536" spans="1:17" ht="15" x14ac:dyDescent="0.25">
      <c r="A536" s="3">
        <f>529</f>
        <v>529</v>
      </c>
      <c r="B536" s="3" t="s">
        <v>538</v>
      </c>
      <c r="C536" s="3" t="s">
        <v>10</v>
      </c>
      <c r="D536" s="3" t="s">
        <v>9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/>
      <c r="P536" s="3"/>
      <c r="Q536" s="3"/>
    </row>
    <row r="537" spans="1:17" ht="15" x14ac:dyDescent="0.25">
      <c r="A537" s="3">
        <f>530</f>
        <v>530</v>
      </c>
      <c r="B537" s="3" t="s">
        <v>539</v>
      </c>
      <c r="C537" s="3" t="s">
        <v>10</v>
      </c>
      <c r="D537" s="3" t="s">
        <v>9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/>
      <c r="P537" s="3"/>
      <c r="Q537" s="3"/>
    </row>
    <row r="538" spans="1:17" ht="15" x14ac:dyDescent="0.25">
      <c r="A538" s="3">
        <f>531</f>
        <v>531</v>
      </c>
      <c r="B538" s="3" t="s">
        <v>540</v>
      </c>
      <c r="C538" s="3" t="s">
        <v>10</v>
      </c>
      <c r="D538" s="3" t="s">
        <v>9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/>
      <c r="P538" s="3"/>
      <c r="Q538" s="3"/>
    </row>
    <row r="539" spans="1:17" ht="15" x14ac:dyDescent="0.25">
      <c r="A539" s="3">
        <f>532</f>
        <v>532</v>
      </c>
      <c r="B539" s="3" t="s">
        <v>541</v>
      </c>
      <c r="C539" s="3" t="s">
        <v>10</v>
      </c>
      <c r="D539" s="3" t="s">
        <v>9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/>
      <c r="P539" s="3"/>
      <c r="Q539" s="3"/>
    </row>
    <row r="540" spans="1:17" ht="15" x14ac:dyDescent="0.25">
      <c r="A540" s="3">
        <f>533</f>
        <v>533</v>
      </c>
      <c r="B540" s="3" t="s">
        <v>542</v>
      </c>
      <c r="C540" s="3" t="s">
        <v>10</v>
      </c>
      <c r="D540" s="3" t="s">
        <v>9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/>
      <c r="P540" s="3"/>
      <c r="Q540" s="3"/>
    </row>
    <row r="541" spans="1:17" ht="15" x14ac:dyDescent="0.25">
      <c r="A541" s="3">
        <f>534</f>
        <v>534</v>
      </c>
      <c r="B541" s="3" t="s">
        <v>543</v>
      </c>
      <c r="C541" s="3" t="s">
        <v>10</v>
      </c>
      <c r="D541" s="3" t="s">
        <v>9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/>
      <c r="P541" s="3"/>
      <c r="Q541" s="3"/>
    </row>
    <row r="542" spans="1:17" ht="15" x14ac:dyDescent="0.25">
      <c r="A542" s="3">
        <f>535</f>
        <v>535</v>
      </c>
      <c r="B542" s="3" t="s">
        <v>544</v>
      </c>
      <c r="C542" s="3" t="s">
        <v>10</v>
      </c>
      <c r="D542" s="3" t="s">
        <v>9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/>
      <c r="P542" s="3"/>
      <c r="Q542" s="3"/>
    </row>
    <row r="543" spans="1:17" ht="15" x14ac:dyDescent="0.25">
      <c r="A543" s="3">
        <f>536</f>
        <v>536</v>
      </c>
      <c r="B543" s="3" t="s">
        <v>545</v>
      </c>
      <c r="C543" s="3" t="s">
        <v>10</v>
      </c>
      <c r="D543" s="3" t="s">
        <v>9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/>
      <c r="P543" s="3"/>
      <c r="Q543" s="3"/>
    </row>
    <row r="544" spans="1:17" ht="15" x14ac:dyDescent="0.25">
      <c r="A544" s="3">
        <f>537</f>
        <v>537</v>
      </c>
      <c r="B544" s="3" t="s">
        <v>546</v>
      </c>
      <c r="C544" s="3" t="s">
        <v>10</v>
      </c>
      <c r="D544" s="3" t="s">
        <v>9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/>
      <c r="P544" s="3"/>
      <c r="Q544" s="3"/>
    </row>
    <row r="545" spans="1:17" ht="15" x14ac:dyDescent="0.25">
      <c r="A545" s="3">
        <f>538</f>
        <v>538</v>
      </c>
      <c r="B545" s="3" t="s">
        <v>547</v>
      </c>
      <c r="C545" s="3" t="s">
        <v>10</v>
      </c>
      <c r="D545" s="3" t="s">
        <v>9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/>
      <c r="P545" s="3"/>
      <c r="Q545" s="3"/>
    </row>
    <row r="546" spans="1:17" ht="15" x14ac:dyDescent="0.25">
      <c r="A546" s="3">
        <f>539</f>
        <v>539</v>
      </c>
      <c r="B546" s="3" t="s">
        <v>548</v>
      </c>
      <c r="C546" s="3" t="s">
        <v>10</v>
      </c>
      <c r="D546" s="3" t="s">
        <v>9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/>
      <c r="P546" s="3"/>
      <c r="Q546" s="3"/>
    </row>
    <row r="547" spans="1:17" ht="15" x14ac:dyDescent="0.25">
      <c r="A547" s="3">
        <f>540</f>
        <v>540</v>
      </c>
      <c r="B547" s="3" t="s">
        <v>549</v>
      </c>
      <c r="C547" s="3" t="s">
        <v>10</v>
      </c>
      <c r="D547" s="3" t="s">
        <v>9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/>
      <c r="P547" s="3"/>
      <c r="Q547" s="3"/>
    </row>
    <row r="548" spans="1:17" ht="15" x14ac:dyDescent="0.25">
      <c r="A548" s="3">
        <f>541</f>
        <v>541</v>
      </c>
      <c r="B548" s="3" t="s">
        <v>550</v>
      </c>
      <c r="C548" s="3" t="s">
        <v>10</v>
      </c>
      <c r="D548" s="3" t="s">
        <v>9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/>
      <c r="P548" s="3"/>
      <c r="Q548" s="3"/>
    </row>
    <row r="549" spans="1:17" ht="15" x14ac:dyDescent="0.25">
      <c r="A549" s="3">
        <f>542</f>
        <v>542</v>
      </c>
      <c r="B549" s="3" t="s">
        <v>551</v>
      </c>
      <c r="C549" s="3" t="s">
        <v>10</v>
      </c>
      <c r="D549" s="3" t="s">
        <v>9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/>
      <c r="P549" s="3"/>
      <c r="Q549" s="3"/>
    </row>
    <row r="550" spans="1:17" ht="15" x14ac:dyDescent="0.25">
      <c r="A550" s="3">
        <f>543</f>
        <v>543</v>
      </c>
      <c r="B550" s="3" t="s">
        <v>552</v>
      </c>
      <c r="C550" s="3" t="s">
        <v>10</v>
      </c>
      <c r="D550" s="3" t="s">
        <v>9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/>
      <c r="P550" s="3"/>
      <c r="Q550" s="3"/>
    </row>
    <row r="551" spans="1:17" ht="15" x14ac:dyDescent="0.25">
      <c r="A551" s="3">
        <f>544</f>
        <v>544</v>
      </c>
      <c r="B551" s="3" t="s">
        <v>553</v>
      </c>
      <c r="C551" s="3" t="s">
        <v>10</v>
      </c>
      <c r="D551" s="3" t="s">
        <v>9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/>
      <c r="P551" s="3"/>
      <c r="Q551" s="3"/>
    </row>
    <row r="552" spans="1:17" ht="15" x14ac:dyDescent="0.25">
      <c r="A552" s="3">
        <f>545</f>
        <v>545</v>
      </c>
      <c r="B552" s="3" t="s">
        <v>554</v>
      </c>
      <c r="C552" s="3" t="s">
        <v>10</v>
      </c>
      <c r="D552" s="3" t="s">
        <v>9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/>
      <c r="P552" s="3"/>
      <c r="Q552" s="3"/>
    </row>
    <row r="553" spans="1:17" ht="15" x14ac:dyDescent="0.25">
      <c r="A553" s="3">
        <f>546</f>
        <v>546</v>
      </c>
      <c r="B553" s="3" t="s">
        <v>555</v>
      </c>
      <c r="C553" s="3" t="s">
        <v>10</v>
      </c>
      <c r="D553" s="3" t="s">
        <v>9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/>
      <c r="P553" s="3"/>
      <c r="Q553" s="3"/>
    </row>
    <row r="554" spans="1:17" ht="15" x14ac:dyDescent="0.25">
      <c r="A554" s="3">
        <f>547</f>
        <v>547</v>
      </c>
      <c r="B554" s="3" t="s">
        <v>556</v>
      </c>
      <c r="C554" s="3" t="s">
        <v>10</v>
      </c>
      <c r="D554" s="3" t="s">
        <v>9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/>
      <c r="P554" s="3"/>
      <c r="Q554" s="3"/>
    </row>
    <row r="555" spans="1:17" ht="15" x14ac:dyDescent="0.25">
      <c r="A555" s="3">
        <f>548</f>
        <v>548</v>
      </c>
      <c r="B555" s="3" t="s">
        <v>557</v>
      </c>
      <c r="C555" s="3" t="s">
        <v>10</v>
      </c>
      <c r="D555" s="3" t="s">
        <v>9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/>
      <c r="P555" s="3"/>
      <c r="Q555" s="3"/>
    </row>
    <row r="556" spans="1:17" ht="15" x14ac:dyDescent="0.25">
      <c r="A556" s="3">
        <f>549</f>
        <v>549</v>
      </c>
      <c r="B556" s="3" t="s">
        <v>558</v>
      </c>
      <c r="C556" s="3" t="s">
        <v>10</v>
      </c>
      <c r="D556" s="3" t="s">
        <v>9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/>
      <c r="P556" s="3"/>
      <c r="Q556" s="3"/>
    </row>
    <row r="557" spans="1:17" ht="15" x14ac:dyDescent="0.25">
      <c r="A557" s="3">
        <f>550</f>
        <v>550</v>
      </c>
      <c r="B557" s="3" t="s">
        <v>559</v>
      </c>
      <c r="C557" s="3" t="s">
        <v>10</v>
      </c>
      <c r="D557" s="3" t="s">
        <v>9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/>
      <c r="P557" s="3"/>
      <c r="Q557" s="3"/>
    </row>
    <row r="558" spans="1:17" ht="15" x14ac:dyDescent="0.25">
      <c r="A558" s="3">
        <f>551</f>
        <v>551</v>
      </c>
      <c r="B558" s="3" t="s">
        <v>560</v>
      </c>
      <c r="C558" s="3" t="s">
        <v>10</v>
      </c>
      <c r="D558" s="3" t="s">
        <v>9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/>
      <c r="P558" s="3"/>
      <c r="Q558" s="3"/>
    </row>
    <row r="559" spans="1:17" ht="15" x14ac:dyDescent="0.25">
      <c r="A559" s="3">
        <f>552</f>
        <v>552</v>
      </c>
      <c r="B559" s="3" t="s">
        <v>561</v>
      </c>
      <c r="C559" s="3" t="s">
        <v>10</v>
      </c>
      <c r="D559" s="3" t="s">
        <v>9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/>
      <c r="P559" s="3"/>
      <c r="Q559" s="3"/>
    </row>
    <row r="560" spans="1:17" ht="15" x14ac:dyDescent="0.25">
      <c r="A560" s="3">
        <f>553</f>
        <v>553</v>
      </c>
      <c r="B560" s="3" t="s">
        <v>562</v>
      </c>
      <c r="C560" s="3" t="s">
        <v>10</v>
      </c>
      <c r="D560" s="3" t="s">
        <v>9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/>
      <c r="P560" s="3"/>
      <c r="Q560" s="3"/>
    </row>
    <row r="561" spans="1:17" ht="15" x14ac:dyDescent="0.25">
      <c r="A561" s="3">
        <f>554</f>
        <v>554</v>
      </c>
      <c r="B561" s="3" t="s">
        <v>563</v>
      </c>
      <c r="C561" s="3" t="s">
        <v>10</v>
      </c>
      <c r="D561" s="3" t="s">
        <v>9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/>
      <c r="P561" s="3"/>
      <c r="Q561" s="3"/>
    </row>
    <row r="562" spans="1:17" ht="15" x14ac:dyDescent="0.25">
      <c r="A562" s="3">
        <f>555</f>
        <v>555</v>
      </c>
      <c r="B562" s="3" t="s">
        <v>564</v>
      </c>
      <c r="C562" s="3" t="s">
        <v>10</v>
      </c>
      <c r="D562" s="3" t="s">
        <v>9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/>
      <c r="P562" s="3"/>
      <c r="Q562" s="3"/>
    </row>
    <row r="563" spans="1:17" ht="15" x14ac:dyDescent="0.25">
      <c r="A563" s="3">
        <f>556</f>
        <v>556</v>
      </c>
      <c r="B563" s="3" t="s">
        <v>565</v>
      </c>
      <c r="C563" s="3" t="s">
        <v>10</v>
      </c>
      <c r="D563" s="3" t="s">
        <v>9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/>
      <c r="P563" s="3"/>
      <c r="Q563" s="3"/>
    </row>
    <row r="564" spans="1:17" ht="15" x14ac:dyDescent="0.25">
      <c r="A564" s="3">
        <f>557</f>
        <v>557</v>
      </c>
      <c r="B564" s="3" t="s">
        <v>566</v>
      </c>
      <c r="C564" s="3" t="s">
        <v>10</v>
      </c>
      <c r="D564" s="3" t="s">
        <v>9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/>
      <c r="P564" s="3"/>
      <c r="Q564" s="3"/>
    </row>
    <row r="565" spans="1:17" ht="15" x14ac:dyDescent="0.25">
      <c r="A565" s="3">
        <f>558</f>
        <v>558</v>
      </c>
      <c r="B565" s="3" t="s">
        <v>567</v>
      </c>
      <c r="C565" s="3" t="s">
        <v>10</v>
      </c>
      <c r="D565" s="3" t="s">
        <v>9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/>
      <c r="P565" s="3"/>
      <c r="Q565" s="3"/>
    </row>
    <row r="566" spans="1:17" ht="15" x14ac:dyDescent="0.25">
      <c r="A566" s="3">
        <f>559</f>
        <v>559</v>
      </c>
      <c r="B566" s="3" t="s">
        <v>568</v>
      </c>
      <c r="C566" s="3" t="s">
        <v>10</v>
      </c>
      <c r="D566" s="3" t="s">
        <v>9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/>
      <c r="P566" s="3"/>
      <c r="Q566" s="3"/>
    </row>
    <row r="567" spans="1:17" ht="15" x14ac:dyDescent="0.25">
      <c r="A567" s="3">
        <f>560</f>
        <v>560</v>
      </c>
      <c r="B567" s="3" t="s">
        <v>569</v>
      </c>
      <c r="C567" s="3" t="s">
        <v>10</v>
      </c>
      <c r="D567" s="3" t="s">
        <v>9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/>
      <c r="P567" s="3"/>
      <c r="Q567" s="3"/>
    </row>
    <row r="568" spans="1:17" ht="15" x14ac:dyDescent="0.25">
      <c r="A568" s="3">
        <f>561</f>
        <v>561</v>
      </c>
      <c r="B568" s="3" t="s">
        <v>570</v>
      </c>
      <c r="C568" s="3" t="s">
        <v>10</v>
      </c>
      <c r="D568" s="3" t="s">
        <v>9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/>
      <c r="P568" s="3"/>
      <c r="Q568" s="3"/>
    </row>
    <row r="569" spans="1:17" ht="15" x14ac:dyDescent="0.25">
      <c r="A569" s="3">
        <f>562</f>
        <v>562</v>
      </c>
      <c r="B569" s="3" t="s">
        <v>571</v>
      </c>
      <c r="C569" s="3" t="s">
        <v>10</v>
      </c>
      <c r="D569" s="3" t="s">
        <v>9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/>
      <c r="P569" s="3"/>
      <c r="Q569" s="3"/>
    </row>
    <row r="570" spans="1:17" ht="15" x14ac:dyDescent="0.25">
      <c r="A570" s="3">
        <f>563</f>
        <v>563</v>
      </c>
      <c r="B570" s="3" t="s">
        <v>572</v>
      </c>
      <c r="C570" s="3" t="s">
        <v>10</v>
      </c>
      <c r="D570" s="3" t="s">
        <v>9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/>
      <c r="P570" s="3"/>
      <c r="Q570" s="3"/>
    </row>
    <row r="571" spans="1:17" ht="15" x14ac:dyDescent="0.25">
      <c r="A571" s="3">
        <f>564</f>
        <v>564</v>
      </c>
      <c r="B571" s="3" t="s">
        <v>573</v>
      </c>
      <c r="C571" s="3" t="s">
        <v>10</v>
      </c>
      <c r="D571" s="3" t="s">
        <v>9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/>
      <c r="P571" s="3"/>
      <c r="Q571" s="3"/>
    </row>
    <row r="572" spans="1:17" ht="15" x14ac:dyDescent="0.25">
      <c r="A572" s="3">
        <f>565</f>
        <v>565</v>
      </c>
      <c r="B572" s="3" t="s">
        <v>574</v>
      </c>
      <c r="C572" s="3" t="s">
        <v>10</v>
      </c>
      <c r="D572" s="3" t="s">
        <v>9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/>
      <c r="P572" s="3"/>
      <c r="Q572" s="3"/>
    </row>
    <row r="573" spans="1:17" ht="15" x14ac:dyDescent="0.25">
      <c r="A573" s="3">
        <f>566</f>
        <v>566</v>
      </c>
      <c r="B573" s="3" t="s">
        <v>575</v>
      </c>
      <c r="C573" s="3" t="s">
        <v>10</v>
      </c>
      <c r="D573" s="3" t="s">
        <v>9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/>
      <c r="P573" s="3"/>
      <c r="Q573" s="3"/>
    </row>
    <row r="574" spans="1:17" ht="15" x14ac:dyDescent="0.25">
      <c r="A574" s="3">
        <f>567</f>
        <v>567</v>
      </c>
      <c r="B574" s="3" t="s">
        <v>576</v>
      </c>
      <c r="C574" s="3" t="s">
        <v>10</v>
      </c>
      <c r="D574" s="3" t="s">
        <v>9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/>
      <c r="P574" s="3"/>
      <c r="Q574" s="3"/>
    </row>
    <row r="575" spans="1:17" ht="15" x14ac:dyDescent="0.25">
      <c r="A575" s="3">
        <f>568</f>
        <v>568</v>
      </c>
      <c r="B575" s="3" t="s">
        <v>577</v>
      </c>
      <c r="C575" s="3" t="s">
        <v>10</v>
      </c>
      <c r="D575" s="3" t="s">
        <v>9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/>
      <c r="P575" s="3"/>
      <c r="Q575" s="3"/>
    </row>
    <row r="576" spans="1:17" ht="15" x14ac:dyDescent="0.25">
      <c r="A576" s="3">
        <f>569</f>
        <v>569</v>
      </c>
      <c r="B576" s="3" t="s">
        <v>578</v>
      </c>
      <c r="C576" s="3" t="s">
        <v>10</v>
      </c>
      <c r="D576" s="3" t="s">
        <v>9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/>
      <c r="P576" s="3"/>
      <c r="Q576" s="3"/>
    </row>
    <row r="577" spans="1:17" ht="15" x14ac:dyDescent="0.25">
      <c r="A577" s="3">
        <f>570</f>
        <v>570</v>
      </c>
      <c r="B577" s="3" t="s">
        <v>579</v>
      </c>
      <c r="C577" s="3" t="s">
        <v>10</v>
      </c>
      <c r="D577" s="3" t="s">
        <v>9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/>
      <c r="P577" s="3"/>
      <c r="Q577" s="3"/>
    </row>
    <row r="578" spans="1:17" ht="15" x14ac:dyDescent="0.25">
      <c r="A578" s="3">
        <f>571</f>
        <v>571</v>
      </c>
      <c r="B578" s="3" t="s">
        <v>580</v>
      </c>
      <c r="C578" s="3" t="s">
        <v>10</v>
      </c>
      <c r="D578" s="3" t="s">
        <v>9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/>
      <c r="P578" s="3"/>
      <c r="Q578" s="3"/>
    </row>
    <row r="579" spans="1:17" ht="15" x14ac:dyDescent="0.25">
      <c r="A579" s="3">
        <f>572</f>
        <v>572</v>
      </c>
      <c r="B579" s="3" t="s">
        <v>581</v>
      </c>
      <c r="C579" s="3" t="s">
        <v>10</v>
      </c>
      <c r="D579" s="3" t="s">
        <v>9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/>
      <c r="P579" s="3"/>
      <c r="Q579" s="3"/>
    </row>
    <row r="580" spans="1:17" ht="15" x14ac:dyDescent="0.25">
      <c r="A580" s="3">
        <f>573</f>
        <v>573</v>
      </c>
      <c r="B580" s="3" t="s">
        <v>582</v>
      </c>
      <c r="C580" s="3" t="s">
        <v>10</v>
      </c>
      <c r="D580" s="3" t="s">
        <v>9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/>
      <c r="P580" s="3"/>
      <c r="Q580" s="3"/>
    </row>
    <row r="581" spans="1:17" ht="15" x14ac:dyDescent="0.25">
      <c r="A581" s="3">
        <f>574</f>
        <v>574</v>
      </c>
      <c r="B581" s="3" t="s">
        <v>583</v>
      </c>
      <c r="C581" s="3" t="s">
        <v>10</v>
      </c>
      <c r="D581" s="3" t="s">
        <v>9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/>
      <c r="P581" s="3"/>
      <c r="Q581" s="3"/>
    </row>
    <row r="582" spans="1:17" ht="15" x14ac:dyDescent="0.25">
      <c r="A582" s="3">
        <f>575</f>
        <v>575</v>
      </c>
      <c r="B582" s="3" t="s">
        <v>584</v>
      </c>
      <c r="C582" s="3" t="s">
        <v>10</v>
      </c>
      <c r="D582" s="3" t="s">
        <v>9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/>
      <c r="P582" s="3"/>
      <c r="Q582" s="3"/>
    </row>
    <row r="583" spans="1:17" ht="15" x14ac:dyDescent="0.25">
      <c r="A583" s="3">
        <f>576</f>
        <v>576</v>
      </c>
      <c r="B583" s="3" t="s">
        <v>585</v>
      </c>
      <c r="C583" s="3" t="s">
        <v>10</v>
      </c>
      <c r="D583" s="3" t="s">
        <v>9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/>
      <c r="P583" s="3"/>
      <c r="Q583" s="3"/>
    </row>
    <row r="584" spans="1:17" ht="15" x14ac:dyDescent="0.25">
      <c r="A584" s="3">
        <f>577</f>
        <v>577</v>
      </c>
      <c r="B584" s="3" t="s">
        <v>586</v>
      </c>
      <c r="C584" s="3" t="s">
        <v>10</v>
      </c>
      <c r="D584" s="3" t="s">
        <v>9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/>
      <c r="P584" s="3"/>
      <c r="Q584" s="3"/>
    </row>
    <row r="585" spans="1:17" ht="15" x14ac:dyDescent="0.25">
      <c r="A585" s="3">
        <f>578</f>
        <v>578</v>
      </c>
      <c r="B585" s="3" t="s">
        <v>587</v>
      </c>
      <c r="C585" s="3" t="s">
        <v>10</v>
      </c>
      <c r="D585" s="3" t="s">
        <v>9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/>
      <c r="P585" s="3"/>
      <c r="Q585" s="3"/>
    </row>
    <row r="586" spans="1:17" ht="15" x14ac:dyDescent="0.25">
      <c r="A586" s="3">
        <f>579</f>
        <v>579</v>
      </c>
      <c r="B586" s="3" t="s">
        <v>588</v>
      </c>
      <c r="C586" s="3" t="s">
        <v>10</v>
      </c>
      <c r="D586" s="3" t="s">
        <v>9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/>
      <c r="P586" s="3"/>
      <c r="Q586" s="3"/>
    </row>
    <row r="587" spans="1:17" ht="15" x14ac:dyDescent="0.25">
      <c r="A587" s="3">
        <f>580</f>
        <v>580</v>
      </c>
      <c r="B587" s="3" t="s">
        <v>589</v>
      </c>
      <c r="C587" s="3" t="s">
        <v>10</v>
      </c>
      <c r="D587" s="3" t="s">
        <v>9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/>
      <c r="P587" s="3"/>
      <c r="Q587" s="3"/>
    </row>
    <row r="588" spans="1:17" ht="15" x14ac:dyDescent="0.25">
      <c r="A588" s="3">
        <f>581</f>
        <v>581</v>
      </c>
      <c r="B588" s="3" t="s">
        <v>590</v>
      </c>
      <c r="C588" s="3" t="s">
        <v>10</v>
      </c>
      <c r="D588" s="3" t="s">
        <v>9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/>
      <c r="P588" s="3"/>
      <c r="Q588" s="3"/>
    </row>
    <row r="589" spans="1:17" ht="15" x14ac:dyDescent="0.25">
      <c r="A589" s="3">
        <f>582</f>
        <v>582</v>
      </c>
      <c r="B589" s="3" t="s">
        <v>591</v>
      </c>
      <c r="C589" s="3" t="s">
        <v>10</v>
      </c>
      <c r="D589" s="3" t="s">
        <v>9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/>
      <c r="P589" s="3"/>
      <c r="Q589" s="3"/>
    </row>
    <row r="590" spans="1:17" ht="15" x14ac:dyDescent="0.25">
      <c r="A590" s="3">
        <f>583</f>
        <v>583</v>
      </c>
      <c r="B590" s="3" t="s">
        <v>592</v>
      </c>
      <c r="C590" s="3" t="s">
        <v>10</v>
      </c>
      <c r="D590" s="3" t="s">
        <v>9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/>
      <c r="P590" s="3"/>
      <c r="Q590" s="3"/>
    </row>
    <row r="591" spans="1:17" ht="15" x14ac:dyDescent="0.25">
      <c r="A591" s="3">
        <f>584</f>
        <v>584</v>
      </c>
      <c r="B591" s="3" t="s">
        <v>593</v>
      </c>
      <c r="C591" s="3" t="s">
        <v>10</v>
      </c>
      <c r="D591" s="3" t="s">
        <v>9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/>
      <c r="P591" s="3"/>
      <c r="Q591" s="3"/>
    </row>
    <row r="592" spans="1:17" ht="15" x14ac:dyDescent="0.25">
      <c r="A592" s="3">
        <f>585</f>
        <v>585</v>
      </c>
      <c r="B592" s="3" t="s">
        <v>594</v>
      </c>
      <c r="C592" s="3" t="s">
        <v>10</v>
      </c>
      <c r="D592" s="3" t="s">
        <v>9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/>
      <c r="P592" s="3"/>
      <c r="Q592" s="3"/>
    </row>
    <row r="593" spans="1:17" ht="15" x14ac:dyDescent="0.25">
      <c r="A593" s="3">
        <f>586</f>
        <v>586</v>
      </c>
      <c r="B593" s="3" t="s">
        <v>595</v>
      </c>
      <c r="C593" s="3" t="s">
        <v>10</v>
      </c>
      <c r="D593" s="3" t="s">
        <v>9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/>
      <c r="P593" s="3"/>
      <c r="Q593" s="3"/>
    </row>
    <row r="594" spans="1:17" ht="15" x14ac:dyDescent="0.25">
      <c r="A594" s="3">
        <f>587</f>
        <v>587</v>
      </c>
      <c r="B594" s="3" t="s">
        <v>596</v>
      </c>
      <c r="C594" s="3" t="s">
        <v>10</v>
      </c>
      <c r="D594" s="3" t="s">
        <v>9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/>
      <c r="P594" s="3"/>
      <c r="Q594" s="3"/>
    </row>
    <row r="595" spans="1:17" ht="15" x14ac:dyDescent="0.25">
      <c r="A595" s="3">
        <f>588</f>
        <v>588</v>
      </c>
      <c r="B595" s="3" t="s">
        <v>597</v>
      </c>
      <c r="C595" s="3" t="s">
        <v>10</v>
      </c>
      <c r="D595" s="3" t="s">
        <v>9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/>
      <c r="P595" s="3"/>
      <c r="Q595" s="3"/>
    </row>
    <row r="596" spans="1:17" ht="15" x14ac:dyDescent="0.25">
      <c r="A596" s="3">
        <f>589</f>
        <v>589</v>
      </c>
      <c r="B596" s="3" t="s">
        <v>598</v>
      </c>
      <c r="C596" s="3" t="s">
        <v>10</v>
      </c>
      <c r="D596" s="3" t="s">
        <v>9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/>
      <c r="P596" s="3"/>
      <c r="Q596" s="3"/>
    </row>
    <row r="597" spans="1:17" ht="15" x14ac:dyDescent="0.25">
      <c r="A597" s="3">
        <f>590</f>
        <v>590</v>
      </c>
      <c r="B597" s="3" t="s">
        <v>599</v>
      </c>
      <c r="C597" s="3" t="s">
        <v>10</v>
      </c>
      <c r="D597" s="3" t="s">
        <v>9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/>
      <c r="P597" s="3"/>
      <c r="Q597" s="3"/>
    </row>
    <row r="598" spans="1:17" ht="15" x14ac:dyDescent="0.25">
      <c r="A598" s="3">
        <f>591</f>
        <v>591</v>
      </c>
      <c r="B598" s="3" t="s">
        <v>600</v>
      </c>
      <c r="C598" s="3" t="s">
        <v>10</v>
      </c>
      <c r="D598" s="3" t="s">
        <v>9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/>
      <c r="P598" s="3"/>
      <c r="Q598" s="3"/>
    </row>
    <row r="599" spans="1:17" ht="15" x14ac:dyDescent="0.25">
      <c r="A599" s="3">
        <f>592</f>
        <v>592</v>
      </c>
      <c r="B599" s="3" t="s">
        <v>601</v>
      </c>
      <c r="C599" s="3" t="s">
        <v>10</v>
      </c>
      <c r="D599" s="3" t="s">
        <v>9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/>
      <c r="P599" s="3"/>
      <c r="Q599" s="3"/>
    </row>
    <row r="600" spans="1:17" ht="15" x14ac:dyDescent="0.25">
      <c r="A600" s="3">
        <f>593</f>
        <v>593</v>
      </c>
      <c r="B600" s="3" t="s">
        <v>602</v>
      </c>
      <c r="C600" s="3" t="s">
        <v>10</v>
      </c>
      <c r="D600" s="3" t="s">
        <v>9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/>
      <c r="P600" s="3"/>
      <c r="Q600" s="3"/>
    </row>
    <row r="601" spans="1:17" ht="15" x14ac:dyDescent="0.25">
      <c r="A601" s="3">
        <f>594</f>
        <v>594</v>
      </c>
      <c r="B601" s="3" t="s">
        <v>603</v>
      </c>
      <c r="C601" s="3" t="s">
        <v>10</v>
      </c>
      <c r="D601" s="3" t="s">
        <v>9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/>
      <c r="P601" s="3"/>
      <c r="Q601" s="3"/>
    </row>
    <row r="602" spans="1:17" ht="15" x14ac:dyDescent="0.25">
      <c r="A602" s="3">
        <f>595</f>
        <v>595</v>
      </c>
      <c r="B602" s="3" t="s">
        <v>604</v>
      </c>
      <c r="C602" s="3" t="s">
        <v>10</v>
      </c>
      <c r="D602" s="3" t="s">
        <v>9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/>
      <c r="P602" s="3"/>
      <c r="Q602" s="3"/>
    </row>
    <row r="603" spans="1:17" ht="15" x14ac:dyDescent="0.25">
      <c r="A603" s="3">
        <f>596</f>
        <v>596</v>
      </c>
      <c r="B603" s="3" t="s">
        <v>605</v>
      </c>
      <c r="C603" s="3" t="s">
        <v>10</v>
      </c>
      <c r="D603" s="3" t="s">
        <v>9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/>
      <c r="P603" s="3"/>
      <c r="Q603" s="3"/>
    </row>
    <row r="604" spans="1:17" ht="15" x14ac:dyDescent="0.25">
      <c r="A604" s="3">
        <f>597</f>
        <v>597</v>
      </c>
      <c r="B604" s="3" t="s">
        <v>606</v>
      </c>
      <c r="C604" s="3" t="s">
        <v>10</v>
      </c>
      <c r="D604" s="3" t="s">
        <v>9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/>
      <c r="P604" s="3"/>
      <c r="Q604" s="3"/>
    </row>
    <row r="605" spans="1:17" ht="15" x14ac:dyDescent="0.25">
      <c r="A605" s="3">
        <f>598</f>
        <v>598</v>
      </c>
      <c r="B605" s="3" t="s">
        <v>607</v>
      </c>
      <c r="C605" s="3" t="s">
        <v>10</v>
      </c>
      <c r="D605" s="3" t="s">
        <v>9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/>
      <c r="P605" s="3"/>
      <c r="Q605" s="3"/>
    </row>
    <row r="606" spans="1:17" ht="15" x14ac:dyDescent="0.25">
      <c r="A606" s="3">
        <f>599</f>
        <v>599</v>
      </c>
      <c r="B606" s="3" t="s">
        <v>608</v>
      </c>
      <c r="C606" s="3" t="s">
        <v>10</v>
      </c>
      <c r="D606" s="3" t="s">
        <v>9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/>
      <c r="P606" s="3"/>
      <c r="Q606" s="3"/>
    </row>
    <row r="607" spans="1:17" ht="15" x14ac:dyDescent="0.25">
      <c r="A607" s="3">
        <f>600</f>
        <v>600</v>
      </c>
      <c r="B607" s="3" t="s">
        <v>609</v>
      </c>
      <c r="C607" s="3" t="s">
        <v>10</v>
      </c>
      <c r="D607" s="3" t="s">
        <v>9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/>
      <c r="P607" s="3"/>
      <c r="Q607" s="3"/>
    </row>
    <row r="608" spans="1:17" ht="15" x14ac:dyDescent="0.25">
      <c r="A608" s="3">
        <f>601</f>
        <v>601</v>
      </c>
      <c r="B608" s="3" t="s">
        <v>610</v>
      </c>
      <c r="C608" s="3" t="s">
        <v>10</v>
      </c>
      <c r="D608" s="3" t="s">
        <v>9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/>
      <c r="P608" s="3"/>
      <c r="Q608" s="3"/>
    </row>
    <row r="609" spans="1:17" ht="15" x14ac:dyDescent="0.25">
      <c r="A609" s="3">
        <f>602</f>
        <v>602</v>
      </c>
      <c r="B609" s="3" t="s">
        <v>611</v>
      </c>
      <c r="C609" s="3" t="s">
        <v>10</v>
      </c>
      <c r="D609" s="3" t="s">
        <v>9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/>
      <c r="P609" s="3"/>
      <c r="Q609" s="3"/>
    </row>
    <row r="610" spans="1:17" ht="15" x14ac:dyDescent="0.25">
      <c r="A610" s="3">
        <f>603</f>
        <v>603</v>
      </c>
      <c r="B610" s="3" t="s">
        <v>612</v>
      </c>
      <c r="C610" s="3" t="s">
        <v>10</v>
      </c>
      <c r="D610" s="3" t="s">
        <v>9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/>
      <c r="P610" s="3"/>
      <c r="Q610" s="3"/>
    </row>
    <row r="611" spans="1:17" ht="15" x14ac:dyDescent="0.25">
      <c r="A611" s="3">
        <f>604</f>
        <v>604</v>
      </c>
      <c r="B611" s="3" t="s">
        <v>613</v>
      </c>
      <c r="C611" s="3" t="s">
        <v>10</v>
      </c>
      <c r="D611" s="3" t="s">
        <v>9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/>
      <c r="P611" s="3"/>
      <c r="Q611" s="3"/>
    </row>
    <row r="612" spans="1:17" ht="15" x14ac:dyDescent="0.25">
      <c r="A612" s="3">
        <f>605</f>
        <v>605</v>
      </c>
      <c r="B612" s="3" t="s">
        <v>614</v>
      </c>
      <c r="C612" s="3" t="s">
        <v>10</v>
      </c>
      <c r="D612" s="3" t="s">
        <v>9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/>
      <c r="P612" s="3"/>
      <c r="Q612" s="3"/>
    </row>
    <row r="613" spans="1:17" ht="15" x14ac:dyDescent="0.25">
      <c r="A613" s="3">
        <f>606</f>
        <v>606</v>
      </c>
      <c r="B613" s="3" t="s">
        <v>615</v>
      </c>
      <c r="C613" s="3" t="s">
        <v>10</v>
      </c>
      <c r="D613" s="3" t="s">
        <v>9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/>
      <c r="P613" s="3"/>
      <c r="Q613" s="3"/>
    </row>
    <row r="614" spans="1:17" ht="15" x14ac:dyDescent="0.25">
      <c r="A614" s="3">
        <f>607</f>
        <v>607</v>
      </c>
      <c r="B614" s="3" t="s">
        <v>616</v>
      </c>
      <c r="C614" s="3" t="s">
        <v>10</v>
      </c>
      <c r="D614" s="3" t="s">
        <v>9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/>
      <c r="P614" s="3"/>
      <c r="Q614" s="3"/>
    </row>
    <row r="615" spans="1:17" ht="15" x14ac:dyDescent="0.25">
      <c r="A615" s="3">
        <f>608</f>
        <v>608</v>
      </c>
      <c r="B615" s="3" t="s">
        <v>617</v>
      </c>
      <c r="C615" s="3" t="s">
        <v>10</v>
      </c>
      <c r="D615" s="3" t="s">
        <v>9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/>
      <c r="P615" s="3"/>
      <c r="Q615" s="3"/>
    </row>
    <row r="616" spans="1:17" ht="15" x14ac:dyDescent="0.25">
      <c r="A616" s="3">
        <f>609</f>
        <v>609</v>
      </c>
      <c r="B616" s="3" t="s">
        <v>618</v>
      </c>
      <c r="C616" s="3" t="s">
        <v>10</v>
      </c>
      <c r="D616" s="3" t="s">
        <v>9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/>
      <c r="P616" s="3"/>
      <c r="Q616" s="3"/>
    </row>
    <row r="617" spans="1:17" ht="15" x14ac:dyDescent="0.25">
      <c r="A617" s="3">
        <f>610</f>
        <v>610</v>
      </c>
      <c r="B617" s="3" t="s">
        <v>619</v>
      </c>
      <c r="C617" s="3" t="s">
        <v>10</v>
      </c>
      <c r="D617" s="3" t="s">
        <v>9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/>
      <c r="P617" s="3"/>
      <c r="Q617" s="3"/>
    </row>
    <row r="618" spans="1:17" ht="15" x14ac:dyDescent="0.25">
      <c r="A618" s="3">
        <f>611</f>
        <v>611</v>
      </c>
      <c r="B618" s="3" t="s">
        <v>620</v>
      </c>
      <c r="C618" s="3" t="s">
        <v>10</v>
      </c>
      <c r="D618" s="3" t="s">
        <v>9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/>
      <c r="P618" s="3"/>
      <c r="Q618" s="3"/>
    </row>
    <row r="619" spans="1:17" ht="15" x14ac:dyDescent="0.25">
      <c r="A619" s="3">
        <f>612</f>
        <v>612</v>
      </c>
      <c r="B619" s="3" t="s">
        <v>621</v>
      </c>
      <c r="C619" s="3" t="s">
        <v>10</v>
      </c>
      <c r="D619" s="3" t="s">
        <v>9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/>
      <c r="P619" s="3"/>
      <c r="Q619" s="3"/>
    </row>
    <row r="620" spans="1:17" ht="15" x14ac:dyDescent="0.25">
      <c r="A620" s="3">
        <f>613</f>
        <v>613</v>
      </c>
      <c r="B620" s="3" t="s">
        <v>622</v>
      </c>
      <c r="C620" s="3" t="s">
        <v>10</v>
      </c>
      <c r="D620" s="3" t="s">
        <v>9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/>
      <c r="P620" s="3"/>
      <c r="Q620" s="3"/>
    </row>
    <row r="621" spans="1:17" ht="15" x14ac:dyDescent="0.25">
      <c r="A621" s="3">
        <f>614</f>
        <v>614</v>
      </c>
      <c r="B621" s="3" t="s">
        <v>623</v>
      </c>
      <c r="C621" s="3" t="s">
        <v>10</v>
      </c>
      <c r="D621" s="3" t="s">
        <v>9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/>
      <c r="P621" s="3"/>
      <c r="Q621" s="3"/>
    </row>
    <row r="622" spans="1:17" ht="15" x14ac:dyDescent="0.25">
      <c r="A622" s="3">
        <f>615</f>
        <v>615</v>
      </c>
      <c r="B622" s="3" t="s">
        <v>624</v>
      </c>
      <c r="C622" s="3" t="s">
        <v>10</v>
      </c>
      <c r="D622" s="3" t="s">
        <v>9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/>
      <c r="P622" s="3"/>
      <c r="Q622" s="3"/>
    </row>
    <row r="623" spans="1:17" ht="15" x14ac:dyDescent="0.25">
      <c r="A623" s="3">
        <f>616</f>
        <v>616</v>
      </c>
      <c r="B623" s="3" t="s">
        <v>625</v>
      </c>
      <c r="C623" s="3" t="s">
        <v>10</v>
      </c>
      <c r="D623" s="3" t="s">
        <v>9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/>
      <c r="P623" s="3"/>
      <c r="Q623" s="3"/>
    </row>
    <row r="624" spans="1:17" ht="15" x14ac:dyDescent="0.25">
      <c r="A624" s="3">
        <f>617</f>
        <v>617</v>
      </c>
      <c r="B624" s="3" t="s">
        <v>626</v>
      </c>
      <c r="C624" s="3" t="s">
        <v>10</v>
      </c>
      <c r="D624" s="3" t="s">
        <v>9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/>
      <c r="P624" s="3"/>
      <c r="Q624" s="3"/>
    </row>
    <row r="625" spans="1:17" ht="15" x14ac:dyDescent="0.25">
      <c r="A625" s="3">
        <f>618</f>
        <v>618</v>
      </c>
      <c r="B625" s="3" t="s">
        <v>627</v>
      </c>
      <c r="C625" s="3" t="s">
        <v>10</v>
      </c>
      <c r="D625" s="3" t="s">
        <v>9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/>
      <c r="P625" s="3"/>
      <c r="Q625" s="3"/>
    </row>
    <row r="626" spans="1:17" ht="15" x14ac:dyDescent="0.25">
      <c r="A626" s="3">
        <f>619</f>
        <v>619</v>
      </c>
      <c r="B626" s="3" t="s">
        <v>628</v>
      </c>
      <c r="C626" s="3" t="s">
        <v>10</v>
      </c>
      <c r="D626" s="3" t="s">
        <v>9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/>
      <c r="P626" s="3"/>
      <c r="Q626" s="3"/>
    </row>
    <row r="627" spans="1:17" ht="15" x14ac:dyDescent="0.25">
      <c r="A627" s="3">
        <f>620</f>
        <v>620</v>
      </c>
      <c r="B627" s="3" t="s">
        <v>629</v>
      </c>
      <c r="C627" s="3" t="s">
        <v>10</v>
      </c>
      <c r="D627" s="3" t="s">
        <v>9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/>
      <c r="P627" s="3"/>
      <c r="Q627" s="3"/>
    </row>
    <row r="628" spans="1:17" ht="15" x14ac:dyDescent="0.25">
      <c r="A628" s="3">
        <f>621</f>
        <v>621</v>
      </c>
      <c r="B628" s="3" t="s">
        <v>630</v>
      </c>
      <c r="C628" s="3" t="s">
        <v>10</v>
      </c>
      <c r="D628" s="3" t="s">
        <v>9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/>
      <c r="P628" s="3"/>
      <c r="Q628" s="3"/>
    </row>
    <row r="629" spans="1:17" ht="15" x14ac:dyDescent="0.25">
      <c r="A629" s="3">
        <f>622</f>
        <v>622</v>
      </c>
      <c r="B629" s="3" t="s">
        <v>631</v>
      </c>
      <c r="C629" s="3" t="s">
        <v>10</v>
      </c>
      <c r="D629" s="3" t="s">
        <v>9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/>
      <c r="P629" s="3"/>
      <c r="Q629" s="3"/>
    </row>
    <row r="630" spans="1:17" ht="15" x14ac:dyDescent="0.25">
      <c r="A630" s="3">
        <f>623</f>
        <v>623</v>
      </c>
      <c r="B630" s="3" t="s">
        <v>632</v>
      </c>
      <c r="C630" s="3" t="s">
        <v>10</v>
      </c>
      <c r="D630" s="3" t="s">
        <v>9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/>
      <c r="P630" s="3"/>
      <c r="Q630" s="3"/>
    </row>
    <row r="631" spans="1:17" ht="15" x14ac:dyDescent="0.25">
      <c r="A631" s="3">
        <f>624</f>
        <v>624</v>
      </c>
      <c r="B631" s="3" t="s">
        <v>633</v>
      </c>
      <c r="C631" s="3" t="s">
        <v>10</v>
      </c>
      <c r="D631" s="3" t="s">
        <v>9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/>
      <c r="P631" s="3"/>
      <c r="Q631" s="3"/>
    </row>
    <row r="632" spans="1:17" ht="15" x14ac:dyDescent="0.25">
      <c r="A632" s="3">
        <f>625</f>
        <v>625</v>
      </c>
      <c r="B632" s="3" t="s">
        <v>634</v>
      </c>
      <c r="C632" s="3" t="s">
        <v>10</v>
      </c>
      <c r="D632" s="3" t="s">
        <v>9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/>
      <c r="P632" s="3"/>
      <c r="Q632" s="3"/>
    </row>
    <row r="633" spans="1:17" ht="15" x14ac:dyDescent="0.25">
      <c r="A633" s="3">
        <f>626</f>
        <v>626</v>
      </c>
      <c r="B633" s="3" t="s">
        <v>635</v>
      </c>
      <c r="C633" s="3" t="s">
        <v>10</v>
      </c>
      <c r="D633" s="3" t="s">
        <v>9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/>
      <c r="P633" s="3"/>
      <c r="Q633" s="3"/>
    </row>
    <row r="634" spans="1:17" ht="15" x14ac:dyDescent="0.25">
      <c r="A634" s="3">
        <f>627</f>
        <v>627</v>
      </c>
      <c r="B634" s="3" t="s">
        <v>636</v>
      </c>
      <c r="C634" s="3" t="s">
        <v>10</v>
      </c>
      <c r="D634" s="3" t="s">
        <v>9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/>
      <c r="P634" s="3"/>
      <c r="Q634" s="3"/>
    </row>
    <row r="635" spans="1:17" ht="15" x14ac:dyDescent="0.25">
      <c r="A635" s="3">
        <f>628</f>
        <v>628</v>
      </c>
      <c r="B635" s="3" t="s">
        <v>637</v>
      </c>
      <c r="C635" s="3" t="s">
        <v>10</v>
      </c>
      <c r="D635" s="3" t="s">
        <v>9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/>
      <c r="P635" s="3"/>
      <c r="Q635" s="3"/>
    </row>
    <row r="636" spans="1:17" ht="15" x14ac:dyDescent="0.25">
      <c r="A636" s="3">
        <f>629</f>
        <v>629</v>
      </c>
      <c r="B636" s="3" t="s">
        <v>638</v>
      </c>
      <c r="C636" s="3" t="s">
        <v>10</v>
      </c>
      <c r="D636" s="3" t="s">
        <v>9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/>
      <c r="P636" s="3"/>
      <c r="Q636" s="3"/>
    </row>
    <row r="637" spans="1:17" ht="15" x14ac:dyDescent="0.25">
      <c r="A637" s="3">
        <f>630</f>
        <v>630</v>
      </c>
      <c r="B637" s="3" t="s">
        <v>639</v>
      </c>
      <c r="C637" s="3" t="s">
        <v>10</v>
      </c>
      <c r="D637" s="3" t="s">
        <v>9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/>
      <c r="P637" s="3"/>
      <c r="Q637" s="3"/>
    </row>
    <row r="638" spans="1:17" ht="15" x14ac:dyDescent="0.25">
      <c r="A638" s="3">
        <f>631</f>
        <v>631</v>
      </c>
      <c r="B638" s="3" t="s">
        <v>640</v>
      </c>
      <c r="C638" s="3" t="s">
        <v>10</v>
      </c>
      <c r="D638" s="3" t="s">
        <v>9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/>
      <c r="P638" s="3"/>
      <c r="Q638" s="3"/>
    </row>
    <row r="639" spans="1:17" ht="15" x14ac:dyDescent="0.25">
      <c r="A639" s="3">
        <f>632</f>
        <v>632</v>
      </c>
      <c r="B639" s="3" t="s">
        <v>641</v>
      </c>
      <c r="C639" s="3" t="s">
        <v>10</v>
      </c>
      <c r="D639" s="3" t="s">
        <v>9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/>
      <c r="P639" s="3"/>
      <c r="Q639" s="3"/>
    </row>
    <row r="640" spans="1:17" ht="15" x14ac:dyDescent="0.25">
      <c r="A640" s="3">
        <f>633</f>
        <v>633</v>
      </c>
      <c r="B640" s="3" t="s">
        <v>642</v>
      </c>
      <c r="C640" s="3" t="s">
        <v>10</v>
      </c>
      <c r="D640" s="3" t="s">
        <v>9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/>
      <c r="P640" s="3"/>
      <c r="Q640" s="3"/>
    </row>
    <row r="641" spans="1:17" ht="15" x14ac:dyDescent="0.25">
      <c r="A641" s="3">
        <f>634</f>
        <v>634</v>
      </c>
      <c r="B641" s="3" t="s">
        <v>643</v>
      </c>
      <c r="C641" s="3" t="s">
        <v>9</v>
      </c>
      <c r="D641" s="3" t="s">
        <v>9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/>
      <c r="P641" s="3"/>
      <c r="Q641" s="3"/>
    </row>
    <row r="642" spans="1:17" ht="15" x14ac:dyDescent="0.25">
      <c r="A642" s="3">
        <f>635</f>
        <v>635</v>
      </c>
      <c r="B642" s="3" t="s">
        <v>644</v>
      </c>
      <c r="C642" s="3" t="s">
        <v>9</v>
      </c>
      <c r="D642" s="3" t="s">
        <v>9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/>
      <c r="P642" s="3"/>
      <c r="Q642" s="3"/>
    </row>
    <row r="643" spans="1:17" ht="15" x14ac:dyDescent="0.25">
      <c r="A643" s="3">
        <f>636</f>
        <v>636</v>
      </c>
      <c r="B643" s="3" t="s">
        <v>645</v>
      </c>
      <c r="C643" s="3" t="s">
        <v>9</v>
      </c>
      <c r="D643" s="3" t="s">
        <v>9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/>
      <c r="P643" s="3"/>
      <c r="Q643" s="3"/>
    </row>
    <row r="644" spans="1:17" ht="15" x14ac:dyDescent="0.25">
      <c r="A644" s="3">
        <f>637</f>
        <v>637</v>
      </c>
      <c r="B644" s="3" t="s">
        <v>646</v>
      </c>
      <c r="C644" s="3" t="s">
        <v>9</v>
      </c>
      <c r="D644" s="3" t="s">
        <v>9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/>
      <c r="P644" s="3"/>
      <c r="Q644" s="3"/>
    </row>
    <row r="645" spans="1:17" ht="15" x14ac:dyDescent="0.25">
      <c r="A645" s="3">
        <f>638</f>
        <v>638</v>
      </c>
      <c r="B645" s="3" t="s">
        <v>647</v>
      </c>
      <c r="C645" s="3" t="s">
        <v>9</v>
      </c>
      <c r="D645" s="3" t="s">
        <v>9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/>
      <c r="P645" s="3"/>
      <c r="Q645" s="3"/>
    </row>
    <row r="646" spans="1:17" ht="15" x14ac:dyDescent="0.25">
      <c r="A646" s="3">
        <f>639</f>
        <v>639</v>
      </c>
      <c r="B646" s="3" t="s">
        <v>648</v>
      </c>
      <c r="C646" s="3" t="s">
        <v>9</v>
      </c>
      <c r="D646" s="3" t="s">
        <v>9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/>
      <c r="P646" s="3"/>
      <c r="Q646" s="3"/>
    </row>
    <row r="647" spans="1:17" ht="15" x14ac:dyDescent="0.25">
      <c r="A647" s="3">
        <f>640</f>
        <v>640</v>
      </c>
      <c r="B647" s="3" t="s">
        <v>649</v>
      </c>
      <c r="C647" s="3" t="s">
        <v>9</v>
      </c>
      <c r="D647" s="3" t="s">
        <v>9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/>
      <c r="P647" s="3"/>
      <c r="Q647" s="3"/>
    </row>
    <row r="648" spans="1:17" ht="15" x14ac:dyDescent="0.25">
      <c r="A648" s="3">
        <f>641</f>
        <v>641</v>
      </c>
      <c r="B648" s="3" t="s">
        <v>650</v>
      </c>
      <c r="C648" s="3" t="s">
        <v>9</v>
      </c>
      <c r="D648" s="3" t="s">
        <v>9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/>
      <c r="P648" s="3"/>
      <c r="Q648" s="3"/>
    </row>
    <row r="649" spans="1:17" ht="15" x14ac:dyDescent="0.25">
      <c r="A649" s="3">
        <f>642</f>
        <v>642</v>
      </c>
      <c r="B649" s="3" t="s">
        <v>651</v>
      </c>
      <c r="C649" s="3" t="s">
        <v>9</v>
      </c>
      <c r="D649" s="3" t="s">
        <v>9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/>
      <c r="P649" s="3"/>
      <c r="Q649" s="3"/>
    </row>
    <row r="650" spans="1:17" ht="15" x14ac:dyDescent="0.25">
      <c r="A650" s="3">
        <f>643</f>
        <v>643</v>
      </c>
      <c r="B650" s="3" t="s">
        <v>652</v>
      </c>
      <c r="C650" s="3" t="s">
        <v>9</v>
      </c>
      <c r="D650" s="3" t="s">
        <v>9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/>
      <c r="P650" s="3"/>
      <c r="Q650" s="3"/>
    </row>
    <row r="651" spans="1:17" ht="15" x14ac:dyDescent="0.25">
      <c r="A651" s="3">
        <f>644</f>
        <v>644</v>
      </c>
      <c r="B651" s="3" t="s">
        <v>653</v>
      </c>
      <c r="C651" s="3" t="s">
        <v>9</v>
      </c>
      <c r="D651" s="3" t="s">
        <v>9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/>
      <c r="P651" s="3"/>
      <c r="Q651" s="3"/>
    </row>
    <row r="652" spans="1:17" ht="15" x14ac:dyDescent="0.25">
      <c r="A652" s="3">
        <f>645</f>
        <v>645</v>
      </c>
      <c r="B652" s="3" t="s">
        <v>654</v>
      </c>
      <c r="C652" s="3" t="s">
        <v>9</v>
      </c>
      <c r="D652" s="3" t="s">
        <v>9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/>
      <c r="P652" s="3"/>
      <c r="Q652" s="3"/>
    </row>
    <row r="653" spans="1:17" ht="15" x14ac:dyDescent="0.25">
      <c r="A653" s="3">
        <f>646</f>
        <v>646</v>
      </c>
      <c r="B653" s="3" t="s">
        <v>655</v>
      </c>
      <c r="C653" s="3" t="s">
        <v>9</v>
      </c>
      <c r="D653" s="3" t="s">
        <v>9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/>
      <c r="P653" s="3"/>
      <c r="Q653" s="3"/>
    </row>
    <row r="654" spans="1:17" ht="15" x14ac:dyDescent="0.25">
      <c r="A654" s="3">
        <f>647</f>
        <v>647</v>
      </c>
      <c r="B654" s="3" t="s">
        <v>656</v>
      </c>
      <c r="C654" s="3" t="s">
        <v>9</v>
      </c>
      <c r="D654" s="3" t="s">
        <v>9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/>
      <c r="P654" s="3"/>
      <c r="Q654" s="3"/>
    </row>
    <row r="655" spans="1:17" ht="15" x14ac:dyDescent="0.25">
      <c r="A655" s="3">
        <f>648</f>
        <v>648</v>
      </c>
      <c r="B655" s="3" t="s">
        <v>657</v>
      </c>
      <c r="C655" s="3" t="s">
        <v>9</v>
      </c>
      <c r="D655" s="3" t="s">
        <v>9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/>
      <c r="P655" s="3"/>
      <c r="Q655" s="3"/>
    </row>
    <row r="656" spans="1:17" ht="15" x14ac:dyDescent="0.25">
      <c r="A656" s="3">
        <f>649</f>
        <v>649</v>
      </c>
      <c r="B656" s="3" t="s">
        <v>658</v>
      </c>
      <c r="C656" s="3" t="s">
        <v>9</v>
      </c>
      <c r="D656" s="3" t="s">
        <v>9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/>
      <c r="P656" s="3"/>
      <c r="Q656" s="3"/>
    </row>
    <row r="657" spans="1:17" ht="15" x14ac:dyDescent="0.25">
      <c r="A657" s="3">
        <f>650</f>
        <v>650</v>
      </c>
      <c r="B657" s="3" t="s">
        <v>659</v>
      </c>
      <c r="C657" s="3" t="s">
        <v>9</v>
      </c>
      <c r="D657" s="3" t="s">
        <v>9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/>
      <c r="P657" s="3"/>
      <c r="Q657" s="3"/>
    </row>
    <row r="658" spans="1:17" ht="15" x14ac:dyDescent="0.25">
      <c r="A658" s="3">
        <f>651</f>
        <v>651</v>
      </c>
      <c r="B658" s="3" t="s">
        <v>660</v>
      </c>
      <c r="C658" s="3" t="s">
        <v>9</v>
      </c>
      <c r="D658" s="3" t="s">
        <v>9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/>
      <c r="P658" s="3"/>
      <c r="Q658" s="3"/>
    </row>
    <row r="659" spans="1:17" ht="15" x14ac:dyDescent="0.25">
      <c r="A659" s="3">
        <f>652</f>
        <v>652</v>
      </c>
      <c r="B659" s="3" t="s">
        <v>661</v>
      </c>
      <c r="C659" s="3" t="s">
        <v>9</v>
      </c>
      <c r="D659" s="3" t="s">
        <v>9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/>
      <c r="P659" s="3"/>
      <c r="Q659" s="3"/>
    </row>
    <row r="660" spans="1:17" ht="15" x14ac:dyDescent="0.25">
      <c r="A660" s="3">
        <f>653</f>
        <v>653</v>
      </c>
      <c r="B660" s="3" t="s">
        <v>662</v>
      </c>
      <c r="C660" s="3" t="s">
        <v>9</v>
      </c>
      <c r="D660" s="3" t="s">
        <v>9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/>
      <c r="P660" s="3"/>
      <c r="Q660" s="3"/>
    </row>
    <row r="661" spans="1:17" ht="15" x14ac:dyDescent="0.25">
      <c r="A661" s="3">
        <f>654</f>
        <v>654</v>
      </c>
      <c r="B661" s="3" t="s">
        <v>663</v>
      </c>
      <c r="C661" s="3" t="s">
        <v>9</v>
      </c>
      <c r="D661" s="3" t="s">
        <v>9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/>
      <c r="P661" s="3"/>
      <c r="Q661" s="3"/>
    </row>
    <row r="662" spans="1:17" ht="15" x14ac:dyDescent="0.25">
      <c r="A662" s="3">
        <f>655</f>
        <v>655</v>
      </c>
      <c r="B662" s="3" t="s">
        <v>664</v>
      </c>
      <c r="C662" s="3" t="s">
        <v>9</v>
      </c>
      <c r="D662" s="3" t="s">
        <v>9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/>
      <c r="P662" s="3"/>
      <c r="Q662" s="3"/>
    </row>
    <row r="663" spans="1:17" ht="15" x14ac:dyDescent="0.25">
      <c r="A663" s="3">
        <f>656</f>
        <v>656</v>
      </c>
      <c r="B663" s="3" t="s">
        <v>665</v>
      </c>
      <c r="C663" s="3" t="s">
        <v>9</v>
      </c>
      <c r="D663" s="3" t="s">
        <v>9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/>
      <c r="P663" s="3"/>
      <c r="Q663" s="3"/>
    </row>
    <row r="664" spans="1:17" ht="15" x14ac:dyDescent="0.25">
      <c r="A664" s="3">
        <f>657</f>
        <v>657</v>
      </c>
      <c r="B664" s="3" t="s">
        <v>666</v>
      </c>
      <c r="C664" s="3" t="s">
        <v>9</v>
      </c>
      <c r="D664" s="3" t="s">
        <v>9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/>
      <c r="P664" s="3"/>
      <c r="Q664" s="3"/>
    </row>
    <row r="665" spans="1:17" ht="15" x14ac:dyDescent="0.25">
      <c r="A665" s="3">
        <f>658</f>
        <v>658</v>
      </c>
      <c r="B665" s="3" t="s">
        <v>667</v>
      </c>
      <c r="C665" s="3" t="s">
        <v>9</v>
      </c>
      <c r="D665" s="3" t="s">
        <v>9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/>
      <c r="P665" s="3"/>
      <c r="Q665" s="3"/>
    </row>
    <row r="666" spans="1:17" ht="15" x14ac:dyDescent="0.25">
      <c r="A666" s="3">
        <f>659</f>
        <v>659</v>
      </c>
      <c r="B666" s="3" t="s">
        <v>668</v>
      </c>
      <c r="C666" s="3" t="s">
        <v>9</v>
      </c>
      <c r="D666" s="3" t="s">
        <v>9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/>
      <c r="P666" s="3"/>
      <c r="Q666" s="3"/>
    </row>
    <row r="667" spans="1:17" ht="15" x14ac:dyDescent="0.25">
      <c r="A667" s="3">
        <f>660</f>
        <v>660</v>
      </c>
      <c r="B667" s="3" t="s">
        <v>669</v>
      </c>
      <c r="C667" s="3" t="s">
        <v>9</v>
      </c>
      <c r="D667" s="3" t="s">
        <v>9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/>
      <c r="P667" s="3"/>
      <c r="Q667" s="3"/>
    </row>
    <row r="668" spans="1:17" ht="15" x14ac:dyDescent="0.25">
      <c r="A668" s="3">
        <f>661</f>
        <v>661</v>
      </c>
      <c r="B668" s="3" t="s">
        <v>670</v>
      </c>
      <c r="C668" s="3" t="s">
        <v>9</v>
      </c>
      <c r="D668" s="3" t="s">
        <v>9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/>
      <c r="P668" s="3"/>
      <c r="Q668" s="3"/>
    </row>
    <row r="669" spans="1:17" ht="15" x14ac:dyDescent="0.25">
      <c r="A669" s="3">
        <f>662</f>
        <v>662</v>
      </c>
      <c r="B669" s="3" t="s">
        <v>671</v>
      </c>
      <c r="C669" s="3" t="s">
        <v>9</v>
      </c>
      <c r="D669" s="3" t="s">
        <v>9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/>
      <c r="P669" s="3"/>
      <c r="Q669" s="3"/>
    </row>
    <row r="670" spans="1:17" ht="15" x14ac:dyDescent="0.25">
      <c r="A670" s="3">
        <f>663</f>
        <v>663</v>
      </c>
      <c r="B670" s="3" t="s">
        <v>672</v>
      </c>
      <c r="C670" s="3" t="s">
        <v>9</v>
      </c>
      <c r="D670" s="3" t="s">
        <v>9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/>
      <c r="P670" s="3"/>
      <c r="Q670" s="3"/>
    </row>
    <row r="671" spans="1:17" ht="15" x14ac:dyDescent="0.25">
      <c r="A671" s="3">
        <f>664</f>
        <v>664</v>
      </c>
      <c r="B671" s="3" t="s">
        <v>673</v>
      </c>
      <c r="C671" s="3" t="s">
        <v>9</v>
      </c>
      <c r="D671" s="3" t="s">
        <v>9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/>
      <c r="P671" s="3"/>
      <c r="Q671" s="3"/>
    </row>
    <row r="672" spans="1:17" ht="15" x14ac:dyDescent="0.25">
      <c r="A672" s="3">
        <f>665</f>
        <v>665</v>
      </c>
      <c r="B672" s="3" t="s">
        <v>674</v>
      </c>
      <c r="C672" s="3" t="s">
        <v>9</v>
      </c>
      <c r="D672" s="3" t="s">
        <v>9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/>
      <c r="P672" s="3"/>
      <c r="Q672" s="3"/>
    </row>
    <row r="673" spans="1:17" ht="15" x14ac:dyDescent="0.25">
      <c r="A673" s="3">
        <f>666</f>
        <v>666</v>
      </c>
      <c r="B673" s="3" t="s">
        <v>675</v>
      </c>
      <c r="C673" s="3" t="s">
        <v>9</v>
      </c>
      <c r="D673" s="3" t="s">
        <v>9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/>
      <c r="P673" s="3"/>
      <c r="Q673" s="3"/>
    </row>
    <row r="674" spans="1:17" ht="15" x14ac:dyDescent="0.25">
      <c r="A674" s="3">
        <f>667</f>
        <v>667</v>
      </c>
      <c r="B674" s="3" t="s">
        <v>676</v>
      </c>
      <c r="C674" s="3" t="s">
        <v>9</v>
      </c>
      <c r="D674" s="3" t="s">
        <v>9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/>
      <c r="P674" s="3"/>
      <c r="Q674" s="3"/>
    </row>
    <row r="675" spans="1:17" ht="15" x14ac:dyDescent="0.25">
      <c r="A675" s="3">
        <f>668</f>
        <v>668</v>
      </c>
      <c r="B675" s="3" t="s">
        <v>677</v>
      </c>
      <c r="C675" s="3" t="s">
        <v>9</v>
      </c>
      <c r="D675" s="3" t="s">
        <v>9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/>
      <c r="P675" s="3"/>
      <c r="Q675" s="3"/>
    </row>
    <row r="676" spans="1:17" ht="15" x14ac:dyDescent="0.25">
      <c r="A676" s="3">
        <f>669</f>
        <v>669</v>
      </c>
      <c r="B676" s="3" t="s">
        <v>678</v>
      </c>
      <c r="C676" s="3" t="s">
        <v>9</v>
      </c>
      <c r="D676" s="3" t="s">
        <v>9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/>
      <c r="P676" s="3"/>
      <c r="Q676" s="3"/>
    </row>
    <row r="677" spans="1:17" ht="15" x14ac:dyDescent="0.25">
      <c r="A677" s="3">
        <f>670</f>
        <v>670</v>
      </c>
      <c r="B677" s="3" t="s">
        <v>679</v>
      </c>
      <c r="C677" s="3" t="s">
        <v>9</v>
      </c>
      <c r="D677" s="3" t="s">
        <v>9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/>
      <c r="P677" s="3"/>
      <c r="Q677" s="3"/>
    </row>
    <row r="678" spans="1:17" ht="15" x14ac:dyDescent="0.25">
      <c r="A678" s="3">
        <f>671</f>
        <v>671</v>
      </c>
      <c r="B678" s="3" t="s">
        <v>680</v>
      </c>
      <c r="C678" s="3" t="s">
        <v>9</v>
      </c>
      <c r="D678" s="3" t="s">
        <v>9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/>
      <c r="P678" s="3"/>
      <c r="Q678" s="3"/>
    </row>
    <row r="679" spans="1:17" ht="15" x14ac:dyDescent="0.25">
      <c r="A679" s="3">
        <f>672</f>
        <v>672</v>
      </c>
      <c r="B679" s="3" t="s">
        <v>681</v>
      </c>
      <c r="C679" s="3" t="s">
        <v>9</v>
      </c>
      <c r="D679" s="3" t="s">
        <v>9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/>
      <c r="P679" s="3"/>
      <c r="Q679" s="3"/>
    </row>
    <row r="680" spans="1:17" ht="15" x14ac:dyDescent="0.25">
      <c r="A680" s="3">
        <f>673</f>
        <v>673</v>
      </c>
      <c r="B680" s="3" t="s">
        <v>682</v>
      </c>
      <c r="C680" s="3" t="s">
        <v>9</v>
      </c>
      <c r="D680" s="3" t="s">
        <v>9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/>
      <c r="P680" s="3"/>
      <c r="Q680" s="3"/>
    </row>
    <row r="681" spans="1:17" ht="15" x14ac:dyDescent="0.25">
      <c r="A681" s="3">
        <f>674</f>
        <v>674</v>
      </c>
      <c r="B681" s="3" t="s">
        <v>683</v>
      </c>
      <c r="C681" s="3" t="s">
        <v>9</v>
      </c>
      <c r="D681" s="3" t="s">
        <v>9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/>
      <c r="P681" s="3"/>
      <c r="Q681" s="3"/>
    </row>
    <row r="682" spans="1:17" ht="15" x14ac:dyDescent="0.25">
      <c r="A682" s="3">
        <f>675</f>
        <v>675</v>
      </c>
      <c r="B682" s="3" t="s">
        <v>684</v>
      </c>
      <c r="C682" s="3" t="s">
        <v>9</v>
      </c>
      <c r="D682" s="3" t="s">
        <v>9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/>
      <c r="P682" s="3"/>
      <c r="Q682" s="3"/>
    </row>
    <row r="683" spans="1:17" ht="15" x14ac:dyDescent="0.25">
      <c r="A683" s="3">
        <f>676</f>
        <v>676</v>
      </c>
      <c r="B683" s="3" t="s">
        <v>685</v>
      </c>
      <c r="C683" s="3" t="s">
        <v>9</v>
      </c>
      <c r="D683" s="3" t="s">
        <v>9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/>
      <c r="P683" s="3"/>
      <c r="Q683" s="3"/>
    </row>
    <row r="684" spans="1:17" ht="15" x14ac:dyDescent="0.25">
      <c r="A684" s="3">
        <f>677</f>
        <v>677</v>
      </c>
      <c r="B684" s="3" t="s">
        <v>686</v>
      </c>
      <c r="C684" s="3" t="s">
        <v>9</v>
      </c>
      <c r="D684" s="3" t="s">
        <v>9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/>
      <c r="P684" s="3"/>
      <c r="Q684" s="3"/>
    </row>
    <row r="685" spans="1:17" ht="15" x14ac:dyDescent="0.25">
      <c r="A685" s="3">
        <f>678</f>
        <v>678</v>
      </c>
      <c r="B685" s="3" t="s">
        <v>687</v>
      </c>
      <c r="C685" s="3" t="s">
        <v>9</v>
      </c>
      <c r="D685" s="3" t="s">
        <v>9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/>
      <c r="P685" s="3"/>
      <c r="Q685" s="3"/>
    </row>
    <row r="686" spans="1:17" ht="15" x14ac:dyDescent="0.25">
      <c r="A686" s="3">
        <f>679</f>
        <v>679</v>
      </c>
      <c r="B686" s="3" t="s">
        <v>688</v>
      </c>
      <c r="C686" s="3" t="s">
        <v>9</v>
      </c>
      <c r="D686" s="3" t="s">
        <v>9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/>
      <c r="P686" s="3"/>
      <c r="Q686" s="3"/>
    </row>
    <row r="687" spans="1:17" ht="15" x14ac:dyDescent="0.25">
      <c r="A687" s="3">
        <f>680</f>
        <v>680</v>
      </c>
      <c r="B687" s="3" t="s">
        <v>689</v>
      </c>
      <c r="C687" s="3" t="s">
        <v>9</v>
      </c>
      <c r="D687" s="3" t="s">
        <v>9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/>
      <c r="P687" s="3"/>
      <c r="Q687" s="3"/>
    </row>
    <row r="688" spans="1:17" ht="15" x14ac:dyDescent="0.25">
      <c r="A688" s="3">
        <f>681</f>
        <v>681</v>
      </c>
      <c r="B688" s="3" t="s">
        <v>690</v>
      </c>
      <c r="C688" s="3" t="s">
        <v>9</v>
      </c>
      <c r="D688" s="3" t="s">
        <v>9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/>
      <c r="P688" s="3"/>
      <c r="Q688" s="3"/>
    </row>
    <row r="689" spans="1:17" ht="15" x14ac:dyDescent="0.25">
      <c r="A689" s="3">
        <f>682</f>
        <v>682</v>
      </c>
      <c r="B689" s="3" t="s">
        <v>691</v>
      </c>
      <c r="C689" s="3" t="s">
        <v>9</v>
      </c>
      <c r="D689" s="3" t="s">
        <v>9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/>
      <c r="P689" s="3"/>
      <c r="Q689" s="3"/>
    </row>
    <row r="690" spans="1:17" ht="15" x14ac:dyDescent="0.25">
      <c r="A690" s="3">
        <f>683</f>
        <v>683</v>
      </c>
      <c r="B690" s="3" t="s">
        <v>692</v>
      </c>
      <c r="C690" s="3" t="s">
        <v>9</v>
      </c>
      <c r="D690" s="3" t="s">
        <v>9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/>
      <c r="P690" s="3"/>
      <c r="Q690" s="3"/>
    </row>
    <row r="691" spans="1:17" ht="15" x14ac:dyDescent="0.25">
      <c r="A691" s="3">
        <f>684</f>
        <v>684</v>
      </c>
      <c r="B691" s="3" t="s">
        <v>693</v>
      </c>
      <c r="C691" s="3" t="s">
        <v>9</v>
      </c>
      <c r="D691" s="3" t="s">
        <v>9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/>
      <c r="P691" s="3"/>
      <c r="Q691" s="3"/>
    </row>
    <row r="692" spans="1:17" ht="15" x14ac:dyDescent="0.25">
      <c r="A692" s="3">
        <f>685</f>
        <v>685</v>
      </c>
      <c r="B692" s="3" t="s">
        <v>694</v>
      </c>
      <c r="C692" s="3" t="s">
        <v>9</v>
      </c>
      <c r="D692" s="3" t="s">
        <v>9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/>
      <c r="P692" s="3"/>
      <c r="Q692" s="3"/>
    </row>
    <row r="693" spans="1:17" ht="15" x14ac:dyDescent="0.25">
      <c r="A693" s="3">
        <f>686</f>
        <v>686</v>
      </c>
      <c r="B693" s="3" t="s">
        <v>695</v>
      </c>
      <c r="C693" s="3" t="s">
        <v>9</v>
      </c>
      <c r="D693" s="3" t="s">
        <v>9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/>
      <c r="P693" s="3"/>
      <c r="Q693" s="3"/>
    </row>
    <row r="694" spans="1:17" ht="15" x14ac:dyDescent="0.25">
      <c r="A694" s="3">
        <f>687</f>
        <v>687</v>
      </c>
      <c r="B694" s="3" t="s">
        <v>696</v>
      </c>
      <c r="C694" s="3" t="s">
        <v>9</v>
      </c>
      <c r="D694" s="3" t="s">
        <v>9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/>
      <c r="P694" s="3"/>
      <c r="Q694" s="3"/>
    </row>
    <row r="695" spans="1:17" ht="15" x14ac:dyDescent="0.25">
      <c r="A695" s="3">
        <f>688</f>
        <v>688</v>
      </c>
      <c r="B695" s="3" t="s">
        <v>697</v>
      </c>
      <c r="C695" s="3" t="s">
        <v>9</v>
      </c>
      <c r="D695" s="3" t="s">
        <v>9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/>
      <c r="P695" s="3"/>
      <c r="Q695" s="3"/>
    </row>
    <row r="696" spans="1:17" ht="15" x14ac:dyDescent="0.25">
      <c r="A696" s="3">
        <f>689</f>
        <v>689</v>
      </c>
      <c r="B696" s="3" t="s">
        <v>698</v>
      </c>
      <c r="C696" s="3" t="s">
        <v>9</v>
      </c>
      <c r="D696" s="3" t="s">
        <v>9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/>
      <c r="P696" s="3"/>
      <c r="Q696" s="3"/>
    </row>
    <row r="697" spans="1:17" ht="15" x14ac:dyDescent="0.25">
      <c r="A697" s="3">
        <f>690</f>
        <v>690</v>
      </c>
      <c r="B697" s="3" t="s">
        <v>699</v>
      </c>
      <c r="C697" s="3" t="s">
        <v>9</v>
      </c>
      <c r="D697" s="3" t="s">
        <v>9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/>
      <c r="P697" s="3"/>
      <c r="Q697" s="3"/>
    </row>
    <row r="698" spans="1:17" ht="15" x14ac:dyDescent="0.25">
      <c r="A698" s="3">
        <f>691</f>
        <v>691</v>
      </c>
      <c r="B698" s="3" t="s">
        <v>700</v>
      </c>
      <c r="C698" s="3" t="s">
        <v>9</v>
      </c>
      <c r="D698" s="3" t="s">
        <v>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/>
      <c r="P698" s="3"/>
      <c r="Q698" s="3"/>
    </row>
    <row r="699" spans="1:17" ht="15" x14ac:dyDescent="0.25">
      <c r="A699" s="3">
        <f>692</f>
        <v>692</v>
      </c>
      <c r="B699" s="3" t="s">
        <v>701</v>
      </c>
      <c r="C699" s="3" t="s">
        <v>9</v>
      </c>
      <c r="D699" s="3" t="s">
        <v>9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/>
      <c r="P699" s="3"/>
      <c r="Q699" s="3"/>
    </row>
    <row r="700" spans="1:17" ht="15" x14ac:dyDescent="0.25">
      <c r="A700" s="3">
        <f>693</f>
        <v>693</v>
      </c>
      <c r="B700" s="3" t="s">
        <v>702</v>
      </c>
      <c r="C700" s="3" t="s">
        <v>9</v>
      </c>
      <c r="D700" s="3" t="s">
        <v>9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/>
      <c r="P700" s="3"/>
      <c r="Q700" s="3"/>
    </row>
    <row r="701" spans="1:17" ht="15" x14ac:dyDescent="0.25">
      <c r="A701" s="3">
        <f>694</f>
        <v>694</v>
      </c>
      <c r="B701" s="3" t="s">
        <v>703</v>
      </c>
      <c r="C701" s="3" t="s">
        <v>9</v>
      </c>
      <c r="D701" s="3" t="s">
        <v>9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/>
      <c r="P701" s="3"/>
      <c r="Q701" s="3"/>
    </row>
    <row r="702" spans="1:17" ht="15" x14ac:dyDescent="0.25">
      <c r="A702" s="3">
        <f>695</f>
        <v>695</v>
      </c>
      <c r="B702" s="3" t="s">
        <v>704</v>
      </c>
      <c r="C702" s="3" t="s">
        <v>9</v>
      </c>
      <c r="D702" s="3" t="s">
        <v>9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/>
      <c r="P702" s="3"/>
      <c r="Q702" s="3"/>
    </row>
    <row r="703" spans="1:17" ht="15" x14ac:dyDescent="0.25">
      <c r="A703" s="3">
        <f>696</f>
        <v>696</v>
      </c>
      <c r="B703" s="3" t="s">
        <v>705</v>
      </c>
      <c r="C703" s="3" t="s">
        <v>9</v>
      </c>
      <c r="D703" s="3" t="s">
        <v>9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/>
      <c r="P703" s="3"/>
      <c r="Q703" s="3"/>
    </row>
    <row r="704" spans="1:17" ht="15" x14ac:dyDescent="0.25">
      <c r="A704" s="3">
        <f>697</f>
        <v>697</v>
      </c>
      <c r="B704" s="3" t="s">
        <v>706</v>
      </c>
      <c r="C704" s="3" t="s">
        <v>9</v>
      </c>
      <c r="D704" s="3" t="s">
        <v>9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/>
      <c r="P704" s="3"/>
      <c r="Q704" s="3"/>
    </row>
    <row r="705" spans="1:17" ht="15" x14ac:dyDescent="0.25">
      <c r="A705" s="3">
        <f>698</f>
        <v>698</v>
      </c>
      <c r="B705" s="3" t="s">
        <v>707</v>
      </c>
      <c r="C705" s="3" t="s">
        <v>9</v>
      </c>
      <c r="D705" s="3" t="s">
        <v>9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/>
      <c r="P705" s="3"/>
      <c r="Q705" s="3"/>
    </row>
    <row r="706" spans="1:17" ht="15" x14ac:dyDescent="0.25">
      <c r="A706" s="3">
        <f>699</f>
        <v>699</v>
      </c>
      <c r="B706" s="3" t="s">
        <v>708</v>
      </c>
      <c r="C706" s="3" t="s">
        <v>9</v>
      </c>
      <c r="D706" s="3" t="s">
        <v>9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/>
      <c r="P706" s="3"/>
      <c r="Q706" s="3"/>
    </row>
    <row r="707" spans="1:17" ht="15" x14ac:dyDescent="0.25">
      <c r="A707" s="3">
        <f>700</f>
        <v>700</v>
      </c>
      <c r="B707" s="3" t="s">
        <v>709</v>
      </c>
      <c r="C707" s="3" t="s">
        <v>9</v>
      </c>
      <c r="D707" s="3" t="s">
        <v>9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/>
      <c r="P707" s="3"/>
      <c r="Q707" s="3"/>
    </row>
    <row r="708" spans="1:17" ht="15" x14ac:dyDescent="0.25">
      <c r="A708" s="3">
        <f>701</f>
        <v>701</v>
      </c>
      <c r="B708" s="3" t="s">
        <v>710</v>
      </c>
      <c r="C708" s="3" t="s">
        <v>9</v>
      </c>
      <c r="D708" s="3" t="s">
        <v>9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/>
      <c r="P708" s="3"/>
      <c r="Q708" s="3"/>
    </row>
    <row r="709" spans="1:17" ht="15" x14ac:dyDescent="0.25">
      <c r="A709" s="3">
        <f>702</f>
        <v>702</v>
      </c>
      <c r="B709" s="3" t="s">
        <v>711</v>
      </c>
      <c r="C709" s="3" t="s">
        <v>9</v>
      </c>
      <c r="D709" s="3" t="s">
        <v>9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/>
      <c r="P709" s="3"/>
      <c r="Q709" s="3"/>
    </row>
    <row r="710" spans="1:17" ht="15" x14ac:dyDescent="0.25">
      <c r="A710" s="3">
        <f>703</f>
        <v>703</v>
      </c>
      <c r="B710" s="3" t="s">
        <v>712</v>
      </c>
      <c r="C710" s="3" t="s">
        <v>9</v>
      </c>
      <c r="D710" s="3" t="s">
        <v>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/>
      <c r="P710" s="3"/>
      <c r="Q710" s="3"/>
    </row>
    <row r="711" spans="1:17" ht="15" x14ac:dyDescent="0.25">
      <c r="A711" s="3">
        <f>704</f>
        <v>704</v>
      </c>
      <c r="B711" s="3" t="s">
        <v>713</v>
      </c>
      <c r="C711" s="3" t="s">
        <v>9</v>
      </c>
      <c r="D711" s="3" t="s">
        <v>9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/>
      <c r="P711" s="3"/>
      <c r="Q711" s="3"/>
    </row>
    <row r="712" spans="1:17" ht="15" x14ac:dyDescent="0.25">
      <c r="A712" s="3">
        <f>705</f>
        <v>705</v>
      </c>
      <c r="B712" s="3" t="s">
        <v>714</v>
      </c>
      <c r="C712" s="3" t="s">
        <v>9</v>
      </c>
      <c r="D712" s="3" t="s">
        <v>9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/>
      <c r="P712" s="3"/>
      <c r="Q712" s="3"/>
    </row>
    <row r="713" spans="1:17" ht="15" x14ac:dyDescent="0.25">
      <c r="A713" s="3">
        <f>706</f>
        <v>706</v>
      </c>
      <c r="B713" s="3" t="s">
        <v>715</v>
      </c>
      <c r="C713" s="3" t="s">
        <v>9</v>
      </c>
      <c r="D713" s="3" t="s">
        <v>9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/>
      <c r="P713" s="3"/>
      <c r="Q713" s="3"/>
    </row>
    <row r="714" spans="1:17" ht="15" x14ac:dyDescent="0.25">
      <c r="A714" s="3">
        <f>707</f>
        <v>707</v>
      </c>
      <c r="B714" s="3" t="s">
        <v>716</v>
      </c>
      <c r="C714" s="3" t="s">
        <v>9</v>
      </c>
      <c r="D714" s="3" t="s">
        <v>9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/>
      <c r="P714" s="3"/>
      <c r="Q714" s="3"/>
    </row>
    <row r="715" spans="1:17" ht="15" x14ac:dyDescent="0.25">
      <c r="A715" s="3">
        <f>708</f>
        <v>708</v>
      </c>
      <c r="B715" s="3" t="s">
        <v>717</v>
      </c>
      <c r="C715" s="3" t="s">
        <v>9</v>
      </c>
      <c r="D715" s="3" t="s">
        <v>9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/>
      <c r="P715" s="3"/>
      <c r="Q715" s="3"/>
    </row>
    <row r="716" spans="1:17" ht="15" x14ac:dyDescent="0.25">
      <c r="A716" s="3">
        <f>709</f>
        <v>709</v>
      </c>
      <c r="B716" s="3" t="s">
        <v>718</v>
      </c>
      <c r="C716" s="3" t="s">
        <v>9</v>
      </c>
      <c r="D716" s="3" t="s">
        <v>9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/>
      <c r="P716" s="3"/>
      <c r="Q716" s="3"/>
    </row>
    <row r="717" spans="1:17" ht="15" x14ac:dyDescent="0.25">
      <c r="A717" s="3">
        <f>710</f>
        <v>710</v>
      </c>
      <c r="B717" s="3" t="s">
        <v>719</v>
      </c>
      <c r="C717" s="3" t="s">
        <v>9</v>
      </c>
      <c r="D717" s="3" t="s">
        <v>9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/>
      <c r="P717" s="3"/>
      <c r="Q717" s="3"/>
    </row>
    <row r="718" spans="1:17" ht="15" x14ac:dyDescent="0.25">
      <c r="A718" s="3">
        <f>711</f>
        <v>711</v>
      </c>
      <c r="B718" s="3" t="s">
        <v>720</v>
      </c>
      <c r="C718" s="3" t="s">
        <v>9</v>
      </c>
      <c r="D718" s="3" t="s">
        <v>9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/>
      <c r="P718" s="3"/>
      <c r="Q718" s="3"/>
    </row>
    <row r="719" spans="1:17" ht="15" x14ac:dyDescent="0.25">
      <c r="A719" s="3">
        <f>712</f>
        <v>712</v>
      </c>
      <c r="B719" s="3" t="s">
        <v>721</v>
      </c>
      <c r="C719" s="3" t="s">
        <v>9</v>
      </c>
      <c r="D719" s="3" t="s">
        <v>9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/>
      <c r="P719" s="3"/>
      <c r="Q719" s="3"/>
    </row>
    <row r="720" spans="1:17" ht="15" x14ac:dyDescent="0.25">
      <c r="A720" s="3">
        <f>713</f>
        <v>713</v>
      </c>
      <c r="B720" s="3" t="s">
        <v>722</v>
      </c>
      <c r="C720" s="3" t="s">
        <v>9</v>
      </c>
      <c r="D720" s="3" t="s">
        <v>9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/>
      <c r="P720" s="3"/>
      <c r="Q720" s="3"/>
    </row>
    <row r="721" spans="1:17" ht="15" x14ac:dyDescent="0.25">
      <c r="A721" s="3">
        <f>714</f>
        <v>714</v>
      </c>
      <c r="B721" s="3" t="s">
        <v>723</v>
      </c>
      <c r="C721" s="3" t="s">
        <v>9</v>
      </c>
      <c r="D721" s="3" t="s">
        <v>9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/>
      <c r="P721" s="3"/>
      <c r="Q721" s="3"/>
    </row>
    <row r="722" spans="1:17" ht="15" x14ac:dyDescent="0.25">
      <c r="A722" s="3">
        <f>715</f>
        <v>715</v>
      </c>
      <c r="B722" s="3" t="s">
        <v>724</v>
      </c>
      <c r="C722" s="3" t="s">
        <v>9</v>
      </c>
      <c r="D722" s="3" t="s">
        <v>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/>
      <c r="P722" s="3"/>
      <c r="Q722" s="3"/>
    </row>
    <row r="723" spans="1:17" ht="15" x14ac:dyDescent="0.25">
      <c r="A723" s="3">
        <f>716</f>
        <v>716</v>
      </c>
      <c r="B723" s="3" t="s">
        <v>725</v>
      </c>
      <c r="C723" s="3" t="s">
        <v>9</v>
      </c>
      <c r="D723" s="3" t="s">
        <v>9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/>
      <c r="P723" s="3"/>
      <c r="Q723" s="3"/>
    </row>
    <row r="724" spans="1:17" ht="15" x14ac:dyDescent="0.25">
      <c r="A724" s="3">
        <f>717</f>
        <v>717</v>
      </c>
      <c r="B724" s="3" t="s">
        <v>726</v>
      </c>
      <c r="C724" s="3" t="s">
        <v>9</v>
      </c>
      <c r="D724" s="3" t="s">
        <v>9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/>
      <c r="P724" s="3"/>
      <c r="Q724" s="3"/>
    </row>
    <row r="725" spans="1:17" ht="15" x14ac:dyDescent="0.25">
      <c r="A725" s="3">
        <f>718</f>
        <v>718</v>
      </c>
      <c r="B725" s="3" t="s">
        <v>727</v>
      </c>
      <c r="C725" s="3" t="s">
        <v>9</v>
      </c>
      <c r="D725" s="3" t="s">
        <v>9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/>
      <c r="P725" s="3"/>
      <c r="Q725" s="3"/>
    </row>
    <row r="726" spans="1:17" ht="15" x14ac:dyDescent="0.25">
      <c r="A726" s="3">
        <f>719</f>
        <v>719</v>
      </c>
      <c r="B726" s="3" t="s">
        <v>728</v>
      </c>
      <c r="C726" s="3" t="s">
        <v>9</v>
      </c>
      <c r="D726" s="3" t="s">
        <v>9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/>
      <c r="P726" s="3"/>
      <c r="Q726" s="3"/>
    </row>
    <row r="727" spans="1:17" ht="15" x14ac:dyDescent="0.25">
      <c r="A727" s="3">
        <f>720</f>
        <v>720</v>
      </c>
      <c r="B727" s="3" t="s">
        <v>729</v>
      </c>
      <c r="C727" s="3" t="s">
        <v>9</v>
      </c>
      <c r="D727" s="3" t="s">
        <v>9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/>
      <c r="P727" s="3"/>
      <c r="Q727" s="3"/>
    </row>
    <row r="728" spans="1:17" ht="15" x14ac:dyDescent="0.25">
      <c r="A728" s="3">
        <f>721</f>
        <v>721</v>
      </c>
      <c r="B728" s="3" t="s">
        <v>730</v>
      </c>
      <c r="C728" s="3" t="s">
        <v>9</v>
      </c>
      <c r="D728" s="3" t="s">
        <v>9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/>
      <c r="P728" s="3"/>
      <c r="Q728" s="3"/>
    </row>
    <row r="729" spans="1:17" ht="15" x14ac:dyDescent="0.25">
      <c r="A729" s="3">
        <f>722</f>
        <v>722</v>
      </c>
      <c r="B729" s="3" t="s">
        <v>731</v>
      </c>
      <c r="C729" s="3" t="s">
        <v>9</v>
      </c>
      <c r="D729" s="3" t="s">
        <v>9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/>
      <c r="P729" s="3"/>
      <c r="Q729" s="3"/>
    </row>
    <row r="730" spans="1:17" ht="15" x14ac:dyDescent="0.25">
      <c r="A730" s="3">
        <f>723</f>
        <v>723</v>
      </c>
      <c r="B730" s="3" t="s">
        <v>732</v>
      </c>
      <c r="C730" s="3" t="s">
        <v>9</v>
      </c>
      <c r="D730" s="3" t="s">
        <v>9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/>
      <c r="P730" s="3"/>
      <c r="Q730" s="3"/>
    </row>
    <row r="731" spans="1:17" ht="15" x14ac:dyDescent="0.25">
      <c r="A731" s="3">
        <f>724</f>
        <v>724</v>
      </c>
      <c r="B731" s="3" t="s">
        <v>733</v>
      </c>
      <c r="C731" s="3" t="s">
        <v>10</v>
      </c>
      <c r="D731" s="3" t="s">
        <v>9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/>
      <c r="P731" s="3"/>
      <c r="Q731" s="3"/>
    </row>
    <row r="732" spans="1:17" ht="15" x14ac:dyDescent="0.25">
      <c r="A732" s="3">
        <f>725</f>
        <v>725</v>
      </c>
      <c r="B732" s="3" t="s">
        <v>734</v>
      </c>
      <c r="C732" s="3" t="s">
        <v>9</v>
      </c>
      <c r="D732" s="3" t="s">
        <v>10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/>
      <c r="P732" s="3"/>
      <c r="Q732" s="3"/>
    </row>
    <row r="733" spans="1:17" ht="15" x14ac:dyDescent="0.25">
      <c r="A733" s="3">
        <f>726</f>
        <v>726</v>
      </c>
      <c r="B733" s="3" t="s">
        <v>735</v>
      </c>
      <c r="C733" s="3" t="s">
        <v>9</v>
      </c>
      <c r="D733" s="3" t="s">
        <v>10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/>
      <c r="P733" s="3"/>
      <c r="Q733" s="3"/>
    </row>
    <row r="734" spans="1:17" ht="15" x14ac:dyDescent="0.25">
      <c r="A734" s="3">
        <f>727</f>
        <v>727</v>
      </c>
      <c r="B734" s="3" t="s">
        <v>736</v>
      </c>
      <c r="C734" s="3" t="s">
        <v>9</v>
      </c>
      <c r="D734" s="3" t="s">
        <v>10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/>
      <c r="P734" s="3"/>
      <c r="Q734" s="3"/>
    </row>
    <row r="735" spans="1:17" ht="15" x14ac:dyDescent="0.25">
      <c r="A735" s="3">
        <f>728</f>
        <v>728</v>
      </c>
      <c r="B735" s="3" t="s">
        <v>737</v>
      </c>
      <c r="C735" s="3" t="s">
        <v>9</v>
      </c>
      <c r="D735" s="3" t="s">
        <v>10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/>
      <c r="P735" s="3"/>
      <c r="Q735" s="3"/>
    </row>
    <row r="736" spans="1:17" ht="15" x14ac:dyDescent="0.25">
      <c r="A736" s="3">
        <f>729</f>
        <v>729</v>
      </c>
      <c r="B736" s="3" t="s">
        <v>738</v>
      </c>
      <c r="C736" s="3" t="s">
        <v>9</v>
      </c>
      <c r="D736" s="3" t="s">
        <v>10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/>
      <c r="P736" s="3"/>
      <c r="Q736" s="3"/>
    </row>
    <row r="737" spans="1:17" ht="15" x14ac:dyDescent="0.25">
      <c r="A737" s="3">
        <f>730</f>
        <v>730</v>
      </c>
      <c r="B737" s="3" t="s">
        <v>739</v>
      </c>
      <c r="C737" s="3" t="s">
        <v>9</v>
      </c>
      <c r="D737" s="3" t="s">
        <v>10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/>
      <c r="P737" s="3"/>
      <c r="Q737" s="3"/>
    </row>
    <row r="738" spans="1:17" ht="15" x14ac:dyDescent="0.25">
      <c r="A738" s="3">
        <f>731</f>
        <v>731</v>
      </c>
      <c r="B738" s="3" t="s">
        <v>740</v>
      </c>
      <c r="C738" s="3" t="s">
        <v>9</v>
      </c>
      <c r="D738" s="3" t="s">
        <v>10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/>
      <c r="P738" s="3"/>
      <c r="Q738" s="3"/>
    </row>
    <row r="739" spans="1:17" ht="15" x14ac:dyDescent="0.25">
      <c r="A739" s="3">
        <f>732</f>
        <v>732</v>
      </c>
      <c r="B739" s="3" t="s">
        <v>741</v>
      </c>
      <c r="C739" s="3" t="s">
        <v>9</v>
      </c>
      <c r="D739" s="3" t="s">
        <v>10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/>
      <c r="P739" s="3"/>
      <c r="Q739" s="3"/>
    </row>
    <row r="740" spans="1:17" ht="15" x14ac:dyDescent="0.25">
      <c r="A740" s="3">
        <f>733</f>
        <v>733</v>
      </c>
      <c r="B740" s="3" t="s">
        <v>742</v>
      </c>
      <c r="C740" s="3" t="s">
        <v>9</v>
      </c>
      <c r="D740" s="3" t="s">
        <v>10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/>
      <c r="P740" s="3"/>
      <c r="Q740" s="3"/>
    </row>
    <row r="741" spans="1:17" ht="15" x14ac:dyDescent="0.25">
      <c r="A741" s="3">
        <f>734</f>
        <v>734</v>
      </c>
      <c r="B741" s="3" t="s">
        <v>743</v>
      </c>
      <c r="C741" s="3" t="s">
        <v>9</v>
      </c>
      <c r="D741" s="3" t="s">
        <v>10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/>
      <c r="P741" s="3"/>
      <c r="Q741" s="3"/>
    </row>
    <row r="742" spans="1:17" ht="15" x14ac:dyDescent="0.25">
      <c r="A742" s="3">
        <f>735</f>
        <v>735</v>
      </c>
      <c r="B742" s="3" t="s">
        <v>744</v>
      </c>
      <c r="C742" s="3" t="s">
        <v>9</v>
      </c>
      <c r="D742" s="3" t="s">
        <v>10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/>
      <c r="P742" s="3"/>
      <c r="Q742" s="3"/>
    </row>
    <row r="743" spans="1:17" ht="15" x14ac:dyDescent="0.25">
      <c r="A743" s="3">
        <f>736</f>
        <v>736</v>
      </c>
      <c r="B743" s="3" t="s">
        <v>745</v>
      </c>
      <c r="C743" s="3" t="s">
        <v>9</v>
      </c>
      <c r="D743" s="3" t="s">
        <v>10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/>
      <c r="P743" s="3"/>
      <c r="Q743" s="3"/>
    </row>
    <row r="744" spans="1:17" ht="15" x14ac:dyDescent="0.25">
      <c r="A744" s="3">
        <f>737</f>
        <v>737</v>
      </c>
      <c r="B744" s="3" t="s">
        <v>746</v>
      </c>
      <c r="C744" s="3" t="s">
        <v>9</v>
      </c>
      <c r="D744" s="3" t="s">
        <v>10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/>
      <c r="P744" s="3"/>
      <c r="Q744" s="3"/>
    </row>
    <row r="745" spans="1:17" ht="15" x14ac:dyDescent="0.25">
      <c r="A745" s="3">
        <f>738</f>
        <v>738</v>
      </c>
      <c r="B745" s="3" t="s">
        <v>747</v>
      </c>
      <c r="C745" s="3" t="s">
        <v>9</v>
      </c>
      <c r="D745" s="3" t="s">
        <v>10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/>
      <c r="P745" s="3"/>
      <c r="Q745" s="3"/>
    </row>
    <row r="746" spans="1:17" ht="15" x14ac:dyDescent="0.25">
      <c r="A746" s="3">
        <f>739</f>
        <v>739</v>
      </c>
      <c r="B746" s="3" t="s">
        <v>748</v>
      </c>
      <c r="C746" s="3" t="s">
        <v>9</v>
      </c>
      <c r="D746" s="3" t="s">
        <v>10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/>
      <c r="P746" s="3"/>
      <c r="Q746" s="3"/>
    </row>
    <row r="747" spans="1:17" ht="15" x14ac:dyDescent="0.25">
      <c r="A747" s="3">
        <f>740</f>
        <v>740</v>
      </c>
      <c r="B747" s="3" t="s">
        <v>749</v>
      </c>
      <c r="C747" s="3" t="s">
        <v>9</v>
      </c>
      <c r="D747" s="3" t="s">
        <v>10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/>
      <c r="P747" s="3"/>
      <c r="Q747" s="3"/>
    </row>
    <row r="748" spans="1:17" ht="15" x14ac:dyDescent="0.25">
      <c r="A748" s="3">
        <f>741</f>
        <v>741</v>
      </c>
      <c r="B748" s="3" t="s">
        <v>750</v>
      </c>
      <c r="C748" s="3" t="s">
        <v>9</v>
      </c>
      <c r="D748" s="3" t="s">
        <v>10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/>
      <c r="P748" s="3"/>
      <c r="Q748" s="3"/>
    </row>
    <row r="749" spans="1:17" ht="15" x14ac:dyDescent="0.25">
      <c r="A749" s="3">
        <f>742</f>
        <v>742</v>
      </c>
      <c r="B749" s="3" t="s">
        <v>751</v>
      </c>
      <c r="C749" s="3" t="s">
        <v>9</v>
      </c>
      <c r="D749" s="3" t="s">
        <v>10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/>
      <c r="P749" s="3"/>
      <c r="Q749" s="3"/>
    </row>
    <row r="750" spans="1:17" ht="15" x14ac:dyDescent="0.25">
      <c r="A750" s="3">
        <f>743</f>
        <v>743</v>
      </c>
      <c r="B750" s="3" t="s">
        <v>752</v>
      </c>
      <c r="C750" s="3" t="s">
        <v>9</v>
      </c>
      <c r="D750" s="3" t="s">
        <v>10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/>
      <c r="P750" s="3"/>
      <c r="Q750" s="3"/>
    </row>
    <row r="751" spans="1:17" ht="15" x14ac:dyDescent="0.25">
      <c r="A751" s="3">
        <f>744</f>
        <v>744</v>
      </c>
      <c r="B751" s="3" t="s">
        <v>753</v>
      </c>
      <c r="C751" s="3" t="s">
        <v>9</v>
      </c>
      <c r="D751" s="3" t="s">
        <v>10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/>
      <c r="P751" s="3"/>
      <c r="Q751" s="3"/>
    </row>
    <row r="752" spans="1:17" ht="15" x14ac:dyDescent="0.25">
      <c r="A752" s="3">
        <f>745</f>
        <v>745</v>
      </c>
      <c r="B752" s="3" t="s">
        <v>754</v>
      </c>
      <c r="C752" s="3" t="s">
        <v>9</v>
      </c>
      <c r="D752" s="3" t="s">
        <v>10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/>
      <c r="P752" s="3"/>
      <c r="Q752" s="3"/>
    </row>
    <row r="753" spans="1:17" ht="15" x14ac:dyDescent="0.25">
      <c r="A753" s="3">
        <f>746</f>
        <v>746</v>
      </c>
      <c r="B753" s="3" t="s">
        <v>755</v>
      </c>
      <c r="C753" s="3" t="s">
        <v>9</v>
      </c>
      <c r="D753" s="3" t="s">
        <v>10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/>
      <c r="P753" s="3"/>
      <c r="Q753" s="3"/>
    </row>
    <row r="754" spans="1:17" ht="15" x14ac:dyDescent="0.25">
      <c r="A754" s="3">
        <f>747</f>
        <v>747</v>
      </c>
      <c r="B754" s="3" t="s">
        <v>756</v>
      </c>
      <c r="C754" s="3" t="s">
        <v>9</v>
      </c>
      <c r="D754" s="3" t="s">
        <v>10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/>
      <c r="P754" s="3"/>
      <c r="Q754" s="3"/>
    </row>
    <row r="755" spans="1:17" ht="15" x14ac:dyDescent="0.25">
      <c r="A755" s="3">
        <f>748</f>
        <v>748</v>
      </c>
      <c r="B755" s="3" t="s">
        <v>757</v>
      </c>
      <c r="C755" s="3" t="s">
        <v>9</v>
      </c>
      <c r="D755" s="3" t="s">
        <v>10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/>
      <c r="P755" s="3"/>
      <c r="Q755" s="3"/>
    </row>
    <row r="756" spans="1:17" ht="15" x14ac:dyDescent="0.25">
      <c r="A756" s="3">
        <f>749</f>
        <v>749</v>
      </c>
      <c r="B756" s="3" t="s">
        <v>758</v>
      </c>
      <c r="C756" s="3" t="s">
        <v>9</v>
      </c>
      <c r="D756" s="3" t="s">
        <v>10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/>
      <c r="P756" s="3"/>
      <c r="Q756" s="3"/>
    </row>
    <row r="757" spans="1:17" ht="15" x14ac:dyDescent="0.25">
      <c r="A757" s="3">
        <f>750</f>
        <v>750</v>
      </c>
      <c r="B757" s="3" t="s">
        <v>759</v>
      </c>
      <c r="C757" s="3" t="s">
        <v>9</v>
      </c>
      <c r="D757" s="3" t="s">
        <v>10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/>
      <c r="P757" s="3"/>
      <c r="Q757" s="3"/>
    </row>
    <row r="758" spans="1:17" ht="15" x14ac:dyDescent="0.25">
      <c r="A758" s="3">
        <f>751</f>
        <v>751</v>
      </c>
      <c r="B758" s="3" t="s">
        <v>760</v>
      </c>
      <c r="C758" s="3" t="s">
        <v>9</v>
      </c>
      <c r="D758" s="3" t="s">
        <v>10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/>
      <c r="P758" s="3"/>
      <c r="Q758" s="3"/>
    </row>
    <row r="759" spans="1:17" ht="15" x14ac:dyDescent="0.25">
      <c r="A759" s="3">
        <f>752</f>
        <v>752</v>
      </c>
      <c r="B759" s="3" t="s">
        <v>761</v>
      </c>
      <c r="C759" s="3" t="s">
        <v>9</v>
      </c>
      <c r="D759" s="3" t="s">
        <v>10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/>
      <c r="P759" s="3"/>
      <c r="Q759" s="3"/>
    </row>
    <row r="760" spans="1:17" ht="15" x14ac:dyDescent="0.25">
      <c r="A760" s="3">
        <f>753</f>
        <v>753</v>
      </c>
      <c r="B760" s="3" t="s">
        <v>762</v>
      </c>
      <c r="C760" s="3" t="s">
        <v>9</v>
      </c>
      <c r="D760" s="3" t="s">
        <v>10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/>
      <c r="P760" s="3"/>
      <c r="Q760" s="3"/>
    </row>
    <row r="761" spans="1:17" ht="15" x14ac:dyDescent="0.25">
      <c r="A761" s="3">
        <f>754</f>
        <v>754</v>
      </c>
      <c r="B761" s="3" t="s">
        <v>763</v>
      </c>
      <c r="C761" s="3" t="s">
        <v>9</v>
      </c>
      <c r="D761" s="3" t="s">
        <v>10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/>
      <c r="P761" s="3"/>
      <c r="Q761" s="3"/>
    </row>
    <row r="762" spans="1:17" ht="15" x14ac:dyDescent="0.25">
      <c r="A762" s="3">
        <f>755</f>
        <v>755</v>
      </c>
      <c r="B762" s="3" t="s">
        <v>764</v>
      </c>
      <c r="C762" s="3" t="s">
        <v>9</v>
      </c>
      <c r="D762" s="3" t="s">
        <v>10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/>
      <c r="P762" s="3"/>
      <c r="Q762" s="3"/>
    </row>
    <row r="763" spans="1:17" ht="15" x14ac:dyDescent="0.25">
      <c r="A763" s="3">
        <f>756</f>
        <v>756</v>
      </c>
      <c r="B763" s="3" t="s">
        <v>765</v>
      </c>
      <c r="C763" s="3" t="s">
        <v>9</v>
      </c>
      <c r="D763" s="3" t="s">
        <v>10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/>
      <c r="P763" s="3"/>
      <c r="Q763" s="3"/>
    </row>
    <row r="764" spans="1:17" ht="15" x14ac:dyDescent="0.25">
      <c r="A764" s="3">
        <f>757</f>
        <v>757</v>
      </c>
      <c r="B764" s="3" t="s">
        <v>766</v>
      </c>
      <c r="C764" s="3" t="s">
        <v>9</v>
      </c>
      <c r="D764" s="3" t="s">
        <v>10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/>
      <c r="P764" s="3"/>
      <c r="Q764" s="3"/>
    </row>
    <row r="765" spans="1:17" ht="15" x14ac:dyDescent="0.25">
      <c r="A765" s="3">
        <f>758</f>
        <v>758</v>
      </c>
      <c r="B765" s="3" t="s">
        <v>767</v>
      </c>
      <c r="C765" s="3" t="s">
        <v>9</v>
      </c>
      <c r="D765" s="3" t="s">
        <v>10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/>
      <c r="P765" s="3"/>
      <c r="Q765" s="3"/>
    </row>
    <row r="766" spans="1:17" ht="15" x14ac:dyDescent="0.25">
      <c r="A766" s="3">
        <f>759</f>
        <v>759</v>
      </c>
      <c r="B766" s="3" t="s">
        <v>768</v>
      </c>
      <c r="C766" s="3" t="s">
        <v>9</v>
      </c>
      <c r="D766" s="3" t="s">
        <v>10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/>
      <c r="P766" s="3"/>
      <c r="Q766" s="3"/>
    </row>
    <row r="767" spans="1:17" ht="15" x14ac:dyDescent="0.25">
      <c r="A767" s="3">
        <f>760</f>
        <v>760</v>
      </c>
      <c r="B767" s="3" t="s">
        <v>769</v>
      </c>
      <c r="C767" s="3" t="s">
        <v>9</v>
      </c>
      <c r="D767" s="3" t="s">
        <v>10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/>
      <c r="P767" s="3"/>
      <c r="Q767" s="3"/>
    </row>
    <row r="768" spans="1:17" ht="15" x14ac:dyDescent="0.25">
      <c r="A768" s="3">
        <f>761</f>
        <v>761</v>
      </c>
      <c r="B768" s="3" t="s">
        <v>770</v>
      </c>
      <c r="C768" s="3" t="s">
        <v>9</v>
      </c>
      <c r="D768" s="3" t="s">
        <v>10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/>
      <c r="P768" s="3"/>
      <c r="Q768" s="3"/>
    </row>
    <row r="769" spans="1:17" ht="15" x14ac:dyDescent="0.25">
      <c r="A769" s="3">
        <f>762</f>
        <v>762</v>
      </c>
      <c r="B769" s="3" t="s">
        <v>771</v>
      </c>
      <c r="C769" s="3" t="s">
        <v>9</v>
      </c>
      <c r="D769" s="3" t="s">
        <v>10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/>
      <c r="P769" s="3"/>
      <c r="Q769" s="3"/>
    </row>
    <row r="770" spans="1:17" ht="15" x14ac:dyDescent="0.25">
      <c r="A770" s="3">
        <f>763</f>
        <v>763</v>
      </c>
      <c r="B770" s="3" t="s">
        <v>772</v>
      </c>
      <c r="C770" s="3" t="s">
        <v>9</v>
      </c>
      <c r="D770" s="3" t="s">
        <v>10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/>
      <c r="P770" s="3"/>
      <c r="Q770" s="3"/>
    </row>
    <row r="771" spans="1:17" ht="15" x14ac:dyDescent="0.25">
      <c r="A771" s="3">
        <f>764</f>
        <v>764</v>
      </c>
      <c r="B771" s="3" t="s">
        <v>773</v>
      </c>
      <c r="C771" s="3" t="s">
        <v>9</v>
      </c>
      <c r="D771" s="3" t="s">
        <v>10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/>
      <c r="P771" s="3"/>
      <c r="Q771" s="3"/>
    </row>
    <row r="772" spans="1:17" ht="15" x14ac:dyDescent="0.25">
      <c r="A772" s="3">
        <f>765</f>
        <v>765</v>
      </c>
      <c r="B772" s="3" t="s">
        <v>774</v>
      </c>
      <c r="C772" s="3" t="s">
        <v>9</v>
      </c>
      <c r="D772" s="3" t="s">
        <v>10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/>
      <c r="P772" s="3"/>
      <c r="Q772" s="3"/>
    </row>
    <row r="773" spans="1:17" ht="15" x14ac:dyDescent="0.25">
      <c r="A773" s="3">
        <f>766</f>
        <v>766</v>
      </c>
      <c r="B773" s="3" t="s">
        <v>775</v>
      </c>
      <c r="C773" s="3" t="s">
        <v>9</v>
      </c>
      <c r="D773" s="3" t="s">
        <v>10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/>
      <c r="P773" s="3"/>
      <c r="Q773" s="3"/>
    </row>
    <row r="774" spans="1:17" ht="15" x14ac:dyDescent="0.25">
      <c r="A774" s="3">
        <f>767</f>
        <v>767</v>
      </c>
      <c r="B774" s="3" t="s">
        <v>776</v>
      </c>
      <c r="C774" s="3" t="s">
        <v>9</v>
      </c>
      <c r="D774" s="3" t="s">
        <v>10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/>
      <c r="P774" s="3"/>
      <c r="Q774" s="3"/>
    </row>
    <row r="775" spans="1:17" ht="15" x14ac:dyDescent="0.25">
      <c r="A775" s="3">
        <f>768</f>
        <v>768</v>
      </c>
      <c r="B775" s="3" t="s">
        <v>777</v>
      </c>
      <c r="C775" s="3" t="s">
        <v>9</v>
      </c>
      <c r="D775" s="3" t="s">
        <v>10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/>
      <c r="P775" s="3"/>
      <c r="Q775" s="3"/>
    </row>
    <row r="776" spans="1:17" ht="15" x14ac:dyDescent="0.25">
      <c r="A776" s="3">
        <f>769</f>
        <v>769</v>
      </c>
      <c r="B776" s="3" t="s">
        <v>778</v>
      </c>
      <c r="C776" s="3" t="s">
        <v>9</v>
      </c>
      <c r="D776" s="3" t="s">
        <v>10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/>
      <c r="P776" s="3"/>
      <c r="Q776" s="3"/>
    </row>
    <row r="777" spans="1:17" ht="15" x14ac:dyDescent="0.25">
      <c r="A777" s="3">
        <f>770</f>
        <v>770</v>
      </c>
      <c r="B777" s="3" t="s">
        <v>779</v>
      </c>
      <c r="C777" s="3" t="s">
        <v>9</v>
      </c>
      <c r="D777" s="3" t="s">
        <v>10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/>
      <c r="P777" s="3"/>
      <c r="Q777" s="3"/>
    </row>
    <row r="778" spans="1:17" ht="15" x14ac:dyDescent="0.25">
      <c r="A778" s="3">
        <f>771</f>
        <v>771</v>
      </c>
      <c r="B778" s="3" t="s">
        <v>780</v>
      </c>
      <c r="C778" s="3" t="s">
        <v>9</v>
      </c>
      <c r="D778" s="3" t="s">
        <v>10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/>
      <c r="P778" s="3"/>
      <c r="Q778" s="3"/>
    </row>
    <row r="779" spans="1:17" ht="15" x14ac:dyDescent="0.25">
      <c r="A779" s="3">
        <f>772</f>
        <v>772</v>
      </c>
      <c r="B779" s="3" t="s">
        <v>781</v>
      </c>
      <c r="C779" s="3" t="s">
        <v>9</v>
      </c>
      <c r="D779" s="3" t="s">
        <v>10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/>
      <c r="P779" s="3"/>
      <c r="Q779" s="3"/>
    </row>
    <row r="780" spans="1:17" ht="15" x14ac:dyDescent="0.25">
      <c r="A780" s="3">
        <f>773</f>
        <v>773</v>
      </c>
      <c r="B780" s="3" t="s">
        <v>782</v>
      </c>
      <c r="C780" s="3" t="s">
        <v>9</v>
      </c>
      <c r="D780" s="3" t="s">
        <v>10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/>
      <c r="P780" s="3"/>
      <c r="Q780" s="3"/>
    </row>
    <row r="781" spans="1:17" ht="15" x14ac:dyDescent="0.25">
      <c r="A781" s="3">
        <f>774</f>
        <v>774</v>
      </c>
      <c r="B781" s="3" t="s">
        <v>783</v>
      </c>
      <c r="C781" s="3" t="s">
        <v>9</v>
      </c>
      <c r="D781" s="3" t="s">
        <v>10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/>
      <c r="P781" s="3"/>
      <c r="Q781" s="3"/>
    </row>
    <row r="782" spans="1:17" ht="15" x14ac:dyDescent="0.25">
      <c r="A782" s="3">
        <f>775</f>
        <v>775</v>
      </c>
      <c r="B782" s="3" t="s">
        <v>784</v>
      </c>
      <c r="C782" s="3" t="s">
        <v>9</v>
      </c>
      <c r="D782" s="3" t="s">
        <v>10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/>
      <c r="P782" s="3"/>
      <c r="Q782" s="3"/>
    </row>
    <row r="783" spans="1:17" ht="15" x14ac:dyDescent="0.25">
      <c r="A783" s="3">
        <f>776</f>
        <v>776</v>
      </c>
      <c r="B783" s="3" t="s">
        <v>785</v>
      </c>
      <c r="C783" s="3" t="s">
        <v>9</v>
      </c>
      <c r="D783" s="3" t="s">
        <v>10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/>
      <c r="P783" s="3"/>
      <c r="Q783" s="3"/>
    </row>
    <row r="784" spans="1:17" ht="15" x14ac:dyDescent="0.25">
      <c r="A784" s="3">
        <f>777</f>
        <v>777</v>
      </c>
      <c r="B784" s="3" t="s">
        <v>786</v>
      </c>
      <c r="C784" s="3" t="s">
        <v>9</v>
      </c>
      <c r="D784" s="3" t="s">
        <v>10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/>
      <c r="P784" s="3"/>
      <c r="Q784" s="3"/>
    </row>
    <row r="785" spans="1:17" ht="15" x14ac:dyDescent="0.25">
      <c r="A785" s="3">
        <f>778</f>
        <v>778</v>
      </c>
      <c r="B785" s="3" t="s">
        <v>787</v>
      </c>
      <c r="C785" s="3" t="s">
        <v>9</v>
      </c>
      <c r="D785" s="3" t="s">
        <v>10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/>
      <c r="P785" s="3"/>
      <c r="Q785" s="3"/>
    </row>
    <row r="786" spans="1:17" ht="15" x14ac:dyDescent="0.25">
      <c r="A786" s="3">
        <f>779</f>
        <v>779</v>
      </c>
      <c r="B786" s="3" t="s">
        <v>788</v>
      </c>
      <c r="C786" s="3" t="s">
        <v>10</v>
      </c>
      <c r="D786" s="3" t="s">
        <v>9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/>
      <c r="P786" s="3"/>
      <c r="Q786" s="3"/>
    </row>
    <row r="787" spans="1:17" ht="15" x14ac:dyDescent="0.25">
      <c r="A787" s="3">
        <f>780</f>
        <v>780</v>
      </c>
      <c r="B787" s="3" t="s">
        <v>789</v>
      </c>
      <c r="C787" s="3" t="s">
        <v>10</v>
      </c>
      <c r="D787" s="3" t="s">
        <v>9</v>
      </c>
      <c r="E787" s="3">
        <v>1</v>
      </c>
      <c r="F787" s="3">
        <v>0</v>
      </c>
      <c r="G787" s="3">
        <v>1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/>
      <c r="P787" s="3"/>
      <c r="Q787" s="3"/>
    </row>
    <row r="788" spans="1:17" ht="15" x14ac:dyDescent="0.25">
      <c r="A788" s="3">
        <f>781</f>
        <v>781</v>
      </c>
      <c r="B788" s="3" t="s">
        <v>790</v>
      </c>
      <c r="C788" s="3" t="s">
        <v>10</v>
      </c>
      <c r="D788" s="3" t="s">
        <v>9</v>
      </c>
      <c r="E788" s="3">
        <v>1</v>
      </c>
      <c r="F788" s="3">
        <v>0</v>
      </c>
      <c r="G788" s="3">
        <v>1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/>
      <c r="P788" s="3"/>
      <c r="Q788" s="3"/>
    </row>
    <row r="789" spans="1:17" ht="15" x14ac:dyDescent="0.25">
      <c r="A789" s="3">
        <f>782</f>
        <v>782</v>
      </c>
      <c r="B789" s="3" t="s">
        <v>791</v>
      </c>
      <c r="C789" s="3" t="s">
        <v>10</v>
      </c>
      <c r="D789" s="3" t="s">
        <v>9</v>
      </c>
      <c r="E789" s="3">
        <v>1</v>
      </c>
      <c r="F789" s="3">
        <v>0</v>
      </c>
      <c r="G789" s="3">
        <v>1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/>
      <c r="P789" s="3"/>
      <c r="Q789" s="3"/>
    </row>
    <row r="790" spans="1:17" ht="15" x14ac:dyDescent="0.25">
      <c r="A790" s="3">
        <f>783</f>
        <v>783</v>
      </c>
      <c r="B790" s="3" t="s">
        <v>792</v>
      </c>
      <c r="C790" s="3" t="s">
        <v>10</v>
      </c>
      <c r="D790" s="3" t="s">
        <v>9</v>
      </c>
      <c r="E790" s="3">
        <v>1</v>
      </c>
      <c r="F790" s="3">
        <v>0</v>
      </c>
      <c r="G790" s="3">
        <v>1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/>
      <c r="P790" s="3"/>
      <c r="Q790" s="3"/>
    </row>
    <row r="791" spans="1:17" ht="15" x14ac:dyDescent="0.25">
      <c r="A791" s="3">
        <f>784</f>
        <v>784</v>
      </c>
      <c r="B791" s="3" t="s">
        <v>793</v>
      </c>
      <c r="C791" s="3" t="s">
        <v>10</v>
      </c>
      <c r="D791" s="3" t="s">
        <v>9</v>
      </c>
      <c r="E791" s="3">
        <v>1</v>
      </c>
      <c r="F791" s="3">
        <v>0</v>
      </c>
      <c r="G791" s="3">
        <v>1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/>
      <c r="P791" s="3"/>
      <c r="Q791" s="3"/>
    </row>
    <row r="792" spans="1:17" ht="15" x14ac:dyDescent="0.25">
      <c r="A792" s="3">
        <f>785</f>
        <v>785</v>
      </c>
      <c r="B792" s="3" t="s">
        <v>794</v>
      </c>
      <c r="C792" s="3" t="s">
        <v>10</v>
      </c>
      <c r="D792" s="3" t="s">
        <v>9</v>
      </c>
      <c r="E792" s="3">
        <v>1</v>
      </c>
      <c r="F792" s="3">
        <v>0</v>
      </c>
      <c r="G792" s="3">
        <v>1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/>
      <c r="P792" s="3"/>
      <c r="Q792" s="3"/>
    </row>
    <row r="793" spans="1:17" ht="15" x14ac:dyDescent="0.25">
      <c r="A793" s="3">
        <f>786</f>
        <v>786</v>
      </c>
      <c r="B793" s="3" t="s">
        <v>795</v>
      </c>
      <c r="C793" s="3" t="s">
        <v>10</v>
      </c>
      <c r="D793" s="3" t="s">
        <v>9</v>
      </c>
      <c r="E793" s="3">
        <v>1</v>
      </c>
      <c r="F793" s="3">
        <v>0</v>
      </c>
      <c r="G793" s="3">
        <v>1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/>
      <c r="P793" s="3"/>
      <c r="Q793" s="3"/>
    </row>
    <row r="794" spans="1:17" ht="15" x14ac:dyDescent="0.25">
      <c r="A794" s="3">
        <f>787</f>
        <v>787</v>
      </c>
      <c r="B794" s="3" t="s">
        <v>796</v>
      </c>
      <c r="C794" s="3" t="s">
        <v>10</v>
      </c>
      <c r="D794" s="3" t="s">
        <v>9</v>
      </c>
      <c r="E794" s="3">
        <v>1</v>
      </c>
      <c r="F794" s="3">
        <v>0</v>
      </c>
      <c r="G794" s="3">
        <v>1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/>
      <c r="P794" s="3"/>
      <c r="Q794" s="3"/>
    </row>
    <row r="795" spans="1:17" ht="15" x14ac:dyDescent="0.25">
      <c r="A795" s="3">
        <f>788</f>
        <v>788</v>
      </c>
      <c r="B795" s="3" t="s">
        <v>797</v>
      </c>
      <c r="C795" s="3" t="s">
        <v>10</v>
      </c>
      <c r="D795" s="3" t="s">
        <v>9</v>
      </c>
      <c r="E795" s="3">
        <v>1</v>
      </c>
      <c r="F795" s="3">
        <v>0</v>
      </c>
      <c r="G795" s="3">
        <v>1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/>
      <c r="P795" s="3"/>
      <c r="Q795" s="3"/>
    </row>
    <row r="796" spans="1:17" ht="15" x14ac:dyDescent="0.25">
      <c r="A796" s="3">
        <f>789</f>
        <v>789</v>
      </c>
      <c r="B796" s="3" t="s">
        <v>798</v>
      </c>
      <c r="C796" s="3" t="s">
        <v>10</v>
      </c>
      <c r="D796" s="3" t="s">
        <v>9</v>
      </c>
      <c r="E796" s="3">
        <v>1</v>
      </c>
      <c r="F796" s="3">
        <v>0</v>
      </c>
      <c r="G796" s="3">
        <v>1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/>
      <c r="P796" s="3"/>
      <c r="Q796" s="3"/>
    </row>
    <row r="797" spans="1:17" ht="15" x14ac:dyDescent="0.25">
      <c r="A797" s="3">
        <f>790</f>
        <v>790</v>
      </c>
      <c r="B797" s="3" t="s">
        <v>799</v>
      </c>
      <c r="C797" s="3" t="s">
        <v>10</v>
      </c>
      <c r="D797" s="3" t="s">
        <v>9</v>
      </c>
      <c r="E797" s="3">
        <v>1</v>
      </c>
      <c r="F797" s="3">
        <v>0</v>
      </c>
      <c r="G797" s="3">
        <v>1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/>
      <c r="P797" s="3"/>
      <c r="Q797" s="3"/>
    </row>
    <row r="798" spans="1:17" ht="15" x14ac:dyDescent="0.25">
      <c r="A798" s="3">
        <f>791</f>
        <v>791</v>
      </c>
      <c r="B798" s="3" t="s">
        <v>800</v>
      </c>
      <c r="C798" s="3" t="s">
        <v>10</v>
      </c>
      <c r="D798" s="3" t="s">
        <v>9</v>
      </c>
      <c r="E798" s="3">
        <v>1</v>
      </c>
      <c r="F798" s="3">
        <v>0</v>
      </c>
      <c r="G798" s="3">
        <v>1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/>
      <c r="P798" s="3"/>
      <c r="Q798" s="3"/>
    </row>
    <row r="799" spans="1:17" ht="15" x14ac:dyDescent="0.25">
      <c r="A799" s="3">
        <f>792</f>
        <v>792</v>
      </c>
      <c r="B799" s="3" t="s">
        <v>801</v>
      </c>
      <c r="C799" s="3" t="s">
        <v>10</v>
      </c>
      <c r="D799" s="3" t="s">
        <v>9</v>
      </c>
      <c r="E799" s="3">
        <v>1</v>
      </c>
      <c r="F799" s="3">
        <v>0</v>
      </c>
      <c r="G799" s="3">
        <v>1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/>
      <c r="P799" s="3"/>
      <c r="Q799" s="3"/>
    </row>
    <row r="800" spans="1:17" ht="15" x14ac:dyDescent="0.25">
      <c r="A800" s="3">
        <f>793</f>
        <v>793</v>
      </c>
      <c r="B800" s="3" t="s">
        <v>802</v>
      </c>
      <c r="C800" s="3" t="s">
        <v>10</v>
      </c>
      <c r="D800" s="3" t="s">
        <v>9</v>
      </c>
      <c r="E800" s="3">
        <v>1</v>
      </c>
      <c r="F800" s="3">
        <v>0</v>
      </c>
      <c r="G800" s="3">
        <v>1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/>
      <c r="P800" s="3"/>
      <c r="Q800" s="3"/>
    </row>
    <row r="801" spans="1:17" ht="15" x14ac:dyDescent="0.25">
      <c r="A801" s="3">
        <f>794</f>
        <v>794</v>
      </c>
      <c r="B801" s="3" t="s">
        <v>803</v>
      </c>
      <c r="C801" s="3" t="s">
        <v>10</v>
      </c>
      <c r="D801" s="3" t="s">
        <v>9</v>
      </c>
      <c r="E801" s="3">
        <v>1</v>
      </c>
      <c r="F801" s="3">
        <v>0</v>
      </c>
      <c r="G801" s="3">
        <v>1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/>
      <c r="P801" s="3"/>
      <c r="Q801" s="3"/>
    </row>
    <row r="802" spans="1:17" ht="15" x14ac:dyDescent="0.25">
      <c r="A802" s="3">
        <f>795</f>
        <v>795</v>
      </c>
      <c r="B802" s="3" t="s">
        <v>804</v>
      </c>
      <c r="C802" s="3" t="s">
        <v>10</v>
      </c>
      <c r="D802" s="3" t="s">
        <v>9</v>
      </c>
      <c r="E802" s="3">
        <v>1</v>
      </c>
      <c r="F802" s="3">
        <v>0</v>
      </c>
      <c r="G802" s="3">
        <v>1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/>
      <c r="P802" s="3"/>
      <c r="Q802" s="3"/>
    </row>
    <row r="803" spans="1:17" ht="15" x14ac:dyDescent="0.25">
      <c r="A803" s="3">
        <f>796</f>
        <v>796</v>
      </c>
      <c r="B803" s="3" t="s">
        <v>805</v>
      </c>
      <c r="C803" s="3" t="s">
        <v>10</v>
      </c>
      <c r="D803" s="3" t="s">
        <v>9</v>
      </c>
      <c r="E803" s="3">
        <v>1</v>
      </c>
      <c r="F803" s="3">
        <v>0</v>
      </c>
      <c r="G803" s="3">
        <v>1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/>
      <c r="P803" s="3"/>
      <c r="Q803" s="3"/>
    </row>
    <row r="804" spans="1:17" ht="15" x14ac:dyDescent="0.25">
      <c r="A804" s="3">
        <f>797</f>
        <v>797</v>
      </c>
      <c r="B804" s="3" t="s">
        <v>806</v>
      </c>
      <c r="C804" s="3" t="s">
        <v>10</v>
      </c>
      <c r="D804" s="3" t="s">
        <v>9</v>
      </c>
      <c r="E804" s="3">
        <v>1</v>
      </c>
      <c r="F804" s="3">
        <v>0</v>
      </c>
      <c r="G804" s="3">
        <v>1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/>
      <c r="P804" s="3"/>
      <c r="Q804" s="3"/>
    </row>
    <row r="805" spans="1:17" ht="15" x14ac:dyDescent="0.25">
      <c r="A805" s="3">
        <f>798</f>
        <v>798</v>
      </c>
      <c r="B805" s="3" t="s">
        <v>807</v>
      </c>
      <c r="C805" s="3" t="s">
        <v>10</v>
      </c>
      <c r="D805" s="3" t="s">
        <v>9</v>
      </c>
      <c r="E805" s="3">
        <v>1</v>
      </c>
      <c r="F805" s="3">
        <v>0</v>
      </c>
      <c r="G805" s="3">
        <v>1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/>
      <c r="P805" s="3"/>
      <c r="Q805" s="3"/>
    </row>
    <row r="806" spans="1:17" ht="15" x14ac:dyDescent="0.25">
      <c r="A806" s="3">
        <f>799</f>
        <v>799</v>
      </c>
      <c r="B806" s="3" t="s">
        <v>808</v>
      </c>
      <c r="C806" s="3" t="s">
        <v>10</v>
      </c>
      <c r="D806" s="3" t="s">
        <v>9</v>
      </c>
      <c r="E806" s="3">
        <v>1</v>
      </c>
      <c r="F806" s="3">
        <v>0</v>
      </c>
      <c r="G806" s="3">
        <v>1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/>
      <c r="P806" s="3"/>
      <c r="Q806" s="3"/>
    </row>
    <row r="807" spans="1:17" ht="15" x14ac:dyDescent="0.25">
      <c r="A807" s="3">
        <f>800</f>
        <v>800</v>
      </c>
      <c r="B807" s="3" t="s">
        <v>809</v>
      </c>
      <c r="C807" s="3" t="s">
        <v>10</v>
      </c>
      <c r="D807" s="3" t="s">
        <v>9</v>
      </c>
      <c r="E807" s="3">
        <v>1</v>
      </c>
      <c r="F807" s="3">
        <v>0</v>
      </c>
      <c r="G807" s="3">
        <v>1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/>
      <c r="P807" s="3"/>
      <c r="Q807" s="3"/>
    </row>
    <row r="808" spans="1:17" ht="15" x14ac:dyDescent="0.25">
      <c r="A808" s="3">
        <f>801</f>
        <v>801</v>
      </c>
      <c r="B808" s="3" t="s">
        <v>810</v>
      </c>
      <c r="C808" s="3" t="s">
        <v>10</v>
      </c>
      <c r="D808" s="3" t="s">
        <v>9</v>
      </c>
      <c r="E808" s="3">
        <v>1</v>
      </c>
      <c r="F808" s="3">
        <v>0</v>
      </c>
      <c r="G808" s="3">
        <v>1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/>
      <c r="P808" s="3"/>
      <c r="Q808" s="3"/>
    </row>
    <row r="809" spans="1:17" ht="15" x14ac:dyDescent="0.25">
      <c r="A809" s="3">
        <f>802</f>
        <v>802</v>
      </c>
      <c r="B809" s="3" t="s">
        <v>811</v>
      </c>
      <c r="C809" s="3" t="s">
        <v>10</v>
      </c>
      <c r="D809" s="3" t="s">
        <v>9</v>
      </c>
      <c r="E809" s="3">
        <v>1</v>
      </c>
      <c r="F809" s="3">
        <v>0</v>
      </c>
      <c r="G809" s="3">
        <v>1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/>
      <c r="P809" s="3"/>
      <c r="Q809" s="3"/>
    </row>
    <row r="810" spans="1:17" ht="15" x14ac:dyDescent="0.25">
      <c r="A810" s="3">
        <f>803</f>
        <v>803</v>
      </c>
      <c r="B810" s="3" t="s">
        <v>812</v>
      </c>
      <c r="C810" s="3" t="s">
        <v>10</v>
      </c>
      <c r="D810" s="3" t="s">
        <v>9</v>
      </c>
      <c r="E810" s="3">
        <v>1</v>
      </c>
      <c r="F810" s="3">
        <v>0</v>
      </c>
      <c r="G810" s="3">
        <v>1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/>
      <c r="P810" s="3"/>
      <c r="Q810" s="3"/>
    </row>
    <row r="811" spans="1:17" ht="15" x14ac:dyDescent="0.25">
      <c r="A811" s="3">
        <f>804</f>
        <v>804</v>
      </c>
      <c r="B811" s="3" t="s">
        <v>813</v>
      </c>
      <c r="C811" s="3" t="s">
        <v>10</v>
      </c>
      <c r="D811" s="3" t="s">
        <v>9</v>
      </c>
      <c r="E811" s="3">
        <v>1</v>
      </c>
      <c r="F811" s="3">
        <v>0</v>
      </c>
      <c r="G811" s="3">
        <v>1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/>
      <c r="P811" s="3"/>
      <c r="Q811" s="3"/>
    </row>
    <row r="812" spans="1:17" ht="15" x14ac:dyDescent="0.25">
      <c r="A812" s="3">
        <f>805</f>
        <v>805</v>
      </c>
      <c r="B812" s="3" t="s">
        <v>814</v>
      </c>
      <c r="C812" s="3" t="s">
        <v>10</v>
      </c>
      <c r="D812" s="3" t="s">
        <v>9</v>
      </c>
      <c r="E812" s="3">
        <v>1</v>
      </c>
      <c r="F812" s="3">
        <v>0</v>
      </c>
      <c r="G812" s="3">
        <v>1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/>
      <c r="P812" s="3"/>
      <c r="Q812" s="3"/>
    </row>
    <row r="813" spans="1:17" ht="15" x14ac:dyDescent="0.25">
      <c r="A813" s="3">
        <f>806</f>
        <v>806</v>
      </c>
      <c r="B813" s="3" t="s">
        <v>815</v>
      </c>
      <c r="C813" s="3" t="s">
        <v>10</v>
      </c>
      <c r="D813" s="3" t="s">
        <v>9</v>
      </c>
      <c r="E813" s="3">
        <v>1</v>
      </c>
      <c r="F813" s="3">
        <v>0</v>
      </c>
      <c r="G813" s="3">
        <v>1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/>
      <c r="P813" s="3"/>
      <c r="Q813" s="3"/>
    </row>
    <row r="814" spans="1:17" ht="15" x14ac:dyDescent="0.25">
      <c r="A814" s="3">
        <f>807</f>
        <v>807</v>
      </c>
      <c r="B814" s="3" t="s">
        <v>816</v>
      </c>
      <c r="C814" s="3" t="s">
        <v>10</v>
      </c>
      <c r="D814" s="3" t="s">
        <v>9</v>
      </c>
      <c r="E814" s="3">
        <v>1</v>
      </c>
      <c r="F814" s="3">
        <v>0</v>
      </c>
      <c r="G814" s="3">
        <v>1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/>
      <c r="P814" s="3"/>
      <c r="Q814" s="3"/>
    </row>
    <row r="815" spans="1:17" ht="15" x14ac:dyDescent="0.25">
      <c r="A815" s="3">
        <f>808</f>
        <v>808</v>
      </c>
      <c r="B815" s="3" t="s">
        <v>817</v>
      </c>
      <c r="C815" s="3" t="s">
        <v>10</v>
      </c>
      <c r="D815" s="3" t="s">
        <v>9</v>
      </c>
      <c r="E815" s="3">
        <v>1</v>
      </c>
      <c r="F815" s="3">
        <v>0</v>
      </c>
      <c r="G815" s="3">
        <v>1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/>
      <c r="P815" s="3"/>
      <c r="Q815" s="3"/>
    </row>
    <row r="816" spans="1:17" ht="15" x14ac:dyDescent="0.25">
      <c r="A816" s="3">
        <f>809</f>
        <v>809</v>
      </c>
      <c r="B816" s="3" t="s">
        <v>818</v>
      </c>
      <c r="C816" s="3" t="s">
        <v>10</v>
      </c>
      <c r="D816" s="3" t="s">
        <v>9</v>
      </c>
      <c r="E816" s="3">
        <v>1</v>
      </c>
      <c r="F816" s="3">
        <v>0</v>
      </c>
      <c r="G816" s="3">
        <v>1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/>
      <c r="P816" s="3"/>
      <c r="Q816" s="3"/>
    </row>
    <row r="817" spans="1:17" ht="15" x14ac:dyDescent="0.25">
      <c r="A817" s="3">
        <f>810</f>
        <v>810</v>
      </c>
      <c r="B817" s="3" t="s">
        <v>819</v>
      </c>
      <c r="C817" s="3" t="s">
        <v>10</v>
      </c>
      <c r="D817" s="3" t="s">
        <v>9</v>
      </c>
      <c r="E817" s="3">
        <v>1</v>
      </c>
      <c r="F817" s="3">
        <v>0</v>
      </c>
      <c r="G817" s="3">
        <v>1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/>
      <c r="P817" s="3"/>
      <c r="Q817" s="3"/>
    </row>
    <row r="818" spans="1:17" ht="15" x14ac:dyDescent="0.25">
      <c r="A818" s="3">
        <f>811</f>
        <v>811</v>
      </c>
      <c r="B818" s="3" t="s">
        <v>820</v>
      </c>
      <c r="C818" s="3" t="s">
        <v>10</v>
      </c>
      <c r="D818" s="3" t="s">
        <v>9</v>
      </c>
      <c r="E818" s="3">
        <v>1</v>
      </c>
      <c r="F818" s="3">
        <v>0</v>
      </c>
      <c r="G818" s="3">
        <v>1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/>
      <c r="P818" s="3"/>
      <c r="Q818" s="3"/>
    </row>
    <row r="819" spans="1:17" ht="15" x14ac:dyDescent="0.25">
      <c r="A819" s="3">
        <f>812</f>
        <v>812</v>
      </c>
      <c r="B819" s="3" t="s">
        <v>821</v>
      </c>
      <c r="C819" s="3" t="s">
        <v>10</v>
      </c>
      <c r="D819" s="3" t="s">
        <v>9</v>
      </c>
      <c r="E819" s="3">
        <v>1</v>
      </c>
      <c r="F819" s="3">
        <v>0</v>
      </c>
      <c r="G819" s="3">
        <v>1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/>
      <c r="P819" s="3"/>
      <c r="Q819" s="3"/>
    </row>
    <row r="820" spans="1:17" ht="15" x14ac:dyDescent="0.25">
      <c r="A820" s="3">
        <f>813</f>
        <v>813</v>
      </c>
      <c r="B820" s="3" t="s">
        <v>822</v>
      </c>
      <c r="C820" s="3" t="s">
        <v>10</v>
      </c>
      <c r="D820" s="3" t="s">
        <v>9</v>
      </c>
      <c r="E820" s="3">
        <v>1</v>
      </c>
      <c r="F820" s="3">
        <v>0</v>
      </c>
      <c r="G820" s="3">
        <v>1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/>
      <c r="P820" s="3"/>
      <c r="Q820" s="3"/>
    </row>
    <row r="821" spans="1:17" ht="15" x14ac:dyDescent="0.25">
      <c r="A821" s="3">
        <f>814</f>
        <v>814</v>
      </c>
      <c r="B821" s="3" t="s">
        <v>823</v>
      </c>
      <c r="C821" s="3" t="s">
        <v>10</v>
      </c>
      <c r="D821" s="3" t="s">
        <v>9</v>
      </c>
      <c r="E821" s="3">
        <v>1</v>
      </c>
      <c r="F821" s="3">
        <v>0</v>
      </c>
      <c r="G821" s="3">
        <v>1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/>
      <c r="P821" s="3"/>
      <c r="Q821" s="3"/>
    </row>
    <row r="822" spans="1:17" ht="15" x14ac:dyDescent="0.25">
      <c r="A822" s="3">
        <f>815</f>
        <v>815</v>
      </c>
      <c r="B822" s="3" t="s">
        <v>824</v>
      </c>
      <c r="C822" s="3" t="s">
        <v>10</v>
      </c>
      <c r="D822" s="3" t="s">
        <v>9</v>
      </c>
      <c r="E822" s="3">
        <v>1</v>
      </c>
      <c r="F822" s="3">
        <v>0</v>
      </c>
      <c r="G822" s="3">
        <v>1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/>
      <c r="P822" s="3"/>
      <c r="Q822" s="3"/>
    </row>
    <row r="823" spans="1:17" ht="15" x14ac:dyDescent="0.25">
      <c r="A823" s="3">
        <f>816</f>
        <v>816</v>
      </c>
      <c r="B823" s="3" t="s">
        <v>825</v>
      </c>
      <c r="C823" s="3" t="s">
        <v>10</v>
      </c>
      <c r="D823" s="3" t="s">
        <v>9</v>
      </c>
      <c r="E823" s="3">
        <v>1</v>
      </c>
      <c r="F823" s="3">
        <v>0</v>
      </c>
      <c r="G823" s="3">
        <v>1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/>
      <c r="P823" s="3"/>
      <c r="Q823" s="3"/>
    </row>
    <row r="824" spans="1:17" ht="15" x14ac:dyDescent="0.25">
      <c r="A824" s="3">
        <f>817</f>
        <v>817</v>
      </c>
      <c r="B824" s="3" t="s">
        <v>826</v>
      </c>
      <c r="C824" s="3" t="s">
        <v>10</v>
      </c>
      <c r="D824" s="3" t="s">
        <v>9</v>
      </c>
      <c r="E824" s="3">
        <v>1</v>
      </c>
      <c r="F824" s="3">
        <v>0</v>
      </c>
      <c r="G824" s="3">
        <v>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/>
      <c r="P824" s="3"/>
      <c r="Q824" s="3"/>
    </row>
    <row r="825" spans="1:17" ht="15" x14ac:dyDescent="0.25">
      <c r="A825" s="3">
        <f>818</f>
        <v>818</v>
      </c>
      <c r="B825" s="3" t="s">
        <v>827</v>
      </c>
      <c r="C825" s="3" t="s">
        <v>10</v>
      </c>
      <c r="D825" s="3" t="s">
        <v>9</v>
      </c>
      <c r="E825" s="3">
        <v>1</v>
      </c>
      <c r="F825" s="3">
        <v>0</v>
      </c>
      <c r="G825" s="3">
        <v>1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/>
      <c r="P825" s="3"/>
      <c r="Q825" s="3"/>
    </row>
    <row r="826" spans="1:17" ht="15" x14ac:dyDescent="0.25">
      <c r="A826" s="3">
        <f>819</f>
        <v>819</v>
      </c>
      <c r="B826" s="3" t="s">
        <v>828</v>
      </c>
      <c r="C826" s="3" t="s">
        <v>10</v>
      </c>
      <c r="D826" s="3" t="s">
        <v>9</v>
      </c>
      <c r="E826" s="3">
        <v>1</v>
      </c>
      <c r="F826" s="3">
        <v>0</v>
      </c>
      <c r="G826" s="3">
        <v>1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/>
      <c r="P826" s="3"/>
      <c r="Q826" s="3"/>
    </row>
    <row r="827" spans="1:17" ht="15" x14ac:dyDescent="0.25">
      <c r="A827" s="3">
        <f>820</f>
        <v>820</v>
      </c>
      <c r="B827" s="3" t="s">
        <v>829</v>
      </c>
      <c r="C827" s="3" t="s">
        <v>10</v>
      </c>
      <c r="D827" s="3" t="s">
        <v>9</v>
      </c>
      <c r="E827" s="3">
        <v>1</v>
      </c>
      <c r="F827" s="3">
        <v>0</v>
      </c>
      <c r="G827" s="3">
        <v>1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/>
      <c r="P827" s="3"/>
      <c r="Q827" s="3"/>
    </row>
    <row r="828" spans="1:17" ht="15" x14ac:dyDescent="0.25">
      <c r="A828" s="3">
        <f>821</f>
        <v>821</v>
      </c>
      <c r="B828" s="3" t="s">
        <v>830</v>
      </c>
      <c r="C828" s="3" t="s">
        <v>10</v>
      </c>
      <c r="D828" s="3" t="s">
        <v>9</v>
      </c>
      <c r="E828" s="3">
        <v>1</v>
      </c>
      <c r="F828" s="3">
        <v>0</v>
      </c>
      <c r="G828" s="3">
        <v>1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/>
      <c r="P828" s="3"/>
      <c r="Q828" s="3"/>
    </row>
    <row r="829" spans="1:17" ht="15" x14ac:dyDescent="0.25">
      <c r="A829" s="3">
        <f>822</f>
        <v>822</v>
      </c>
      <c r="B829" s="3" t="s">
        <v>831</v>
      </c>
      <c r="C829" s="3" t="s">
        <v>10</v>
      </c>
      <c r="D829" s="3" t="s">
        <v>9</v>
      </c>
      <c r="E829" s="3">
        <v>1</v>
      </c>
      <c r="F829" s="3">
        <v>0</v>
      </c>
      <c r="G829" s="3">
        <v>1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/>
      <c r="P829" s="3"/>
      <c r="Q829" s="3"/>
    </row>
    <row r="830" spans="1:17" ht="15" x14ac:dyDescent="0.25">
      <c r="A830" s="3">
        <f>823</f>
        <v>823</v>
      </c>
      <c r="B830" s="3" t="s">
        <v>832</v>
      </c>
      <c r="C830" s="3" t="s">
        <v>10</v>
      </c>
      <c r="D830" s="3" t="s">
        <v>9</v>
      </c>
      <c r="E830" s="3">
        <v>1</v>
      </c>
      <c r="F830" s="3">
        <v>0</v>
      </c>
      <c r="G830" s="3">
        <v>1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/>
      <c r="P830" s="3"/>
      <c r="Q830" s="3"/>
    </row>
    <row r="831" spans="1:17" ht="15" x14ac:dyDescent="0.25">
      <c r="A831" s="3">
        <f>824</f>
        <v>824</v>
      </c>
      <c r="B831" s="3" t="s">
        <v>833</v>
      </c>
      <c r="C831" s="3" t="s">
        <v>10</v>
      </c>
      <c r="D831" s="3" t="s">
        <v>9</v>
      </c>
      <c r="E831" s="3">
        <v>1</v>
      </c>
      <c r="F831" s="3">
        <v>0</v>
      </c>
      <c r="G831" s="3">
        <v>1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/>
      <c r="P831" s="3"/>
      <c r="Q831" s="3"/>
    </row>
    <row r="832" spans="1:17" ht="15" x14ac:dyDescent="0.25">
      <c r="A832" s="3">
        <f>825</f>
        <v>825</v>
      </c>
      <c r="B832" s="3" t="s">
        <v>834</v>
      </c>
      <c r="C832" s="3" t="s">
        <v>10</v>
      </c>
      <c r="D832" s="3" t="s">
        <v>9</v>
      </c>
      <c r="E832" s="3">
        <v>1</v>
      </c>
      <c r="F832" s="3">
        <v>0</v>
      </c>
      <c r="G832" s="3">
        <v>1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/>
      <c r="P832" s="3"/>
      <c r="Q832" s="3"/>
    </row>
    <row r="833" spans="1:17" ht="15" x14ac:dyDescent="0.25">
      <c r="A833" s="3">
        <f>826</f>
        <v>826</v>
      </c>
      <c r="B833" s="3" t="s">
        <v>835</v>
      </c>
      <c r="C833" s="3" t="s">
        <v>10</v>
      </c>
      <c r="D833" s="3" t="s">
        <v>9</v>
      </c>
      <c r="E833" s="3">
        <v>1</v>
      </c>
      <c r="F833" s="3">
        <v>0</v>
      </c>
      <c r="G833" s="3">
        <v>1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/>
      <c r="P833" s="3"/>
      <c r="Q833" s="3"/>
    </row>
    <row r="834" spans="1:17" ht="15" x14ac:dyDescent="0.25">
      <c r="A834" s="3">
        <f>827</f>
        <v>827</v>
      </c>
      <c r="B834" s="3" t="s">
        <v>836</v>
      </c>
      <c r="C834" s="3" t="s">
        <v>10</v>
      </c>
      <c r="D834" s="3" t="s">
        <v>9</v>
      </c>
      <c r="E834" s="3">
        <v>1</v>
      </c>
      <c r="F834" s="3">
        <v>0</v>
      </c>
      <c r="G834" s="3">
        <v>1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/>
      <c r="P834" s="3"/>
      <c r="Q834" s="3"/>
    </row>
    <row r="835" spans="1:17" ht="15" x14ac:dyDescent="0.25">
      <c r="A835" s="3">
        <f>828</f>
        <v>828</v>
      </c>
      <c r="B835" s="3" t="s">
        <v>837</v>
      </c>
      <c r="C835" s="3" t="s">
        <v>10</v>
      </c>
      <c r="D835" s="3" t="s">
        <v>9</v>
      </c>
      <c r="E835" s="3">
        <v>1</v>
      </c>
      <c r="F835" s="3">
        <v>0</v>
      </c>
      <c r="G835" s="3">
        <v>1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/>
      <c r="P835" s="3"/>
      <c r="Q835" s="3"/>
    </row>
    <row r="836" spans="1:17" ht="15" x14ac:dyDescent="0.25">
      <c r="A836" s="3">
        <f>829</f>
        <v>829</v>
      </c>
      <c r="B836" s="3" t="s">
        <v>838</v>
      </c>
      <c r="C836" s="3" t="s">
        <v>10</v>
      </c>
      <c r="D836" s="3" t="s">
        <v>9</v>
      </c>
      <c r="E836" s="3">
        <v>1</v>
      </c>
      <c r="F836" s="3">
        <v>0</v>
      </c>
      <c r="G836" s="3">
        <v>1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/>
      <c r="P836" s="3"/>
      <c r="Q836" s="3"/>
    </row>
    <row r="837" spans="1:17" ht="15" x14ac:dyDescent="0.25">
      <c r="A837" s="3">
        <f>830</f>
        <v>830</v>
      </c>
      <c r="B837" s="3" t="s">
        <v>839</v>
      </c>
      <c r="C837" s="3" t="s">
        <v>10</v>
      </c>
      <c r="D837" s="3" t="s">
        <v>9</v>
      </c>
      <c r="E837" s="3">
        <v>1</v>
      </c>
      <c r="F837" s="3">
        <v>0</v>
      </c>
      <c r="G837" s="3">
        <v>1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/>
      <c r="P837" s="3"/>
      <c r="Q837" s="3"/>
    </row>
    <row r="838" spans="1:17" ht="15" x14ac:dyDescent="0.25">
      <c r="A838" s="3">
        <f>831</f>
        <v>831</v>
      </c>
      <c r="B838" s="3" t="s">
        <v>840</v>
      </c>
      <c r="C838" s="3" t="s">
        <v>10</v>
      </c>
      <c r="D838" s="3" t="s">
        <v>9</v>
      </c>
      <c r="E838" s="3">
        <v>1</v>
      </c>
      <c r="F838" s="3">
        <v>0</v>
      </c>
      <c r="G838" s="3">
        <v>1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/>
      <c r="P838" s="3"/>
      <c r="Q838" s="3"/>
    </row>
    <row r="839" spans="1:17" ht="15" x14ac:dyDescent="0.25">
      <c r="A839" s="3">
        <f>832</f>
        <v>832</v>
      </c>
      <c r="B839" s="3" t="s">
        <v>841</v>
      </c>
      <c r="C839" s="3" t="s">
        <v>10</v>
      </c>
      <c r="D839" s="3" t="s">
        <v>9</v>
      </c>
      <c r="E839" s="3">
        <v>1</v>
      </c>
      <c r="F839" s="3">
        <v>0</v>
      </c>
      <c r="G839" s="3">
        <v>1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/>
      <c r="P839" s="3"/>
      <c r="Q839" s="3"/>
    </row>
    <row r="840" spans="1:17" ht="15" x14ac:dyDescent="0.25">
      <c r="A840" s="3">
        <f>833</f>
        <v>833</v>
      </c>
      <c r="B840" s="3" t="s">
        <v>842</v>
      </c>
      <c r="C840" s="3" t="s">
        <v>10</v>
      </c>
      <c r="D840" s="3" t="s">
        <v>9</v>
      </c>
      <c r="E840" s="3">
        <v>1</v>
      </c>
      <c r="F840" s="3">
        <v>0</v>
      </c>
      <c r="G840" s="3">
        <v>1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/>
      <c r="P840" s="3"/>
      <c r="Q840" s="3"/>
    </row>
    <row r="841" spans="1:17" ht="15" x14ac:dyDescent="0.25">
      <c r="A841" s="3">
        <f>834</f>
        <v>834</v>
      </c>
      <c r="B841" s="3" t="s">
        <v>843</v>
      </c>
      <c r="C841" s="3" t="s">
        <v>10</v>
      </c>
      <c r="D841" s="3" t="s">
        <v>9</v>
      </c>
      <c r="E841" s="3">
        <v>1</v>
      </c>
      <c r="F841" s="3">
        <v>0</v>
      </c>
      <c r="G841" s="3">
        <v>1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/>
      <c r="P841" s="3"/>
      <c r="Q841" s="3"/>
    </row>
    <row r="842" spans="1:17" ht="15" x14ac:dyDescent="0.25">
      <c r="A842" s="3">
        <f>835</f>
        <v>835</v>
      </c>
      <c r="B842" s="3" t="s">
        <v>844</v>
      </c>
      <c r="C842" s="3" t="s">
        <v>10</v>
      </c>
      <c r="D842" s="3" t="s">
        <v>9</v>
      </c>
      <c r="E842" s="3">
        <v>1</v>
      </c>
      <c r="F842" s="3">
        <v>0</v>
      </c>
      <c r="G842" s="3">
        <v>1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/>
      <c r="P842" s="3"/>
      <c r="Q842" s="3"/>
    </row>
    <row r="843" spans="1:17" ht="15" x14ac:dyDescent="0.25">
      <c r="A843" s="3">
        <f>836</f>
        <v>836</v>
      </c>
      <c r="B843" s="3" t="s">
        <v>845</v>
      </c>
      <c r="C843" s="3" t="s">
        <v>10</v>
      </c>
      <c r="D843" s="3" t="s">
        <v>9</v>
      </c>
      <c r="E843" s="3">
        <v>1</v>
      </c>
      <c r="F843" s="3">
        <v>0</v>
      </c>
      <c r="G843" s="3">
        <v>1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/>
      <c r="P843" s="3"/>
      <c r="Q843" s="3"/>
    </row>
    <row r="844" spans="1:17" ht="15" x14ac:dyDescent="0.25">
      <c r="A844" s="3">
        <f>837</f>
        <v>837</v>
      </c>
      <c r="B844" s="3" t="s">
        <v>846</v>
      </c>
      <c r="C844" s="3" t="s">
        <v>10</v>
      </c>
      <c r="D844" s="3" t="s">
        <v>9</v>
      </c>
      <c r="E844" s="3">
        <v>1</v>
      </c>
      <c r="F844" s="3">
        <v>0</v>
      </c>
      <c r="G844" s="3">
        <v>1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/>
      <c r="P844" s="3"/>
      <c r="Q844" s="3"/>
    </row>
    <row r="845" spans="1:17" ht="15" x14ac:dyDescent="0.25">
      <c r="A845" s="3">
        <f>838</f>
        <v>838</v>
      </c>
      <c r="B845" s="3" t="s">
        <v>847</v>
      </c>
      <c r="C845" s="3" t="s">
        <v>10</v>
      </c>
      <c r="D845" s="3" t="s">
        <v>9</v>
      </c>
      <c r="E845" s="3">
        <v>1</v>
      </c>
      <c r="F845" s="3">
        <v>0</v>
      </c>
      <c r="G845" s="3">
        <v>1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/>
      <c r="P845" s="3"/>
      <c r="Q845" s="3"/>
    </row>
    <row r="846" spans="1:17" ht="15" x14ac:dyDescent="0.25">
      <c r="A846" s="3">
        <f>839</f>
        <v>839</v>
      </c>
      <c r="B846" s="3" t="s">
        <v>848</v>
      </c>
      <c r="C846" s="3" t="s">
        <v>10</v>
      </c>
      <c r="D846" s="3" t="s">
        <v>9</v>
      </c>
      <c r="E846" s="3">
        <v>1</v>
      </c>
      <c r="F846" s="3">
        <v>0</v>
      </c>
      <c r="G846" s="3">
        <v>1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/>
      <c r="P846" s="3"/>
      <c r="Q846" s="3"/>
    </row>
    <row r="847" spans="1:17" ht="15" x14ac:dyDescent="0.25">
      <c r="A847" s="3">
        <f>840</f>
        <v>840</v>
      </c>
      <c r="B847" s="3" t="s">
        <v>849</v>
      </c>
      <c r="C847" s="3" t="s">
        <v>10</v>
      </c>
      <c r="D847" s="3" t="s">
        <v>9</v>
      </c>
      <c r="E847" s="3">
        <v>1</v>
      </c>
      <c r="F847" s="3">
        <v>0</v>
      </c>
      <c r="G847" s="3">
        <v>1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/>
      <c r="P847" s="3"/>
      <c r="Q847" s="3"/>
    </row>
    <row r="848" spans="1:17" ht="15" x14ac:dyDescent="0.25">
      <c r="A848" s="3">
        <f>841</f>
        <v>841</v>
      </c>
      <c r="B848" s="3" t="s">
        <v>850</v>
      </c>
      <c r="C848" s="3" t="s">
        <v>10</v>
      </c>
      <c r="D848" s="3" t="s">
        <v>9</v>
      </c>
      <c r="E848" s="3">
        <v>1</v>
      </c>
      <c r="F848" s="3">
        <v>0</v>
      </c>
      <c r="G848" s="3">
        <v>1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/>
      <c r="P848" s="3"/>
      <c r="Q848" s="3"/>
    </row>
    <row r="849" spans="1:17" ht="15" x14ac:dyDescent="0.25">
      <c r="A849" s="3">
        <f>842</f>
        <v>842</v>
      </c>
      <c r="B849" s="3" t="s">
        <v>851</v>
      </c>
      <c r="C849" s="3" t="s">
        <v>10</v>
      </c>
      <c r="D849" s="3" t="s">
        <v>9</v>
      </c>
      <c r="E849" s="3">
        <v>1</v>
      </c>
      <c r="F849" s="3">
        <v>0</v>
      </c>
      <c r="G849" s="3">
        <v>1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/>
      <c r="P849" s="3"/>
      <c r="Q849" s="3"/>
    </row>
    <row r="850" spans="1:17" ht="15" x14ac:dyDescent="0.25">
      <c r="A850" s="3">
        <f>843</f>
        <v>843</v>
      </c>
      <c r="B850" s="3" t="s">
        <v>852</v>
      </c>
      <c r="C850" s="3" t="s">
        <v>10</v>
      </c>
      <c r="D850" s="3" t="s">
        <v>9</v>
      </c>
      <c r="E850" s="3">
        <v>1</v>
      </c>
      <c r="F850" s="3">
        <v>0</v>
      </c>
      <c r="G850" s="3">
        <v>1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/>
      <c r="P850" s="3"/>
      <c r="Q850" s="3"/>
    </row>
    <row r="851" spans="1:17" ht="15" x14ac:dyDescent="0.25">
      <c r="A851" s="3">
        <f>844</f>
        <v>844</v>
      </c>
      <c r="B851" s="3" t="s">
        <v>853</v>
      </c>
      <c r="C851" s="3" t="s">
        <v>10</v>
      </c>
      <c r="D851" s="3" t="s">
        <v>9</v>
      </c>
      <c r="E851" s="3">
        <v>1</v>
      </c>
      <c r="F851" s="3">
        <v>0</v>
      </c>
      <c r="G851" s="3">
        <v>1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/>
      <c r="P851" s="3"/>
      <c r="Q851" s="3"/>
    </row>
    <row r="852" spans="1:17" ht="15" x14ac:dyDescent="0.25">
      <c r="A852" s="3">
        <f>845</f>
        <v>845</v>
      </c>
      <c r="B852" s="3" t="s">
        <v>854</v>
      </c>
      <c r="C852" s="3" t="s">
        <v>10</v>
      </c>
      <c r="D852" s="3" t="s">
        <v>9</v>
      </c>
      <c r="E852" s="3">
        <v>1</v>
      </c>
      <c r="F852" s="3">
        <v>0</v>
      </c>
      <c r="G852" s="3">
        <v>1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/>
      <c r="P852" s="3"/>
      <c r="Q852" s="3"/>
    </row>
    <row r="853" spans="1:17" ht="15" x14ac:dyDescent="0.25">
      <c r="A853" s="3">
        <f>846</f>
        <v>846</v>
      </c>
      <c r="B853" s="3" t="s">
        <v>855</v>
      </c>
      <c r="C853" s="3" t="s">
        <v>10</v>
      </c>
      <c r="D853" s="3" t="s">
        <v>9</v>
      </c>
      <c r="E853" s="3">
        <v>1</v>
      </c>
      <c r="F853" s="3">
        <v>0</v>
      </c>
      <c r="G853" s="3">
        <v>1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/>
      <c r="P853" s="3"/>
      <c r="Q853" s="3"/>
    </row>
    <row r="854" spans="1:17" ht="15" x14ac:dyDescent="0.25">
      <c r="A854" s="3">
        <f>847</f>
        <v>847</v>
      </c>
      <c r="B854" s="3" t="s">
        <v>856</v>
      </c>
      <c r="C854" s="3" t="s">
        <v>10</v>
      </c>
      <c r="D854" s="3" t="s">
        <v>9</v>
      </c>
      <c r="E854" s="3">
        <v>1</v>
      </c>
      <c r="F854" s="3">
        <v>0</v>
      </c>
      <c r="G854" s="3">
        <v>1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/>
      <c r="P854" s="3"/>
      <c r="Q854" s="3"/>
    </row>
    <row r="855" spans="1:17" ht="15" x14ac:dyDescent="0.25">
      <c r="A855" s="3">
        <f>848</f>
        <v>848</v>
      </c>
      <c r="B855" s="3" t="s">
        <v>857</v>
      </c>
      <c r="C855" s="3" t="s">
        <v>10</v>
      </c>
      <c r="D855" s="3" t="s">
        <v>9</v>
      </c>
      <c r="E855" s="3">
        <v>1</v>
      </c>
      <c r="F855" s="3">
        <v>0</v>
      </c>
      <c r="G855" s="3">
        <v>1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/>
      <c r="P855" s="3"/>
      <c r="Q855" s="3"/>
    </row>
    <row r="856" spans="1:17" ht="15" x14ac:dyDescent="0.25">
      <c r="A856" s="3">
        <f>849</f>
        <v>849</v>
      </c>
      <c r="B856" s="3" t="s">
        <v>858</v>
      </c>
      <c r="C856" s="3" t="s">
        <v>10</v>
      </c>
      <c r="D856" s="3" t="s">
        <v>9</v>
      </c>
      <c r="E856" s="3">
        <v>1</v>
      </c>
      <c r="F856" s="3">
        <v>0</v>
      </c>
      <c r="G856" s="3">
        <v>1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/>
      <c r="P856" s="3"/>
      <c r="Q856" s="3"/>
    </row>
    <row r="857" spans="1:17" ht="15" x14ac:dyDescent="0.25">
      <c r="A857" s="3">
        <f>850</f>
        <v>850</v>
      </c>
      <c r="B857" s="3" t="s">
        <v>859</v>
      </c>
      <c r="C857" s="3" t="s">
        <v>10</v>
      </c>
      <c r="D857" s="3" t="s">
        <v>9</v>
      </c>
      <c r="E857" s="3">
        <v>1</v>
      </c>
      <c r="F857" s="3">
        <v>0</v>
      </c>
      <c r="G857" s="3">
        <v>1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/>
      <c r="P857" s="3"/>
      <c r="Q857" s="3"/>
    </row>
    <row r="858" spans="1:17" ht="15" x14ac:dyDescent="0.25">
      <c r="A858" s="3">
        <f>851</f>
        <v>851</v>
      </c>
      <c r="B858" s="3" t="s">
        <v>860</v>
      </c>
      <c r="C858" s="3" t="s">
        <v>10</v>
      </c>
      <c r="D858" s="3" t="s">
        <v>9</v>
      </c>
      <c r="E858" s="3">
        <v>1</v>
      </c>
      <c r="F858" s="3">
        <v>0</v>
      </c>
      <c r="G858" s="3">
        <v>1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/>
      <c r="P858" s="3"/>
      <c r="Q858" s="3"/>
    </row>
    <row r="859" spans="1:17" ht="15" x14ac:dyDescent="0.25">
      <c r="A859" s="3">
        <f>852</f>
        <v>852</v>
      </c>
      <c r="B859" s="3" t="s">
        <v>861</v>
      </c>
      <c r="C859" s="3" t="s">
        <v>10</v>
      </c>
      <c r="D859" s="3" t="s">
        <v>9</v>
      </c>
      <c r="E859" s="3">
        <v>1</v>
      </c>
      <c r="F859" s="3">
        <v>0</v>
      </c>
      <c r="G859" s="3">
        <v>1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/>
      <c r="P859" s="3"/>
      <c r="Q859" s="3"/>
    </row>
    <row r="860" spans="1:17" ht="15" x14ac:dyDescent="0.25">
      <c r="A860" s="3">
        <f>853</f>
        <v>853</v>
      </c>
      <c r="B860" s="3" t="s">
        <v>862</v>
      </c>
      <c r="C860" s="3" t="s">
        <v>10</v>
      </c>
      <c r="D860" s="3" t="s">
        <v>9</v>
      </c>
      <c r="E860" s="3">
        <v>1</v>
      </c>
      <c r="F860" s="3">
        <v>0</v>
      </c>
      <c r="G860" s="3">
        <v>1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/>
      <c r="P860" s="3"/>
      <c r="Q860" s="3"/>
    </row>
    <row r="861" spans="1:17" ht="15" x14ac:dyDescent="0.25">
      <c r="A861" s="3">
        <f>854</f>
        <v>854</v>
      </c>
      <c r="B861" s="3" t="s">
        <v>863</v>
      </c>
      <c r="C861" s="3" t="s">
        <v>10</v>
      </c>
      <c r="D861" s="3" t="s">
        <v>9</v>
      </c>
      <c r="E861" s="3">
        <v>1</v>
      </c>
      <c r="F861" s="3">
        <v>0</v>
      </c>
      <c r="G861" s="3">
        <v>1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/>
      <c r="P861" s="3"/>
      <c r="Q861" s="3"/>
    </row>
    <row r="862" spans="1:17" ht="15" x14ac:dyDescent="0.25">
      <c r="A862" s="3">
        <f>855</f>
        <v>855</v>
      </c>
      <c r="B862" s="3" t="s">
        <v>864</v>
      </c>
      <c r="C862" s="3" t="s">
        <v>10</v>
      </c>
      <c r="D862" s="3" t="s">
        <v>9</v>
      </c>
      <c r="E862" s="3">
        <v>1</v>
      </c>
      <c r="F862" s="3">
        <v>0</v>
      </c>
      <c r="G862" s="3">
        <v>1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/>
      <c r="P862" s="3"/>
      <c r="Q862" s="3"/>
    </row>
    <row r="863" spans="1:17" ht="15" x14ac:dyDescent="0.25">
      <c r="A863" s="3">
        <f>856</f>
        <v>856</v>
      </c>
      <c r="B863" s="3" t="s">
        <v>865</v>
      </c>
      <c r="C863" s="3" t="s">
        <v>10</v>
      </c>
      <c r="D863" s="3" t="s">
        <v>9</v>
      </c>
      <c r="E863" s="3">
        <v>1</v>
      </c>
      <c r="F863" s="3">
        <v>0</v>
      </c>
      <c r="G863" s="3">
        <v>1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/>
      <c r="P863" s="3"/>
      <c r="Q863" s="3"/>
    </row>
    <row r="864" spans="1:17" ht="15" x14ac:dyDescent="0.25">
      <c r="A864" s="3">
        <f>857</f>
        <v>857</v>
      </c>
      <c r="B864" s="3" t="s">
        <v>866</v>
      </c>
      <c r="C864" s="3" t="s">
        <v>10</v>
      </c>
      <c r="D864" s="3" t="s">
        <v>9</v>
      </c>
      <c r="E864" s="3">
        <v>1</v>
      </c>
      <c r="F864" s="3">
        <v>0</v>
      </c>
      <c r="G864" s="3">
        <v>1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/>
      <c r="P864" s="3"/>
      <c r="Q864" s="3"/>
    </row>
    <row r="865" spans="1:17" ht="15" x14ac:dyDescent="0.25">
      <c r="A865" s="3">
        <f>858</f>
        <v>858</v>
      </c>
      <c r="B865" s="3" t="s">
        <v>867</v>
      </c>
      <c r="C865" s="3" t="s">
        <v>10</v>
      </c>
      <c r="D865" s="3" t="s">
        <v>9</v>
      </c>
      <c r="E865" s="3">
        <v>1</v>
      </c>
      <c r="F865" s="3">
        <v>0</v>
      </c>
      <c r="G865" s="3">
        <v>1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/>
      <c r="P865" s="3"/>
      <c r="Q865" s="3"/>
    </row>
    <row r="866" spans="1:17" ht="15" x14ac:dyDescent="0.25">
      <c r="A866" s="3">
        <f>859</f>
        <v>859</v>
      </c>
      <c r="B866" s="3" t="s">
        <v>868</v>
      </c>
      <c r="C866" s="3" t="s">
        <v>10</v>
      </c>
      <c r="D866" s="3" t="s">
        <v>9</v>
      </c>
      <c r="E866" s="3">
        <v>1</v>
      </c>
      <c r="F866" s="3">
        <v>0</v>
      </c>
      <c r="G866" s="3">
        <v>1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/>
      <c r="P866" s="3"/>
      <c r="Q866" s="3"/>
    </row>
    <row r="867" spans="1:17" ht="15" x14ac:dyDescent="0.25">
      <c r="A867" s="3">
        <f>860</f>
        <v>860</v>
      </c>
      <c r="B867" s="3" t="s">
        <v>869</v>
      </c>
      <c r="C867" s="3" t="s">
        <v>10</v>
      </c>
      <c r="D867" s="3" t="s">
        <v>9</v>
      </c>
      <c r="E867" s="3">
        <v>1</v>
      </c>
      <c r="F867" s="3">
        <v>0</v>
      </c>
      <c r="G867" s="3">
        <v>1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/>
      <c r="P867" s="3"/>
      <c r="Q867" s="3"/>
    </row>
    <row r="868" spans="1:17" ht="15" x14ac:dyDescent="0.25">
      <c r="A868" s="3">
        <f>861</f>
        <v>861</v>
      </c>
      <c r="B868" s="3" t="s">
        <v>870</v>
      </c>
      <c r="C868" s="3" t="s">
        <v>10</v>
      </c>
      <c r="D868" s="3" t="s">
        <v>9</v>
      </c>
      <c r="E868" s="3">
        <v>1</v>
      </c>
      <c r="F868" s="3">
        <v>0</v>
      </c>
      <c r="G868" s="3">
        <v>1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/>
      <c r="P868" s="3"/>
      <c r="Q868" s="3"/>
    </row>
    <row r="869" spans="1:17" ht="15" x14ac:dyDescent="0.25">
      <c r="A869" s="3">
        <f>862</f>
        <v>862</v>
      </c>
      <c r="B869" s="3" t="s">
        <v>871</v>
      </c>
      <c r="C869" s="3" t="s">
        <v>10</v>
      </c>
      <c r="D869" s="3" t="s">
        <v>9</v>
      </c>
      <c r="E869" s="3">
        <v>1</v>
      </c>
      <c r="F869" s="3">
        <v>0</v>
      </c>
      <c r="G869" s="3">
        <v>1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/>
      <c r="P869" s="3"/>
      <c r="Q869" s="3"/>
    </row>
    <row r="870" spans="1:17" ht="15" x14ac:dyDescent="0.25">
      <c r="A870" s="3">
        <f>863</f>
        <v>863</v>
      </c>
      <c r="B870" s="3" t="s">
        <v>872</v>
      </c>
      <c r="C870" s="3" t="s">
        <v>10</v>
      </c>
      <c r="D870" s="3" t="s">
        <v>9</v>
      </c>
      <c r="E870" s="3">
        <v>1</v>
      </c>
      <c r="F870" s="3">
        <v>0</v>
      </c>
      <c r="G870" s="3">
        <v>1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/>
      <c r="P870" s="3"/>
      <c r="Q870" s="3"/>
    </row>
    <row r="871" spans="1:17" ht="15" x14ac:dyDescent="0.25">
      <c r="A871" s="3">
        <f>864</f>
        <v>864</v>
      </c>
      <c r="B871" s="3" t="s">
        <v>873</v>
      </c>
      <c r="C871" s="3" t="s">
        <v>10</v>
      </c>
      <c r="D871" s="3" t="s">
        <v>9</v>
      </c>
      <c r="E871" s="3">
        <v>1</v>
      </c>
      <c r="F871" s="3">
        <v>0</v>
      </c>
      <c r="G871" s="3">
        <v>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/>
      <c r="P871" s="3"/>
      <c r="Q871" s="3"/>
    </row>
    <row r="872" spans="1:17" ht="15" x14ac:dyDescent="0.25">
      <c r="A872" s="3">
        <f>865</f>
        <v>865</v>
      </c>
      <c r="B872" s="3" t="s">
        <v>874</v>
      </c>
      <c r="C872" s="3" t="s">
        <v>10</v>
      </c>
      <c r="D872" s="3" t="s">
        <v>9</v>
      </c>
      <c r="E872" s="3">
        <v>1</v>
      </c>
      <c r="F872" s="3">
        <v>0</v>
      </c>
      <c r="G872" s="3">
        <v>1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/>
      <c r="P872" s="3"/>
      <c r="Q872" s="3"/>
    </row>
    <row r="873" spans="1:17" ht="15" x14ac:dyDescent="0.25">
      <c r="A873" s="3">
        <f>866</f>
        <v>866</v>
      </c>
      <c r="B873" s="3" t="s">
        <v>875</v>
      </c>
      <c r="C873" s="3" t="s">
        <v>10</v>
      </c>
      <c r="D873" s="3" t="s">
        <v>9</v>
      </c>
      <c r="E873" s="3">
        <v>1</v>
      </c>
      <c r="F873" s="3">
        <v>0</v>
      </c>
      <c r="G873" s="3">
        <v>1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/>
      <c r="P873" s="3"/>
      <c r="Q873" s="3"/>
    </row>
    <row r="874" spans="1:17" ht="15" x14ac:dyDescent="0.25">
      <c r="A874" s="3">
        <f>867</f>
        <v>867</v>
      </c>
      <c r="B874" s="3" t="s">
        <v>876</v>
      </c>
      <c r="C874" s="3" t="s">
        <v>10</v>
      </c>
      <c r="D874" s="3" t="s">
        <v>9</v>
      </c>
      <c r="E874" s="3">
        <v>1</v>
      </c>
      <c r="F874" s="3">
        <v>0</v>
      </c>
      <c r="G874" s="3">
        <v>1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/>
      <c r="P874" s="3"/>
      <c r="Q874" s="3"/>
    </row>
    <row r="875" spans="1:17" ht="15" x14ac:dyDescent="0.25">
      <c r="A875" s="3">
        <f>868</f>
        <v>868</v>
      </c>
      <c r="B875" s="3" t="s">
        <v>877</v>
      </c>
      <c r="C875" s="3" t="s">
        <v>10</v>
      </c>
      <c r="D875" s="3" t="s">
        <v>9</v>
      </c>
      <c r="E875" s="3">
        <v>1</v>
      </c>
      <c r="F875" s="3">
        <v>0</v>
      </c>
      <c r="G875" s="3">
        <v>1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/>
      <c r="P875" s="3"/>
      <c r="Q875" s="3"/>
    </row>
    <row r="876" spans="1:17" ht="15" x14ac:dyDescent="0.25">
      <c r="A876" s="3">
        <f>869</f>
        <v>869</v>
      </c>
      <c r="B876" s="3" t="s">
        <v>878</v>
      </c>
      <c r="C876" s="3" t="s">
        <v>10</v>
      </c>
      <c r="D876" s="3" t="s">
        <v>9</v>
      </c>
      <c r="E876" s="3">
        <v>1</v>
      </c>
      <c r="F876" s="3">
        <v>0</v>
      </c>
      <c r="G876" s="3">
        <v>1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/>
      <c r="P876" s="3"/>
      <c r="Q876" s="3"/>
    </row>
    <row r="877" spans="1:17" ht="15" x14ac:dyDescent="0.25">
      <c r="A877" s="3">
        <f>870</f>
        <v>870</v>
      </c>
      <c r="B877" s="3" t="s">
        <v>879</v>
      </c>
      <c r="C877" s="3" t="s">
        <v>10</v>
      </c>
      <c r="D877" s="3" t="s">
        <v>9</v>
      </c>
      <c r="E877" s="3">
        <v>1</v>
      </c>
      <c r="F877" s="3">
        <v>0</v>
      </c>
      <c r="G877" s="3">
        <v>1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/>
      <c r="P877" s="3"/>
      <c r="Q877" s="3"/>
    </row>
    <row r="878" spans="1:17" ht="15" x14ac:dyDescent="0.25">
      <c r="A878" s="3">
        <f>871</f>
        <v>871</v>
      </c>
      <c r="B878" s="3" t="s">
        <v>880</v>
      </c>
      <c r="C878" s="3" t="s">
        <v>10</v>
      </c>
      <c r="D878" s="3" t="s">
        <v>9</v>
      </c>
      <c r="E878" s="3">
        <v>1</v>
      </c>
      <c r="F878" s="3">
        <v>0</v>
      </c>
      <c r="G878" s="3">
        <v>1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/>
      <c r="P878" s="3"/>
      <c r="Q878" s="3"/>
    </row>
    <row r="879" spans="1:17" ht="15" x14ac:dyDescent="0.25">
      <c r="A879" s="3">
        <f>872</f>
        <v>872</v>
      </c>
      <c r="B879" s="3" t="s">
        <v>881</v>
      </c>
      <c r="C879" s="3" t="s">
        <v>10</v>
      </c>
      <c r="D879" s="3" t="s">
        <v>9</v>
      </c>
      <c r="E879" s="3">
        <v>1</v>
      </c>
      <c r="F879" s="3">
        <v>0</v>
      </c>
      <c r="G879" s="3">
        <v>1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/>
      <c r="P879" s="3"/>
      <c r="Q879" s="3"/>
    </row>
    <row r="880" spans="1:17" ht="15" x14ac:dyDescent="0.25">
      <c r="A880" s="3">
        <f>873</f>
        <v>873</v>
      </c>
      <c r="B880" s="3" t="s">
        <v>882</v>
      </c>
      <c r="C880" s="3" t="s">
        <v>10</v>
      </c>
      <c r="D880" s="3" t="s">
        <v>9</v>
      </c>
      <c r="E880" s="3">
        <v>1</v>
      </c>
      <c r="F880" s="3">
        <v>0</v>
      </c>
      <c r="G880" s="3">
        <v>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/>
      <c r="P880" s="3"/>
      <c r="Q880" s="3"/>
    </row>
    <row r="881" spans="1:17" ht="15" x14ac:dyDescent="0.25">
      <c r="A881" s="3">
        <f>874</f>
        <v>874</v>
      </c>
      <c r="B881" s="3" t="s">
        <v>883</v>
      </c>
      <c r="C881" s="3" t="s">
        <v>10</v>
      </c>
      <c r="D881" s="3" t="s">
        <v>9</v>
      </c>
      <c r="E881" s="3">
        <v>1</v>
      </c>
      <c r="F881" s="3">
        <v>0</v>
      </c>
      <c r="G881" s="3">
        <v>1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/>
      <c r="P881" s="3"/>
      <c r="Q881" s="3"/>
    </row>
    <row r="882" spans="1:17" ht="15" x14ac:dyDescent="0.25">
      <c r="A882" s="3">
        <f>875</f>
        <v>875</v>
      </c>
      <c r="B882" s="3" t="s">
        <v>884</v>
      </c>
      <c r="C882" s="3" t="s">
        <v>10</v>
      </c>
      <c r="D882" s="3" t="s">
        <v>9</v>
      </c>
      <c r="E882" s="3">
        <v>1</v>
      </c>
      <c r="F882" s="3">
        <v>0</v>
      </c>
      <c r="G882" s="3">
        <v>1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/>
      <c r="P882" s="3"/>
      <c r="Q882" s="3"/>
    </row>
    <row r="883" spans="1:17" ht="15" x14ac:dyDescent="0.25">
      <c r="A883" s="3">
        <f>876</f>
        <v>876</v>
      </c>
      <c r="B883" s="3" t="s">
        <v>885</v>
      </c>
      <c r="C883" s="3" t="s">
        <v>10</v>
      </c>
      <c r="D883" s="3" t="s">
        <v>9</v>
      </c>
      <c r="E883" s="3">
        <v>1</v>
      </c>
      <c r="F883" s="3">
        <v>0</v>
      </c>
      <c r="G883" s="3">
        <v>1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/>
      <c r="P883" s="3"/>
      <c r="Q883" s="3"/>
    </row>
    <row r="884" spans="1:17" ht="15" x14ac:dyDescent="0.25">
      <c r="A884" s="3">
        <f>877</f>
        <v>877</v>
      </c>
      <c r="B884" s="3" t="s">
        <v>886</v>
      </c>
      <c r="C884" s="3" t="s">
        <v>10</v>
      </c>
      <c r="D884" s="3" t="s">
        <v>9</v>
      </c>
      <c r="E884" s="3">
        <v>1</v>
      </c>
      <c r="F884" s="3">
        <v>0</v>
      </c>
      <c r="G884" s="3">
        <v>1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/>
      <c r="P884" s="3"/>
      <c r="Q884" s="3"/>
    </row>
    <row r="885" spans="1:17" ht="15" x14ac:dyDescent="0.25">
      <c r="A885" s="3">
        <f>878</f>
        <v>878</v>
      </c>
      <c r="B885" s="3" t="s">
        <v>887</v>
      </c>
      <c r="C885" s="3" t="s">
        <v>10</v>
      </c>
      <c r="D885" s="3" t="s">
        <v>9</v>
      </c>
      <c r="E885" s="3">
        <v>1</v>
      </c>
      <c r="F885" s="3">
        <v>0</v>
      </c>
      <c r="G885" s="3">
        <v>1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/>
      <c r="P885" s="3"/>
      <c r="Q885" s="3"/>
    </row>
    <row r="886" spans="1:17" ht="15" x14ac:dyDescent="0.25">
      <c r="A886" s="3">
        <f>879</f>
        <v>879</v>
      </c>
      <c r="B886" s="3" t="s">
        <v>888</v>
      </c>
      <c r="C886" s="3" t="s">
        <v>10</v>
      </c>
      <c r="D886" s="3" t="s">
        <v>9</v>
      </c>
      <c r="E886" s="3">
        <v>1</v>
      </c>
      <c r="F886" s="3">
        <v>0</v>
      </c>
      <c r="G886" s="3">
        <v>1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/>
      <c r="P886" s="3"/>
      <c r="Q886" s="3"/>
    </row>
    <row r="887" spans="1:17" ht="15" x14ac:dyDescent="0.25">
      <c r="A887" s="3">
        <f>880</f>
        <v>880</v>
      </c>
      <c r="B887" s="3" t="s">
        <v>889</v>
      </c>
      <c r="C887" s="3" t="s">
        <v>10</v>
      </c>
      <c r="D887" s="3" t="s">
        <v>9</v>
      </c>
      <c r="E887" s="3">
        <v>1</v>
      </c>
      <c r="F887" s="3">
        <v>0</v>
      </c>
      <c r="G887" s="3">
        <v>1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/>
      <c r="P887" s="3"/>
      <c r="Q887" s="3"/>
    </row>
    <row r="888" spans="1:17" ht="15" x14ac:dyDescent="0.25">
      <c r="A888" s="3">
        <f>881</f>
        <v>881</v>
      </c>
      <c r="B888" s="3" t="s">
        <v>890</v>
      </c>
      <c r="C888" s="3" t="s">
        <v>10</v>
      </c>
      <c r="D888" s="3" t="s">
        <v>9</v>
      </c>
      <c r="E888" s="3">
        <v>1</v>
      </c>
      <c r="F888" s="3">
        <v>0</v>
      </c>
      <c r="G888" s="3">
        <v>1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/>
      <c r="P888" s="3"/>
      <c r="Q888" s="3"/>
    </row>
    <row r="889" spans="1:17" ht="15" x14ac:dyDescent="0.25">
      <c r="A889" s="3">
        <f>882</f>
        <v>882</v>
      </c>
      <c r="B889" s="3" t="s">
        <v>891</v>
      </c>
      <c r="C889" s="3" t="s">
        <v>10</v>
      </c>
      <c r="D889" s="3" t="s">
        <v>9</v>
      </c>
      <c r="E889" s="3">
        <v>1</v>
      </c>
      <c r="F889" s="3">
        <v>0</v>
      </c>
      <c r="G889" s="3">
        <v>1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/>
      <c r="P889" s="3"/>
      <c r="Q889" s="3"/>
    </row>
    <row r="890" spans="1:17" ht="15" x14ac:dyDescent="0.25">
      <c r="A890" s="3">
        <f>883</f>
        <v>883</v>
      </c>
      <c r="B890" s="3" t="s">
        <v>892</v>
      </c>
      <c r="C890" s="3" t="s">
        <v>10</v>
      </c>
      <c r="D890" s="3" t="s">
        <v>9</v>
      </c>
      <c r="E890" s="3">
        <v>1</v>
      </c>
      <c r="F890" s="3">
        <v>0</v>
      </c>
      <c r="G890" s="3">
        <v>1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/>
      <c r="P890" s="3"/>
      <c r="Q890" s="3"/>
    </row>
    <row r="891" spans="1:17" ht="15" x14ac:dyDescent="0.25">
      <c r="A891" s="3">
        <f>884</f>
        <v>884</v>
      </c>
      <c r="B891" s="3" t="s">
        <v>893</v>
      </c>
      <c r="C891" s="3" t="s">
        <v>10</v>
      </c>
      <c r="D891" s="3" t="s">
        <v>9</v>
      </c>
      <c r="E891" s="3">
        <v>1</v>
      </c>
      <c r="F891" s="3">
        <v>0</v>
      </c>
      <c r="G891" s="3">
        <v>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/>
      <c r="P891" s="3"/>
      <c r="Q891" s="3"/>
    </row>
    <row r="892" spans="1:17" ht="15" x14ac:dyDescent="0.25">
      <c r="A892" s="3">
        <f>885</f>
        <v>885</v>
      </c>
      <c r="B892" s="3" t="s">
        <v>894</v>
      </c>
      <c r="C892" s="3" t="s">
        <v>10</v>
      </c>
      <c r="D892" s="3" t="s">
        <v>9</v>
      </c>
      <c r="E892" s="3">
        <v>1</v>
      </c>
      <c r="F892" s="3">
        <v>0</v>
      </c>
      <c r="G892" s="3">
        <v>1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/>
      <c r="P892" s="3"/>
      <c r="Q892" s="3"/>
    </row>
    <row r="893" spans="1:17" ht="15" x14ac:dyDescent="0.25">
      <c r="A893" s="3">
        <f>886</f>
        <v>886</v>
      </c>
      <c r="B893" s="3" t="s">
        <v>895</v>
      </c>
      <c r="C893" s="3" t="s">
        <v>10</v>
      </c>
      <c r="D893" s="3" t="s">
        <v>9</v>
      </c>
      <c r="E893" s="3">
        <v>1</v>
      </c>
      <c r="F893" s="3">
        <v>0</v>
      </c>
      <c r="G893" s="3">
        <v>1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/>
      <c r="P893" s="3"/>
      <c r="Q893" s="3"/>
    </row>
    <row r="894" spans="1:17" ht="15" x14ac:dyDescent="0.25">
      <c r="A894" s="3">
        <f>887</f>
        <v>887</v>
      </c>
      <c r="B894" s="3" t="s">
        <v>896</v>
      </c>
      <c r="C894" s="3" t="s">
        <v>10</v>
      </c>
      <c r="D894" s="3" t="s">
        <v>9</v>
      </c>
      <c r="E894" s="3">
        <v>1</v>
      </c>
      <c r="F894" s="3">
        <v>0</v>
      </c>
      <c r="G894" s="3">
        <v>1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/>
      <c r="P894" s="3"/>
      <c r="Q894" s="3"/>
    </row>
    <row r="895" spans="1:17" ht="15" x14ac:dyDescent="0.25">
      <c r="A895" s="3">
        <f>888</f>
        <v>888</v>
      </c>
      <c r="B895" s="3" t="s">
        <v>897</v>
      </c>
      <c r="C895" s="3" t="s">
        <v>10</v>
      </c>
      <c r="D895" s="3" t="s">
        <v>9</v>
      </c>
      <c r="E895" s="3">
        <v>1</v>
      </c>
      <c r="F895" s="3">
        <v>0</v>
      </c>
      <c r="G895" s="3">
        <v>1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/>
      <c r="P895" s="3"/>
      <c r="Q895" s="3"/>
    </row>
    <row r="896" spans="1:17" ht="15" x14ac:dyDescent="0.25">
      <c r="A896" s="3">
        <f>889</f>
        <v>889</v>
      </c>
      <c r="B896" s="3" t="s">
        <v>898</v>
      </c>
      <c r="C896" s="3" t="s">
        <v>10</v>
      </c>
      <c r="D896" s="3" t="s">
        <v>9</v>
      </c>
      <c r="E896" s="3">
        <v>1</v>
      </c>
      <c r="F896" s="3">
        <v>0</v>
      </c>
      <c r="G896" s="3">
        <v>1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/>
      <c r="P896" s="3"/>
      <c r="Q896" s="3"/>
    </row>
    <row r="897" spans="1:17" ht="15" x14ac:dyDescent="0.25">
      <c r="A897" s="3">
        <f>890</f>
        <v>890</v>
      </c>
      <c r="B897" s="3" t="s">
        <v>899</v>
      </c>
      <c r="C897" s="3" t="s">
        <v>10</v>
      </c>
      <c r="D897" s="3" t="s">
        <v>9</v>
      </c>
      <c r="E897" s="3">
        <v>1</v>
      </c>
      <c r="F897" s="3">
        <v>0</v>
      </c>
      <c r="G897" s="3">
        <v>1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/>
      <c r="P897" s="3"/>
      <c r="Q897" s="3"/>
    </row>
    <row r="898" spans="1:17" ht="15" x14ac:dyDescent="0.25">
      <c r="A898" s="3">
        <f>891</f>
        <v>891</v>
      </c>
      <c r="B898" s="3" t="s">
        <v>900</v>
      </c>
      <c r="C898" s="3" t="s">
        <v>10</v>
      </c>
      <c r="D898" s="3" t="s">
        <v>9</v>
      </c>
      <c r="E898" s="3">
        <v>1</v>
      </c>
      <c r="F898" s="3">
        <v>0</v>
      </c>
      <c r="G898" s="3">
        <v>1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/>
      <c r="P898" s="3"/>
      <c r="Q898" s="3"/>
    </row>
    <row r="899" spans="1:17" ht="15" x14ac:dyDescent="0.25">
      <c r="A899" s="3">
        <f>892</f>
        <v>892</v>
      </c>
      <c r="B899" s="3" t="s">
        <v>901</v>
      </c>
      <c r="C899" s="3" t="s">
        <v>10</v>
      </c>
      <c r="D899" s="3" t="s">
        <v>9</v>
      </c>
      <c r="E899" s="3">
        <v>1</v>
      </c>
      <c r="F899" s="3">
        <v>0</v>
      </c>
      <c r="G899" s="3">
        <v>1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/>
      <c r="P899" s="3"/>
      <c r="Q899" s="3"/>
    </row>
    <row r="900" spans="1:17" ht="15" x14ac:dyDescent="0.25">
      <c r="A900" s="3">
        <f>893</f>
        <v>893</v>
      </c>
      <c r="B900" s="3" t="s">
        <v>902</v>
      </c>
      <c r="C900" s="3" t="s">
        <v>10</v>
      </c>
      <c r="D900" s="3" t="s">
        <v>9</v>
      </c>
      <c r="E900" s="3">
        <v>1</v>
      </c>
      <c r="F900" s="3">
        <v>0</v>
      </c>
      <c r="G900" s="3">
        <v>1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/>
      <c r="P900" s="3"/>
      <c r="Q900" s="3"/>
    </row>
    <row r="901" spans="1:17" ht="15" x14ac:dyDescent="0.25">
      <c r="A901" s="3">
        <f>894</f>
        <v>894</v>
      </c>
      <c r="B901" s="3" t="s">
        <v>903</v>
      </c>
      <c r="C901" s="3" t="s">
        <v>10</v>
      </c>
      <c r="D901" s="3" t="s">
        <v>9</v>
      </c>
      <c r="E901" s="3">
        <v>1</v>
      </c>
      <c r="F901" s="3">
        <v>0</v>
      </c>
      <c r="G901" s="3">
        <v>1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/>
      <c r="P901" s="3"/>
      <c r="Q901" s="3"/>
    </row>
    <row r="902" spans="1:17" ht="15" x14ac:dyDescent="0.25">
      <c r="A902" s="3">
        <f>895</f>
        <v>895</v>
      </c>
      <c r="B902" s="3" t="s">
        <v>904</v>
      </c>
      <c r="C902" s="3" t="s">
        <v>10</v>
      </c>
      <c r="D902" s="3" t="s">
        <v>9</v>
      </c>
      <c r="E902" s="3">
        <v>1</v>
      </c>
      <c r="F902" s="3">
        <v>0</v>
      </c>
      <c r="G902" s="3">
        <v>1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/>
      <c r="P902" s="3"/>
      <c r="Q902" s="3"/>
    </row>
    <row r="903" spans="1:17" ht="15" x14ac:dyDescent="0.25">
      <c r="A903" s="3">
        <f>896</f>
        <v>896</v>
      </c>
      <c r="B903" s="3" t="s">
        <v>905</v>
      </c>
      <c r="C903" s="3" t="s">
        <v>10</v>
      </c>
      <c r="D903" s="3" t="s">
        <v>9</v>
      </c>
      <c r="E903" s="3">
        <v>1</v>
      </c>
      <c r="F903" s="3">
        <v>0</v>
      </c>
      <c r="G903" s="3">
        <v>1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/>
      <c r="P903" s="3"/>
      <c r="Q903" s="3"/>
    </row>
    <row r="904" spans="1:17" ht="15" x14ac:dyDescent="0.25">
      <c r="A904" s="3">
        <f>897</f>
        <v>897</v>
      </c>
      <c r="B904" s="3" t="s">
        <v>906</v>
      </c>
      <c r="C904" s="3" t="s">
        <v>10</v>
      </c>
      <c r="D904" s="3" t="s">
        <v>9</v>
      </c>
      <c r="E904" s="3">
        <v>1</v>
      </c>
      <c r="F904" s="3">
        <v>0</v>
      </c>
      <c r="G904" s="3">
        <v>1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/>
      <c r="P904" s="3"/>
      <c r="Q904" s="3"/>
    </row>
    <row r="905" spans="1:17" ht="15" x14ac:dyDescent="0.25">
      <c r="A905" s="3">
        <f>898</f>
        <v>898</v>
      </c>
      <c r="B905" s="3" t="s">
        <v>907</v>
      </c>
      <c r="C905" s="3" t="s">
        <v>10</v>
      </c>
      <c r="D905" s="3" t="s">
        <v>9</v>
      </c>
      <c r="E905" s="3">
        <v>1</v>
      </c>
      <c r="F905" s="3">
        <v>0</v>
      </c>
      <c r="G905" s="3">
        <v>1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/>
      <c r="P905" s="3"/>
      <c r="Q905" s="3"/>
    </row>
    <row r="906" spans="1:17" ht="15" x14ac:dyDescent="0.25">
      <c r="A906" s="3">
        <f>899</f>
        <v>899</v>
      </c>
      <c r="B906" s="3" t="s">
        <v>908</v>
      </c>
      <c r="C906" s="3" t="s">
        <v>10</v>
      </c>
      <c r="D906" s="3" t="s">
        <v>9</v>
      </c>
      <c r="E906" s="3">
        <v>1</v>
      </c>
      <c r="F906" s="3">
        <v>0</v>
      </c>
      <c r="G906" s="3">
        <v>1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/>
      <c r="P906" s="3"/>
      <c r="Q906" s="3"/>
    </row>
    <row r="907" spans="1:17" ht="15" x14ac:dyDescent="0.25">
      <c r="A907" s="3">
        <f>900</f>
        <v>900</v>
      </c>
      <c r="B907" s="3" t="s">
        <v>909</v>
      </c>
      <c r="C907" s="3" t="s">
        <v>10</v>
      </c>
      <c r="D907" s="3" t="s">
        <v>9</v>
      </c>
      <c r="E907" s="3">
        <v>1</v>
      </c>
      <c r="F907" s="3">
        <v>0</v>
      </c>
      <c r="G907" s="3">
        <v>1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/>
      <c r="P907" s="3"/>
      <c r="Q907" s="3"/>
    </row>
    <row r="908" spans="1:17" ht="15" x14ac:dyDescent="0.25">
      <c r="A908" s="3">
        <f>901</f>
        <v>901</v>
      </c>
      <c r="B908" s="3" t="s">
        <v>910</v>
      </c>
      <c r="C908" s="3" t="s">
        <v>10</v>
      </c>
      <c r="D908" s="3" t="s">
        <v>9</v>
      </c>
      <c r="E908" s="3">
        <v>1</v>
      </c>
      <c r="F908" s="3">
        <v>0</v>
      </c>
      <c r="G908" s="3">
        <v>1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/>
      <c r="P908" s="3"/>
      <c r="Q908" s="3"/>
    </row>
    <row r="909" spans="1:17" ht="15" x14ac:dyDescent="0.25">
      <c r="A909" s="3">
        <f>902</f>
        <v>902</v>
      </c>
      <c r="B909" s="3" t="s">
        <v>911</v>
      </c>
      <c r="C909" s="3" t="s">
        <v>10</v>
      </c>
      <c r="D909" s="3" t="s">
        <v>9</v>
      </c>
      <c r="E909" s="3">
        <v>1</v>
      </c>
      <c r="F909" s="3">
        <v>0</v>
      </c>
      <c r="G909" s="3">
        <v>1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/>
      <c r="P909" s="3"/>
      <c r="Q909" s="3"/>
    </row>
    <row r="910" spans="1:17" ht="15" x14ac:dyDescent="0.25">
      <c r="A910" s="3">
        <f>903</f>
        <v>903</v>
      </c>
      <c r="B910" s="3" t="s">
        <v>912</v>
      </c>
      <c r="C910" s="3" t="s">
        <v>10</v>
      </c>
      <c r="D910" s="3" t="s">
        <v>9</v>
      </c>
      <c r="E910" s="3">
        <v>1</v>
      </c>
      <c r="F910" s="3">
        <v>0</v>
      </c>
      <c r="G910" s="3">
        <v>1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/>
      <c r="P910" s="3"/>
      <c r="Q910" s="3"/>
    </row>
    <row r="911" spans="1:17" ht="15" x14ac:dyDescent="0.25">
      <c r="A911" s="3">
        <f>904</f>
        <v>904</v>
      </c>
      <c r="B911" s="3" t="s">
        <v>913</v>
      </c>
      <c r="C911" s="3" t="s">
        <v>10</v>
      </c>
      <c r="D911" s="3" t="s">
        <v>9</v>
      </c>
      <c r="E911" s="3">
        <v>1</v>
      </c>
      <c r="F911" s="3">
        <v>0</v>
      </c>
      <c r="G911" s="3">
        <v>1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/>
      <c r="P911" s="3"/>
      <c r="Q911" s="3"/>
    </row>
    <row r="912" spans="1:17" ht="15" x14ac:dyDescent="0.25">
      <c r="A912" s="3">
        <f>905</f>
        <v>905</v>
      </c>
      <c r="B912" s="3" t="s">
        <v>914</v>
      </c>
      <c r="C912" s="3" t="s">
        <v>10</v>
      </c>
      <c r="D912" s="3" t="s">
        <v>9</v>
      </c>
      <c r="E912" s="3">
        <v>1</v>
      </c>
      <c r="F912" s="3">
        <v>0</v>
      </c>
      <c r="G912" s="3">
        <v>1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/>
      <c r="P912" s="3"/>
      <c r="Q912" s="3"/>
    </row>
    <row r="913" spans="1:17" ht="15" x14ac:dyDescent="0.25">
      <c r="A913" s="3">
        <f>906</f>
        <v>906</v>
      </c>
      <c r="B913" s="3" t="s">
        <v>915</v>
      </c>
      <c r="C913" s="3" t="s">
        <v>10</v>
      </c>
      <c r="D913" s="3" t="s">
        <v>9</v>
      </c>
      <c r="E913" s="3">
        <v>1</v>
      </c>
      <c r="F913" s="3">
        <v>0</v>
      </c>
      <c r="G913" s="3">
        <v>1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/>
      <c r="P913" s="3"/>
      <c r="Q913" s="3"/>
    </row>
    <row r="914" spans="1:17" ht="15" x14ac:dyDescent="0.25">
      <c r="A914" s="3">
        <f>907</f>
        <v>907</v>
      </c>
      <c r="B914" s="3" t="s">
        <v>916</v>
      </c>
      <c r="C914" s="3" t="s">
        <v>10</v>
      </c>
      <c r="D914" s="3" t="s">
        <v>9</v>
      </c>
      <c r="E914" s="3">
        <v>1</v>
      </c>
      <c r="F914" s="3">
        <v>0</v>
      </c>
      <c r="G914" s="3">
        <v>1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/>
      <c r="P914" s="3"/>
      <c r="Q914" s="3"/>
    </row>
    <row r="915" spans="1:17" ht="15" x14ac:dyDescent="0.25">
      <c r="A915" s="3">
        <f>908</f>
        <v>908</v>
      </c>
      <c r="B915" s="3" t="s">
        <v>917</v>
      </c>
      <c r="C915" s="3" t="s">
        <v>10</v>
      </c>
      <c r="D915" s="3" t="s">
        <v>9</v>
      </c>
      <c r="E915" s="3">
        <v>1</v>
      </c>
      <c r="F915" s="3">
        <v>0</v>
      </c>
      <c r="G915" s="3">
        <v>1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/>
      <c r="P915" s="3"/>
      <c r="Q915" s="3"/>
    </row>
    <row r="916" spans="1:17" ht="15" x14ac:dyDescent="0.25">
      <c r="A916" s="3">
        <f>909</f>
        <v>909</v>
      </c>
      <c r="B916" s="3" t="s">
        <v>918</v>
      </c>
      <c r="C916" s="3" t="s">
        <v>10</v>
      </c>
      <c r="D916" s="3" t="s">
        <v>9</v>
      </c>
      <c r="E916" s="3">
        <v>1</v>
      </c>
      <c r="F916" s="3">
        <v>0</v>
      </c>
      <c r="G916" s="3">
        <v>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/>
      <c r="P916" s="3"/>
      <c r="Q916" s="3"/>
    </row>
    <row r="917" spans="1:17" ht="15" x14ac:dyDescent="0.25">
      <c r="A917" s="3">
        <f>910</f>
        <v>910</v>
      </c>
      <c r="B917" s="3" t="s">
        <v>919</v>
      </c>
      <c r="C917" s="3" t="s">
        <v>10</v>
      </c>
      <c r="D917" s="3" t="s">
        <v>9</v>
      </c>
      <c r="E917" s="3">
        <v>1</v>
      </c>
      <c r="F917" s="3">
        <v>0</v>
      </c>
      <c r="G917" s="3">
        <v>1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/>
      <c r="P917" s="3"/>
      <c r="Q917" s="3"/>
    </row>
    <row r="918" spans="1:17" ht="15" x14ac:dyDescent="0.25">
      <c r="A918" s="3">
        <f>911</f>
        <v>911</v>
      </c>
      <c r="B918" s="3" t="s">
        <v>920</v>
      </c>
      <c r="C918" s="3" t="s">
        <v>10</v>
      </c>
      <c r="D918" s="3" t="s">
        <v>9</v>
      </c>
      <c r="E918" s="3">
        <v>1</v>
      </c>
      <c r="F918" s="3">
        <v>0</v>
      </c>
      <c r="G918" s="3">
        <v>1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/>
      <c r="P918" s="3"/>
      <c r="Q918" s="3"/>
    </row>
    <row r="919" spans="1:17" ht="15" x14ac:dyDescent="0.25">
      <c r="A919" s="3">
        <f>912</f>
        <v>912</v>
      </c>
      <c r="B919" s="3" t="s">
        <v>921</v>
      </c>
      <c r="C919" s="3" t="s">
        <v>10</v>
      </c>
      <c r="D919" s="3" t="s">
        <v>9</v>
      </c>
      <c r="E919" s="3">
        <v>1</v>
      </c>
      <c r="F919" s="3">
        <v>0</v>
      </c>
      <c r="G919" s="3">
        <v>1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/>
      <c r="P919" s="3"/>
      <c r="Q919" s="3"/>
    </row>
    <row r="920" spans="1:17" ht="15" x14ac:dyDescent="0.25">
      <c r="A920" s="3">
        <f>913</f>
        <v>913</v>
      </c>
      <c r="B920" s="3" t="s">
        <v>922</v>
      </c>
      <c r="C920" s="3" t="s">
        <v>10</v>
      </c>
      <c r="D920" s="3" t="s">
        <v>9</v>
      </c>
      <c r="E920" s="3">
        <v>1</v>
      </c>
      <c r="F920" s="3">
        <v>0</v>
      </c>
      <c r="G920" s="3">
        <v>1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/>
      <c r="P920" s="3"/>
      <c r="Q920" s="3"/>
    </row>
    <row r="921" spans="1:17" ht="15" x14ac:dyDescent="0.25">
      <c r="A921" s="3">
        <f>914</f>
        <v>914</v>
      </c>
      <c r="B921" s="3" t="s">
        <v>923</v>
      </c>
      <c r="C921" s="3" t="s">
        <v>10</v>
      </c>
      <c r="D921" s="3" t="s">
        <v>9</v>
      </c>
      <c r="E921" s="3">
        <v>1</v>
      </c>
      <c r="F921" s="3">
        <v>0</v>
      </c>
      <c r="G921" s="3">
        <v>1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/>
      <c r="P921" s="3"/>
      <c r="Q921" s="3"/>
    </row>
    <row r="922" spans="1:17" ht="15" x14ac:dyDescent="0.25">
      <c r="A922" s="3">
        <f>915</f>
        <v>915</v>
      </c>
      <c r="B922" s="3" t="s">
        <v>924</v>
      </c>
      <c r="C922" s="3" t="s">
        <v>10</v>
      </c>
      <c r="D922" s="3" t="s">
        <v>9</v>
      </c>
      <c r="E922" s="3">
        <v>1</v>
      </c>
      <c r="F922" s="3">
        <v>0</v>
      </c>
      <c r="G922" s="3">
        <v>1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/>
      <c r="P922" s="3"/>
      <c r="Q922" s="3"/>
    </row>
    <row r="923" spans="1:17" ht="15" x14ac:dyDescent="0.25">
      <c r="A923" s="3">
        <f>916</f>
        <v>916</v>
      </c>
      <c r="B923" s="3" t="s">
        <v>925</v>
      </c>
      <c r="C923" s="3" t="s">
        <v>10</v>
      </c>
      <c r="D923" s="3" t="s">
        <v>9</v>
      </c>
      <c r="E923" s="3">
        <v>1</v>
      </c>
      <c r="F923" s="3">
        <v>0</v>
      </c>
      <c r="G923" s="3">
        <v>1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/>
      <c r="P923" s="3"/>
      <c r="Q923" s="3"/>
    </row>
    <row r="924" spans="1:17" ht="15" x14ac:dyDescent="0.25">
      <c r="A924" s="3">
        <f>917</f>
        <v>917</v>
      </c>
      <c r="B924" s="3" t="s">
        <v>926</v>
      </c>
      <c r="C924" s="3" t="s">
        <v>10</v>
      </c>
      <c r="D924" s="3" t="s">
        <v>9</v>
      </c>
      <c r="E924" s="3">
        <v>1</v>
      </c>
      <c r="F924" s="3">
        <v>0</v>
      </c>
      <c r="G924" s="3">
        <v>1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/>
      <c r="P924" s="3"/>
      <c r="Q924" s="3"/>
    </row>
    <row r="925" spans="1:17" ht="15" x14ac:dyDescent="0.25">
      <c r="A925" s="3">
        <f>918</f>
        <v>918</v>
      </c>
      <c r="B925" s="3" t="s">
        <v>927</v>
      </c>
      <c r="C925" s="3" t="s">
        <v>10</v>
      </c>
      <c r="D925" s="3" t="s">
        <v>9</v>
      </c>
      <c r="E925" s="3">
        <v>1</v>
      </c>
      <c r="F925" s="3">
        <v>0</v>
      </c>
      <c r="G925" s="3">
        <v>1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/>
      <c r="P925" s="3"/>
      <c r="Q925" s="3"/>
    </row>
    <row r="926" spans="1:17" ht="15" x14ac:dyDescent="0.25">
      <c r="A926" s="3">
        <f>919</f>
        <v>919</v>
      </c>
      <c r="B926" s="3" t="s">
        <v>928</v>
      </c>
      <c r="C926" s="3" t="s">
        <v>10</v>
      </c>
      <c r="D926" s="3" t="s">
        <v>9</v>
      </c>
      <c r="E926" s="3">
        <v>1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/>
      <c r="P926" s="3"/>
      <c r="Q926" s="3"/>
    </row>
    <row r="927" spans="1:17" ht="15" x14ac:dyDescent="0.25">
      <c r="A927" s="3">
        <f>920</f>
        <v>920</v>
      </c>
      <c r="B927" s="3" t="s">
        <v>929</v>
      </c>
      <c r="C927" s="3" t="s">
        <v>10</v>
      </c>
      <c r="D927" s="3" t="s">
        <v>9</v>
      </c>
      <c r="E927" s="3">
        <v>1</v>
      </c>
      <c r="F927" s="3">
        <v>0</v>
      </c>
      <c r="G927" s="3">
        <v>1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/>
      <c r="P927" s="3"/>
      <c r="Q927" s="3"/>
    </row>
    <row r="928" spans="1:17" ht="15" x14ac:dyDescent="0.25">
      <c r="A928" s="3">
        <f>921</f>
        <v>921</v>
      </c>
      <c r="B928" s="3" t="s">
        <v>930</v>
      </c>
      <c r="C928" s="3" t="s">
        <v>10</v>
      </c>
      <c r="D928" s="3" t="s">
        <v>9</v>
      </c>
      <c r="E928" s="3">
        <v>1</v>
      </c>
      <c r="F928" s="3">
        <v>0</v>
      </c>
      <c r="G928" s="3">
        <v>1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/>
      <c r="P928" s="3"/>
      <c r="Q928" s="3"/>
    </row>
    <row r="929" spans="1:17" ht="15" x14ac:dyDescent="0.25">
      <c r="A929" s="3">
        <f>922</f>
        <v>922</v>
      </c>
      <c r="B929" s="3" t="s">
        <v>931</v>
      </c>
      <c r="C929" s="3" t="s">
        <v>10</v>
      </c>
      <c r="D929" s="3" t="s">
        <v>9</v>
      </c>
      <c r="E929" s="3">
        <v>1</v>
      </c>
      <c r="F929" s="3">
        <v>0</v>
      </c>
      <c r="G929" s="3">
        <v>1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/>
      <c r="P929" s="3"/>
      <c r="Q929" s="3"/>
    </row>
    <row r="930" spans="1:17" ht="15" x14ac:dyDescent="0.25">
      <c r="A930" s="3">
        <f>923</f>
        <v>923</v>
      </c>
      <c r="B930" s="3" t="s">
        <v>932</v>
      </c>
      <c r="C930" s="3" t="s">
        <v>10</v>
      </c>
      <c r="D930" s="3" t="s">
        <v>9</v>
      </c>
      <c r="E930" s="3">
        <v>1</v>
      </c>
      <c r="F930" s="3">
        <v>0</v>
      </c>
      <c r="G930" s="3">
        <v>1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/>
      <c r="P930" s="3"/>
      <c r="Q930" s="3"/>
    </row>
    <row r="931" spans="1:17" ht="15" x14ac:dyDescent="0.25">
      <c r="A931" s="3">
        <f>924</f>
        <v>924</v>
      </c>
      <c r="B931" s="3" t="s">
        <v>933</v>
      </c>
      <c r="C931" s="3" t="s">
        <v>10</v>
      </c>
      <c r="D931" s="3" t="s">
        <v>9</v>
      </c>
      <c r="E931" s="3">
        <v>1</v>
      </c>
      <c r="F931" s="3">
        <v>0</v>
      </c>
      <c r="G931" s="3">
        <v>1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/>
      <c r="P931" s="3"/>
      <c r="Q931" s="3"/>
    </row>
    <row r="932" spans="1:17" ht="15" x14ac:dyDescent="0.25">
      <c r="A932" s="3">
        <f>925</f>
        <v>925</v>
      </c>
      <c r="B932" s="3" t="s">
        <v>934</v>
      </c>
      <c r="C932" s="3" t="s">
        <v>10</v>
      </c>
      <c r="D932" s="3" t="s">
        <v>9</v>
      </c>
      <c r="E932" s="3">
        <v>1</v>
      </c>
      <c r="F932" s="3">
        <v>0</v>
      </c>
      <c r="G932" s="3">
        <v>1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/>
      <c r="P932" s="3"/>
      <c r="Q932" s="3"/>
    </row>
    <row r="933" spans="1:17" ht="15" x14ac:dyDescent="0.25">
      <c r="A933" s="3">
        <f>926</f>
        <v>926</v>
      </c>
      <c r="B933" s="3" t="s">
        <v>935</v>
      </c>
      <c r="C933" s="3" t="s">
        <v>10</v>
      </c>
      <c r="D933" s="3" t="s">
        <v>9</v>
      </c>
      <c r="E933" s="3">
        <v>1</v>
      </c>
      <c r="F933" s="3">
        <v>0</v>
      </c>
      <c r="G933" s="3">
        <v>1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/>
      <c r="P933" s="3"/>
      <c r="Q933" s="3"/>
    </row>
    <row r="934" spans="1:17" ht="15" x14ac:dyDescent="0.25">
      <c r="A934" s="3">
        <f>927</f>
        <v>927</v>
      </c>
      <c r="B934" s="3" t="s">
        <v>936</v>
      </c>
      <c r="C934" s="3" t="s">
        <v>10</v>
      </c>
      <c r="D934" s="3" t="s">
        <v>9</v>
      </c>
      <c r="E934" s="3">
        <v>1</v>
      </c>
      <c r="F934" s="3">
        <v>0</v>
      </c>
      <c r="G934" s="3">
        <v>1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/>
      <c r="P934" s="3"/>
      <c r="Q934" s="3"/>
    </row>
    <row r="935" spans="1:17" ht="15" x14ac:dyDescent="0.25">
      <c r="A935" s="3">
        <f>928</f>
        <v>928</v>
      </c>
      <c r="B935" s="3" t="s">
        <v>937</v>
      </c>
      <c r="C935" s="3" t="s">
        <v>10</v>
      </c>
      <c r="D935" s="3" t="s">
        <v>9</v>
      </c>
      <c r="E935" s="3">
        <v>1</v>
      </c>
      <c r="F935" s="3">
        <v>0</v>
      </c>
      <c r="G935" s="3">
        <v>1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/>
      <c r="P935" s="3"/>
      <c r="Q935" s="3"/>
    </row>
    <row r="936" spans="1:17" ht="15" x14ac:dyDescent="0.25">
      <c r="A936" s="3">
        <f>929</f>
        <v>929</v>
      </c>
      <c r="B936" s="3" t="s">
        <v>938</v>
      </c>
      <c r="C936" s="3" t="s">
        <v>10</v>
      </c>
      <c r="D936" s="3" t="s">
        <v>9</v>
      </c>
      <c r="E936" s="3">
        <v>1</v>
      </c>
      <c r="F936" s="3">
        <v>0</v>
      </c>
      <c r="G936" s="3">
        <v>1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/>
      <c r="P936" s="3"/>
      <c r="Q936" s="3"/>
    </row>
    <row r="937" spans="1:17" ht="15" x14ac:dyDescent="0.25">
      <c r="A937" s="3">
        <f>930</f>
        <v>930</v>
      </c>
      <c r="B937" s="3" t="s">
        <v>939</v>
      </c>
      <c r="C937" s="3" t="s">
        <v>10</v>
      </c>
      <c r="D937" s="3" t="s">
        <v>9</v>
      </c>
      <c r="E937" s="3">
        <v>1</v>
      </c>
      <c r="F937" s="3">
        <v>0</v>
      </c>
      <c r="G937" s="3">
        <v>1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/>
      <c r="P937" s="3"/>
      <c r="Q937" s="3"/>
    </row>
    <row r="938" spans="1:17" ht="15" x14ac:dyDescent="0.25">
      <c r="A938" s="3">
        <f>931</f>
        <v>931</v>
      </c>
      <c r="B938" s="3" t="s">
        <v>940</v>
      </c>
      <c r="C938" s="3" t="s">
        <v>10</v>
      </c>
      <c r="D938" s="3" t="s">
        <v>9</v>
      </c>
      <c r="E938" s="3">
        <v>1</v>
      </c>
      <c r="F938" s="3">
        <v>0</v>
      </c>
      <c r="G938" s="3">
        <v>1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/>
      <c r="P938" s="3"/>
      <c r="Q938" s="3"/>
    </row>
    <row r="939" spans="1:17" ht="15" x14ac:dyDescent="0.25">
      <c r="A939" s="3">
        <f>932</f>
        <v>932</v>
      </c>
      <c r="B939" s="3" t="s">
        <v>941</v>
      </c>
      <c r="C939" s="3" t="s">
        <v>10</v>
      </c>
      <c r="D939" s="3" t="s">
        <v>9</v>
      </c>
      <c r="E939" s="3">
        <v>1</v>
      </c>
      <c r="F939" s="3">
        <v>0</v>
      </c>
      <c r="G939" s="3">
        <v>1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/>
      <c r="P939" s="3"/>
      <c r="Q939" s="3"/>
    </row>
    <row r="940" spans="1:17" ht="15" x14ac:dyDescent="0.25">
      <c r="A940" s="3">
        <f>933</f>
        <v>933</v>
      </c>
      <c r="B940" s="3" t="s">
        <v>942</v>
      </c>
      <c r="C940" s="3" t="s">
        <v>10</v>
      </c>
      <c r="D940" s="3" t="s">
        <v>9</v>
      </c>
      <c r="E940" s="3">
        <v>1</v>
      </c>
      <c r="F940" s="3">
        <v>0</v>
      </c>
      <c r="G940" s="3">
        <v>1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/>
      <c r="P940" s="3"/>
      <c r="Q940" s="3"/>
    </row>
    <row r="941" spans="1:17" ht="15" x14ac:dyDescent="0.25">
      <c r="A941" s="3">
        <f>934</f>
        <v>934</v>
      </c>
      <c r="B941" s="3" t="s">
        <v>943</v>
      </c>
      <c r="C941" s="3" t="s">
        <v>10</v>
      </c>
      <c r="D941" s="3" t="s">
        <v>9</v>
      </c>
      <c r="E941" s="3">
        <v>1</v>
      </c>
      <c r="F941" s="3">
        <v>0</v>
      </c>
      <c r="G941" s="3">
        <v>1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/>
      <c r="P941" s="3"/>
      <c r="Q941" s="3"/>
    </row>
    <row r="942" spans="1:17" ht="15" x14ac:dyDescent="0.25">
      <c r="A942" s="3">
        <f>935</f>
        <v>935</v>
      </c>
      <c r="B942" s="3" t="s">
        <v>944</v>
      </c>
      <c r="C942" s="3" t="s">
        <v>10</v>
      </c>
      <c r="D942" s="3" t="s">
        <v>9</v>
      </c>
      <c r="E942" s="3">
        <v>1</v>
      </c>
      <c r="F942" s="3">
        <v>0</v>
      </c>
      <c r="G942" s="3">
        <v>1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/>
      <c r="P942" s="3"/>
      <c r="Q942" s="3"/>
    </row>
    <row r="943" spans="1:17" ht="15" x14ac:dyDescent="0.25">
      <c r="A943" s="3">
        <f>936</f>
        <v>936</v>
      </c>
      <c r="B943" s="3" t="s">
        <v>945</v>
      </c>
      <c r="C943" s="3" t="s">
        <v>10</v>
      </c>
      <c r="D943" s="3" t="s">
        <v>9</v>
      </c>
      <c r="E943" s="3">
        <v>1</v>
      </c>
      <c r="F943" s="3">
        <v>0</v>
      </c>
      <c r="G943" s="3">
        <v>1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/>
      <c r="P943" s="3"/>
      <c r="Q943" s="3"/>
    </row>
    <row r="944" spans="1:17" ht="15" x14ac:dyDescent="0.25">
      <c r="A944" s="3">
        <f>937</f>
        <v>937</v>
      </c>
      <c r="B944" s="3" t="s">
        <v>946</v>
      </c>
      <c r="C944" s="3" t="s">
        <v>10</v>
      </c>
      <c r="D944" s="3" t="s">
        <v>9</v>
      </c>
      <c r="E944" s="3">
        <v>1</v>
      </c>
      <c r="F944" s="3">
        <v>0</v>
      </c>
      <c r="G944" s="3">
        <v>1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/>
      <c r="P944" s="3"/>
      <c r="Q944" s="3"/>
    </row>
    <row r="945" spans="1:17" ht="15" x14ac:dyDescent="0.25">
      <c r="A945" s="3">
        <f>938</f>
        <v>938</v>
      </c>
      <c r="B945" s="3" t="s">
        <v>947</v>
      </c>
      <c r="C945" s="3" t="s">
        <v>10</v>
      </c>
      <c r="D945" s="3" t="s">
        <v>9</v>
      </c>
      <c r="E945" s="3">
        <v>1</v>
      </c>
      <c r="F945" s="3">
        <v>0</v>
      </c>
      <c r="G945" s="3">
        <v>1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/>
      <c r="P945" s="3"/>
      <c r="Q945" s="3"/>
    </row>
    <row r="946" spans="1:17" ht="15" x14ac:dyDescent="0.25">
      <c r="A946" s="3">
        <f>939</f>
        <v>939</v>
      </c>
      <c r="B946" s="3" t="s">
        <v>948</v>
      </c>
      <c r="C946" s="3" t="s">
        <v>10</v>
      </c>
      <c r="D946" s="3" t="s">
        <v>9</v>
      </c>
      <c r="E946" s="3">
        <v>1</v>
      </c>
      <c r="F946" s="3">
        <v>0</v>
      </c>
      <c r="G946" s="3">
        <v>1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/>
      <c r="P946" s="3"/>
      <c r="Q946" s="3"/>
    </row>
    <row r="947" spans="1:17" ht="15" x14ac:dyDescent="0.25">
      <c r="A947" s="3">
        <f>940</f>
        <v>940</v>
      </c>
      <c r="B947" s="3" t="s">
        <v>949</v>
      </c>
      <c r="C947" s="3" t="s">
        <v>10</v>
      </c>
      <c r="D947" s="3" t="s">
        <v>9</v>
      </c>
      <c r="E947" s="3">
        <v>1</v>
      </c>
      <c r="F947" s="3">
        <v>0</v>
      </c>
      <c r="G947" s="3">
        <v>1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/>
      <c r="P947" s="3"/>
      <c r="Q947" s="3"/>
    </row>
    <row r="948" spans="1:17" ht="15" x14ac:dyDescent="0.25">
      <c r="A948" s="3">
        <f>941</f>
        <v>941</v>
      </c>
      <c r="B948" s="3" t="s">
        <v>950</v>
      </c>
      <c r="C948" s="3" t="s">
        <v>10</v>
      </c>
      <c r="D948" s="3" t="s">
        <v>9</v>
      </c>
      <c r="E948" s="3">
        <v>1</v>
      </c>
      <c r="F948" s="3">
        <v>0</v>
      </c>
      <c r="G948" s="3">
        <v>1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/>
      <c r="P948" s="3"/>
      <c r="Q948" s="3"/>
    </row>
    <row r="949" spans="1:17" ht="15" x14ac:dyDescent="0.25">
      <c r="A949" s="3">
        <f>942</f>
        <v>942</v>
      </c>
      <c r="B949" s="3" t="s">
        <v>951</v>
      </c>
      <c r="C949" s="3" t="s">
        <v>10</v>
      </c>
      <c r="D949" s="3" t="s">
        <v>9</v>
      </c>
      <c r="E949" s="3">
        <v>1</v>
      </c>
      <c r="F949" s="3">
        <v>0</v>
      </c>
      <c r="G949" s="3">
        <v>1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/>
      <c r="P949" s="3"/>
      <c r="Q949" s="3"/>
    </row>
    <row r="950" spans="1:17" ht="15" x14ac:dyDescent="0.25">
      <c r="A950" s="3">
        <f>943</f>
        <v>943</v>
      </c>
      <c r="B950" s="3" t="s">
        <v>952</v>
      </c>
      <c r="C950" s="3" t="s">
        <v>10</v>
      </c>
      <c r="D950" s="3" t="s">
        <v>9</v>
      </c>
      <c r="E950" s="3">
        <v>1</v>
      </c>
      <c r="F950" s="3">
        <v>0</v>
      </c>
      <c r="G950" s="3">
        <v>1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/>
      <c r="P950" s="3"/>
      <c r="Q950" s="3"/>
    </row>
    <row r="951" spans="1:17" ht="15" x14ac:dyDescent="0.25">
      <c r="A951" s="3">
        <f>944</f>
        <v>944</v>
      </c>
      <c r="B951" s="3" t="s">
        <v>953</v>
      </c>
      <c r="C951" s="3" t="s">
        <v>10</v>
      </c>
      <c r="D951" s="3" t="s">
        <v>9</v>
      </c>
      <c r="E951" s="3">
        <v>1</v>
      </c>
      <c r="F951" s="3">
        <v>0</v>
      </c>
      <c r="G951" s="3">
        <v>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/>
      <c r="P951" s="3"/>
      <c r="Q951" s="3"/>
    </row>
    <row r="952" spans="1:17" ht="15" x14ac:dyDescent="0.25">
      <c r="A952" s="3">
        <f>945</f>
        <v>945</v>
      </c>
      <c r="B952" s="3" t="s">
        <v>954</v>
      </c>
      <c r="C952" s="3" t="s">
        <v>10</v>
      </c>
      <c r="D952" s="3" t="s">
        <v>9</v>
      </c>
      <c r="E952" s="3">
        <v>1</v>
      </c>
      <c r="F952" s="3">
        <v>0</v>
      </c>
      <c r="G952" s="3">
        <v>1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/>
      <c r="P952" s="3"/>
      <c r="Q952" s="3"/>
    </row>
    <row r="953" spans="1:17" ht="15" x14ac:dyDescent="0.25">
      <c r="A953" s="3">
        <f>946</f>
        <v>946</v>
      </c>
      <c r="B953" s="3" t="s">
        <v>955</v>
      </c>
      <c r="C953" s="3" t="s">
        <v>10</v>
      </c>
      <c r="D953" s="3" t="s">
        <v>9</v>
      </c>
      <c r="E953" s="3">
        <v>1</v>
      </c>
      <c r="F953" s="3">
        <v>0</v>
      </c>
      <c r="G953" s="3">
        <v>1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/>
      <c r="P953" s="3"/>
      <c r="Q953" s="3"/>
    </row>
    <row r="954" spans="1:17" ht="15" x14ac:dyDescent="0.25">
      <c r="A954" s="3">
        <f>947</f>
        <v>947</v>
      </c>
      <c r="B954" s="3" t="s">
        <v>956</v>
      </c>
      <c r="C954" s="3" t="s">
        <v>10</v>
      </c>
      <c r="D954" s="3" t="s">
        <v>9</v>
      </c>
      <c r="E954" s="3">
        <v>1</v>
      </c>
      <c r="F954" s="3">
        <v>0</v>
      </c>
      <c r="G954" s="3">
        <v>1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/>
      <c r="P954" s="3"/>
      <c r="Q954" s="3"/>
    </row>
    <row r="955" spans="1:17" ht="15" x14ac:dyDescent="0.25">
      <c r="A955" s="3">
        <f>948</f>
        <v>948</v>
      </c>
      <c r="B955" s="3" t="s">
        <v>957</v>
      </c>
      <c r="C955" s="3" t="s">
        <v>10</v>
      </c>
      <c r="D955" s="3" t="s">
        <v>9</v>
      </c>
      <c r="E955" s="3">
        <v>1</v>
      </c>
      <c r="F955" s="3">
        <v>0</v>
      </c>
      <c r="G955" s="3">
        <v>1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/>
      <c r="P955" s="3"/>
      <c r="Q955" s="3"/>
    </row>
    <row r="956" spans="1:17" ht="15" x14ac:dyDescent="0.25">
      <c r="A956" s="3">
        <f>949</f>
        <v>949</v>
      </c>
      <c r="B956" s="3" t="s">
        <v>958</v>
      </c>
      <c r="C956" s="3" t="s">
        <v>10</v>
      </c>
      <c r="D956" s="3" t="s">
        <v>9</v>
      </c>
      <c r="E956" s="3">
        <v>1</v>
      </c>
      <c r="F956" s="3">
        <v>0</v>
      </c>
      <c r="G956" s="3">
        <v>1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/>
      <c r="P956" s="3"/>
      <c r="Q956" s="3"/>
    </row>
    <row r="957" spans="1:17" ht="15" x14ac:dyDescent="0.25">
      <c r="A957" s="3">
        <f>950</f>
        <v>950</v>
      </c>
      <c r="B957" s="3" t="s">
        <v>959</v>
      </c>
      <c r="C957" s="3" t="s">
        <v>10</v>
      </c>
      <c r="D957" s="3" t="s">
        <v>9</v>
      </c>
      <c r="E957" s="3">
        <v>1</v>
      </c>
      <c r="F957" s="3">
        <v>0</v>
      </c>
      <c r="G957" s="3">
        <v>1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/>
      <c r="P957" s="3"/>
      <c r="Q957" s="3"/>
    </row>
    <row r="958" spans="1:17" ht="15" x14ac:dyDescent="0.25">
      <c r="A958" s="3">
        <f>951</f>
        <v>951</v>
      </c>
      <c r="B958" s="3" t="s">
        <v>960</v>
      </c>
      <c r="C958" s="3" t="s">
        <v>10</v>
      </c>
      <c r="D958" s="3" t="s">
        <v>9</v>
      </c>
      <c r="E958" s="3">
        <v>1</v>
      </c>
      <c r="F958" s="3">
        <v>0</v>
      </c>
      <c r="G958" s="3">
        <v>1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/>
      <c r="P958" s="3"/>
      <c r="Q958" s="3"/>
    </row>
    <row r="959" spans="1:17" ht="15" x14ac:dyDescent="0.25">
      <c r="A959" s="3">
        <f>952</f>
        <v>952</v>
      </c>
      <c r="B959" s="3" t="s">
        <v>961</v>
      </c>
      <c r="C959" s="3" t="s">
        <v>10</v>
      </c>
      <c r="D959" s="3" t="s">
        <v>9</v>
      </c>
      <c r="E959" s="3">
        <v>1</v>
      </c>
      <c r="F959" s="3">
        <v>0</v>
      </c>
      <c r="G959" s="3">
        <v>1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/>
      <c r="P959" s="3"/>
      <c r="Q959" s="3"/>
    </row>
    <row r="960" spans="1:17" ht="15" x14ac:dyDescent="0.25">
      <c r="A960" s="3">
        <f>953</f>
        <v>953</v>
      </c>
      <c r="B960" s="3" t="s">
        <v>962</v>
      </c>
      <c r="C960" s="3" t="s">
        <v>10</v>
      </c>
      <c r="D960" s="3" t="s">
        <v>9</v>
      </c>
      <c r="E960" s="3">
        <v>1</v>
      </c>
      <c r="F960" s="3">
        <v>0</v>
      </c>
      <c r="G960" s="3">
        <v>1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/>
      <c r="P960" s="3"/>
      <c r="Q960" s="3"/>
    </row>
    <row r="961" spans="1:17" ht="15" x14ac:dyDescent="0.25">
      <c r="A961" s="3">
        <f>954</f>
        <v>954</v>
      </c>
      <c r="B961" s="3" t="s">
        <v>963</v>
      </c>
      <c r="C961" s="3" t="s">
        <v>10</v>
      </c>
      <c r="D961" s="3" t="s">
        <v>9</v>
      </c>
      <c r="E961" s="3">
        <v>1</v>
      </c>
      <c r="F961" s="3">
        <v>0</v>
      </c>
      <c r="G961" s="3">
        <v>1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/>
      <c r="P961" s="3"/>
      <c r="Q961" s="3"/>
    </row>
    <row r="962" spans="1:17" ht="15" x14ac:dyDescent="0.25">
      <c r="A962" s="3">
        <f>955</f>
        <v>955</v>
      </c>
      <c r="B962" s="3" t="s">
        <v>964</v>
      </c>
      <c r="C962" s="3" t="s">
        <v>10</v>
      </c>
      <c r="D962" s="3" t="s">
        <v>9</v>
      </c>
      <c r="E962" s="3">
        <v>1</v>
      </c>
      <c r="F962" s="3">
        <v>0</v>
      </c>
      <c r="G962" s="3">
        <v>1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/>
      <c r="P962" s="3"/>
      <c r="Q962" s="3"/>
    </row>
    <row r="963" spans="1:17" ht="15" x14ac:dyDescent="0.25">
      <c r="A963" s="3">
        <f>956</f>
        <v>956</v>
      </c>
      <c r="B963" s="3" t="s">
        <v>965</v>
      </c>
      <c r="C963" s="3" t="s">
        <v>10</v>
      </c>
      <c r="D963" s="3" t="s">
        <v>9</v>
      </c>
      <c r="E963" s="3">
        <v>1</v>
      </c>
      <c r="F963" s="3">
        <v>0</v>
      </c>
      <c r="G963" s="3">
        <v>1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/>
      <c r="P963" s="3"/>
      <c r="Q963" s="3"/>
    </row>
    <row r="964" spans="1:17" ht="15" x14ac:dyDescent="0.25">
      <c r="A964" s="3">
        <f>957</f>
        <v>957</v>
      </c>
      <c r="B964" s="3" t="s">
        <v>966</v>
      </c>
      <c r="C964" s="3" t="s">
        <v>10</v>
      </c>
      <c r="D964" s="3" t="s">
        <v>9</v>
      </c>
      <c r="E964" s="3">
        <v>1</v>
      </c>
      <c r="F964" s="3">
        <v>0</v>
      </c>
      <c r="G964" s="3">
        <v>1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/>
      <c r="P964" s="3"/>
      <c r="Q964" s="3"/>
    </row>
    <row r="965" spans="1:17" ht="15" x14ac:dyDescent="0.25">
      <c r="A965" s="3">
        <f>958</f>
        <v>958</v>
      </c>
      <c r="B965" s="3" t="s">
        <v>967</v>
      </c>
      <c r="C965" s="3" t="s">
        <v>10</v>
      </c>
      <c r="D965" s="3" t="s">
        <v>9</v>
      </c>
      <c r="E965" s="3">
        <v>1</v>
      </c>
      <c r="F965" s="3">
        <v>0</v>
      </c>
      <c r="G965" s="3">
        <v>1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/>
      <c r="P965" s="3"/>
      <c r="Q965" s="3"/>
    </row>
    <row r="966" spans="1:17" ht="15" x14ac:dyDescent="0.25">
      <c r="A966" s="3">
        <f>959</f>
        <v>959</v>
      </c>
      <c r="B966" s="3" t="s">
        <v>968</v>
      </c>
      <c r="C966" s="3" t="s">
        <v>10</v>
      </c>
      <c r="D966" s="3" t="s">
        <v>9</v>
      </c>
      <c r="E966" s="3">
        <v>1</v>
      </c>
      <c r="F966" s="3">
        <v>0</v>
      </c>
      <c r="G966" s="3">
        <v>1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/>
      <c r="P966" s="3"/>
      <c r="Q966" s="3"/>
    </row>
    <row r="967" spans="1:17" ht="15" x14ac:dyDescent="0.25">
      <c r="A967" s="3">
        <f>960</f>
        <v>960</v>
      </c>
      <c r="B967" s="3" t="s">
        <v>969</v>
      </c>
      <c r="C967" s="3" t="s">
        <v>10</v>
      </c>
      <c r="D967" s="3" t="s">
        <v>9</v>
      </c>
      <c r="E967" s="3">
        <v>1</v>
      </c>
      <c r="F967" s="3">
        <v>0</v>
      </c>
      <c r="G967" s="3">
        <v>1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/>
      <c r="P967" s="3"/>
      <c r="Q967" s="3"/>
    </row>
    <row r="968" spans="1:17" ht="15" x14ac:dyDescent="0.25">
      <c r="A968" s="3">
        <f>961</f>
        <v>961</v>
      </c>
      <c r="B968" s="3" t="s">
        <v>970</v>
      </c>
      <c r="C968" s="3" t="s">
        <v>10</v>
      </c>
      <c r="D968" s="3" t="s">
        <v>9</v>
      </c>
      <c r="E968" s="3">
        <v>1</v>
      </c>
      <c r="F968" s="3">
        <v>0</v>
      </c>
      <c r="G968" s="3">
        <v>1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/>
      <c r="P968" s="3"/>
      <c r="Q968" s="3"/>
    </row>
    <row r="969" spans="1:17" ht="15" x14ac:dyDescent="0.25">
      <c r="A969" s="3">
        <f>962</f>
        <v>962</v>
      </c>
      <c r="B969" s="3" t="s">
        <v>971</v>
      </c>
      <c r="C969" s="3" t="s">
        <v>10</v>
      </c>
      <c r="D969" s="3" t="s">
        <v>9</v>
      </c>
      <c r="E969" s="3">
        <v>1</v>
      </c>
      <c r="F969" s="3">
        <v>0</v>
      </c>
      <c r="G969" s="3">
        <v>1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/>
      <c r="P969" s="3"/>
      <c r="Q969" s="3"/>
    </row>
    <row r="970" spans="1:17" ht="15" x14ac:dyDescent="0.25">
      <c r="A970" s="3">
        <f>963</f>
        <v>963</v>
      </c>
      <c r="B970" s="3" t="s">
        <v>972</v>
      </c>
      <c r="C970" s="3" t="s">
        <v>10</v>
      </c>
      <c r="D970" s="3" t="s">
        <v>9</v>
      </c>
      <c r="E970" s="3">
        <v>1</v>
      </c>
      <c r="F970" s="3">
        <v>0</v>
      </c>
      <c r="G970" s="3">
        <v>1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/>
      <c r="P970" s="3"/>
      <c r="Q970" s="3"/>
    </row>
    <row r="971" spans="1:17" ht="15" x14ac:dyDescent="0.25">
      <c r="A971" s="3">
        <f>964</f>
        <v>964</v>
      </c>
      <c r="B971" s="3" t="s">
        <v>973</v>
      </c>
      <c r="C971" s="3" t="s">
        <v>10</v>
      </c>
      <c r="D971" s="3" t="s">
        <v>9</v>
      </c>
      <c r="E971" s="3">
        <v>1</v>
      </c>
      <c r="F971" s="3">
        <v>0</v>
      </c>
      <c r="G971" s="3">
        <v>1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/>
      <c r="P971" s="3"/>
      <c r="Q971" s="3"/>
    </row>
    <row r="972" spans="1:17" ht="15" x14ac:dyDescent="0.25">
      <c r="A972" s="3">
        <f>965</f>
        <v>965</v>
      </c>
      <c r="B972" s="3" t="s">
        <v>974</v>
      </c>
      <c r="C972" s="3" t="s">
        <v>10</v>
      </c>
      <c r="D972" s="3" t="s">
        <v>9</v>
      </c>
      <c r="E972" s="3">
        <v>1</v>
      </c>
      <c r="F972" s="3">
        <v>0</v>
      </c>
      <c r="G972" s="3">
        <v>1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/>
      <c r="P972" s="3"/>
      <c r="Q972" s="3"/>
    </row>
    <row r="973" spans="1:17" ht="15" x14ac:dyDescent="0.25">
      <c r="A973" s="3">
        <f>966</f>
        <v>966</v>
      </c>
      <c r="B973" s="3" t="s">
        <v>975</v>
      </c>
      <c r="C973" s="3" t="s">
        <v>10</v>
      </c>
      <c r="D973" s="3" t="s">
        <v>9</v>
      </c>
      <c r="E973" s="3">
        <v>1</v>
      </c>
      <c r="F973" s="3">
        <v>0</v>
      </c>
      <c r="G973" s="3">
        <v>1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/>
      <c r="P973" s="3"/>
      <c r="Q973" s="3"/>
    </row>
    <row r="974" spans="1:17" ht="15" x14ac:dyDescent="0.25">
      <c r="A974" s="3">
        <f>967</f>
        <v>967</v>
      </c>
      <c r="B974" s="3" t="s">
        <v>976</v>
      </c>
      <c r="C974" s="3" t="s">
        <v>10</v>
      </c>
      <c r="D974" s="3" t="s">
        <v>9</v>
      </c>
      <c r="E974" s="3">
        <v>1</v>
      </c>
      <c r="F974" s="3">
        <v>0</v>
      </c>
      <c r="G974" s="3">
        <v>1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/>
      <c r="P974" s="3"/>
      <c r="Q974" s="3"/>
    </row>
    <row r="975" spans="1:17" ht="15" x14ac:dyDescent="0.25">
      <c r="A975" s="3">
        <f>968</f>
        <v>968</v>
      </c>
      <c r="B975" s="3" t="s">
        <v>977</v>
      </c>
      <c r="C975" s="3" t="s">
        <v>10</v>
      </c>
      <c r="D975" s="3" t="s">
        <v>9</v>
      </c>
      <c r="E975" s="3">
        <v>1</v>
      </c>
      <c r="F975" s="3">
        <v>0</v>
      </c>
      <c r="G975" s="3">
        <v>1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/>
      <c r="P975" s="3"/>
      <c r="Q975" s="3"/>
    </row>
    <row r="976" spans="1:17" ht="15" x14ac:dyDescent="0.25">
      <c r="A976" s="3">
        <f>969</f>
        <v>969</v>
      </c>
      <c r="B976" s="3" t="s">
        <v>978</v>
      </c>
      <c r="C976" s="3" t="s">
        <v>10</v>
      </c>
      <c r="D976" s="3" t="s">
        <v>9</v>
      </c>
      <c r="E976" s="3">
        <v>1</v>
      </c>
      <c r="F976" s="3">
        <v>0</v>
      </c>
      <c r="G976" s="3">
        <v>1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/>
      <c r="P976" s="3"/>
      <c r="Q976" s="3"/>
    </row>
    <row r="977" spans="1:17" ht="15" x14ac:dyDescent="0.25">
      <c r="A977" s="3">
        <f>970</f>
        <v>970</v>
      </c>
      <c r="B977" s="3" t="s">
        <v>979</v>
      </c>
      <c r="C977" s="3" t="s">
        <v>10</v>
      </c>
      <c r="D977" s="3" t="s">
        <v>9</v>
      </c>
      <c r="E977" s="3">
        <v>1</v>
      </c>
      <c r="F977" s="3">
        <v>0</v>
      </c>
      <c r="G977" s="3">
        <v>1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/>
      <c r="P977" s="3"/>
      <c r="Q977" s="3"/>
    </row>
    <row r="978" spans="1:17" ht="15" x14ac:dyDescent="0.25">
      <c r="A978" s="3">
        <f>971</f>
        <v>971</v>
      </c>
      <c r="B978" s="3" t="s">
        <v>980</v>
      </c>
      <c r="C978" s="3" t="s">
        <v>10</v>
      </c>
      <c r="D978" s="3" t="s">
        <v>9</v>
      </c>
      <c r="E978" s="3">
        <v>1</v>
      </c>
      <c r="F978" s="3">
        <v>0</v>
      </c>
      <c r="G978" s="3">
        <v>1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/>
      <c r="P978" s="3"/>
      <c r="Q978" s="3"/>
    </row>
    <row r="979" spans="1:17" ht="15" x14ac:dyDescent="0.25">
      <c r="A979" s="3">
        <f>972</f>
        <v>972</v>
      </c>
      <c r="B979" s="3" t="s">
        <v>981</v>
      </c>
      <c r="C979" s="3" t="s">
        <v>10</v>
      </c>
      <c r="D979" s="3" t="s">
        <v>9</v>
      </c>
      <c r="E979" s="3">
        <v>1</v>
      </c>
      <c r="F979" s="3">
        <v>0</v>
      </c>
      <c r="G979" s="3">
        <v>1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/>
      <c r="P979" s="3"/>
      <c r="Q979" s="3"/>
    </row>
    <row r="980" spans="1:17" ht="15" x14ac:dyDescent="0.25">
      <c r="A980" s="3">
        <f>973</f>
        <v>973</v>
      </c>
      <c r="B980" s="3" t="s">
        <v>982</v>
      </c>
      <c r="C980" s="3" t="s">
        <v>10</v>
      </c>
      <c r="D980" s="3" t="s">
        <v>9</v>
      </c>
      <c r="E980" s="3">
        <v>1</v>
      </c>
      <c r="F980" s="3">
        <v>0</v>
      </c>
      <c r="G980" s="3">
        <v>1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/>
      <c r="P980" s="3"/>
      <c r="Q980" s="3"/>
    </row>
    <row r="981" spans="1:17" ht="15" x14ac:dyDescent="0.25">
      <c r="A981" s="3">
        <f>974</f>
        <v>974</v>
      </c>
      <c r="B981" s="3" t="s">
        <v>983</v>
      </c>
      <c r="C981" s="3" t="s">
        <v>10</v>
      </c>
      <c r="D981" s="3" t="s">
        <v>9</v>
      </c>
      <c r="E981" s="3">
        <v>1</v>
      </c>
      <c r="F981" s="3">
        <v>0</v>
      </c>
      <c r="G981" s="3">
        <v>1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/>
      <c r="P981" s="3"/>
      <c r="Q981" s="3"/>
    </row>
    <row r="982" spans="1:17" ht="15" x14ac:dyDescent="0.25">
      <c r="A982" s="3">
        <f>975</f>
        <v>975</v>
      </c>
      <c r="B982" s="3" t="s">
        <v>984</v>
      </c>
      <c r="C982" s="3" t="s">
        <v>10</v>
      </c>
      <c r="D982" s="3" t="s">
        <v>9</v>
      </c>
      <c r="E982" s="3">
        <v>1</v>
      </c>
      <c r="F982" s="3">
        <v>0</v>
      </c>
      <c r="G982" s="3">
        <v>1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/>
      <c r="P982" s="3"/>
      <c r="Q982" s="3"/>
    </row>
    <row r="983" spans="1:17" ht="15" x14ac:dyDescent="0.25">
      <c r="A983" s="3">
        <f>976</f>
        <v>976</v>
      </c>
      <c r="B983" s="3" t="s">
        <v>985</v>
      </c>
      <c r="C983" s="3" t="s">
        <v>10</v>
      </c>
      <c r="D983" s="3" t="s">
        <v>9</v>
      </c>
      <c r="E983" s="3">
        <v>1</v>
      </c>
      <c r="F983" s="3">
        <v>0</v>
      </c>
      <c r="G983" s="3">
        <v>1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/>
      <c r="P983" s="3"/>
      <c r="Q983" s="3"/>
    </row>
    <row r="984" spans="1:17" ht="15" x14ac:dyDescent="0.25">
      <c r="A984" s="3">
        <f>977</f>
        <v>977</v>
      </c>
      <c r="B984" s="3" t="s">
        <v>986</v>
      </c>
      <c r="C984" s="3" t="s">
        <v>10</v>
      </c>
      <c r="D984" s="3" t="s">
        <v>9</v>
      </c>
      <c r="E984" s="3">
        <v>1</v>
      </c>
      <c r="F984" s="3">
        <v>0</v>
      </c>
      <c r="G984" s="3">
        <v>1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/>
      <c r="P984" s="3"/>
      <c r="Q984" s="3"/>
    </row>
    <row r="985" spans="1:17" ht="15" x14ac:dyDescent="0.25">
      <c r="A985" s="3">
        <f>978</f>
        <v>978</v>
      </c>
      <c r="B985" s="3" t="s">
        <v>987</v>
      </c>
      <c r="C985" s="3" t="s">
        <v>10</v>
      </c>
      <c r="D985" s="3" t="s">
        <v>9</v>
      </c>
      <c r="E985" s="3">
        <v>1</v>
      </c>
      <c r="F985" s="3">
        <v>0</v>
      </c>
      <c r="G985" s="3">
        <v>1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/>
      <c r="P985" s="3"/>
      <c r="Q985" s="3"/>
    </row>
    <row r="986" spans="1:17" ht="15" x14ac:dyDescent="0.25">
      <c r="A986" s="3">
        <f>979</f>
        <v>979</v>
      </c>
      <c r="B986" s="3" t="s">
        <v>988</v>
      </c>
      <c r="C986" s="3" t="s">
        <v>10</v>
      </c>
      <c r="D986" s="3" t="s">
        <v>9</v>
      </c>
      <c r="E986" s="3">
        <v>1</v>
      </c>
      <c r="F986" s="3">
        <v>0</v>
      </c>
      <c r="G986" s="3">
        <v>1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/>
      <c r="P986" s="3"/>
      <c r="Q986" s="3"/>
    </row>
    <row r="987" spans="1:17" ht="15" x14ac:dyDescent="0.25">
      <c r="A987" s="3">
        <f>980</f>
        <v>980</v>
      </c>
      <c r="B987" s="3" t="s">
        <v>989</v>
      </c>
      <c r="C987" s="3" t="s">
        <v>10</v>
      </c>
      <c r="D987" s="3" t="s">
        <v>9</v>
      </c>
      <c r="E987" s="3">
        <v>1</v>
      </c>
      <c r="F987" s="3">
        <v>0</v>
      </c>
      <c r="G987" s="3">
        <v>1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/>
      <c r="P987" s="3"/>
      <c r="Q987" s="3"/>
    </row>
    <row r="988" spans="1:17" ht="15" x14ac:dyDescent="0.25">
      <c r="A988" s="3">
        <f>981</f>
        <v>981</v>
      </c>
      <c r="B988" s="3" t="s">
        <v>990</v>
      </c>
      <c r="C988" s="3" t="s">
        <v>10</v>
      </c>
      <c r="D988" s="3" t="s">
        <v>9</v>
      </c>
      <c r="E988" s="3">
        <v>1</v>
      </c>
      <c r="F988" s="3">
        <v>0</v>
      </c>
      <c r="G988" s="3">
        <v>1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/>
      <c r="P988" s="3"/>
      <c r="Q988" s="3"/>
    </row>
    <row r="989" spans="1:17" ht="15" x14ac:dyDescent="0.25">
      <c r="A989" s="3">
        <f>982</f>
        <v>982</v>
      </c>
      <c r="B989" s="3" t="s">
        <v>991</v>
      </c>
      <c r="C989" s="3" t="s">
        <v>10</v>
      </c>
      <c r="D989" s="3" t="s">
        <v>9</v>
      </c>
      <c r="E989" s="3">
        <v>1</v>
      </c>
      <c r="F989" s="3">
        <v>0</v>
      </c>
      <c r="G989" s="3">
        <v>1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/>
      <c r="P989" s="3"/>
      <c r="Q989" s="3"/>
    </row>
    <row r="990" spans="1:17" ht="15" x14ac:dyDescent="0.25">
      <c r="A990" s="3">
        <f>983</f>
        <v>983</v>
      </c>
      <c r="B990" s="3" t="s">
        <v>992</v>
      </c>
      <c r="C990" s="3" t="s">
        <v>10</v>
      </c>
      <c r="D990" s="3" t="s">
        <v>9</v>
      </c>
      <c r="E990" s="3">
        <v>1</v>
      </c>
      <c r="F990" s="3">
        <v>0</v>
      </c>
      <c r="G990" s="3">
        <v>1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/>
      <c r="P990" s="3"/>
      <c r="Q990" s="3"/>
    </row>
    <row r="991" spans="1:17" ht="15" x14ac:dyDescent="0.25">
      <c r="A991" s="3">
        <f>984</f>
        <v>984</v>
      </c>
      <c r="B991" s="3" t="s">
        <v>993</v>
      </c>
      <c r="C991" s="3" t="s">
        <v>10</v>
      </c>
      <c r="D991" s="3" t="s">
        <v>9</v>
      </c>
      <c r="E991" s="3">
        <v>1</v>
      </c>
      <c r="F991" s="3">
        <v>0</v>
      </c>
      <c r="G991" s="3">
        <v>1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/>
      <c r="P991" s="3"/>
      <c r="Q991" s="3"/>
    </row>
    <row r="992" spans="1:17" ht="15" x14ac:dyDescent="0.25">
      <c r="A992" s="3">
        <f>985</f>
        <v>985</v>
      </c>
      <c r="B992" s="3" t="s">
        <v>994</v>
      </c>
      <c r="C992" s="3" t="s">
        <v>10</v>
      </c>
      <c r="D992" s="3" t="s">
        <v>9</v>
      </c>
      <c r="E992" s="3">
        <v>1</v>
      </c>
      <c r="F992" s="3">
        <v>0</v>
      </c>
      <c r="G992" s="3">
        <v>1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/>
      <c r="P992" s="3"/>
      <c r="Q992" s="3"/>
    </row>
    <row r="993" spans="1:17" ht="15" x14ac:dyDescent="0.25">
      <c r="A993" s="3">
        <f>986</f>
        <v>986</v>
      </c>
      <c r="B993" s="3" t="s">
        <v>995</v>
      </c>
      <c r="C993" s="3" t="s">
        <v>10</v>
      </c>
      <c r="D993" s="3" t="s">
        <v>9</v>
      </c>
      <c r="E993" s="3">
        <v>1</v>
      </c>
      <c r="F993" s="3">
        <v>0</v>
      </c>
      <c r="G993" s="3">
        <v>1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/>
      <c r="P993" s="3"/>
      <c r="Q993" s="3"/>
    </row>
    <row r="994" spans="1:17" ht="15" x14ac:dyDescent="0.25">
      <c r="A994" s="3">
        <f>987</f>
        <v>987</v>
      </c>
      <c r="B994" s="3" t="s">
        <v>996</v>
      </c>
      <c r="C994" s="3" t="s">
        <v>10</v>
      </c>
      <c r="D994" s="3" t="s">
        <v>9</v>
      </c>
      <c r="E994" s="3">
        <v>1</v>
      </c>
      <c r="F994" s="3">
        <v>0</v>
      </c>
      <c r="G994" s="3">
        <v>1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/>
      <c r="P994" s="3"/>
      <c r="Q994" s="3"/>
    </row>
    <row r="995" spans="1:17" ht="15" x14ac:dyDescent="0.25">
      <c r="A995" s="3">
        <f>988</f>
        <v>988</v>
      </c>
      <c r="B995" s="3" t="s">
        <v>997</v>
      </c>
      <c r="C995" s="3" t="s">
        <v>10</v>
      </c>
      <c r="D995" s="3" t="s">
        <v>9</v>
      </c>
      <c r="E995" s="3">
        <v>1</v>
      </c>
      <c r="F995" s="3">
        <v>0</v>
      </c>
      <c r="G995" s="3">
        <v>1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/>
      <c r="P995" s="3"/>
      <c r="Q995" s="3"/>
    </row>
    <row r="996" spans="1:17" ht="15" x14ac:dyDescent="0.25">
      <c r="A996" s="3">
        <f>989</f>
        <v>989</v>
      </c>
      <c r="B996" s="3" t="s">
        <v>998</v>
      </c>
      <c r="C996" s="3" t="s">
        <v>10</v>
      </c>
      <c r="D996" s="3" t="s">
        <v>9</v>
      </c>
      <c r="E996" s="3">
        <v>1</v>
      </c>
      <c r="F996" s="3">
        <v>0</v>
      </c>
      <c r="G996" s="3">
        <v>1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/>
      <c r="P996" s="3"/>
      <c r="Q996" s="3"/>
    </row>
    <row r="997" spans="1:17" ht="15" x14ac:dyDescent="0.25">
      <c r="A997" s="3">
        <f>990</f>
        <v>990</v>
      </c>
      <c r="B997" s="3" t="s">
        <v>999</v>
      </c>
      <c r="C997" s="3" t="s">
        <v>10</v>
      </c>
      <c r="D997" s="3" t="s">
        <v>9</v>
      </c>
      <c r="E997" s="3">
        <v>1</v>
      </c>
      <c r="F997" s="3">
        <v>0</v>
      </c>
      <c r="G997" s="3">
        <v>1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/>
      <c r="P997" s="3"/>
      <c r="Q997" s="3"/>
    </row>
    <row r="998" spans="1:17" ht="15" x14ac:dyDescent="0.25">
      <c r="A998" s="3">
        <f>991</f>
        <v>991</v>
      </c>
      <c r="B998" s="3" t="s">
        <v>1000</v>
      </c>
      <c r="C998" s="3" t="s">
        <v>10</v>
      </c>
      <c r="D998" s="3" t="s">
        <v>9</v>
      </c>
      <c r="E998" s="3">
        <v>1</v>
      </c>
      <c r="F998" s="3">
        <v>0</v>
      </c>
      <c r="G998" s="3">
        <v>1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/>
      <c r="P998" s="3"/>
      <c r="Q998" s="3"/>
    </row>
    <row r="999" spans="1:17" ht="15" x14ac:dyDescent="0.25">
      <c r="A999" s="3">
        <f>992</f>
        <v>992</v>
      </c>
      <c r="B999" s="3" t="s">
        <v>1001</v>
      </c>
      <c r="C999" s="3" t="s">
        <v>10</v>
      </c>
      <c r="D999" s="3" t="s">
        <v>9</v>
      </c>
      <c r="E999" s="3">
        <v>1</v>
      </c>
      <c r="F999" s="3">
        <v>0</v>
      </c>
      <c r="G999" s="3">
        <v>1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/>
      <c r="P999" s="3"/>
      <c r="Q999" s="3"/>
    </row>
    <row r="1000" spans="1:17" ht="15" x14ac:dyDescent="0.25">
      <c r="A1000" s="3">
        <f>993</f>
        <v>993</v>
      </c>
      <c r="B1000" s="3" t="s">
        <v>1002</v>
      </c>
      <c r="C1000" s="3" t="s">
        <v>10</v>
      </c>
      <c r="D1000" s="3" t="s">
        <v>9</v>
      </c>
      <c r="E1000" s="3">
        <v>1</v>
      </c>
      <c r="F1000" s="3">
        <v>0</v>
      </c>
      <c r="G1000" s="3">
        <v>1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/>
      <c r="P1000" s="3"/>
      <c r="Q1000" s="3"/>
    </row>
    <row r="1001" spans="1:17" ht="15" x14ac:dyDescent="0.25">
      <c r="A1001" s="3">
        <f>994</f>
        <v>994</v>
      </c>
      <c r="B1001" s="3" t="s">
        <v>1003</v>
      </c>
      <c r="C1001" s="3" t="s">
        <v>10</v>
      </c>
      <c r="D1001" s="3" t="s">
        <v>9</v>
      </c>
      <c r="E1001" s="3">
        <v>1</v>
      </c>
      <c r="F1001" s="3">
        <v>0</v>
      </c>
      <c r="G1001" s="3">
        <v>1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/>
      <c r="P1001" s="3"/>
      <c r="Q1001" s="3"/>
    </row>
    <row r="1002" spans="1:17" ht="15" x14ac:dyDescent="0.25">
      <c r="A1002" s="3">
        <f>995</f>
        <v>995</v>
      </c>
      <c r="B1002" s="3" t="s">
        <v>1004</v>
      </c>
      <c r="C1002" s="3" t="s">
        <v>10</v>
      </c>
      <c r="D1002" s="3" t="s">
        <v>9</v>
      </c>
      <c r="E1002" s="3">
        <v>1</v>
      </c>
      <c r="F1002" s="3">
        <v>0</v>
      </c>
      <c r="G1002" s="3">
        <v>1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/>
      <c r="P1002" s="3"/>
      <c r="Q1002" s="3"/>
    </row>
    <row r="1003" spans="1:17" ht="15" x14ac:dyDescent="0.25">
      <c r="A1003" s="3">
        <f>996</f>
        <v>996</v>
      </c>
      <c r="B1003" s="3" t="s">
        <v>1005</v>
      </c>
      <c r="C1003" s="3" t="s">
        <v>10</v>
      </c>
      <c r="D1003" s="3" t="s">
        <v>9</v>
      </c>
      <c r="E1003" s="3">
        <v>1</v>
      </c>
      <c r="F1003" s="3">
        <v>0</v>
      </c>
      <c r="G1003" s="3">
        <v>1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/>
      <c r="P1003" s="3"/>
      <c r="Q1003" s="3"/>
    </row>
    <row r="1004" spans="1:17" ht="15" x14ac:dyDescent="0.25">
      <c r="A1004" s="3">
        <f>997</f>
        <v>997</v>
      </c>
      <c r="B1004" s="3" t="s">
        <v>1006</v>
      </c>
      <c r="C1004" s="3" t="s">
        <v>10</v>
      </c>
      <c r="D1004" s="3" t="s">
        <v>9</v>
      </c>
      <c r="E1004" s="3">
        <v>1</v>
      </c>
      <c r="F1004" s="3">
        <v>0</v>
      </c>
      <c r="G1004" s="3">
        <v>1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/>
      <c r="P1004" s="3"/>
      <c r="Q1004" s="3"/>
    </row>
    <row r="1005" spans="1:17" ht="15" x14ac:dyDescent="0.25">
      <c r="A1005" s="3">
        <f>998</f>
        <v>998</v>
      </c>
      <c r="B1005" s="3" t="s">
        <v>1007</v>
      </c>
      <c r="C1005" s="3" t="s">
        <v>10</v>
      </c>
      <c r="D1005" s="3" t="s">
        <v>9</v>
      </c>
      <c r="E1005" s="3">
        <v>1</v>
      </c>
      <c r="F1005" s="3">
        <v>0</v>
      </c>
      <c r="G1005" s="3">
        <v>1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/>
      <c r="P1005" s="3"/>
      <c r="Q1005" s="3"/>
    </row>
    <row r="1006" spans="1:17" ht="15" x14ac:dyDescent="0.25">
      <c r="A1006" s="3">
        <f>999</f>
        <v>999</v>
      </c>
      <c r="B1006" s="3" t="s">
        <v>1008</v>
      </c>
      <c r="C1006" s="3" t="s">
        <v>10</v>
      </c>
      <c r="D1006" s="3" t="s">
        <v>9</v>
      </c>
      <c r="E1006" s="3">
        <v>1</v>
      </c>
      <c r="F1006" s="3">
        <v>0</v>
      </c>
      <c r="G1006" s="3">
        <v>1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/>
      <c r="P1006" s="3"/>
      <c r="Q1006" s="3"/>
    </row>
    <row r="1007" spans="1:17" ht="15" x14ac:dyDescent="0.25">
      <c r="A1007" s="3">
        <f>1000</f>
        <v>1000</v>
      </c>
      <c r="B1007" s="3" t="s">
        <v>1009</v>
      </c>
      <c r="C1007" s="3" t="s">
        <v>10</v>
      </c>
      <c r="D1007" s="3" t="s">
        <v>9</v>
      </c>
      <c r="E1007" s="3">
        <v>1</v>
      </c>
      <c r="F1007" s="3">
        <v>0</v>
      </c>
      <c r="G1007" s="3">
        <v>1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/>
      <c r="P1007" s="3"/>
      <c r="Q1007" s="3"/>
    </row>
    <row r="1008" spans="1:17" ht="15" x14ac:dyDescent="0.25">
      <c r="A1008" s="3">
        <f>1001</f>
        <v>1001</v>
      </c>
      <c r="B1008" s="3" t="s">
        <v>1010</v>
      </c>
      <c r="C1008" s="3" t="s">
        <v>10</v>
      </c>
      <c r="D1008" s="3" t="s">
        <v>9</v>
      </c>
      <c r="E1008" s="3">
        <v>1</v>
      </c>
      <c r="F1008" s="3">
        <v>0</v>
      </c>
      <c r="G1008" s="3">
        <v>1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/>
      <c r="P1008" s="3"/>
      <c r="Q1008" s="3"/>
    </row>
    <row r="1009" spans="1:17" ht="15" x14ac:dyDescent="0.25">
      <c r="A1009" s="3">
        <f>1002</f>
        <v>1002</v>
      </c>
      <c r="B1009" s="3" t="s">
        <v>1011</v>
      </c>
      <c r="C1009" s="3" t="s">
        <v>10</v>
      </c>
      <c r="D1009" s="3" t="s">
        <v>9</v>
      </c>
      <c r="E1009" s="3">
        <v>1</v>
      </c>
      <c r="F1009" s="3">
        <v>0</v>
      </c>
      <c r="G1009" s="3">
        <v>1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/>
      <c r="P1009" s="3"/>
      <c r="Q1009" s="3"/>
    </row>
    <row r="1010" spans="1:17" ht="15" x14ac:dyDescent="0.25">
      <c r="A1010" s="3">
        <f>1003</f>
        <v>1003</v>
      </c>
      <c r="B1010" s="3" t="s">
        <v>1012</v>
      </c>
      <c r="C1010" s="3" t="s">
        <v>10</v>
      </c>
      <c r="D1010" s="3" t="s">
        <v>9</v>
      </c>
      <c r="E1010" s="3">
        <v>1</v>
      </c>
      <c r="F1010" s="3">
        <v>0</v>
      </c>
      <c r="G1010" s="3">
        <v>1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/>
      <c r="P1010" s="3"/>
      <c r="Q1010" s="3"/>
    </row>
    <row r="1011" spans="1:17" ht="15" x14ac:dyDescent="0.25">
      <c r="A1011" s="3">
        <f>1004</f>
        <v>1004</v>
      </c>
      <c r="B1011" s="3" t="s">
        <v>1013</v>
      </c>
      <c r="C1011" s="3" t="s">
        <v>10</v>
      </c>
      <c r="D1011" s="3" t="s">
        <v>9</v>
      </c>
      <c r="E1011" s="3">
        <v>1</v>
      </c>
      <c r="F1011" s="3">
        <v>0</v>
      </c>
      <c r="G1011" s="3">
        <v>1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/>
      <c r="P1011" s="3"/>
      <c r="Q1011" s="3"/>
    </row>
    <row r="1012" spans="1:17" ht="15" x14ac:dyDescent="0.25">
      <c r="A1012" s="3">
        <f>1005</f>
        <v>1005</v>
      </c>
      <c r="B1012" s="3" t="s">
        <v>1014</v>
      </c>
      <c r="C1012" s="3" t="s">
        <v>10</v>
      </c>
      <c r="D1012" s="3" t="s">
        <v>9</v>
      </c>
      <c r="E1012" s="3">
        <v>1</v>
      </c>
      <c r="F1012" s="3">
        <v>0</v>
      </c>
      <c r="G1012" s="3">
        <v>1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/>
      <c r="P1012" s="3"/>
      <c r="Q1012" s="3"/>
    </row>
    <row r="1013" spans="1:17" ht="15" x14ac:dyDescent="0.25">
      <c r="A1013" s="3">
        <f>1006</f>
        <v>1006</v>
      </c>
      <c r="B1013" s="3" t="s">
        <v>1015</v>
      </c>
      <c r="C1013" s="3" t="s">
        <v>10</v>
      </c>
      <c r="D1013" s="3" t="s">
        <v>9</v>
      </c>
      <c r="E1013" s="3">
        <v>1</v>
      </c>
      <c r="F1013" s="3">
        <v>0</v>
      </c>
      <c r="G1013" s="3">
        <v>1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/>
      <c r="P1013" s="3"/>
      <c r="Q1013" s="3"/>
    </row>
    <row r="1014" spans="1:17" ht="15" x14ac:dyDescent="0.25">
      <c r="A1014" s="3">
        <f>1007</f>
        <v>1007</v>
      </c>
      <c r="B1014" s="3" t="s">
        <v>1016</v>
      </c>
      <c r="C1014" s="3" t="s">
        <v>10</v>
      </c>
      <c r="D1014" s="3" t="s">
        <v>9</v>
      </c>
      <c r="E1014" s="3">
        <v>1</v>
      </c>
      <c r="F1014" s="3">
        <v>0</v>
      </c>
      <c r="G1014" s="3">
        <v>1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/>
      <c r="P1014" s="3"/>
      <c r="Q1014" s="3"/>
    </row>
    <row r="1015" spans="1:17" ht="15" x14ac:dyDescent="0.25">
      <c r="A1015" s="3">
        <f>1008</f>
        <v>1008</v>
      </c>
      <c r="B1015" s="3" t="s">
        <v>1017</v>
      </c>
      <c r="C1015" s="3" t="s">
        <v>10</v>
      </c>
      <c r="D1015" s="3" t="s">
        <v>9</v>
      </c>
      <c r="E1015" s="3">
        <v>1</v>
      </c>
      <c r="F1015" s="3">
        <v>0</v>
      </c>
      <c r="G1015" s="3">
        <v>1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/>
      <c r="P1015" s="3"/>
      <c r="Q1015" s="3"/>
    </row>
    <row r="1016" spans="1:17" ht="15" x14ac:dyDescent="0.25">
      <c r="A1016" s="3">
        <f>1009</f>
        <v>1009</v>
      </c>
      <c r="B1016" s="3" t="s">
        <v>1018</v>
      </c>
      <c r="C1016" s="3" t="s">
        <v>10</v>
      </c>
      <c r="D1016" s="3" t="s">
        <v>9</v>
      </c>
      <c r="E1016" s="3">
        <v>1</v>
      </c>
      <c r="F1016" s="3">
        <v>0</v>
      </c>
      <c r="G1016" s="3">
        <v>1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/>
      <c r="P1016" s="3"/>
      <c r="Q1016" s="3"/>
    </row>
    <row r="1017" spans="1:17" ht="15" x14ac:dyDescent="0.25">
      <c r="A1017" s="3">
        <f>1010</f>
        <v>1010</v>
      </c>
      <c r="B1017" s="3" t="s">
        <v>1019</v>
      </c>
      <c r="C1017" s="3" t="s">
        <v>10</v>
      </c>
      <c r="D1017" s="3" t="s">
        <v>9</v>
      </c>
      <c r="E1017" s="3">
        <v>1</v>
      </c>
      <c r="F1017" s="3">
        <v>0</v>
      </c>
      <c r="G1017" s="3">
        <v>1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/>
      <c r="P1017" s="3"/>
      <c r="Q1017" s="3"/>
    </row>
    <row r="1018" spans="1:17" ht="15" x14ac:dyDescent="0.25">
      <c r="A1018" s="3">
        <f>1011</f>
        <v>1011</v>
      </c>
      <c r="B1018" s="3" t="s">
        <v>1020</v>
      </c>
      <c r="C1018" s="3" t="s">
        <v>10</v>
      </c>
      <c r="D1018" s="3" t="s">
        <v>9</v>
      </c>
      <c r="E1018" s="3">
        <v>1</v>
      </c>
      <c r="F1018" s="3">
        <v>0</v>
      </c>
      <c r="G1018" s="3">
        <v>1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/>
      <c r="P1018" s="3"/>
      <c r="Q1018" s="3"/>
    </row>
    <row r="1019" spans="1:17" ht="15" x14ac:dyDescent="0.25">
      <c r="A1019" s="3">
        <f>1012</f>
        <v>1012</v>
      </c>
      <c r="B1019" s="3" t="s">
        <v>1021</v>
      </c>
      <c r="C1019" s="3" t="s">
        <v>10</v>
      </c>
      <c r="D1019" s="3" t="s">
        <v>9</v>
      </c>
      <c r="E1019" s="3">
        <v>1</v>
      </c>
      <c r="F1019" s="3">
        <v>0</v>
      </c>
      <c r="G1019" s="3">
        <v>1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/>
      <c r="P1019" s="3"/>
      <c r="Q1019" s="3"/>
    </row>
    <row r="1020" spans="1:17" ht="15" x14ac:dyDescent="0.25">
      <c r="A1020" s="3">
        <f>1013</f>
        <v>1013</v>
      </c>
      <c r="B1020" s="3" t="s">
        <v>1022</v>
      </c>
      <c r="C1020" s="3" t="s">
        <v>10</v>
      </c>
      <c r="D1020" s="3" t="s">
        <v>9</v>
      </c>
      <c r="E1020" s="3">
        <v>1</v>
      </c>
      <c r="F1020" s="3">
        <v>0</v>
      </c>
      <c r="G1020" s="3">
        <v>1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/>
      <c r="P1020" s="3"/>
      <c r="Q1020" s="3"/>
    </row>
    <row r="1021" spans="1:17" ht="15" x14ac:dyDescent="0.25">
      <c r="A1021" s="3">
        <f>1014</f>
        <v>1014</v>
      </c>
      <c r="B1021" s="3" t="s">
        <v>1023</v>
      </c>
      <c r="C1021" s="3" t="s">
        <v>10</v>
      </c>
      <c r="D1021" s="3" t="s">
        <v>9</v>
      </c>
      <c r="E1021" s="3">
        <v>1</v>
      </c>
      <c r="F1021" s="3">
        <v>0</v>
      </c>
      <c r="G1021" s="3">
        <v>1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/>
      <c r="P1021" s="3"/>
      <c r="Q1021" s="3"/>
    </row>
    <row r="1022" spans="1:17" ht="15" x14ac:dyDescent="0.25">
      <c r="A1022" s="3">
        <f>1015</f>
        <v>1015</v>
      </c>
      <c r="B1022" s="3" t="s">
        <v>1024</v>
      </c>
      <c r="C1022" s="3" t="s">
        <v>10</v>
      </c>
      <c r="D1022" s="3" t="s">
        <v>9</v>
      </c>
      <c r="E1022" s="3">
        <v>1</v>
      </c>
      <c r="F1022" s="3">
        <v>0</v>
      </c>
      <c r="G1022" s="3">
        <v>1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/>
      <c r="P1022" s="3"/>
      <c r="Q1022" s="3"/>
    </row>
    <row r="1023" spans="1:17" ht="15" x14ac:dyDescent="0.25">
      <c r="A1023" s="3">
        <f>1016</f>
        <v>1016</v>
      </c>
      <c r="B1023" s="3" t="s">
        <v>1025</v>
      </c>
      <c r="C1023" s="3" t="s">
        <v>10</v>
      </c>
      <c r="D1023" s="3" t="s">
        <v>9</v>
      </c>
      <c r="E1023" s="3">
        <v>1</v>
      </c>
      <c r="F1023" s="3">
        <v>0</v>
      </c>
      <c r="G1023" s="3">
        <v>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/>
      <c r="P1023" s="3"/>
      <c r="Q1023" s="3"/>
    </row>
    <row r="1024" spans="1:17" ht="15" x14ac:dyDescent="0.25">
      <c r="A1024" s="3">
        <f>1017</f>
        <v>1017</v>
      </c>
      <c r="B1024" s="3" t="s">
        <v>1026</v>
      </c>
      <c r="C1024" s="3" t="s">
        <v>10</v>
      </c>
      <c r="D1024" s="3" t="s">
        <v>9</v>
      </c>
      <c r="E1024" s="3">
        <v>1</v>
      </c>
      <c r="F1024" s="3">
        <v>0</v>
      </c>
      <c r="G1024" s="3">
        <v>1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/>
      <c r="P1024" s="3"/>
      <c r="Q1024" s="3"/>
    </row>
    <row r="1025" spans="1:17" ht="15" x14ac:dyDescent="0.25">
      <c r="A1025" s="3">
        <f>1018</f>
        <v>1018</v>
      </c>
      <c r="B1025" s="3" t="s">
        <v>1027</v>
      </c>
      <c r="C1025" s="3" t="s">
        <v>10</v>
      </c>
      <c r="D1025" s="3" t="s">
        <v>9</v>
      </c>
      <c r="E1025" s="3">
        <v>1</v>
      </c>
      <c r="F1025" s="3">
        <v>0</v>
      </c>
      <c r="G1025" s="3">
        <v>1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/>
      <c r="P1025" s="3"/>
      <c r="Q1025" s="3"/>
    </row>
    <row r="1026" spans="1:17" ht="15" x14ac:dyDescent="0.25">
      <c r="A1026" s="3">
        <f>1019</f>
        <v>1019</v>
      </c>
      <c r="B1026" s="3" t="s">
        <v>1028</v>
      </c>
      <c r="C1026" s="3" t="s">
        <v>10</v>
      </c>
      <c r="D1026" s="3" t="s">
        <v>9</v>
      </c>
      <c r="E1026" s="3">
        <v>1</v>
      </c>
      <c r="F1026" s="3">
        <v>0</v>
      </c>
      <c r="G1026" s="3">
        <v>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/>
      <c r="P1026" s="3"/>
      <c r="Q1026" s="3"/>
    </row>
    <row r="1027" spans="1:17" ht="15" x14ac:dyDescent="0.25">
      <c r="A1027" s="3">
        <f>1020</f>
        <v>1020</v>
      </c>
      <c r="B1027" s="3" t="s">
        <v>1029</v>
      </c>
      <c r="C1027" s="3" t="s">
        <v>10</v>
      </c>
      <c r="D1027" s="3" t="s">
        <v>9</v>
      </c>
      <c r="E1027" s="3">
        <v>1</v>
      </c>
      <c r="F1027" s="3">
        <v>0</v>
      </c>
      <c r="G1027" s="3">
        <v>1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/>
      <c r="P1027" s="3"/>
      <c r="Q1027" s="3"/>
    </row>
    <row r="1028" spans="1:17" ht="15" x14ac:dyDescent="0.25">
      <c r="A1028" s="3">
        <f>1021</f>
        <v>1021</v>
      </c>
      <c r="B1028" s="3" t="s">
        <v>1030</v>
      </c>
      <c r="C1028" s="3" t="s">
        <v>10</v>
      </c>
      <c r="D1028" s="3" t="s">
        <v>9</v>
      </c>
      <c r="E1028" s="3">
        <v>1</v>
      </c>
      <c r="F1028" s="3">
        <v>0</v>
      </c>
      <c r="G1028" s="3">
        <v>1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/>
      <c r="P1028" s="3"/>
      <c r="Q1028" s="3"/>
    </row>
    <row r="1029" spans="1:17" ht="15" x14ac:dyDescent="0.25">
      <c r="A1029" s="3">
        <f>1022</f>
        <v>1022</v>
      </c>
      <c r="B1029" s="3" t="s">
        <v>1031</v>
      </c>
      <c r="C1029" s="3" t="s">
        <v>10</v>
      </c>
      <c r="D1029" s="3" t="s">
        <v>9</v>
      </c>
      <c r="E1029" s="3">
        <v>1</v>
      </c>
      <c r="F1029" s="3">
        <v>0</v>
      </c>
      <c r="G1029" s="3">
        <v>1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/>
      <c r="P1029" s="3"/>
      <c r="Q1029" s="3"/>
    </row>
    <row r="1030" spans="1:17" ht="15" x14ac:dyDescent="0.25">
      <c r="A1030" s="3">
        <f>1023</f>
        <v>1023</v>
      </c>
      <c r="B1030" s="3" t="s">
        <v>1032</v>
      </c>
      <c r="C1030" s="3" t="s">
        <v>10</v>
      </c>
      <c r="D1030" s="3" t="s">
        <v>9</v>
      </c>
      <c r="E1030" s="3">
        <v>1</v>
      </c>
      <c r="F1030" s="3">
        <v>0</v>
      </c>
      <c r="G1030" s="3">
        <v>1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/>
      <c r="P1030" s="3"/>
      <c r="Q1030" s="3"/>
    </row>
    <row r="1031" spans="1:17" ht="15" x14ac:dyDescent="0.25">
      <c r="A1031" s="3">
        <f>1024</f>
        <v>1024</v>
      </c>
      <c r="B1031" s="3" t="s">
        <v>1033</v>
      </c>
      <c r="C1031" s="3" t="s">
        <v>10</v>
      </c>
      <c r="D1031" s="3" t="s">
        <v>9</v>
      </c>
      <c r="E1031" s="3">
        <v>1</v>
      </c>
      <c r="F1031" s="3">
        <v>0</v>
      </c>
      <c r="G1031" s="3">
        <v>1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/>
      <c r="P1031" s="3"/>
      <c r="Q1031" s="3"/>
    </row>
    <row r="1032" spans="1:17" ht="15" x14ac:dyDescent="0.25">
      <c r="A1032" s="3">
        <f>1025</f>
        <v>1025</v>
      </c>
      <c r="B1032" s="3" t="s">
        <v>1034</v>
      </c>
      <c r="C1032" s="3" t="s">
        <v>10</v>
      </c>
      <c r="D1032" s="3" t="s">
        <v>9</v>
      </c>
      <c r="E1032" s="3">
        <v>1</v>
      </c>
      <c r="F1032" s="3">
        <v>0</v>
      </c>
      <c r="G1032" s="3">
        <v>1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/>
      <c r="P1032" s="3"/>
      <c r="Q1032" s="3"/>
    </row>
    <row r="1033" spans="1:17" ht="15" x14ac:dyDescent="0.25">
      <c r="A1033" s="3">
        <f>1026</f>
        <v>1026</v>
      </c>
      <c r="B1033" s="3" t="s">
        <v>1035</v>
      </c>
      <c r="C1033" s="3" t="s">
        <v>10</v>
      </c>
      <c r="D1033" s="3" t="s">
        <v>9</v>
      </c>
      <c r="E1033" s="3">
        <v>1</v>
      </c>
      <c r="F1033" s="3">
        <v>0</v>
      </c>
      <c r="G1033" s="3">
        <v>1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/>
      <c r="P1033" s="3"/>
      <c r="Q1033" s="3"/>
    </row>
    <row r="1034" spans="1:17" ht="15" x14ac:dyDescent="0.25">
      <c r="A1034" s="3">
        <f>1027</f>
        <v>1027</v>
      </c>
      <c r="B1034" s="3" t="s">
        <v>1036</v>
      </c>
      <c r="C1034" s="3" t="s">
        <v>10</v>
      </c>
      <c r="D1034" s="3" t="s">
        <v>9</v>
      </c>
      <c r="E1034" s="3">
        <v>1</v>
      </c>
      <c r="F1034" s="3">
        <v>0</v>
      </c>
      <c r="G1034" s="3">
        <v>1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/>
      <c r="P1034" s="3"/>
      <c r="Q1034" s="3"/>
    </row>
    <row r="1035" spans="1:17" ht="15" x14ac:dyDescent="0.25">
      <c r="A1035" s="3">
        <f>1028</f>
        <v>1028</v>
      </c>
      <c r="B1035" s="3" t="s">
        <v>1037</v>
      </c>
      <c r="C1035" s="3" t="s">
        <v>10</v>
      </c>
      <c r="D1035" s="3" t="s">
        <v>9</v>
      </c>
      <c r="E1035" s="3">
        <v>1</v>
      </c>
      <c r="F1035" s="3">
        <v>0</v>
      </c>
      <c r="G1035" s="3">
        <v>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/>
      <c r="P1035" s="3"/>
      <c r="Q1035" s="3"/>
    </row>
    <row r="1036" spans="1:17" ht="15" x14ac:dyDescent="0.25">
      <c r="A1036" s="3">
        <f>1029</f>
        <v>1029</v>
      </c>
      <c r="B1036" s="3" t="s">
        <v>1038</v>
      </c>
      <c r="C1036" s="3" t="s">
        <v>10</v>
      </c>
      <c r="D1036" s="3" t="s">
        <v>9</v>
      </c>
      <c r="E1036" s="3">
        <v>1</v>
      </c>
      <c r="F1036" s="3">
        <v>0</v>
      </c>
      <c r="G1036" s="3">
        <v>1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/>
      <c r="P1036" s="3"/>
      <c r="Q1036" s="3"/>
    </row>
    <row r="1037" spans="1:17" ht="15" x14ac:dyDescent="0.25">
      <c r="A1037" s="3">
        <f>1030</f>
        <v>1030</v>
      </c>
      <c r="B1037" s="3" t="s">
        <v>1039</v>
      </c>
      <c r="C1037" s="3" t="s">
        <v>10</v>
      </c>
      <c r="D1037" s="3" t="s">
        <v>9</v>
      </c>
      <c r="E1037" s="3">
        <v>1</v>
      </c>
      <c r="F1037" s="3">
        <v>0</v>
      </c>
      <c r="G1037" s="3">
        <v>1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/>
      <c r="P1037" s="3"/>
      <c r="Q1037" s="3"/>
    </row>
    <row r="1038" spans="1:17" ht="15" x14ac:dyDescent="0.25">
      <c r="A1038" s="3">
        <f>1031</f>
        <v>1031</v>
      </c>
      <c r="B1038" s="3" t="s">
        <v>1040</v>
      </c>
      <c r="C1038" s="3" t="s">
        <v>10</v>
      </c>
      <c r="D1038" s="3" t="s">
        <v>9</v>
      </c>
      <c r="E1038" s="3">
        <v>1</v>
      </c>
      <c r="F1038" s="3">
        <v>0</v>
      </c>
      <c r="G1038" s="3">
        <v>1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/>
      <c r="P1038" s="3"/>
      <c r="Q1038" s="3"/>
    </row>
    <row r="1039" spans="1:17" ht="15" x14ac:dyDescent="0.25">
      <c r="A1039" s="3">
        <f>1032</f>
        <v>1032</v>
      </c>
      <c r="B1039" s="3" t="s">
        <v>1041</v>
      </c>
      <c r="C1039" s="3" t="s">
        <v>10</v>
      </c>
      <c r="D1039" s="3" t="s">
        <v>9</v>
      </c>
      <c r="E1039" s="3">
        <v>1</v>
      </c>
      <c r="F1039" s="3">
        <v>0</v>
      </c>
      <c r="G1039" s="3">
        <v>1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/>
      <c r="P1039" s="3"/>
      <c r="Q1039" s="3"/>
    </row>
    <row r="1040" spans="1:17" ht="15" x14ac:dyDescent="0.25">
      <c r="A1040" s="3">
        <f>1033</f>
        <v>1033</v>
      </c>
      <c r="B1040" s="3" t="s">
        <v>1042</v>
      </c>
      <c r="C1040" s="3" t="s">
        <v>10</v>
      </c>
      <c r="D1040" s="3" t="s">
        <v>9</v>
      </c>
      <c r="E1040" s="3">
        <v>1</v>
      </c>
      <c r="F1040" s="3">
        <v>0</v>
      </c>
      <c r="G1040" s="3">
        <v>1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/>
      <c r="P1040" s="3"/>
      <c r="Q1040" s="3"/>
    </row>
    <row r="1041" spans="1:17" ht="15" x14ac:dyDescent="0.25">
      <c r="A1041" s="3">
        <f>1034</f>
        <v>1034</v>
      </c>
      <c r="B1041" s="3" t="s">
        <v>1043</v>
      </c>
      <c r="C1041" s="3" t="s">
        <v>10</v>
      </c>
      <c r="D1041" s="3" t="s">
        <v>9</v>
      </c>
      <c r="E1041" s="3">
        <v>1</v>
      </c>
      <c r="F1041" s="3">
        <v>0</v>
      </c>
      <c r="G1041" s="3">
        <v>1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/>
      <c r="P1041" s="3"/>
      <c r="Q1041" s="3"/>
    </row>
    <row r="1042" spans="1:17" ht="15" x14ac:dyDescent="0.25">
      <c r="A1042" s="3">
        <f>1035</f>
        <v>1035</v>
      </c>
      <c r="B1042" s="3" t="s">
        <v>1044</v>
      </c>
      <c r="C1042" s="3" t="s">
        <v>10</v>
      </c>
      <c r="D1042" s="3" t="s">
        <v>9</v>
      </c>
      <c r="E1042" s="3">
        <v>1</v>
      </c>
      <c r="F1042" s="3">
        <v>0</v>
      </c>
      <c r="G1042" s="3">
        <v>1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/>
      <c r="P1042" s="3"/>
      <c r="Q1042" s="3"/>
    </row>
    <row r="1043" spans="1:17" ht="15" x14ac:dyDescent="0.25">
      <c r="A1043" s="3">
        <f>1036</f>
        <v>1036</v>
      </c>
      <c r="B1043" s="3" t="s">
        <v>1045</v>
      </c>
      <c r="C1043" s="3" t="s">
        <v>10</v>
      </c>
      <c r="D1043" s="3" t="s">
        <v>9</v>
      </c>
      <c r="E1043" s="3">
        <v>1</v>
      </c>
      <c r="F1043" s="3">
        <v>0</v>
      </c>
      <c r="G1043" s="3">
        <v>1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/>
      <c r="P1043" s="3"/>
      <c r="Q1043" s="3"/>
    </row>
    <row r="1044" spans="1:17" ht="15" x14ac:dyDescent="0.25">
      <c r="A1044" s="3">
        <f>1037</f>
        <v>1037</v>
      </c>
      <c r="B1044" s="3" t="s">
        <v>1046</v>
      </c>
      <c r="C1044" s="3" t="s">
        <v>10</v>
      </c>
      <c r="D1044" s="3" t="s">
        <v>9</v>
      </c>
      <c r="E1044" s="3">
        <v>1</v>
      </c>
      <c r="F1044" s="3">
        <v>0</v>
      </c>
      <c r="G1044" s="3">
        <v>1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/>
      <c r="P1044" s="3"/>
      <c r="Q1044" s="3"/>
    </row>
    <row r="1045" spans="1:17" ht="15" x14ac:dyDescent="0.25">
      <c r="A1045" s="3">
        <f>1038</f>
        <v>1038</v>
      </c>
      <c r="B1045" s="3" t="s">
        <v>1047</v>
      </c>
      <c r="C1045" s="3" t="s">
        <v>10</v>
      </c>
      <c r="D1045" s="3" t="s">
        <v>9</v>
      </c>
      <c r="E1045" s="3">
        <v>1</v>
      </c>
      <c r="F1045" s="3">
        <v>0</v>
      </c>
      <c r="G1045" s="3">
        <v>1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/>
      <c r="P1045" s="3"/>
      <c r="Q1045" s="3"/>
    </row>
    <row r="1046" spans="1:17" ht="15" x14ac:dyDescent="0.25">
      <c r="A1046" s="3">
        <f>1039</f>
        <v>1039</v>
      </c>
      <c r="B1046" s="3" t="s">
        <v>1048</v>
      </c>
      <c r="C1046" s="3" t="s">
        <v>10</v>
      </c>
      <c r="D1046" s="3" t="s">
        <v>9</v>
      </c>
      <c r="E1046" s="3">
        <v>1</v>
      </c>
      <c r="F1046" s="3">
        <v>0</v>
      </c>
      <c r="G1046" s="3">
        <v>1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/>
      <c r="P1046" s="3"/>
      <c r="Q1046" s="3"/>
    </row>
    <row r="1047" spans="1:17" ht="15" x14ac:dyDescent="0.25">
      <c r="A1047" s="3">
        <f>1040</f>
        <v>1040</v>
      </c>
      <c r="B1047" s="3" t="s">
        <v>1049</v>
      </c>
      <c r="C1047" s="3" t="s">
        <v>10</v>
      </c>
      <c r="D1047" s="3" t="s">
        <v>9</v>
      </c>
      <c r="E1047" s="3">
        <v>1</v>
      </c>
      <c r="F1047" s="3">
        <v>0</v>
      </c>
      <c r="G1047" s="3">
        <v>1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/>
      <c r="P1047" s="3"/>
      <c r="Q1047" s="3"/>
    </row>
    <row r="1048" spans="1:17" ht="15" x14ac:dyDescent="0.25">
      <c r="A1048" s="3">
        <f>1041</f>
        <v>1041</v>
      </c>
      <c r="B1048" s="3" t="s">
        <v>1050</v>
      </c>
      <c r="C1048" s="3" t="s">
        <v>10</v>
      </c>
      <c r="D1048" s="3" t="s">
        <v>9</v>
      </c>
      <c r="E1048" s="3">
        <v>1</v>
      </c>
      <c r="F1048" s="3">
        <v>0</v>
      </c>
      <c r="G1048" s="3">
        <v>1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/>
      <c r="P1048" s="3"/>
      <c r="Q1048" s="3"/>
    </row>
    <row r="1049" spans="1:17" ht="15" x14ac:dyDescent="0.25">
      <c r="A1049" s="3">
        <f>1042</f>
        <v>1042</v>
      </c>
      <c r="B1049" s="3" t="s">
        <v>1051</v>
      </c>
      <c r="C1049" s="3" t="s">
        <v>10</v>
      </c>
      <c r="D1049" s="3" t="s">
        <v>9</v>
      </c>
      <c r="E1049" s="3">
        <v>1</v>
      </c>
      <c r="F1049" s="3">
        <v>0</v>
      </c>
      <c r="G1049" s="3">
        <v>1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/>
      <c r="P1049" s="3"/>
      <c r="Q1049" s="3"/>
    </row>
    <row r="1050" spans="1:17" ht="15" x14ac:dyDescent="0.25">
      <c r="A1050" s="3">
        <f>1043</f>
        <v>1043</v>
      </c>
      <c r="B1050" s="3" t="s">
        <v>1052</v>
      </c>
      <c r="C1050" s="3" t="s">
        <v>10</v>
      </c>
      <c r="D1050" s="3" t="s">
        <v>9</v>
      </c>
      <c r="E1050" s="3">
        <v>1</v>
      </c>
      <c r="F1050" s="3">
        <v>0</v>
      </c>
      <c r="G1050" s="3">
        <v>1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/>
      <c r="P1050" s="3"/>
      <c r="Q1050" s="3"/>
    </row>
    <row r="1051" spans="1:17" ht="15" x14ac:dyDescent="0.25">
      <c r="A1051" s="3">
        <f>1044</f>
        <v>1044</v>
      </c>
      <c r="B1051" s="3" t="s">
        <v>1053</v>
      </c>
      <c r="C1051" s="3" t="s">
        <v>10</v>
      </c>
      <c r="D1051" s="3" t="s">
        <v>9</v>
      </c>
      <c r="E1051" s="3">
        <v>1</v>
      </c>
      <c r="F1051" s="3">
        <v>0</v>
      </c>
      <c r="G1051" s="3">
        <v>1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/>
      <c r="P1051" s="3"/>
      <c r="Q1051" s="3"/>
    </row>
    <row r="1052" spans="1:17" ht="15" x14ac:dyDescent="0.25">
      <c r="A1052" s="3">
        <f>1045</f>
        <v>1045</v>
      </c>
      <c r="B1052" s="3" t="s">
        <v>1054</v>
      </c>
      <c r="C1052" s="3" t="s">
        <v>10</v>
      </c>
      <c r="D1052" s="3" t="s">
        <v>9</v>
      </c>
      <c r="E1052" s="3">
        <v>1</v>
      </c>
      <c r="F1052" s="3">
        <v>0</v>
      </c>
      <c r="G1052" s="3">
        <v>1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/>
      <c r="P1052" s="3"/>
      <c r="Q1052" s="3"/>
    </row>
    <row r="1053" spans="1:17" ht="15" x14ac:dyDescent="0.25">
      <c r="A1053" s="3">
        <f>1046</f>
        <v>1046</v>
      </c>
      <c r="B1053" s="3" t="s">
        <v>1055</v>
      </c>
      <c r="C1053" s="3" t="s">
        <v>10</v>
      </c>
      <c r="D1053" s="3" t="s">
        <v>9</v>
      </c>
      <c r="E1053" s="3">
        <v>1</v>
      </c>
      <c r="F1053" s="3">
        <v>0</v>
      </c>
      <c r="G1053" s="3">
        <v>1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/>
      <c r="P1053" s="3"/>
      <c r="Q1053" s="3"/>
    </row>
    <row r="1054" spans="1:17" ht="15" x14ac:dyDescent="0.25">
      <c r="A1054" s="3">
        <f>1047</f>
        <v>1047</v>
      </c>
      <c r="B1054" s="3" t="s">
        <v>1056</v>
      </c>
      <c r="C1054" s="3" t="s">
        <v>10</v>
      </c>
      <c r="D1054" s="3" t="s">
        <v>9</v>
      </c>
      <c r="E1054" s="3">
        <v>1</v>
      </c>
      <c r="F1054" s="3">
        <v>0</v>
      </c>
      <c r="G1054" s="3">
        <v>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/>
      <c r="P1054" s="3"/>
      <c r="Q1054" s="3"/>
    </row>
    <row r="1055" spans="1:17" ht="15" x14ac:dyDescent="0.25">
      <c r="A1055" s="3">
        <f>1048</f>
        <v>1048</v>
      </c>
      <c r="B1055" s="3" t="s">
        <v>1057</v>
      </c>
      <c r="C1055" s="3" t="s">
        <v>10</v>
      </c>
      <c r="D1055" s="3" t="s">
        <v>9</v>
      </c>
      <c r="E1055" s="3">
        <v>1</v>
      </c>
      <c r="F1055" s="3">
        <v>0</v>
      </c>
      <c r="G1055" s="3">
        <v>1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/>
      <c r="P1055" s="3"/>
      <c r="Q1055" s="3"/>
    </row>
    <row r="1056" spans="1:17" ht="15" x14ac:dyDescent="0.25">
      <c r="A1056" s="3">
        <f>1049</f>
        <v>1049</v>
      </c>
      <c r="B1056" s="3" t="s">
        <v>1058</v>
      </c>
      <c r="C1056" s="3" t="s">
        <v>10</v>
      </c>
      <c r="D1056" s="3" t="s">
        <v>9</v>
      </c>
      <c r="E1056" s="3">
        <v>1</v>
      </c>
      <c r="F1056" s="3">
        <v>0</v>
      </c>
      <c r="G1056" s="3">
        <v>1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/>
      <c r="P1056" s="3"/>
      <c r="Q1056" s="3"/>
    </row>
    <row r="1057" spans="1:17" ht="15" x14ac:dyDescent="0.25">
      <c r="A1057" s="3">
        <f>1050</f>
        <v>1050</v>
      </c>
      <c r="B1057" s="3" t="s">
        <v>1059</v>
      </c>
      <c r="C1057" s="3" t="s">
        <v>10</v>
      </c>
      <c r="D1057" s="3" t="s">
        <v>9</v>
      </c>
      <c r="E1057" s="3">
        <v>1</v>
      </c>
      <c r="F1057" s="3">
        <v>0</v>
      </c>
      <c r="G1057" s="3">
        <v>1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/>
      <c r="P1057" s="3"/>
      <c r="Q1057" s="3"/>
    </row>
    <row r="1058" spans="1:17" ht="15" x14ac:dyDescent="0.25">
      <c r="A1058" s="3">
        <f>1051</f>
        <v>1051</v>
      </c>
      <c r="B1058" s="3" t="s">
        <v>1060</v>
      </c>
      <c r="C1058" s="3" t="s">
        <v>10</v>
      </c>
      <c r="D1058" s="3" t="s">
        <v>9</v>
      </c>
      <c r="E1058" s="3">
        <v>1</v>
      </c>
      <c r="F1058" s="3">
        <v>0</v>
      </c>
      <c r="G1058" s="3">
        <v>1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/>
      <c r="P1058" s="3"/>
      <c r="Q1058" s="3"/>
    </row>
    <row r="1059" spans="1:17" ht="15" x14ac:dyDescent="0.25">
      <c r="A1059" s="3">
        <f>1052</f>
        <v>1052</v>
      </c>
      <c r="B1059" s="3" t="s">
        <v>1061</v>
      </c>
      <c r="C1059" s="3" t="s">
        <v>10</v>
      </c>
      <c r="D1059" s="3" t="s">
        <v>9</v>
      </c>
      <c r="E1059" s="3">
        <v>1</v>
      </c>
      <c r="F1059" s="3">
        <v>0</v>
      </c>
      <c r="G1059" s="3">
        <v>1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/>
      <c r="P1059" s="3"/>
      <c r="Q1059" s="3"/>
    </row>
    <row r="1060" spans="1:17" ht="15" x14ac:dyDescent="0.25">
      <c r="A1060" s="3">
        <f>1053</f>
        <v>1053</v>
      </c>
      <c r="B1060" s="3" t="s">
        <v>1062</v>
      </c>
      <c r="C1060" s="3" t="s">
        <v>10</v>
      </c>
      <c r="D1060" s="3" t="s">
        <v>9</v>
      </c>
      <c r="E1060" s="3">
        <v>1</v>
      </c>
      <c r="F1060" s="3">
        <v>0</v>
      </c>
      <c r="G1060" s="3">
        <v>1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/>
      <c r="P1060" s="3"/>
      <c r="Q1060" s="3"/>
    </row>
    <row r="1061" spans="1:17" ht="15" x14ac:dyDescent="0.25">
      <c r="A1061" s="3">
        <f>1054</f>
        <v>1054</v>
      </c>
      <c r="B1061" s="3" t="s">
        <v>1063</v>
      </c>
      <c r="C1061" s="3" t="s">
        <v>10</v>
      </c>
      <c r="D1061" s="3" t="s">
        <v>9</v>
      </c>
      <c r="E1061" s="3">
        <v>1</v>
      </c>
      <c r="F1061" s="3">
        <v>0</v>
      </c>
      <c r="G1061" s="3">
        <v>1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/>
      <c r="P1061" s="3"/>
      <c r="Q1061" s="3"/>
    </row>
    <row r="1062" spans="1:17" ht="15" x14ac:dyDescent="0.25">
      <c r="A1062" s="3">
        <f>1055</f>
        <v>1055</v>
      </c>
      <c r="B1062" s="3" t="s">
        <v>1064</v>
      </c>
      <c r="C1062" s="3" t="s">
        <v>10</v>
      </c>
      <c r="D1062" s="3" t="s">
        <v>9</v>
      </c>
      <c r="E1062" s="3">
        <v>1</v>
      </c>
      <c r="F1062" s="3">
        <v>0</v>
      </c>
      <c r="G1062" s="3">
        <v>1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/>
      <c r="P1062" s="3"/>
      <c r="Q1062" s="3"/>
    </row>
    <row r="1063" spans="1:17" ht="15" x14ac:dyDescent="0.25">
      <c r="A1063" s="3">
        <f>1056</f>
        <v>1056</v>
      </c>
      <c r="B1063" s="3" t="s">
        <v>1065</v>
      </c>
      <c r="C1063" s="3" t="s">
        <v>10</v>
      </c>
      <c r="D1063" s="3" t="s">
        <v>9</v>
      </c>
      <c r="E1063" s="3">
        <v>1</v>
      </c>
      <c r="F1063" s="3">
        <v>0</v>
      </c>
      <c r="G1063" s="3">
        <v>1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/>
      <c r="P1063" s="3"/>
      <c r="Q1063" s="3"/>
    </row>
    <row r="1064" spans="1:17" ht="15" x14ac:dyDescent="0.25">
      <c r="A1064" s="3">
        <f>1057</f>
        <v>1057</v>
      </c>
      <c r="B1064" s="3" t="s">
        <v>1066</v>
      </c>
      <c r="C1064" s="3" t="s">
        <v>10</v>
      </c>
      <c r="D1064" s="3" t="s">
        <v>9</v>
      </c>
      <c r="E1064" s="3">
        <v>1</v>
      </c>
      <c r="F1064" s="3">
        <v>0</v>
      </c>
      <c r="G1064" s="3">
        <v>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/>
      <c r="P1064" s="3"/>
      <c r="Q1064" s="3"/>
    </row>
    <row r="1065" spans="1:17" ht="15" x14ac:dyDescent="0.25">
      <c r="A1065" s="3">
        <f>1058</f>
        <v>1058</v>
      </c>
      <c r="B1065" s="3" t="s">
        <v>1067</v>
      </c>
      <c r="C1065" s="3" t="s">
        <v>10</v>
      </c>
      <c r="D1065" s="3" t="s">
        <v>9</v>
      </c>
      <c r="E1065" s="3">
        <v>1</v>
      </c>
      <c r="F1065" s="3">
        <v>0</v>
      </c>
      <c r="G1065" s="3">
        <v>1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/>
      <c r="P1065" s="3"/>
      <c r="Q1065" s="3"/>
    </row>
    <row r="1066" spans="1:17" ht="15" x14ac:dyDescent="0.25">
      <c r="A1066" s="3">
        <f>1059</f>
        <v>1059</v>
      </c>
      <c r="B1066" s="3" t="s">
        <v>1068</v>
      </c>
      <c r="C1066" s="3" t="s">
        <v>10</v>
      </c>
      <c r="D1066" s="3" t="s">
        <v>9</v>
      </c>
      <c r="E1066" s="3">
        <v>1</v>
      </c>
      <c r="F1066" s="3">
        <v>0</v>
      </c>
      <c r="G1066" s="3">
        <v>1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/>
      <c r="P1066" s="3"/>
      <c r="Q1066" s="3"/>
    </row>
    <row r="1067" spans="1:17" ht="15" x14ac:dyDescent="0.25">
      <c r="A1067" s="3">
        <f>1060</f>
        <v>1060</v>
      </c>
      <c r="B1067" s="3" t="s">
        <v>1069</v>
      </c>
      <c r="C1067" s="3" t="s">
        <v>10</v>
      </c>
      <c r="D1067" s="3" t="s">
        <v>9</v>
      </c>
      <c r="E1067" s="3">
        <v>1</v>
      </c>
      <c r="F1067" s="3">
        <v>0</v>
      </c>
      <c r="G1067" s="3">
        <v>1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/>
      <c r="P1067" s="3"/>
      <c r="Q1067" s="3"/>
    </row>
    <row r="1068" spans="1:17" ht="15" x14ac:dyDescent="0.25">
      <c r="A1068" s="3">
        <f>1061</f>
        <v>1061</v>
      </c>
      <c r="B1068" s="3" t="s">
        <v>1070</v>
      </c>
      <c r="C1068" s="3" t="s">
        <v>10</v>
      </c>
      <c r="D1068" s="3" t="s">
        <v>9</v>
      </c>
      <c r="E1068" s="3">
        <v>1</v>
      </c>
      <c r="F1068" s="3">
        <v>0</v>
      </c>
      <c r="G1068" s="3">
        <v>1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/>
      <c r="P1068" s="3"/>
      <c r="Q1068" s="3"/>
    </row>
    <row r="1069" spans="1:17" ht="15" x14ac:dyDescent="0.25">
      <c r="A1069" s="3">
        <f>1062</f>
        <v>1062</v>
      </c>
      <c r="B1069" s="3" t="s">
        <v>1071</v>
      </c>
      <c r="C1069" s="3" t="s">
        <v>10</v>
      </c>
      <c r="D1069" s="3" t="s">
        <v>9</v>
      </c>
      <c r="E1069" s="3">
        <v>1</v>
      </c>
      <c r="F1069" s="3">
        <v>0</v>
      </c>
      <c r="G1069" s="3">
        <v>1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/>
      <c r="P1069" s="3"/>
      <c r="Q1069" s="3"/>
    </row>
    <row r="1070" spans="1:17" ht="15" x14ac:dyDescent="0.25">
      <c r="A1070" s="3">
        <f>1063</f>
        <v>1063</v>
      </c>
      <c r="B1070" s="3" t="s">
        <v>1072</v>
      </c>
      <c r="C1070" s="3" t="s">
        <v>10</v>
      </c>
      <c r="D1070" s="3" t="s">
        <v>9</v>
      </c>
      <c r="E1070" s="3">
        <v>1</v>
      </c>
      <c r="F1070" s="3">
        <v>0</v>
      </c>
      <c r="G1070" s="3">
        <v>1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/>
      <c r="P1070" s="3"/>
      <c r="Q1070" s="3"/>
    </row>
    <row r="1071" spans="1:17" ht="15" x14ac:dyDescent="0.25">
      <c r="A1071" s="3">
        <f>1064</f>
        <v>1064</v>
      </c>
      <c r="B1071" s="3" t="s">
        <v>1073</v>
      </c>
      <c r="C1071" s="3" t="s">
        <v>10</v>
      </c>
      <c r="D1071" s="3" t="s">
        <v>9</v>
      </c>
      <c r="E1071" s="3">
        <v>1</v>
      </c>
      <c r="F1071" s="3">
        <v>0</v>
      </c>
      <c r="G1071" s="3">
        <v>1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/>
      <c r="P1071" s="3"/>
      <c r="Q1071" s="3"/>
    </row>
    <row r="1072" spans="1:17" ht="15" x14ac:dyDescent="0.25">
      <c r="A1072" s="3">
        <f>1065</f>
        <v>1065</v>
      </c>
      <c r="B1072" s="3" t="s">
        <v>1074</v>
      </c>
      <c r="C1072" s="3" t="s">
        <v>10</v>
      </c>
      <c r="D1072" s="3" t="s">
        <v>9</v>
      </c>
      <c r="E1072" s="3">
        <v>1</v>
      </c>
      <c r="F1072" s="3">
        <v>0</v>
      </c>
      <c r="G1072" s="3">
        <v>1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/>
      <c r="P1072" s="3"/>
      <c r="Q1072" s="3"/>
    </row>
    <row r="1073" spans="1:17" ht="15" x14ac:dyDescent="0.25">
      <c r="A1073" s="3">
        <f>1066</f>
        <v>1066</v>
      </c>
      <c r="B1073" s="3" t="s">
        <v>1075</v>
      </c>
      <c r="C1073" s="3" t="s">
        <v>10</v>
      </c>
      <c r="D1073" s="3" t="s">
        <v>9</v>
      </c>
      <c r="E1073" s="3">
        <v>1</v>
      </c>
      <c r="F1073" s="3">
        <v>0</v>
      </c>
      <c r="G1073" s="3">
        <v>1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/>
      <c r="P1073" s="3"/>
      <c r="Q1073" s="3"/>
    </row>
    <row r="1074" spans="1:17" ht="15" x14ac:dyDescent="0.25">
      <c r="A1074" s="3">
        <f>1067</f>
        <v>1067</v>
      </c>
      <c r="B1074" s="3" t="s">
        <v>1076</v>
      </c>
      <c r="C1074" s="3" t="s">
        <v>10</v>
      </c>
      <c r="D1074" s="3" t="s">
        <v>9</v>
      </c>
      <c r="E1074" s="3">
        <v>1</v>
      </c>
      <c r="F1074" s="3">
        <v>0</v>
      </c>
      <c r="G1074" s="3">
        <v>1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/>
      <c r="P1074" s="3"/>
      <c r="Q1074" s="3"/>
    </row>
    <row r="1075" spans="1:17" ht="15" x14ac:dyDescent="0.25">
      <c r="A1075" s="3">
        <f>1068</f>
        <v>1068</v>
      </c>
      <c r="B1075" s="3" t="s">
        <v>1077</v>
      </c>
      <c r="C1075" s="3" t="s">
        <v>10</v>
      </c>
      <c r="D1075" s="3" t="s">
        <v>9</v>
      </c>
      <c r="E1075" s="3">
        <v>1</v>
      </c>
      <c r="F1075" s="3">
        <v>0</v>
      </c>
      <c r="G1075" s="3">
        <v>1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/>
      <c r="P1075" s="3"/>
      <c r="Q1075" s="3"/>
    </row>
    <row r="1076" spans="1:17" ht="15" x14ac:dyDescent="0.25">
      <c r="A1076" s="3">
        <f>1069</f>
        <v>1069</v>
      </c>
      <c r="B1076" s="3" t="s">
        <v>1078</v>
      </c>
      <c r="C1076" s="3" t="s">
        <v>10</v>
      </c>
      <c r="D1076" s="3" t="s">
        <v>9</v>
      </c>
      <c r="E1076" s="3">
        <v>1</v>
      </c>
      <c r="F1076" s="3">
        <v>0</v>
      </c>
      <c r="G1076" s="3">
        <v>1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/>
      <c r="P1076" s="3"/>
      <c r="Q1076" s="3"/>
    </row>
    <row r="1077" spans="1:17" ht="15" x14ac:dyDescent="0.25">
      <c r="A1077" s="3">
        <f>1070</f>
        <v>1070</v>
      </c>
      <c r="B1077" s="3" t="s">
        <v>1079</v>
      </c>
      <c r="C1077" s="3" t="s">
        <v>10</v>
      </c>
      <c r="D1077" s="3" t="s">
        <v>9</v>
      </c>
      <c r="E1077" s="3">
        <v>1</v>
      </c>
      <c r="F1077" s="3">
        <v>0</v>
      </c>
      <c r="G1077" s="3">
        <v>1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/>
      <c r="P1077" s="3"/>
      <c r="Q1077" s="3"/>
    </row>
    <row r="1078" spans="1:17" ht="15" x14ac:dyDescent="0.25">
      <c r="A1078" s="3">
        <f>1071</f>
        <v>1071</v>
      </c>
      <c r="B1078" s="3" t="s">
        <v>1080</v>
      </c>
      <c r="C1078" s="3" t="s">
        <v>10</v>
      </c>
      <c r="D1078" s="3" t="s">
        <v>9</v>
      </c>
      <c r="E1078" s="3">
        <v>1</v>
      </c>
      <c r="F1078" s="3">
        <v>0</v>
      </c>
      <c r="G1078" s="3">
        <v>1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/>
      <c r="P1078" s="3"/>
      <c r="Q1078" s="3"/>
    </row>
    <row r="1079" spans="1:17" ht="15" x14ac:dyDescent="0.25">
      <c r="A1079" s="3">
        <f>1072</f>
        <v>1072</v>
      </c>
      <c r="B1079" s="3" t="s">
        <v>1081</v>
      </c>
      <c r="C1079" s="3" t="s">
        <v>10</v>
      </c>
      <c r="D1079" s="3" t="s">
        <v>9</v>
      </c>
      <c r="E1079" s="3">
        <v>1</v>
      </c>
      <c r="F1079" s="3">
        <v>0</v>
      </c>
      <c r="G1079" s="3">
        <v>1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/>
      <c r="P1079" s="3"/>
      <c r="Q1079" s="3"/>
    </row>
    <row r="1080" spans="1:17" ht="15" x14ac:dyDescent="0.25">
      <c r="A1080" s="3">
        <f>1073</f>
        <v>1073</v>
      </c>
      <c r="B1080" s="3" t="s">
        <v>1082</v>
      </c>
      <c r="C1080" s="3" t="s">
        <v>10</v>
      </c>
      <c r="D1080" s="3" t="s">
        <v>9</v>
      </c>
      <c r="E1080" s="3">
        <v>1</v>
      </c>
      <c r="F1080" s="3">
        <v>0</v>
      </c>
      <c r="G1080" s="3">
        <v>1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/>
      <c r="P1080" s="3"/>
      <c r="Q1080" s="3"/>
    </row>
    <row r="1081" spans="1:17" ht="15" x14ac:dyDescent="0.25">
      <c r="A1081" s="3">
        <f>1074</f>
        <v>1074</v>
      </c>
      <c r="B1081" s="3" t="s">
        <v>1083</v>
      </c>
      <c r="C1081" s="3" t="s">
        <v>10</v>
      </c>
      <c r="D1081" s="3" t="s">
        <v>9</v>
      </c>
      <c r="E1081" s="3">
        <v>1</v>
      </c>
      <c r="F1081" s="3">
        <v>0</v>
      </c>
      <c r="G1081" s="3">
        <v>1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/>
      <c r="P1081" s="3"/>
      <c r="Q1081" s="3"/>
    </row>
    <row r="1082" spans="1:17" ht="15" x14ac:dyDescent="0.25">
      <c r="A1082" s="3">
        <f>1075</f>
        <v>1075</v>
      </c>
      <c r="B1082" s="3" t="s">
        <v>1084</v>
      </c>
      <c r="C1082" s="3" t="s">
        <v>10</v>
      </c>
      <c r="D1082" s="3" t="s">
        <v>9</v>
      </c>
      <c r="E1082" s="3">
        <v>1</v>
      </c>
      <c r="F1082" s="3">
        <v>0</v>
      </c>
      <c r="G1082" s="3">
        <v>1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/>
      <c r="P1082" s="3"/>
      <c r="Q1082" s="3"/>
    </row>
    <row r="1083" spans="1:17" ht="15" x14ac:dyDescent="0.25">
      <c r="A1083" s="3">
        <f>1076</f>
        <v>1076</v>
      </c>
      <c r="B1083" s="3" t="s">
        <v>1085</v>
      </c>
      <c r="C1083" s="3" t="s">
        <v>10</v>
      </c>
      <c r="D1083" s="3" t="s">
        <v>9</v>
      </c>
      <c r="E1083" s="3">
        <v>1</v>
      </c>
      <c r="F1083" s="3">
        <v>0</v>
      </c>
      <c r="G1083" s="3">
        <v>1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/>
      <c r="P1083" s="3"/>
      <c r="Q1083" s="3"/>
    </row>
    <row r="1084" spans="1:17" ht="15" x14ac:dyDescent="0.25">
      <c r="A1084" s="3">
        <f>1077</f>
        <v>1077</v>
      </c>
      <c r="B1084" s="3" t="s">
        <v>1086</v>
      </c>
      <c r="C1084" s="3" t="s">
        <v>10</v>
      </c>
      <c r="D1084" s="3" t="s">
        <v>9</v>
      </c>
      <c r="E1084" s="3">
        <v>1</v>
      </c>
      <c r="F1084" s="3">
        <v>0</v>
      </c>
      <c r="G1084" s="3">
        <v>1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/>
      <c r="P1084" s="3"/>
      <c r="Q1084" s="3"/>
    </row>
    <row r="1085" spans="1:17" ht="15" x14ac:dyDescent="0.25">
      <c r="A1085" s="3">
        <f>1078</f>
        <v>1078</v>
      </c>
      <c r="B1085" s="3" t="s">
        <v>1087</v>
      </c>
      <c r="C1085" s="3" t="s">
        <v>10</v>
      </c>
      <c r="D1085" s="3" t="s">
        <v>9</v>
      </c>
      <c r="E1085" s="3">
        <v>1</v>
      </c>
      <c r="F1085" s="3">
        <v>0</v>
      </c>
      <c r="G1085" s="3">
        <v>1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/>
      <c r="P1085" s="3"/>
      <c r="Q1085" s="3"/>
    </row>
    <row r="1086" spans="1:17" ht="15" x14ac:dyDescent="0.25">
      <c r="A1086" s="3">
        <f>1079</f>
        <v>1079</v>
      </c>
      <c r="B1086" s="3" t="s">
        <v>1088</v>
      </c>
      <c r="C1086" s="3" t="s">
        <v>10</v>
      </c>
      <c r="D1086" s="3" t="s">
        <v>9</v>
      </c>
      <c r="E1086" s="3">
        <v>1</v>
      </c>
      <c r="F1086" s="3">
        <v>0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/>
      <c r="P1086" s="3"/>
      <c r="Q1086" s="3"/>
    </row>
    <row r="1087" spans="1:17" ht="15" x14ac:dyDescent="0.25">
      <c r="A1087" s="3">
        <f>1080</f>
        <v>1080</v>
      </c>
      <c r="B1087" s="3" t="s">
        <v>1089</v>
      </c>
      <c r="C1087" s="3" t="s">
        <v>10</v>
      </c>
      <c r="D1087" s="3" t="s">
        <v>9</v>
      </c>
      <c r="E1087" s="3">
        <v>1</v>
      </c>
      <c r="F1087" s="3">
        <v>0</v>
      </c>
      <c r="G1087" s="3">
        <v>1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/>
      <c r="P1087" s="3"/>
      <c r="Q1087" s="3"/>
    </row>
    <row r="1088" spans="1:17" ht="15" x14ac:dyDescent="0.25">
      <c r="A1088" s="3">
        <f>1081</f>
        <v>1081</v>
      </c>
      <c r="B1088" s="3" t="s">
        <v>1090</v>
      </c>
      <c r="C1088" s="3" t="s">
        <v>10</v>
      </c>
      <c r="D1088" s="3" t="s">
        <v>9</v>
      </c>
      <c r="E1088" s="3">
        <v>1</v>
      </c>
      <c r="F1088" s="3">
        <v>0</v>
      </c>
      <c r="G1088" s="3">
        <v>1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/>
      <c r="P1088" s="3"/>
      <c r="Q1088" s="3"/>
    </row>
    <row r="1089" spans="1:17" ht="15" x14ac:dyDescent="0.25">
      <c r="A1089" s="3">
        <f>1082</f>
        <v>1082</v>
      </c>
      <c r="B1089" s="3" t="s">
        <v>1091</v>
      </c>
      <c r="C1089" s="3" t="s">
        <v>10</v>
      </c>
      <c r="D1089" s="3" t="s">
        <v>9</v>
      </c>
      <c r="E1089" s="3">
        <v>1</v>
      </c>
      <c r="F1089" s="3">
        <v>0</v>
      </c>
      <c r="G1089" s="3">
        <v>1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/>
      <c r="P1089" s="3"/>
      <c r="Q1089" s="3"/>
    </row>
    <row r="1090" spans="1:17" ht="15" x14ac:dyDescent="0.25">
      <c r="A1090" s="3">
        <f>1083</f>
        <v>1083</v>
      </c>
      <c r="B1090" s="3" t="s">
        <v>1092</v>
      </c>
      <c r="C1090" s="3" t="s">
        <v>10</v>
      </c>
      <c r="D1090" s="3" t="s">
        <v>9</v>
      </c>
      <c r="E1090" s="3">
        <v>1</v>
      </c>
      <c r="F1090" s="3">
        <v>0</v>
      </c>
      <c r="G1090" s="3">
        <v>1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/>
      <c r="P1090" s="3"/>
      <c r="Q1090" s="3"/>
    </row>
    <row r="1091" spans="1:17" ht="15" x14ac:dyDescent="0.25">
      <c r="A1091" s="3">
        <f>1084</f>
        <v>1084</v>
      </c>
      <c r="B1091" s="3" t="s">
        <v>1093</v>
      </c>
      <c r="C1091" s="3" t="s">
        <v>10</v>
      </c>
      <c r="D1091" s="3" t="s">
        <v>9</v>
      </c>
      <c r="E1091" s="3">
        <v>1</v>
      </c>
      <c r="F1091" s="3">
        <v>0</v>
      </c>
      <c r="G1091" s="3">
        <v>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/>
      <c r="P1091" s="3"/>
      <c r="Q1091" s="3"/>
    </row>
    <row r="1092" spans="1:17" ht="15" x14ac:dyDescent="0.25">
      <c r="A1092" s="3">
        <f>1085</f>
        <v>1085</v>
      </c>
      <c r="B1092" s="3" t="s">
        <v>1094</v>
      </c>
      <c r="C1092" s="3" t="s">
        <v>10</v>
      </c>
      <c r="D1092" s="3" t="s">
        <v>9</v>
      </c>
      <c r="E1092" s="3">
        <v>1</v>
      </c>
      <c r="F1092" s="3">
        <v>0</v>
      </c>
      <c r="G1092" s="3">
        <v>1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/>
      <c r="P1092" s="3"/>
      <c r="Q1092" s="3"/>
    </row>
    <row r="1093" spans="1:17" ht="15" x14ac:dyDescent="0.25">
      <c r="A1093" s="3">
        <f>1086</f>
        <v>1086</v>
      </c>
      <c r="B1093" s="3" t="s">
        <v>1095</v>
      </c>
      <c r="C1093" s="3" t="s">
        <v>10</v>
      </c>
      <c r="D1093" s="3" t="s">
        <v>9</v>
      </c>
      <c r="E1093" s="3">
        <v>1</v>
      </c>
      <c r="F1093" s="3">
        <v>0</v>
      </c>
      <c r="G1093" s="3">
        <v>1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/>
      <c r="P1093" s="3"/>
      <c r="Q1093" s="3"/>
    </row>
    <row r="1094" spans="1:17" ht="15" x14ac:dyDescent="0.25">
      <c r="A1094" s="3">
        <f>1087</f>
        <v>1087</v>
      </c>
      <c r="B1094" s="3" t="s">
        <v>1096</v>
      </c>
      <c r="C1094" s="3" t="s">
        <v>10</v>
      </c>
      <c r="D1094" s="3" t="s">
        <v>9</v>
      </c>
      <c r="E1094" s="3">
        <v>1</v>
      </c>
      <c r="F1094" s="3">
        <v>0</v>
      </c>
      <c r="G1094" s="3">
        <v>1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/>
      <c r="P1094" s="3"/>
      <c r="Q1094" s="3"/>
    </row>
    <row r="1095" spans="1:17" ht="15" x14ac:dyDescent="0.25">
      <c r="A1095" s="3">
        <f>1088</f>
        <v>1088</v>
      </c>
      <c r="B1095" s="3" t="s">
        <v>1097</v>
      </c>
      <c r="C1095" s="3" t="s">
        <v>10</v>
      </c>
      <c r="D1095" s="3" t="s">
        <v>9</v>
      </c>
      <c r="E1095" s="3">
        <v>1</v>
      </c>
      <c r="F1095" s="3">
        <v>0</v>
      </c>
      <c r="G1095" s="3">
        <v>1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/>
      <c r="P1095" s="3"/>
      <c r="Q1095" s="3"/>
    </row>
    <row r="1096" spans="1:17" ht="15" x14ac:dyDescent="0.25">
      <c r="A1096" s="3">
        <f>1089</f>
        <v>1089</v>
      </c>
      <c r="B1096" s="3" t="s">
        <v>1098</v>
      </c>
      <c r="C1096" s="3" t="s">
        <v>10</v>
      </c>
      <c r="D1096" s="3" t="s">
        <v>9</v>
      </c>
      <c r="E1096" s="3">
        <v>1</v>
      </c>
      <c r="F1096" s="3">
        <v>0</v>
      </c>
      <c r="G1096" s="3">
        <v>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/>
      <c r="P1096" s="3"/>
      <c r="Q1096" s="3"/>
    </row>
    <row r="1097" spans="1:17" ht="15" x14ac:dyDescent="0.25">
      <c r="A1097" s="3">
        <f>1090</f>
        <v>1090</v>
      </c>
      <c r="B1097" s="3" t="s">
        <v>1099</v>
      </c>
      <c r="C1097" s="3" t="s">
        <v>10</v>
      </c>
      <c r="D1097" s="3" t="s">
        <v>9</v>
      </c>
      <c r="E1097" s="3">
        <v>1</v>
      </c>
      <c r="F1097" s="3">
        <v>0</v>
      </c>
      <c r="G1097" s="3">
        <v>1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/>
      <c r="P1097" s="3"/>
      <c r="Q1097" s="3"/>
    </row>
    <row r="1098" spans="1:17" ht="15" x14ac:dyDescent="0.25">
      <c r="A1098" s="3">
        <f>1091</f>
        <v>1091</v>
      </c>
      <c r="B1098" s="3" t="s">
        <v>1100</v>
      </c>
      <c r="C1098" s="3" t="s">
        <v>10</v>
      </c>
      <c r="D1098" s="3" t="s">
        <v>9</v>
      </c>
      <c r="E1098" s="3">
        <v>1</v>
      </c>
      <c r="F1098" s="3">
        <v>0</v>
      </c>
      <c r="G1098" s="3">
        <v>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/>
      <c r="P1098" s="3"/>
      <c r="Q1098" s="3"/>
    </row>
    <row r="1099" spans="1:17" ht="15" x14ac:dyDescent="0.25">
      <c r="A1099" s="3">
        <f>1092</f>
        <v>1092</v>
      </c>
      <c r="B1099" s="3" t="s">
        <v>1101</v>
      </c>
      <c r="C1099" s="3" t="s">
        <v>10</v>
      </c>
      <c r="D1099" s="3" t="s">
        <v>9</v>
      </c>
      <c r="E1099" s="3">
        <v>1</v>
      </c>
      <c r="F1099" s="3">
        <v>0</v>
      </c>
      <c r="G1099" s="3">
        <v>1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/>
      <c r="P1099" s="3"/>
      <c r="Q1099" s="3"/>
    </row>
    <row r="1100" spans="1:17" ht="15" x14ac:dyDescent="0.25">
      <c r="A1100" s="3">
        <f>1093</f>
        <v>1093</v>
      </c>
      <c r="B1100" s="3" t="s">
        <v>1102</v>
      </c>
      <c r="C1100" s="3" t="s">
        <v>10</v>
      </c>
      <c r="D1100" s="3" t="s">
        <v>9</v>
      </c>
      <c r="E1100" s="3">
        <v>1</v>
      </c>
      <c r="F1100" s="3">
        <v>0</v>
      </c>
      <c r="G1100" s="3">
        <v>1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/>
      <c r="P1100" s="3"/>
      <c r="Q1100" s="3"/>
    </row>
    <row r="1101" spans="1:17" ht="15" x14ac:dyDescent="0.25">
      <c r="A1101" s="3">
        <f>1094</f>
        <v>1094</v>
      </c>
      <c r="B1101" s="3" t="s">
        <v>1103</v>
      </c>
      <c r="C1101" s="3" t="s">
        <v>10</v>
      </c>
      <c r="D1101" s="3" t="s">
        <v>9</v>
      </c>
      <c r="E1101" s="3">
        <v>1</v>
      </c>
      <c r="F1101" s="3">
        <v>0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/>
      <c r="P1101" s="3"/>
      <c r="Q1101" s="3"/>
    </row>
    <row r="1102" spans="1:17" ht="15" x14ac:dyDescent="0.25">
      <c r="A1102" s="3">
        <f>1095</f>
        <v>1095</v>
      </c>
      <c r="B1102" s="3" t="s">
        <v>1104</v>
      </c>
      <c r="C1102" s="3" t="s">
        <v>10</v>
      </c>
      <c r="D1102" s="3" t="s">
        <v>9</v>
      </c>
      <c r="E1102" s="3">
        <v>1</v>
      </c>
      <c r="F1102" s="3">
        <v>0</v>
      </c>
      <c r="G1102" s="3">
        <v>1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/>
      <c r="P1102" s="3"/>
      <c r="Q1102" s="3"/>
    </row>
    <row r="1103" spans="1:17" ht="15" x14ac:dyDescent="0.25">
      <c r="A1103" s="3">
        <f>1096</f>
        <v>1096</v>
      </c>
      <c r="B1103" s="3" t="s">
        <v>1105</v>
      </c>
      <c r="C1103" s="3" t="s">
        <v>10</v>
      </c>
      <c r="D1103" s="3" t="s">
        <v>9</v>
      </c>
      <c r="E1103" s="3">
        <v>1</v>
      </c>
      <c r="F1103" s="3">
        <v>0</v>
      </c>
      <c r="G1103" s="3">
        <v>1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/>
      <c r="P1103" s="3"/>
      <c r="Q1103" s="3"/>
    </row>
    <row r="1104" spans="1:17" ht="15" x14ac:dyDescent="0.25">
      <c r="A1104" s="3">
        <f>1097</f>
        <v>1097</v>
      </c>
      <c r="B1104" s="3" t="s">
        <v>1106</v>
      </c>
      <c r="C1104" s="3" t="s">
        <v>10</v>
      </c>
      <c r="D1104" s="3" t="s">
        <v>9</v>
      </c>
      <c r="E1104" s="3">
        <v>1</v>
      </c>
      <c r="F1104" s="3">
        <v>0</v>
      </c>
      <c r="G1104" s="3">
        <v>1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/>
      <c r="P1104" s="3"/>
      <c r="Q1104" s="3"/>
    </row>
    <row r="1105" spans="1:17" ht="15" x14ac:dyDescent="0.25">
      <c r="A1105" s="3">
        <f>1098</f>
        <v>1098</v>
      </c>
      <c r="B1105" s="3" t="s">
        <v>1107</v>
      </c>
      <c r="C1105" s="3" t="s">
        <v>10</v>
      </c>
      <c r="D1105" s="3" t="s">
        <v>9</v>
      </c>
      <c r="E1105" s="3">
        <v>1</v>
      </c>
      <c r="F1105" s="3">
        <v>0</v>
      </c>
      <c r="G1105" s="3">
        <v>1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/>
      <c r="P1105" s="3"/>
      <c r="Q1105" s="3"/>
    </row>
    <row r="1106" spans="1:17" ht="15" x14ac:dyDescent="0.25">
      <c r="A1106" s="3">
        <f>1099</f>
        <v>1099</v>
      </c>
      <c r="B1106" s="3" t="s">
        <v>1108</v>
      </c>
      <c r="C1106" s="3" t="s">
        <v>10</v>
      </c>
      <c r="D1106" s="3" t="s">
        <v>9</v>
      </c>
      <c r="E1106" s="3">
        <v>1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/>
      <c r="P1106" s="3"/>
      <c r="Q1106" s="3"/>
    </row>
    <row r="1107" spans="1:17" ht="15" x14ac:dyDescent="0.25">
      <c r="A1107" s="3">
        <f>1100</f>
        <v>1100</v>
      </c>
      <c r="B1107" s="3" t="s">
        <v>1109</v>
      </c>
      <c r="C1107" s="3" t="s">
        <v>10</v>
      </c>
      <c r="D1107" s="3" t="s">
        <v>9</v>
      </c>
      <c r="E1107" s="3">
        <v>1</v>
      </c>
      <c r="F1107" s="3">
        <v>0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/>
      <c r="P1107" s="3"/>
      <c r="Q1107" s="3"/>
    </row>
    <row r="1108" spans="1:17" ht="15" x14ac:dyDescent="0.25">
      <c r="A1108" s="3">
        <f>1101</f>
        <v>1101</v>
      </c>
      <c r="B1108" s="3" t="s">
        <v>1110</v>
      </c>
      <c r="C1108" s="3" t="s">
        <v>10</v>
      </c>
      <c r="D1108" s="3" t="s">
        <v>9</v>
      </c>
      <c r="E1108" s="3">
        <v>1</v>
      </c>
      <c r="F1108" s="3">
        <v>0</v>
      </c>
      <c r="G1108" s="3">
        <v>1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/>
      <c r="P1108" s="3"/>
      <c r="Q1108" s="3"/>
    </row>
    <row r="1109" spans="1:17" ht="15" x14ac:dyDescent="0.25">
      <c r="A1109" s="3">
        <f>1102</f>
        <v>1102</v>
      </c>
      <c r="B1109" s="3" t="s">
        <v>1111</v>
      </c>
      <c r="C1109" s="3" t="s">
        <v>10</v>
      </c>
      <c r="D1109" s="3" t="s">
        <v>9</v>
      </c>
      <c r="E1109" s="3">
        <v>1</v>
      </c>
      <c r="F1109" s="3">
        <v>0</v>
      </c>
      <c r="G1109" s="3">
        <v>1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/>
      <c r="P1109" s="3"/>
      <c r="Q1109" s="3"/>
    </row>
    <row r="1110" spans="1:17" ht="15" x14ac:dyDescent="0.25">
      <c r="A1110" s="3">
        <f>1103</f>
        <v>1103</v>
      </c>
      <c r="B1110" s="3" t="s">
        <v>1112</v>
      </c>
      <c r="C1110" s="3" t="s">
        <v>10</v>
      </c>
      <c r="D1110" s="3" t="s">
        <v>9</v>
      </c>
      <c r="E1110" s="3">
        <v>1</v>
      </c>
      <c r="F1110" s="3">
        <v>0</v>
      </c>
      <c r="G1110" s="3">
        <v>1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/>
      <c r="P1110" s="3"/>
      <c r="Q1110" s="3"/>
    </row>
    <row r="1111" spans="1:17" ht="15" x14ac:dyDescent="0.25">
      <c r="A1111" s="3">
        <f>1104</f>
        <v>1104</v>
      </c>
      <c r="B1111" s="3" t="s">
        <v>1113</v>
      </c>
      <c r="C1111" s="3" t="s">
        <v>10</v>
      </c>
      <c r="D1111" s="3" t="s">
        <v>9</v>
      </c>
      <c r="E1111" s="3">
        <v>1</v>
      </c>
      <c r="F1111" s="3">
        <v>0</v>
      </c>
      <c r="G1111" s="3">
        <v>1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/>
      <c r="P1111" s="3"/>
      <c r="Q1111" s="3"/>
    </row>
    <row r="1112" spans="1:17" ht="15" x14ac:dyDescent="0.25">
      <c r="A1112" s="3">
        <f>1105</f>
        <v>1105</v>
      </c>
      <c r="B1112" s="3" t="s">
        <v>1114</v>
      </c>
      <c r="C1112" s="3" t="s">
        <v>10</v>
      </c>
      <c r="D1112" s="3" t="s">
        <v>9</v>
      </c>
      <c r="E1112" s="3">
        <v>1</v>
      </c>
      <c r="F1112" s="3">
        <v>0</v>
      </c>
      <c r="G1112" s="3">
        <v>1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/>
      <c r="P1112" s="3"/>
      <c r="Q1112" s="3"/>
    </row>
    <row r="1113" spans="1:17" ht="15" x14ac:dyDescent="0.25">
      <c r="A1113" s="3">
        <f>1106</f>
        <v>1106</v>
      </c>
      <c r="B1113" s="3" t="s">
        <v>1115</v>
      </c>
      <c r="C1113" s="3" t="s">
        <v>10</v>
      </c>
      <c r="D1113" s="3" t="s">
        <v>9</v>
      </c>
      <c r="E1113" s="3">
        <v>1</v>
      </c>
      <c r="F1113" s="3">
        <v>0</v>
      </c>
      <c r="G1113" s="3">
        <v>1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/>
      <c r="P1113" s="3"/>
      <c r="Q1113" s="3"/>
    </row>
    <row r="1114" spans="1:17" ht="15" x14ac:dyDescent="0.25">
      <c r="A1114" s="3">
        <f>1107</f>
        <v>1107</v>
      </c>
      <c r="B1114" s="3" t="s">
        <v>1116</v>
      </c>
      <c r="C1114" s="3" t="s">
        <v>10</v>
      </c>
      <c r="D1114" s="3" t="s">
        <v>9</v>
      </c>
      <c r="E1114" s="3">
        <v>1</v>
      </c>
      <c r="F1114" s="3">
        <v>0</v>
      </c>
      <c r="G1114" s="3">
        <v>1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/>
      <c r="P1114" s="3"/>
      <c r="Q1114" s="3"/>
    </row>
    <row r="1115" spans="1:17" ht="15" x14ac:dyDescent="0.25">
      <c r="A1115" s="3">
        <f>1108</f>
        <v>1108</v>
      </c>
      <c r="B1115" s="3" t="s">
        <v>1117</v>
      </c>
      <c r="C1115" s="3" t="s">
        <v>10</v>
      </c>
      <c r="D1115" s="3" t="s">
        <v>9</v>
      </c>
      <c r="E1115" s="3">
        <v>1</v>
      </c>
      <c r="F1115" s="3">
        <v>0</v>
      </c>
      <c r="G1115" s="3">
        <v>1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/>
      <c r="P1115" s="3"/>
      <c r="Q1115" s="3"/>
    </row>
    <row r="1116" spans="1:17" ht="15" x14ac:dyDescent="0.25">
      <c r="A1116" s="3">
        <f>1109</f>
        <v>1109</v>
      </c>
      <c r="B1116" s="3" t="s">
        <v>1118</v>
      </c>
      <c r="C1116" s="3" t="s">
        <v>10</v>
      </c>
      <c r="D1116" s="3" t="s">
        <v>9</v>
      </c>
      <c r="E1116" s="3">
        <v>1</v>
      </c>
      <c r="F1116" s="3">
        <v>0</v>
      </c>
      <c r="G1116" s="3">
        <v>1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/>
      <c r="P1116" s="3"/>
      <c r="Q1116" s="3"/>
    </row>
    <row r="1117" spans="1:17" ht="15" x14ac:dyDescent="0.25">
      <c r="A1117" s="3">
        <f>1110</f>
        <v>1110</v>
      </c>
      <c r="B1117" s="3" t="s">
        <v>1119</v>
      </c>
      <c r="C1117" s="3" t="s">
        <v>10</v>
      </c>
      <c r="D1117" s="3" t="s">
        <v>9</v>
      </c>
      <c r="E1117" s="3">
        <v>1</v>
      </c>
      <c r="F1117" s="3">
        <v>0</v>
      </c>
      <c r="G1117" s="3">
        <v>1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/>
      <c r="P1117" s="3"/>
      <c r="Q1117" s="3"/>
    </row>
    <row r="1118" spans="1:17" ht="15" x14ac:dyDescent="0.25">
      <c r="A1118" s="3">
        <f>1111</f>
        <v>1111</v>
      </c>
      <c r="B1118" s="3" t="s">
        <v>1120</v>
      </c>
      <c r="C1118" s="3" t="s">
        <v>10</v>
      </c>
      <c r="D1118" s="3" t="s">
        <v>9</v>
      </c>
      <c r="E1118" s="3">
        <v>1</v>
      </c>
      <c r="F1118" s="3">
        <v>0</v>
      </c>
      <c r="G1118" s="3">
        <v>1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/>
      <c r="P1118" s="3"/>
      <c r="Q1118" s="3"/>
    </row>
    <row r="1119" spans="1:17" ht="15" x14ac:dyDescent="0.25">
      <c r="A1119" s="3">
        <f>1112</f>
        <v>1112</v>
      </c>
      <c r="B1119" s="3" t="s">
        <v>1121</v>
      </c>
      <c r="C1119" s="3" t="s">
        <v>10</v>
      </c>
      <c r="D1119" s="3" t="s">
        <v>9</v>
      </c>
      <c r="E1119" s="3">
        <v>1</v>
      </c>
      <c r="F1119" s="3">
        <v>0</v>
      </c>
      <c r="G1119" s="3">
        <v>1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/>
      <c r="P1119" s="3"/>
      <c r="Q1119" s="3"/>
    </row>
    <row r="1120" spans="1:17" ht="15" x14ac:dyDescent="0.25">
      <c r="A1120" s="3">
        <f>1113</f>
        <v>1113</v>
      </c>
      <c r="B1120" s="3" t="s">
        <v>1122</v>
      </c>
      <c r="C1120" s="3" t="s">
        <v>10</v>
      </c>
      <c r="D1120" s="3" t="s">
        <v>9</v>
      </c>
      <c r="E1120" s="3">
        <v>1</v>
      </c>
      <c r="F1120" s="3">
        <v>0</v>
      </c>
      <c r="G1120" s="3">
        <v>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/>
      <c r="P1120" s="3"/>
      <c r="Q1120" s="3"/>
    </row>
    <row r="1121" spans="1:17" ht="15" x14ac:dyDescent="0.25">
      <c r="A1121" s="3">
        <f>1114</f>
        <v>1114</v>
      </c>
      <c r="B1121" s="3" t="s">
        <v>1123</v>
      </c>
      <c r="C1121" s="3" t="s">
        <v>10</v>
      </c>
      <c r="D1121" s="3" t="s">
        <v>9</v>
      </c>
      <c r="E1121" s="3">
        <v>1</v>
      </c>
      <c r="F1121" s="3">
        <v>0</v>
      </c>
      <c r="G1121" s="3">
        <v>1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/>
      <c r="P1121" s="3"/>
      <c r="Q1121" s="3"/>
    </row>
    <row r="1122" spans="1:17" ht="15" x14ac:dyDescent="0.25">
      <c r="A1122" s="3">
        <f>1115</f>
        <v>1115</v>
      </c>
      <c r="B1122" s="3" t="s">
        <v>1124</v>
      </c>
      <c r="C1122" s="3" t="s">
        <v>10</v>
      </c>
      <c r="D1122" s="3" t="s">
        <v>9</v>
      </c>
      <c r="E1122" s="3">
        <v>1</v>
      </c>
      <c r="F1122" s="3">
        <v>0</v>
      </c>
      <c r="G1122" s="3">
        <v>1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/>
      <c r="P1122" s="3"/>
      <c r="Q1122" s="3"/>
    </row>
    <row r="1123" spans="1:17" ht="15" x14ac:dyDescent="0.25">
      <c r="A1123" s="3">
        <f>1116</f>
        <v>1116</v>
      </c>
      <c r="B1123" s="3" t="s">
        <v>1125</v>
      </c>
      <c r="C1123" s="3" t="s">
        <v>10</v>
      </c>
      <c r="D1123" s="3" t="s">
        <v>9</v>
      </c>
      <c r="E1123" s="3">
        <v>1</v>
      </c>
      <c r="F1123" s="3">
        <v>0</v>
      </c>
      <c r="G1123" s="3">
        <v>1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/>
      <c r="P1123" s="3"/>
      <c r="Q1123" s="3"/>
    </row>
    <row r="1124" spans="1:17" ht="15" x14ac:dyDescent="0.25">
      <c r="A1124" s="3">
        <f>1117</f>
        <v>1117</v>
      </c>
      <c r="B1124" s="3" t="s">
        <v>1126</v>
      </c>
      <c r="C1124" s="3" t="s">
        <v>10</v>
      </c>
      <c r="D1124" s="3" t="s">
        <v>9</v>
      </c>
      <c r="E1124" s="3">
        <v>1</v>
      </c>
      <c r="F1124" s="3">
        <v>0</v>
      </c>
      <c r="G1124" s="3">
        <v>1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/>
      <c r="P1124" s="3"/>
      <c r="Q1124" s="3"/>
    </row>
    <row r="1125" spans="1:17" ht="15" x14ac:dyDescent="0.25">
      <c r="A1125" s="3">
        <f>1118</f>
        <v>1118</v>
      </c>
      <c r="B1125" s="3" t="s">
        <v>1127</v>
      </c>
      <c r="C1125" s="3" t="s">
        <v>10</v>
      </c>
      <c r="D1125" s="3" t="s">
        <v>9</v>
      </c>
      <c r="E1125" s="3">
        <v>1</v>
      </c>
      <c r="F1125" s="3">
        <v>0</v>
      </c>
      <c r="G1125" s="3">
        <v>1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/>
      <c r="P1125" s="3"/>
      <c r="Q1125" s="3"/>
    </row>
    <row r="1126" spans="1:17" ht="15" x14ac:dyDescent="0.25">
      <c r="A1126" s="3">
        <f>1119</f>
        <v>1119</v>
      </c>
      <c r="B1126" s="3" t="s">
        <v>1128</v>
      </c>
      <c r="C1126" s="3" t="s">
        <v>10</v>
      </c>
      <c r="D1126" s="3" t="s">
        <v>9</v>
      </c>
      <c r="E1126" s="3">
        <v>1</v>
      </c>
      <c r="F1126" s="3">
        <v>0</v>
      </c>
      <c r="G1126" s="3">
        <v>1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/>
      <c r="P1126" s="3"/>
      <c r="Q1126" s="3"/>
    </row>
    <row r="1127" spans="1:17" ht="15" x14ac:dyDescent="0.25">
      <c r="A1127" s="3">
        <f>1120</f>
        <v>1120</v>
      </c>
      <c r="B1127" s="3" t="s">
        <v>1129</v>
      </c>
      <c r="C1127" s="3" t="s">
        <v>10</v>
      </c>
      <c r="D1127" s="3" t="s">
        <v>9</v>
      </c>
      <c r="E1127" s="3">
        <v>1</v>
      </c>
      <c r="F1127" s="3">
        <v>0</v>
      </c>
      <c r="G1127" s="3">
        <v>1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/>
      <c r="P1127" s="3"/>
      <c r="Q1127" s="3"/>
    </row>
    <row r="1128" spans="1:17" ht="15" x14ac:dyDescent="0.25">
      <c r="A1128" s="3">
        <f>1121</f>
        <v>1121</v>
      </c>
      <c r="B1128" s="3" t="s">
        <v>1130</v>
      </c>
      <c r="C1128" s="3" t="s">
        <v>10</v>
      </c>
      <c r="D1128" s="3" t="s">
        <v>9</v>
      </c>
      <c r="E1128" s="3">
        <v>1</v>
      </c>
      <c r="F1128" s="3">
        <v>0</v>
      </c>
      <c r="G1128" s="3">
        <v>1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/>
      <c r="P1128" s="3"/>
      <c r="Q1128" s="3"/>
    </row>
    <row r="1129" spans="1:17" ht="15" x14ac:dyDescent="0.25">
      <c r="A1129" s="3">
        <f>1122</f>
        <v>1122</v>
      </c>
      <c r="B1129" s="3" t="s">
        <v>1131</v>
      </c>
      <c r="C1129" s="3" t="s">
        <v>10</v>
      </c>
      <c r="D1129" s="3" t="s">
        <v>9</v>
      </c>
      <c r="E1129" s="3">
        <v>1</v>
      </c>
      <c r="F1129" s="3">
        <v>0</v>
      </c>
      <c r="G1129" s="3">
        <v>1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/>
      <c r="P1129" s="3"/>
      <c r="Q1129" s="3"/>
    </row>
    <row r="1130" spans="1:17" ht="15" x14ac:dyDescent="0.25">
      <c r="A1130" s="3">
        <f>1123</f>
        <v>1123</v>
      </c>
      <c r="B1130" s="3" t="s">
        <v>1132</v>
      </c>
      <c r="C1130" s="3" t="s">
        <v>10</v>
      </c>
      <c r="D1130" s="3" t="s">
        <v>9</v>
      </c>
      <c r="E1130" s="3">
        <v>1</v>
      </c>
      <c r="F1130" s="3">
        <v>0</v>
      </c>
      <c r="G1130" s="3">
        <v>1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/>
      <c r="P1130" s="3"/>
      <c r="Q1130" s="3"/>
    </row>
    <row r="1131" spans="1:17" ht="15" x14ac:dyDescent="0.25">
      <c r="A1131" s="3">
        <f>1124</f>
        <v>1124</v>
      </c>
      <c r="B1131" s="3" t="s">
        <v>1133</v>
      </c>
      <c r="C1131" s="3" t="s">
        <v>10</v>
      </c>
      <c r="D1131" s="3" t="s">
        <v>9</v>
      </c>
      <c r="E1131" s="3">
        <v>1</v>
      </c>
      <c r="F1131" s="3">
        <v>0</v>
      </c>
      <c r="G1131" s="3">
        <v>1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/>
      <c r="P1131" s="3"/>
      <c r="Q1131" s="3"/>
    </row>
    <row r="1132" spans="1:17" ht="15" x14ac:dyDescent="0.25">
      <c r="A1132" s="3">
        <f>1125</f>
        <v>1125</v>
      </c>
      <c r="B1132" s="3" t="s">
        <v>1134</v>
      </c>
      <c r="C1132" s="3" t="s">
        <v>10</v>
      </c>
      <c r="D1132" s="3" t="s">
        <v>9</v>
      </c>
      <c r="E1132" s="3">
        <v>1</v>
      </c>
      <c r="F1132" s="3">
        <v>0</v>
      </c>
      <c r="G1132" s="3">
        <v>1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/>
      <c r="P1132" s="3"/>
      <c r="Q1132" s="3"/>
    </row>
    <row r="1133" spans="1:17" ht="15" x14ac:dyDescent="0.25">
      <c r="A1133" s="3">
        <f>1126</f>
        <v>1126</v>
      </c>
      <c r="B1133" s="3" t="s">
        <v>1135</v>
      </c>
      <c r="C1133" s="3" t="s">
        <v>10</v>
      </c>
      <c r="D1133" s="3" t="s">
        <v>9</v>
      </c>
      <c r="E1133" s="3">
        <v>1</v>
      </c>
      <c r="F1133" s="3">
        <v>0</v>
      </c>
      <c r="G1133" s="3">
        <v>1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/>
      <c r="P1133" s="3"/>
      <c r="Q1133" s="3"/>
    </row>
    <row r="1134" spans="1:17" ht="15" x14ac:dyDescent="0.25">
      <c r="A1134" s="3">
        <f>1127</f>
        <v>1127</v>
      </c>
      <c r="B1134" s="3" t="s">
        <v>1136</v>
      </c>
      <c r="C1134" s="3" t="s">
        <v>10</v>
      </c>
      <c r="D1134" s="3" t="s">
        <v>9</v>
      </c>
      <c r="E1134" s="3">
        <v>1</v>
      </c>
      <c r="F1134" s="3">
        <v>0</v>
      </c>
      <c r="G1134" s="3">
        <v>1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/>
      <c r="P1134" s="3"/>
      <c r="Q1134" s="3"/>
    </row>
    <row r="1135" spans="1:17" ht="15" x14ac:dyDescent="0.25">
      <c r="A1135" s="3">
        <f>1128</f>
        <v>1128</v>
      </c>
      <c r="B1135" s="3" t="s">
        <v>1137</v>
      </c>
      <c r="C1135" s="3" t="s">
        <v>10</v>
      </c>
      <c r="D1135" s="3" t="s">
        <v>9</v>
      </c>
      <c r="E1135" s="3">
        <v>1</v>
      </c>
      <c r="F1135" s="3">
        <v>0</v>
      </c>
      <c r="G1135" s="3">
        <v>1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/>
      <c r="P1135" s="3"/>
      <c r="Q1135" s="3"/>
    </row>
    <row r="1136" spans="1:17" ht="15" x14ac:dyDescent="0.25">
      <c r="A1136" s="3">
        <f>1129</f>
        <v>1129</v>
      </c>
      <c r="B1136" s="3" t="s">
        <v>1138</v>
      </c>
      <c r="C1136" s="3" t="s">
        <v>10</v>
      </c>
      <c r="D1136" s="3" t="s">
        <v>9</v>
      </c>
      <c r="E1136" s="3">
        <v>1</v>
      </c>
      <c r="F1136" s="3">
        <v>0</v>
      </c>
      <c r="G1136" s="3">
        <v>1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/>
      <c r="P1136" s="3"/>
      <c r="Q1136" s="3"/>
    </row>
    <row r="1137" spans="1:17" ht="15" x14ac:dyDescent="0.25">
      <c r="A1137" s="3">
        <f>1130</f>
        <v>1130</v>
      </c>
      <c r="B1137" s="3" t="s">
        <v>1139</v>
      </c>
      <c r="C1137" s="3" t="s">
        <v>10</v>
      </c>
      <c r="D1137" s="3" t="s">
        <v>9</v>
      </c>
      <c r="E1137" s="3">
        <v>1</v>
      </c>
      <c r="F1137" s="3">
        <v>0</v>
      </c>
      <c r="G1137" s="3">
        <v>1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/>
      <c r="P1137" s="3"/>
      <c r="Q1137" s="3"/>
    </row>
    <row r="1138" spans="1:17" ht="15" x14ac:dyDescent="0.25">
      <c r="A1138" s="3">
        <f>1131</f>
        <v>1131</v>
      </c>
      <c r="B1138" s="3" t="s">
        <v>1140</v>
      </c>
      <c r="C1138" s="3" t="s">
        <v>10</v>
      </c>
      <c r="D1138" s="3" t="s">
        <v>9</v>
      </c>
      <c r="E1138" s="3">
        <v>1</v>
      </c>
      <c r="F1138" s="3">
        <v>0</v>
      </c>
      <c r="G1138" s="3">
        <v>1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/>
      <c r="P1138" s="3"/>
      <c r="Q1138" s="3"/>
    </row>
    <row r="1139" spans="1:17" ht="15" x14ac:dyDescent="0.25">
      <c r="A1139" s="3">
        <f>1132</f>
        <v>1132</v>
      </c>
      <c r="B1139" s="3" t="s">
        <v>1141</v>
      </c>
      <c r="C1139" s="3" t="s">
        <v>10</v>
      </c>
      <c r="D1139" s="3" t="s">
        <v>9</v>
      </c>
      <c r="E1139" s="3">
        <v>1</v>
      </c>
      <c r="F1139" s="3">
        <v>0</v>
      </c>
      <c r="G1139" s="3">
        <v>1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/>
      <c r="P1139" s="3"/>
      <c r="Q1139" s="3"/>
    </row>
    <row r="1140" spans="1:17" ht="15" x14ac:dyDescent="0.25">
      <c r="A1140" s="3">
        <f>1133</f>
        <v>1133</v>
      </c>
      <c r="B1140" s="3" t="s">
        <v>1142</v>
      </c>
      <c r="C1140" s="3" t="s">
        <v>10</v>
      </c>
      <c r="D1140" s="3" t="s">
        <v>9</v>
      </c>
      <c r="E1140" s="3">
        <v>1</v>
      </c>
      <c r="F1140" s="3">
        <v>0</v>
      </c>
      <c r="G1140" s="3">
        <v>1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/>
      <c r="P1140" s="3"/>
      <c r="Q1140" s="3"/>
    </row>
    <row r="1141" spans="1:17" ht="15" x14ac:dyDescent="0.25">
      <c r="A1141" s="3">
        <f>1134</f>
        <v>1134</v>
      </c>
      <c r="B1141" s="3" t="s">
        <v>1143</v>
      </c>
      <c r="C1141" s="3" t="s">
        <v>10</v>
      </c>
      <c r="D1141" s="3" t="s">
        <v>9</v>
      </c>
      <c r="E1141" s="3">
        <v>1</v>
      </c>
      <c r="F1141" s="3">
        <v>0</v>
      </c>
      <c r="G1141" s="3">
        <v>1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/>
      <c r="P1141" s="3"/>
      <c r="Q1141" s="3"/>
    </row>
    <row r="1142" spans="1:17" ht="15" x14ac:dyDescent="0.25">
      <c r="A1142" s="3">
        <f>1135</f>
        <v>1135</v>
      </c>
      <c r="B1142" s="3" t="s">
        <v>1144</v>
      </c>
      <c r="C1142" s="3" t="s">
        <v>10</v>
      </c>
      <c r="D1142" s="3" t="s">
        <v>9</v>
      </c>
      <c r="E1142" s="3">
        <v>1</v>
      </c>
      <c r="F1142" s="3">
        <v>0</v>
      </c>
      <c r="G1142" s="3">
        <v>1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/>
      <c r="P1142" s="3"/>
      <c r="Q1142" s="3"/>
    </row>
    <row r="1143" spans="1:17" ht="15" x14ac:dyDescent="0.25">
      <c r="A1143" s="3">
        <f>1136</f>
        <v>1136</v>
      </c>
      <c r="B1143" s="3" t="s">
        <v>1145</v>
      </c>
      <c r="C1143" s="3" t="s">
        <v>10</v>
      </c>
      <c r="D1143" s="3" t="s">
        <v>9</v>
      </c>
      <c r="E1143" s="3">
        <v>1</v>
      </c>
      <c r="F1143" s="3">
        <v>0</v>
      </c>
      <c r="G1143" s="3">
        <v>1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/>
      <c r="P1143" s="3"/>
      <c r="Q1143" s="3"/>
    </row>
    <row r="1144" spans="1:17" ht="15" x14ac:dyDescent="0.25">
      <c r="A1144" s="3">
        <f>1137</f>
        <v>1137</v>
      </c>
      <c r="B1144" s="3" t="s">
        <v>1146</v>
      </c>
      <c r="C1144" s="3" t="s">
        <v>10</v>
      </c>
      <c r="D1144" s="3" t="s">
        <v>9</v>
      </c>
      <c r="E1144" s="3">
        <v>1</v>
      </c>
      <c r="F1144" s="3">
        <v>0</v>
      </c>
      <c r="G1144" s="3">
        <v>1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/>
      <c r="P1144" s="3"/>
      <c r="Q1144" s="3"/>
    </row>
    <row r="1145" spans="1:17" ht="15" x14ac:dyDescent="0.25">
      <c r="A1145" s="3">
        <f>1138</f>
        <v>1138</v>
      </c>
      <c r="B1145" s="3" t="s">
        <v>1147</v>
      </c>
      <c r="C1145" s="3" t="s">
        <v>10</v>
      </c>
      <c r="D1145" s="3" t="s">
        <v>9</v>
      </c>
      <c r="E1145" s="3">
        <v>1</v>
      </c>
      <c r="F1145" s="3">
        <v>0</v>
      </c>
      <c r="G1145" s="3">
        <v>1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/>
      <c r="P1145" s="3"/>
      <c r="Q1145" s="3"/>
    </row>
    <row r="1146" spans="1:17" ht="15" x14ac:dyDescent="0.25">
      <c r="A1146" s="3">
        <f>1139</f>
        <v>1139</v>
      </c>
      <c r="B1146" s="3" t="s">
        <v>1148</v>
      </c>
      <c r="C1146" s="3" t="s">
        <v>10</v>
      </c>
      <c r="D1146" s="3" t="s">
        <v>9</v>
      </c>
      <c r="E1146" s="3">
        <v>1</v>
      </c>
      <c r="F1146" s="3">
        <v>0</v>
      </c>
      <c r="G1146" s="3">
        <v>1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/>
      <c r="P1146" s="3"/>
      <c r="Q1146" s="3"/>
    </row>
    <row r="1147" spans="1:17" ht="15" x14ac:dyDescent="0.25">
      <c r="A1147" s="3">
        <f>1140</f>
        <v>1140</v>
      </c>
      <c r="B1147" s="3" t="s">
        <v>1149</v>
      </c>
      <c r="C1147" s="3" t="s">
        <v>10</v>
      </c>
      <c r="D1147" s="3" t="s">
        <v>9</v>
      </c>
      <c r="E1147" s="3">
        <v>1</v>
      </c>
      <c r="F1147" s="3">
        <v>0</v>
      </c>
      <c r="G1147" s="3">
        <v>1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/>
      <c r="P1147" s="3"/>
      <c r="Q1147" s="3"/>
    </row>
    <row r="1148" spans="1:17" ht="15" x14ac:dyDescent="0.25">
      <c r="A1148" s="3">
        <f>1141</f>
        <v>1141</v>
      </c>
      <c r="B1148" s="3" t="s">
        <v>1150</v>
      </c>
      <c r="C1148" s="3" t="s">
        <v>9</v>
      </c>
      <c r="D1148" s="3" t="s">
        <v>10</v>
      </c>
      <c r="E1148" s="3">
        <v>1</v>
      </c>
      <c r="F1148" s="3">
        <v>0</v>
      </c>
      <c r="G1148" s="3">
        <v>1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/>
      <c r="P1148" s="3"/>
      <c r="Q1148" s="3"/>
    </row>
    <row r="1149" spans="1:17" ht="15" x14ac:dyDescent="0.25">
      <c r="A1149" s="3">
        <f>1142</f>
        <v>1142</v>
      </c>
      <c r="B1149" s="3" t="s">
        <v>1151</v>
      </c>
      <c r="C1149" s="3" t="s">
        <v>9</v>
      </c>
      <c r="D1149" s="3" t="s">
        <v>10</v>
      </c>
      <c r="E1149" s="3">
        <v>1</v>
      </c>
      <c r="F1149" s="3">
        <v>0</v>
      </c>
      <c r="G1149" s="3">
        <v>1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/>
      <c r="P1149" s="3"/>
      <c r="Q1149" s="3"/>
    </row>
    <row r="1150" spans="1:17" ht="15" x14ac:dyDescent="0.25">
      <c r="A1150" s="3">
        <f>1143</f>
        <v>1143</v>
      </c>
      <c r="B1150" s="3" t="s">
        <v>1152</v>
      </c>
      <c r="C1150" s="3" t="s">
        <v>9</v>
      </c>
      <c r="D1150" s="3" t="s">
        <v>10</v>
      </c>
      <c r="E1150" s="3">
        <v>1</v>
      </c>
      <c r="F1150" s="3">
        <v>0</v>
      </c>
      <c r="G1150" s="3">
        <v>1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/>
      <c r="P1150" s="3"/>
      <c r="Q1150" s="3"/>
    </row>
    <row r="1151" spans="1:17" ht="15" x14ac:dyDescent="0.25">
      <c r="A1151" s="3">
        <f>1144</f>
        <v>1144</v>
      </c>
      <c r="B1151" s="3" t="s">
        <v>1153</v>
      </c>
      <c r="C1151" s="3" t="s">
        <v>9</v>
      </c>
      <c r="D1151" s="3" t="s">
        <v>10</v>
      </c>
      <c r="E1151" s="3">
        <v>1</v>
      </c>
      <c r="F1151" s="3">
        <v>0</v>
      </c>
      <c r="G1151" s="3">
        <v>1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/>
      <c r="P1151" s="3"/>
      <c r="Q1151" s="3"/>
    </row>
    <row r="1152" spans="1:17" ht="15" x14ac:dyDescent="0.25">
      <c r="A1152" s="3">
        <f>1145</f>
        <v>1145</v>
      </c>
      <c r="B1152" s="3" t="s">
        <v>1154</v>
      </c>
      <c r="C1152" s="3" t="s">
        <v>9</v>
      </c>
      <c r="D1152" s="3" t="s">
        <v>10</v>
      </c>
      <c r="E1152" s="3">
        <v>1</v>
      </c>
      <c r="F1152" s="3">
        <v>0</v>
      </c>
      <c r="G1152" s="3">
        <v>1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/>
      <c r="P1152" s="3"/>
      <c r="Q1152" s="3"/>
    </row>
    <row r="1153" spans="1:17" ht="15" x14ac:dyDescent="0.25">
      <c r="A1153" s="3">
        <f>1146</f>
        <v>1146</v>
      </c>
      <c r="B1153" s="3" t="s">
        <v>1155</v>
      </c>
      <c r="C1153" s="3" t="s">
        <v>9</v>
      </c>
      <c r="D1153" s="3" t="s">
        <v>10</v>
      </c>
      <c r="E1153" s="3">
        <v>1</v>
      </c>
      <c r="F1153" s="3">
        <v>0</v>
      </c>
      <c r="G1153" s="3">
        <v>1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/>
      <c r="P1153" s="3"/>
      <c r="Q1153" s="3"/>
    </row>
    <row r="1154" spans="1:17" ht="15" x14ac:dyDescent="0.25">
      <c r="A1154" s="3">
        <f>1147</f>
        <v>1147</v>
      </c>
      <c r="B1154" s="3" t="s">
        <v>1156</v>
      </c>
      <c r="C1154" s="3" t="s">
        <v>9</v>
      </c>
      <c r="D1154" s="3" t="s">
        <v>10</v>
      </c>
      <c r="E1154" s="3">
        <v>1</v>
      </c>
      <c r="F1154" s="3">
        <v>0</v>
      </c>
      <c r="G1154" s="3">
        <v>1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/>
      <c r="P1154" s="3"/>
      <c r="Q1154" s="3"/>
    </row>
    <row r="1155" spans="1:17" ht="15" x14ac:dyDescent="0.25">
      <c r="A1155" s="3">
        <f>1148</f>
        <v>1148</v>
      </c>
      <c r="B1155" s="3" t="s">
        <v>1157</v>
      </c>
      <c r="C1155" s="3" t="s">
        <v>9</v>
      </c>
      <c r="D1155" s="3" t="s">
        <v>10</v>
      </c>
      <c r="E1155" s="3">
        <v>1</v>
      </c>
      <c r="F1155" s="3">
        <v>0</v>
      </c>
      <c r="G1155" s="3">
        <v>1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/>
      <c r="P1155" s="3"/>
      <c r="Q1155" s="3"/>
    </row>
    <row r="1156" spans="1:17" ht="15" x14ac:dyDescent="0.25">
      <c r="A1156" s="3">
        <f>1149</f>
        <v>1149</v>
      </c>
      <c r="B1156" s="3" t="s">
        <v>1158</v>
      </c>
      <c r="C1156" s="3" t="s">
        <v>9</v>
      </c>
      <c r="D1156" s="3" t="s">
        <v>10</v>
      </c>
      <c r="E1156" s="3">
        <v>1</v>
      </c>
      <c r="F1156" s="3">
        <v>0</v>
      </c>
      <c r="G1156" s="3">
        <v>1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/>
      <c r="P1156" s="3"/>
      <c r="Q1156" s="3"/>
    </row>
    <row r="1157" spans="1:17" ht="15" x14ac:dyDescent="0.25">
      <c r="A1157" s="3">
        <f>1150</f>
        <v>1150</v>
      </c>
      <c r="B1157" s="3" t="s">
        <v>1159</v>
      </c>
      <c r="C1157" s="3" t="s">
        <v>9</v>
      </c>
      <c r="D1157" s="3" t="s">
        <v>10</v>
      </c>
      <c r="E1157" s="3">
        <v>1</v>
      </c>
      <c r="F1157" s="3">
        <v>0</v>
      </c>
      <c r="G1157" s="3">
        <v>1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/>
      <c r="P1157" s="3"/>
      <c r="Q1157" s="3"/>
    </row>
    <row r="1158" spans="1:17" ht="15" x14ac:dyDescent="0.25">
      <c r="A1158" s="3">
        <f>1151</f>
        <v>1151</v>
      </c>
      <c r="B1158" s="3" t="s">
        <v>1160</v>
      </c>
      <c r="C1158" s="3" t="s">
        <v>9</v>
      </c>
      <c r="D1158" s="3" t="s">
        <v>10</v>
      </c>
      <c r="E1158" s="3">
        <v>1</v>
      </c>
      <c r="F1158" s="3">
        <v>0</v>
      </c>
      <c r="G1158" s="3">
        <v>1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/>
      <c r="P1158" s="3"/>
      <c r="Q1158" s="3"/>
    </row>
    <row r="1159" spans="1:17" ht="15" x14ac:dyDescent="0.25">
      <c r="A1159" s="3">
        <f>1152</f>
        <v>1152</v>
      </c>
      <c r="B1159" s="3" t="s">
        <v>1161</v>
      </c>
      <c r="C1159" s="3" t="s">
        <v>9</v>
      </c>
      <c r="D1159" s="3" t="s">
        <v>10</v>
      </c>
      <c r="E1159" s="3">
        <v>1</v>
      </c>
      <c r="F1159" s="3">
        <v>0</v>
      </c>
      <c r="G1159" s="3">
        <v>1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/>
      <c r="P1159" s="3"/>
      <c r="Q1159" s="3"/>
    </row>
    <row r="1160" spans="1:17" ht="15" x14ac:dyDescent="0.25">
      <c r="A1160" s="3">
        <f>1153</f>
        <v>1153</v>
      </c>
      <c r="B1160" s="3" t="s">
        <v>1162</v>
      </c>
      <c r="C1160" s="3" t="s">
        <v>9</v>
      </c>
      <c r="D1160" s="3" t="s">
        <v>10</v>
      </c>
      <c r="E1160" s="3">
        <v>1</v>
      </c>
      <c r="F1160" s="3">
        <v>0</v>
      </c>
      <c r="G1160" s="3">
        <v>1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/>
      <c r="P1160" s="3"/>
      <c r="Q1160" s="3"/>
    </row>
    <row r="1161" spans="1:17" ht="15" x14ac:dyDescent="0.25">
      <c r="A1161" s="3">
        <f>1154</f>
        <v>1154</v>
      </c>
      <c r="B1161" s="3" t="s">
        <v>1163</v>
      </c>
      <c r="C1161" s="3" t="s">
        <v>9</v>
      </c>
      <c r="D1161" s="3" t="s">
        <v>10</v>
      </c>
      <c r="E1161" s="3">
        <v>1</v>
      </c>
      <c r="F1161" s="3">
        <v>0</v>
      </c>
      <c r="G1161" s="3">
        <v>1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/>
      <c r="P1161" s="3"/>
      <c r="Q1161" s="3"/>
    </row>
    <row r="1162" spans="1:17" ht="15" x14ac:dyDescent="0.25">
      <c r="A1162" s="3">
        <f>1155</f>
        <v>1155</v>
      </c>
      <c r="B1162" s="3" t="s">
        <v>1164</v>
      </c>
      <c r="C1162" s="3" t="s">
        <v>9</v>
      </c>
      <c r="D1162" s="3" t="s">
        <v>10</v>
      </c>
      <c r="E1162" s="3">
        <v>1</v>
      </c>
      <c r="F1162" s="3">
        <v>0</v>
      </c>
      <c r="G1162" s="3">
        <v>1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/>
      <c r="P1162" s="3"/>
      <c r="Q1162" s="3"/>
    </row>
    <row r="1163" spans="1:17" ht="15" x14ac:dyDescent="0.25">
      <c r="A1163" s="3">
        <f>1156</f>
        <v>1156</v>
      </c>
      <c r="B1163" s="3" t="s">
        <v>1165</v>
      </c>
      <c r="C1163" s="3" t="s">
        <v>9</v>
      </c>
      <c r="D1163" s="3" t="s">
        <v>10</v>
      </c>
      <c r="E1163" s="3">
        <v>1</v>
      </c>
      <c r="F1163" s="3">
        <v>0</v>
      </c>
      <c r="G1163" s="3">
        <v>1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/>
      <c r="P1163" s="3"/>
      <c r="Q1163" s="3"/>
    </row>
    <row r="1164" spans="1:17" ht="15" x14ac:dyDescent="0.25">
      <c r="A1164" s="3">
        <f>1157</f>
        <v>1157</v>
      </c>
      <c r="B1164" s="3" t="s">
        <v>1166</v>
      </c>
      <c r="C1164" s="3" t="s">
        <v>9</v>
      </c>
      <c r="D1164" s="3" t="s">
        <v>10</v>
      </c>
      <c r="E1164" s="3">
        <v>1</v>
      </c>
      <c r="F1164" s="3">
        <v>0</v>
      </c>
      <c r="G1164" s="3">
        <v>1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/>
      <c r="P1164" s="3"/>
      <c r="Q1164" s="3"/>
    </row>
    <row r="1165" spans="1:17" ht="15" x14ac:dyDescent="0.25">
      <c r="A1165" s="3">
        <f>1158</f>
        <v>1158</v>
      </c>
      <c r="B1165" s="3" t="s">
        <v>1167</v>
      </c>
      <c r="C1165" s="3" t="s">
        <v>9</v>
      </c>
      <c r="D1165" s="3" t="s">
        <v>10</v>
      </c>
      <c r="E1165" s="3">
        <v>1</v>
      </c>
      <c r="F1165" s="3">
        <v>0</v>
      </c>
      <c r="G1165" s="3">
        <v>1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/>
      <c r="P1165" s="3"/>
      <c r="Q1165" s="3"/>
    </row>
    <row r="1166" spans="1:17" ht="15" x14ac:dyDescent="0.25">
      <c r="A1166" s="3">
        <f>1159</f>
        <v>1159</v>
      </c>
      <c r="B1166" s="3" t="s">
        <v>1168</v>
      </c>
      <c r="C1166" s="3" t="s">
        <v>9</v>
      </c>
      <c r="D1166" s="3" t="s">
        <v>10</v>
      </c>
      <c r="E1166" s="3">
        <v>1</v>
      </c>
      <c r="F1166" s="3">
        <v>0</v>
      </c>
      <c r="G1166" s="3">
        <v>1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/>
      <c r="P1166" s="3"/>
      <c r="Q1166" s="3"/>
    </row>
    <row r="1167" spans="1:17" ht="15" x14ac:dyDescent="0.25">
      <c r="A1167" s="3">
        <f>1160</f>
        <v>1160</v>
      </c>
      <c r="B1167" s="3" t="s">
        <v>1169</v>
      </c>
      <c r="C1167" s="3" t="s">
        <v>9</v>
      </c>
      <c r="D1167" s="3" t="s">
        <v>10</v>
      </c>
      <c r="E1167" s="3">
        <v>1</v>
      </c>
      <c r="F1167" s="3">
        <v>0</v>
      </c>
      <c r="G1167" s="3">
        <v>1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/>
      <c r="P1167" s="3"/>
      <c r="Q1167" s="3"/>
    </row>
    <row r="1168" spans="1:17" ht="15" x14ac:dyDescent="0.25">
      <c r="A1168" s="3">
        <f>1161</f>
        <v>1161</v>
      </c>
      <c r="B1168" s="3" t="s">
        <v>1170</v>
      </c>
      <c r="C1168" s="3" t="s">
        <v>9</v>
      </c>
      <c r="D1168" s="3" t="s">
        <v>9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/>
      <c r="P1168" s="3"/>
      <c r="Q1168" s="3"/>
    </row>
    <row r="1169" spans="1:17" ht="15" x14ac:dyDescent="0.25">
      <c r="A1169" s="3">
        <f>1162</f>
        <v>1162</v>
      </c>
      <c r="B1169" s="3" t="s">
        <v>1171</v>
      </c>
      <c r="C1169" s="3" t="s">
        <v>10</v>
      </c>
      <c r="D1169" s="3" t="s">
        <v>9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/>
      <c r="P1169" s="3"/>
      <c r="Q1169" s="3"/>
    </row>
    <row r="1170" spans="1:17" ht="15" x14ac:dyDescent="0.25">
      <c r="A1170" s="3">
        <f>1163</f>
        <v>1163</v>
      </c>
      <c r="B1170" s="3" t="s">
        <v>1172</v>
      </c>
      <c r="C1170" s="3" t="s">
        <v>10</v>
      </c>
      <c r="D1170" s="3" t="s">
        <v>9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/>
      <c r="P1170" s="3"/>
      <c r="Q1170" s="3"/>
    </row>
    <row r="1171" spans="1:17" ht="15" x14ac:dyDescent="0.25">
      <c r="A1171" s="3">
        <f>1164</f>
        <v>1164</v>
      </c>
      <c r="B1171" s="3" t="s">
        <v>1173</v>
      </c>
      <c r="C1171" s="3" t="s">
        <v>9</v>
      </c>
      <c r="D1171" s="3" t="s">
        <v>10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/>
      <c r="P1171" s="3"/>
      <c r="Q1171" s="3"/>
    </row>
    <row r="1172" spans="1:17" ht="15" x14ac:dyDescent="0.25">
      <c r="A1172" s="3">
        <f>1165</f>
        <v>1165</v>
      </c>
      <c r="B1172" s="3" t="s">
        <v>1174</v>
      </c>
      <c r="C1172" s="3" t="s">
        <v>9</v>
      </c>
      <c r="D1172" s="3" t="s">
        <v>10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/>
      <c r="P1172" s="3"/>
      <c r="Q1172" s="3"/>
    </row>
    <row r="1173" spans="1:17" ht="15" x14ac:dyDescent="0.25">
      <c r="A1173" s="3">
        <f>1166</f>
        <v>1166</v>
      </c>
      <c r="B1173" s="3" t="s">
        <v>1175</v>
      </c>
      <c r="C1173" s="3" t="s">
        <v>10</v>
      </c>
      <c r="D1173" s="3" t="s">
        <v>9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/>
      <c r="P1173" s="3"/>
      <c r="Q1173" s="3"/>
    </row>
    <row r="1174" spans="1:17" ht="15" x14ac:dyDescent="0.25">
      <c r="A1174" s="3">
        <f>1167</f>
        <v>1167</v>
      </c>
      <c r="B1174" s="3" t="s">
        <v>1176</v>
      </c>
      <c r="C1174" s="3" t="s">
        <v>10</v>
      </c>
      <c r="D1174" s="3" t="s">
        <v>9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/>
      <c r="P1174" s="3"/>
      <c r="Q1174" s="3"/>
    </row>
    <row r="1175" spans="1:17" ht="15" x14ac:dyDescent="0.25">
      <c r="A1175" s="3">
        <f>1168</f>
        <v>1168</v>
      </c>
      <c r="B1175" s="3" t="s">
        <v>1177</v>
      </c>
      <c r="C1175" s="3" t="s">
        <v>10</v>
      </c>
      <c r="D1175" s="3" t="s">
        <v>9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/>
      <c r="P1175" s="3"/>
      <c r="Q1175" s="3"/>
    </row>
    <row r="1176" spans="1:17" ht="15" x14ac:dyDescent="0.25">
      <c r="A1176" s="3">
        <f>1169</f>
        <v>1169</v>
      </c>
      <c r="B1176" s="3" t="s">
        <v>1178</v>
      </c>
      <c r="C1176" s="3" t="s">
        <v>10</v>
      </c>
      <c r="D1176" s="3" t="s">
        <v>9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/>
      <c r="P1176" s="3"/>
      <c r="Q1176" s="3"/>
    </row>
    <row r="1177" spans="1:17" ht="15" x14ac:dyDescent="0.25">
      <c r="A1177" s="3">
        <f>1170</f>
        <v>1170</v>
      </c>
      <c r="B1177" s="3" t="s">
        <v>1179</v>
      </c>
      <c r="C1177" s="3" t="s">
        <v>10</v>
      </c>
      <c r="D1177" s="3" t="s">
        <v>9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/>
      <c r="P1177" s="3"/>
      <c r="Q1177" s="3"/>
    </row>
    <row r="1178" spans="1:17" ht="15" x14ac:dyDescent="0.25">
      <c r="A1178" s="3">
        <f>1171</f>
        <v>1171</v>
      </c>
      <c r="B1178" s="3" t="s">
        <v>1180</v>
      </c>
      <c r="C1178" s="3" t="s">
        <v>10</v>
      </c>
      <c r="D1178" s="3" t="s">
        <v>9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/>
      <c r="P1178" s="3"/>
      <c r="Q1178" s="3"/>
    </row>
    <row r="1179" spans="1:17" ht="15" x14ac:dyDescent="0.25">
      <c r="A1179" s="3">
        <f>1172</f>
        <v>1172</v>
      </c>
      <c r="B1179" s="3" t="s">
        <v>1181</v>
      </c>
      <c r="C1179" s="3" t="s">
        <v>10</v>
      </c>
      <c r="D1179" s="3" t="s">
        <v>9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/>
      <c r="P1179" s="3"/>
      <c r="Q1179" s="3"/>
    </row>
    <row r="1180" spans="1:17" ht="15" x14ac:dyDescent="0.25">
      <c r="A1180" s="3">
        <f>1173</f>
        <v>1173</v>
      </c>
      <c r="B1180" s="3" t="s">
        <v>1182</v>
      </c>
      <c r="C1180" s="3" t="s">
        <v>9</v>
      </c>
      <c r="D1180" s="3" t="s">
        <v>10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/>
      <c r="P1180" s="3"/>
      <c r="Q1180" s="3"/>
    </row>
    <row r="1181" spans="1:17" ht="15" x14ac:dyDescent="0.25">
      <c r="A1181" s="3">
        <f>1174</f>
        <v>1174</v>
      </c>
      <c r="B1181" s="3" t="s">
        <v>1183</v>
      </c>
      <c r="C1181" s="3" t="s">
        <v>9</v>
      </c>
      <c r="D1181" s="3" t="s">
        <v>10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/>
      <c r="P1181" s="3"/>
      <c r="Q1181" s="3"/>
    </row>
    <row r="1182" spans="1:17" ht="15" x14ac:dyDescent="0.25">
      <c r="A1182" s="3">
        <f>1175</f>
        <v>1175</v>
      </c>
      <c r="B1182" s="3" t="s">
        <v>1184</v>
      </c>
      <c r="C1182" s="3" t="s">
        <v>9</v>
      </c>
      <c r="D1182" s="3" t="s">
        <v>10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/>
      <c r="P1182" s="3"/>
      <c r="Q1182" s="3"/>
    </row>
    <row r="1183" spans="1:17" ht="15" x14ac:dyDescent="0.25">
      <c r="A1183" s="3">
        <f>1176</f>
        <v>1176</v>
      </c>
      <c r="B1183" s="3" t="s">
        <v>1185</v>
      </c>
      <c r="C1183" s="3" t="s">
        <v>9</v>
      </c>
      <c r="D1183" s="3" t="s">
        <v>10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/>
      <c r="P1183" s="3"/>
      <c r="Q1183" s="3"/>
    </row>
    <row r="1184" spans="1:17" ht="15" x14ac:dyDescent="0.25">
      <c r="A1184" s="3">
        <f>1177</f>
        <v>1177</v>
      </c>
      <c r="B1184" s="3" t="s">
        <v>1186</v>
      </c>
      <c r="C1184" s="3" t="s">
        <v>9</v>
      </c>
      <c r="D1184" s="3" t="s">
        <v>10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/>
      <c r="P1184" s="3"/>
      <c r="Q1184" s="3"/>
    </row>
    <row r="1185" spans="1:17" ht="15" x14ac:dyDescent="0.25">
      <c r="A1185" s="3">
        <f>1178</f>
        <v>1178</v>
      </c>
      <c r="B1185" s="3" t="s">
        <v>1187</v>
      </c>
      <c r="C1185" s="3" t="s">
        <v>10</v>
      </c>
      <c r="D1185" s="3" t="s">
        <v>9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/>
      <c r="P1185" s="3"/>
      <c r="Q1185" s="3"/>
    </row>
    <row r="1186" spans="1:17" ht="15" x14ac:dyDescent="0.25">
      <c r="A1186" s="3">
        <f>1179</f>
        <v>1179</v>
      </c>
      <c r="B1186" s="3" t="s">
        <v>1188</v>
      </c>
      <c r="C1186" s="3" t="s">
        <v>10</v>
      </c>
      <c r="D1186" s="3" t="s">
        <v>9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/>
      <c r="P1186" s="3"/>
      <c r="Q1186" s="3"/>
    </row>
    <row r="1187" spans="1:17" ht="15" x14ac:dyDescent="0.25">
      <c r="A1187" s="3">
        <f>1180</f>
        <v>1180</v>
      </c>
      <c r="B1187" s="3" t="s">
        <v>1189</v>
      </c>
      <c r="C1187" s="3" t="s">
        <v>10</v>
      </c>
      <c r="D1187" s="3" t="s">
        <v>9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/>
      <c r="P1187" s="3"/>
      <c r="Q1187" s="3"/>
    </row>
    <row r="1188" spans="1:17" ht="15" x14ac:dyDescent="0.25">
      <c r="A1188" s="3">
        <f>1181</f>
        <v>1181</v>
      </c>
      <c r="B1188" s="3" t="s">
        <v>1190</v>
      </c>
      <c r="C1188" s="3" t="s">
        <v>10</v>
      </c>
      <c r="D1188" s="3" t="s">
        <v>9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/>
      <c r="P1188" s="3"/>
      <c r="Q1188" s="3"/>
    </row>
    <row r="1189" spans="1:17" ht="15" x14ac:dyDescent="0.25">
      <c r="A1189" s="3">
        <f>1182</f>
        <v>1182</v>
      </c>
      <c r="B1189" s="3" t="s">
        <v>1191</v>
      </c>
      <c r="C1189" s="3" t="s">
        <v>10</v>
      </c>
      <c r="D1189" s="3" t="s">
        <v>9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/>
      <c r="P1189" s="3"/>
      <c r="Q1189" s="3"/>
    </row>
    <row r="1190" spans="1:17" ht="15" x14ac:dyDescent="0.25">
      <c r="A1190" s="3">
        <f>1183</f>
        <v>1183</v>
      </c>
      <c r="B1190" s="3" t="s">
        <v>1192</v>
      </c>
      <c r="C1190" s="3" t="s">
        <v>10</v>
      </c>
      <c r="D1190" s="3" t="s">
        <v>9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/>
      <c r="P1190" s="3"/>
      <c r="Q1190" s="3"/>
    </row>
    <row r="1191" spans="1:17" ht="15" x14ac:dyDescent="0.25">
      <c r="A1191" s="3">
        <f>1184</f>
        <v>1184</v>
      </c>
      <c r="B1191" s="3" t="s">
        <v>1193</v>
      </c>
      <c r="C1191" s="3" t="s">
        <v>10</v>
      </c>
      <c r="D1191" s="3" t="s">
        <v>9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/>
      <c r="P1191" s="3"/>
      <c r="Q1191" s="3"/>
    </row>
    <row r="1192" spans="1:17" ht="15" x14ac:dyDescent="0.25">
      <c r="A1192" s="3">
        <f>1185</f>
        <v>1185</v>
      </c>
      <c r="B1192" s="3" t="s">
        <v>1194</v>
      </c>
      <c r="C1192" s="3" t="s">
        <v>10</v>
      </c>
      <c r="D1192" s="3" t="s">
        <v>9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/>
      <c r="P1192" s="3"/>
      <c r="Q1192" s="3"/>
    </row>
    <row r="1193" spans="1:17" ht="15" x14ac:dyDescent="0.25">
      <c r="A1193" s="3">
        <f>1186</f>
        <v>1186</v>
      </c>
      <c r="B1193" s="3" t="s">
        <v>1195</v>
      </c>
      <c r="C1193" s="3" t="s">
        <v>10</v>
      </c>
      <c r="D1193" s="3" t="s">
        <v>9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/>
      <c r="P1193" s="3"/>
      <c r="Q1193" s="3"/>
    </row>
    <row r="1194" spans="1:17" ht="15" x14ac:dyDescent="0.25">
      <c r="A1194" s="3">
        <f>1187</f>
        <v>1187</v>
      </c>
      <c r="B1194" s="3" t="s">
        <v>1196</v>
      </c>
      <c r="C1194" s="3" t="s">
        <v>10</v>
      </c>
      <c r="D1194" s="3" t="s">
        <v>9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/>
      <c r="P1194" s="3"/>
      <c r="Q1194" s="3"/>
    </row>
    <row r="1195" spans="1:17" ht="15" x14ac:dyDescent="0.25">
      <c r="A1195" s="3">
        <f>1188</f>
        <v>1188</v>
      </c>
      <c r="B1195" s="3" t="s">
        <v>1197</v>
      </c>
      <c r="C1195" s="3" t="s">
        <v>10</v>
      </c>
      <c r="D1195" s="3" t="s">
        <v>9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/>
      <c r="P1195" s="3"/>
      <c r="Q1195" s="3"/>
    </row>
    <row r="1196" spans="1:17" ht="15" x14ac:dyDescent="0.25">
      <c r="A1196" s="3">
        <f>1189</f>
        <v>1189</v>
      </c>
      <c r="B1196" s="3" t="s">
        <v>1198</v>
      </c>
      <c r="C1196" s="3" t="s">
        <v>10</v>
      </c>
      <c r="D1196" s="3" t="s">
        <v>9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/>
      <c r="P1196" s="3"/>
      <c r="Q1196" s="3"/>
    </row>
    <row r="1197" spans="1:17" ht="15" x14ac:dyDescent="0.25">
      <c r="A1197" s="3">
        <f>1190</f>
        <v>1190</v>
      </c>
      <c r="B1197" s="3" t="s">
        <v>1199</v>
      </c>
      <c r="C1197" s="3" t="s">
        <v>10</v>
      </c>
      <c r="D1197" s="3" t="s">
        <v>9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/>
      <c r="P1197" s="3"/>
      <c r="Q1197" s="3"/>
    </row>
    <row r="1198" spans="1:17" ht="15" x14ac:dyDescent="0.25">
      <c r="A1198" s="3">
        <f>1191</f>
        <v>1191</v>
      </c>
      <c r="B1198" s="3" t="s">
        <v>1200</v>
      </c>
      <c r="C1198" s="3" t="s">
        <v>10</v>
      </c>
      <c r="D1198" s="3" t="s">
        <v>9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/>
      <c r="P1198" s="3"/>
      <c r="Q1198" s="3"/>
    </row>
    <row r="1199" spans="1:17" ht="15" x14ac:dyDescent="0.25">
      <c r="A1199" s="3">
        <f>1192</f>
        <v>1192</v>
      </c>
      <c r="B1199" s="3" t="s">
        <v>1201</v>
      </c>
      <c r="C1199" s="3" t="s">
        <v>10</v>
      </c>
      <c r="D1199" s="3" t="s">
        <v>9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/>
      <c r="P1199" s="3"/>
      <c r="Q1199" s="3"/>
    </row>
    <row r="1200" spans="1:17" ht="15" x14ac:dyDescent="0.25">
      <c r="A1200" s="3">
        <f>1193</f>
        <v>1193</v>
      </c>
      <c r="B1200" s="3" t="s">
        <v>1202</v>
      </c>
      <c r="C1200" s="3" t="s">
        <v>9</v>
      </c>
      <c r="D1200" s="3" t="s">
        <v>10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/>
      <c r="P1200" s="3"/>
      <c r="Q1200" s="3"/>
    </row>
    <row r="1201" spans="1:17" ht="15" x14ac:dyDescent="0.25">
      <c r="A1201" s="3">
        <f>1194</f>
        <v>1194</v>
      </c>
      <c r="B1201" s="3" t="s">
        <v>1203</v>
      </c>
      <c r="C1201" s="3" t="s">
        <v>9</v>
      </c>
      <c r="D1201" s="3" t="s">
        <v>10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/>
      <c r="P1201" s="3"/>
      <c r="Q1201" s="3"/>
    </row>
    <row r="1202" spans="1:17" ht="15" x14ac:dyDescent="0.25">
      <c r="A1202" s="3">
        <f>1195</f>
        <v>1195</v>
      </c>
      <c r="B1202" s="3" t="s">
        <v>1204</v>
      </c>
      <c r="C1202" s="3" t="s">
        <v>10</v>
      </c>
      <c r="D1202" s="3" t="s">
        <v>9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/>
      <c r="P1202" s="3"/>
      <c r="Q1202" s="3"/>
    </row>
    <row r="1203" spans="1:17" ht="15" x14ac:dyDescent="0.25">
      <c r="A1203" s="3">
        <f>1196</f>
        <v>1196</v>
      </c>
      <c r="B1203" s="3" t="s">
        <v>1205</v>
      </c>
      <c r="C1203" s="3" t="s">
        <v>10</v>
      </c>
      <c r="D1203" s="3" t="s">
        <v>9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/>
      <c r="P1203" s="3"/>
      <c r="Q1203" s="3"/>
    </row>
    <row r="1204" spans="1:17" ht="15" x14ac:dyDescent="0.25">
      <c r="A1204" s="3">
        <f>1197</f>
        <v>1197</v>
      </c>
      <c r="B1204" s="3" t="s">
        <v>1206</v>
      </c>
      <c r="C1204" s="3" t="s">
        <v>10</v>
      </c>
      <c r="D1204" s="3" t="s">
        <v>9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/>
      <c r="P1204" s="3"/>
      <c r="Q1204" s="3"/>
    </row>
    <row r="1205" spans="1:17" ht="15" x14ac:dyDescent="0.25">
      <c r="A1205" s="3">
        <f>1198</f>
        <v>1198</v>
      </c>
      <c r="B1205" s="3" t="s">
        <v>1207</v>
      </c>
      <c r="C1205" s="3" t="s">
        <v>10</v>
      </c>
      <c r="D1205" s="3" t="s">
        <v>9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/>
      <c r="P1205" s="3"/>
      <c r="Q1205" s="3"/>
    </row>
    <row r="1206" spans="1:17" ht="15" x14ac:dyDescent="0.25">
      <c r="A1206" s="3">
        <f>1199</f>
        <v>1199</v>
      </c>
      <c r="B1206" s="3" t="s">
        <v>1208</v>
      </c>
      <c r="C1206" s="3" t="s">
        <v>10</v>
      </c>
      <c r="D1206" s="3" t="s">
        <v>9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/>
      <c r="P1206" s="3"/>
      <c r="Q1206" s="3"/>
    </row>
    <row r="1207" spans="1:17" ht="15" x14ac:dyDescent="0.25">
      <c r="A1207" s="3">
        <f>1200</f>
        <v>1200</v>
      </c>
      <c r="B1207" s="3" t="s">
        <v>1209</v>
      </c>
      <c r="C1207" s="3" t="s">
        <v>10</v>
      </c>
      <c r="D1207" s="3" t="s">
        <v>9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/>
      <c r="P1207" s="3"/>
      <c r="Q1207" s="3"/>
    </row>
    <row r="1208" spans="1:17" ht="15" x14ac:dyDescent="0.25">
      <c r="A1208" s="3">
        <f>1201</f>
        <v>1201</v>
      </c>
      <c r="B1208" s="3" t="s">
        <v>1210</v>
      </c>
      <c r="C1208" s="3" t="s">
        <v>10</v>
      </c>
      <c r="D1208" s="3" t="s">
        <v>9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/>
      <c r="P1208" s="3"/>
      <c r="Q1208" s="3"/>
    </row>
    <row r="1209" spans="1:17" ht="15" x14ac:dyDescent="0.25">
      <c r="A1209" s="3">
        <f>1202</f>
        <v>1202</v>
      </c>
      <c r="B1209" s="3" t="s">
        <v>1211</v>
      </c>
      <c r="C1209" s="3" t="s">
        <v>10</v>
      </c>
      <c r="D1209" s="3" t="s">
        <v>9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/>
      <c r="P1209" s="3"/>
      <c r="Q1209" s="3"/>
    </row>
    <row r="1210" spans="1:17" ht="15" x14ac:dyDescent="0.25">
      <c r="A1210" s="3">
        <f>1203</f>
        <v>1203</v>
      </c>
      <c r="B1210" s="3" t="s">
        <v>1212</v>
      </c>
      <c r="C1210" s="3" t="s">
        <v>10</v>
      </c>
      <c r="D1210" s="3" t="s">
        <v>9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/>
      <c r="P1210" s="3"/>
      <c r="Q1210" s="3"/>
    </row>
    <row r="1211" spans="1:17" ht="15" x14ac:dyDescent="0.25">
      <c r="A1211" s="3">
        <f>1204</f>
        <v>1204</v>
      </c>
      <c r="B1211" s="3" t="s">
        <v>1213</v>
      </c>
      <c r="C1211" s="3" t="s">
        <v>10</v>
      </c>
      <c r="D1211" s="3" t="s">
        <v>9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/>
      <c r="P1211" s="3"/>
      <c r="Q1211" s="3"/>
    </row>
    <row r="1212" spans="1:17" ht="15" x14ac:dyDescent="0.25">
      <c r="A1212" s="3">
        <f>1205</f>
        <v>1205</v>
      </c>
      <c r="B1212" s="3" t="s">
        <v>1214</v>
      </c>
      <c r="C1212" s="3" t="s">
        <v>10</v>
      </c>
      <c r="D1212" s="3" t="s">
        <v>9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/>
      <c r="P1212" s="3"/>
      <c r="Q1212" s="3"/>
    </row>
    <row r="1213" spans="1:17" ht="15" x14ac:dyDescent="0.25">
      <c r="A1213" s="3">
        <f>1206</f>
        <v>1206</v>
      </c>
      <c r="B1213" s="3" t="s">
        <v>1215</v>
      </c>
      <c r="C1213" s="3" t="s">
        <v>10</v>
      </c>
      <c r="D1213" s="3" t="s">
        <v>9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/>
      <c r="P1213" s="3"/>
      <c r="Q1213" s="3"/>
    </row>
    <row r="1214" spans="1:17" ht="15" x14ac:dyDescent="0.25">
      <c r="A1214" s="3">
        <f>1207</f>
        <v>1207</v>
      </c>
      <c r="B1214" s="3" t="s">
        <v>1216</v>
      </c>
      <c r="C1214" s="3" t="s">
        <v>10</v>
      </c>
      <c r="D1214" s="3" t="s">
        <v>9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/>
      <c r="P1214" s="3"/>
      <c r="Q1214" s="3"/>
    </row>
    <row r="1215" spans="1:17" ht="15" x14ac:dyDescent="0.25">
      <c r="A1215" s="3">
        <f>1208</f>
        <v>1208</v>
      </c>
      <c r="B1215" s="3" t="s">
        <v>1217</v>
      </c>
      <c r="C1215" s="3" t="s">
        <v>10</v>
      </c>
      <c r="D1215" s="3" t="s">
        <v>9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/>
      <c r="P1215" s="3"/>
      <c r="Q1215" s="3"/>
    </row>
    <row r="1216" spans="1:17" ht="15" x14ac:dyDescent="0.25">
      <c r="A1216" s="3">
        <f>1209</f>
        <v>1209</v>
      </c>
      <c r="B1216" s="3" t="s">
        <v>1218</v>
      </c>
      <c r="C1216" s="3" t="s">
        <v>10</v>
      </c>
      <c r="D1216" s="3" t="s">
        <v>9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/>
      <c r="P1216" s="3"/>
      <c r="Q1216" s="3"/>
    </row>
    <row r="1217" spans="1:17" ht="15" x14ac:dyDescent="0.25">
      <c r="A1217" s="3">
        <f>1210</f>
        <v>1210</v>
      </c>
      <c r="B1217" s="3" t="s">
        <v>1219</v>
      </c>
      <c r="C1217" s="3" t="s">
        <v>10</v>
      </c>
      <c r="D1217" s="3" t="s">
        <v>9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/>
      <c r="P1217" s="3"/>
      <c r="Q1217" s="3"/>
    </row>
    <row r="1218" spans="1:17" ht="15" x14ac:dyDescent="0.25">
      <c r="A1218" s="3">
        <f>1211</f>
        <v>1211</v>
      </c>
      <c r="B1218" s="3" t="s">
        <v>1220</v>
      </c>
      <c r="C1218" s="3" t="s">
        <v>10</v>
      </c>
      <c r="D1218" s="3" t="s">
        <v>9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/>
      <c r="P1218" s="3"/>
      <c r="Q1218" s="3"/>
    </row>
    <row r="1219" spans="1:17" ht="15" x14ac:dyDescent="0.25">
      <c r="A1219" s="3">
        <f>1212</f>
        <v>1212</v>
      </c>
      <c r="B1219" s="3" t="s">
        <v>1221</v>
      </c>
      <c r="C1219" s="3" t="s">
        <v>10</v>
      </c>
      <c r="D1219" s="3" t="s">
        <v>9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/>
      <c r="P1219" s="3"/>
      <c r="Q1219" s="3"/>
    </row>
    <row r="1220" spans="1:17" ht="15" x14ac:dyDescent="0.25">
      <c r="A1220" s="3">
        <f>1213</f>
        <v>1213</v>
      </c>
      <c r="B1220" s="3" t="s">
        <v>1222</v>
      </c>
      <c r="C1220" s="3" t="s">
        <v>10</v>
      </c>
      <c r="D1220" s="3" t="s">
        <v>9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/>
      <c r="P1220" s="3"/>
      <c r="Q1220" s="3"/>
    </row>
    <row r="1221" spans="1:17" ht="15" x14ac:dyDescent="0.25">
      <c r="A1221" s="3">
        <f>1214</f>
        <v>1214</v>
      </c>
      <c r="B1221" s="3" t="s">
        <v>1223</v>
      </c>
      <c r="C1221" s="3" t="s">
        <v>10</v>
      </c>
      <c r="D1221" s="3" t="s">
        <v>9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/>
      <c r="P1221" s="3"/>
      <c r="Q1221" s="3"/>
    </row>
    <row r="1222" spans="1:17" ht="15" x14ac:dyDescent="0.25">
      <c r="A1222" s="3">
        <f>1215</f>
        <v>1215</v>
      </c>
      <c r="B1222" s="3" t="s">
        <v>1224</v>
      </c>
      <c r="C1222" s="3" t="s">
        <v>10</v>
      </c>
      <c r="D1222" s="3" t="s">
        <v>9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/>
      <c r="P1222" s="3"/>
      <c r="Q1222" s="3"/>
    </row>
    <row r="1223" spans="1:17" ht="15" x14ac:dyDescent="0.25">
      <c r="A1223" s="3">
        <f>1216</f>
        <v>1216</v>
      </c>
      <c r="B1223" s="3" t="s">
        <v>1225</v>
      </c>
      <c r="C1223" s="3" t="s">
        <v>10</v>
      </c>
      <c r="D1223" s="3" t="s">
        <v>9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/>
      <c r="P1223" s="3"/>
      <c r="Q1223" s="3"/>
    </row>
    <row r="1224" spans="1:17" ht="15" x14ac:dyDescent="0.25">
      <c r="A1224" s="3">
        <f>1217</f>
        <v>1217</v>
      </c>
      <c r="B1224" s="3" t="s">
        <v>1226</v>
      </c>
      <c r="C1224" s="3" t="s">
        <v>10</v>
      </c>
      <c r="D1224" s="3" t="s">
        <v>9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/>
      <c r="P1224" s="3"/>
      <c r="Q1224" s="3"/>
    </row>
    <row r="1225" spans="1:17" ht="15" x14ac:dyDescent="0.25">
      <c r="A1225" s="3">
        <f>1218</f>
        <v>1218</v>
      </c>
      <c r="B1225" s="3" t="s">
        <v>1227</v>
      </c>
      <c r="C1225" s="3" t="s">
        <v>10</v>
      </c>
      <c r="D1225" s="3" t="s">
        <v>9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/>
      <c r="P1225" s="3"/>
      <c r="Q1225" s="3"/>
    </row>
    <row r="1226" spans="1:17" ht="15" x14ac:dyDescent="0.25">
      <c r="A1226" s="3">
        <f>1219</f>
        <v>1219</v>
      </c>
      <c r="B1226" s="3" t="s">
        <v>1228</v>
      </c>
      <c r="C1226" s="3" t="s">
        <v>10</v>
      </c>
      <c r="D1226" s="3" t="s">
        <v>9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/>
      <c r="P1226" s="3"/>
      <c r="Q1226" s="3"/>
    </row>
    <row r="1227" spans="1:17" ht="15" x14ac:dyDescent="0.25">
      <c r="A1227" s="3">
        <f>1220</f>
        <v>1220</v>
      </c>
      <c r="B1227" s="3" t="s">
        <v>1229</v>
      </c>
      <c r="C1227" s="3" t="s">
        <v>10</v>
      </c>
      <c r="D1227" s="3" t="s">
        <v>9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/>
      <c r="P1227" s="3"/>
      <c r="Q1227" s="3"/>
    </row>
    <row r="1228" spans="1:17" ht="15" x14ac:dyDescent="0.25">
      <c r="A1228" s="3">
        <f>1221</f>
        <v>1221</v>
      </c>
      <c r="B1228" s="3" t="s">
        <v>1230</v>
      </c>
      <c r="C1228" s="3" t="s">
        <v>10</v>
      </c>
      <c r="D1228" s="3" t="s">
        <v>9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/>
      <c r="P1228" s="3"/>
      <c r="Q1228" s="3"/>
    </row>
    <row r="1229" spans="1:17" ht="15" x14ac:dyDescent="0.25">
      <c r="A1229" s="3">
        <f>1222</f>
        <v>1222</v>
      </c>
      <c r="B1229" s="3" t="s">
        <v>1231</v>
      </c>
      <c r="C1229" s="3" t="s">
        <v>10</v>
      </c>
      <c r="D1229" s="3" t="s">
        <v>9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/>
      <c r="P1229" s="3"/>
      <c r="Q1229" s="3"/>
    </row>
    <row r="1230" spans="1:17" ht="15" x14ac:dyDescent="0.25">
      <c r="A1230" s="3">
        <f>1223</f>
        <v>1223</v>
      </c>
      <c r="B1230" s="3" t="s">
        <v>1232</v>
      </c>
      <c r="C1230" s="3" t="s">
        <v>10</v>
      </c>
      <c r="D1230" s="3" t="s">
        <v>9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/>
      <c r="P1230" s="3"/>
      <c r="Q1230" s="3"/>
    </row>
    <row r="1231" spans="1:17" ht="15" x14ac:dyDescent="0.25">
      <c r="A1231" s="3">
        <f>1224</f>
        <v>1224</v>
      </c>
      <c r="B1231" s="3" t="s">
        <v>1233</v>
      </c>
      <c r="C1231" s="3" t="s">
        <v>10</v>
      </c>
      <c r="D1231" s="3" t="s">
        <v>9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/>
      <c r="P1231" s="3"/>
      <c r="Q1231" s="3"/>
    </row>
    <row r="1232" spans="1:17" ht="15" x14ac:dyDescent="0.25">
      <c r="A1232" s="3">
        <f>1225</f>
        <v>1225</v>
      </c>
      <c r="B1232" s="3" t="s">
        <v>1234</v>
      </c>
      <c r="C1232" s="3" t="s">
        <v>10</v>
      </c>
      <c r="D1232" s="3" t="s">
        <v>9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/>
      <c r="P1232" s="3"/>
      <c r="Q1232" s="3"/>
    </row>
    <row r="1233" spans="1:17" ht="15" x14ac:dyDescent="0.25">
      <c r="A1233" s="3">
        <f>1226</f>
        <v>1226</v>
      </c>
      <c r="B1233" s="3" t="s">
        <v>1235</v>
      </c>
      <c r="C1233" s="3" t="s">
        <v>10</v>
      </c>
      <c r="D1233" s="3" t="s">
        <v>9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/>
      <c r="P1233" s="3"/>
      <c r="Q1233" s="3"/>
    </row>
    <row r="1234" spans="1:17" ht="15" x14ac:dyDescent="0.25">
      <c r="A1234" s="3">
        <f>1227</f>
        <v>1227</v>
      </c>
      <c r="B1234" s="3" t="s">
        <v>1236</v>
      </c>
      <c r="C1234" s="3" t="s">
        <v>10</v>
      </c>
      <c r="D1234" s="3" t="s">
        <v>9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/>
      <c r="P1234" s="3"/>
      <c r="Q1234" s="3"/>
    </row>
    <row r="1235" spans="1:17" ht="15" x14ac:dyDescent="0.25">
      <c r="A1235" s="3">
        <f>1228</f>
        <v>1228</v>
      </c>
      <c r="B1235" s="3" t="s">
        <v>1237</v>
      </c>
      <c r="C1235" s="3" t="s">
        <v>10</v>
      </c>
      <c r="D1235" s="3" t="s">
        <v>9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/>
      <c r="P1235" s="3"/>
      <c r="Q1235" s="3"/>
    </row>
    <row r="1236" spans="1:17" ht="15" x14ac:dyDescent="0.25">
      <c r="A1236" s="3">
        <f>1229</f>
        <v>1229</v>
      </c>
      <c r="B1236" s="3" t="s">
        <v>1238</v>
      </c>
      <c r="C1236" s="3" t="s">
        <v>10</v>
      </c>
      <c r="D1236" s="3" t="s">
        <v>9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/>
      <c r="P1236" s="3"/>
      <c r="Q1236" s="3"/>
    </row>
    <row r="1237" spans="1:17" ht="15" x14ac:dyDescent="0.25">
      <c r="A1237" s="3">
        <f>1230</f>
        <v>1230</v>
      </c>
      <c r="B1237" s="3" t="s">
        <v>1239</v>
      </c>
      <c r="C1237" s="3" t="s">
        <v>10</v>
      </c>
      <c r="D1237" s="3" t="s">
        <v>9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/>
      <c r="P1237" s="3"/>
      <c r="Q1237" s="3"/>
    </row>
    <row r="1238" spans="1:17" ht="15" x14ac:dyDescent="0.25">
      <c r="A1238" s="3">
        <f>1231</f>
        <v>1231</v>
      </c>
      <c r="B1238" s="3" t="s">
        <v>1240</v>
      </c>
      <c r="C1238" s="3" t="s">
        <v>10</v>
      </c>
      <c r="D1238" s="3" t="s">
        <v>9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/>
      <c r="P1238" s="3"/>
      <c r="Q1238" s="3"/>
    </row>
    <row r="1239" spans="1:17" ht="15" x14ac:dyDescent="0.25">
      <c r="A1239" s="3">
        <f>1232</f>
        <v>1232</v>
      </c>
      <c r="B1239" s="3" t="s">
        <v>1241</v>
      </c>
      <c r="C1239" s="3" t="s">
        <v>10</v>
      </c>
      <c r="D1239" s="3" t="s">
        <v>9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/>
      <c r="P1239" s="3"/>
      <c r="Q1239" s="3"/>
    </row>
    <row r="1240" spans="1:17" ht="15" x14ac:dyDescent="0.25">
      <c r="A1240" s="3">
        <f>1233</f>
        <v>1233</v>
      </c>
      <c r="B1240" s="3" t="s">
        <v>1242</v>
      </c>
      <c r="C1240" s="3" t="s">
        <v>10</v>
      </c>
      <c r="D1240" s="3" t="s">
        <v>9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/>
      <c r="P1240" s="3"/>
      <c r="Q1240" s="3"/>
    </row>
    <row r="1241" spans="1:17" ht="15" x14ac:dyDescent="0.25">
      <c r="A1241" s="3">
        <f>1234</f>
        <v>1234</v>
      </c>
      <c r="B1241" s="3" t="s">
        <v>1243</v>
      </c>
      <c r="C1241" s="3" t="s">
        <v>10</v>
      </c>
      <c r="D1241" s="3" t="s">
        <v>9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/>
      <c r="P1241" s="3"/>
      <c r="Q1241" s="3"/>
    </row>
    <row r="1242" spans="1:17" ht="15" x14ac:dyDescent="0.25">
      <c r="A1242" s="3">
        <f>1235</f>
        <v>1235</v>
      </c>
      <c r="B1242" s="3" t="s">
        <v>1244</v>
      </c>
      <c r="C1242" s="3" t="s">
        <v>10</v>
      </c>
      <c r="D1242" s="3" t="s">
        <v>9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/>
      <c r="P1242" s="3"/>
      <c r="Q1242" s="3"/>
    </row>
    <row r="1243" spans="1:17" ht="15" x14ac:dyDescent="0.25">
      <c r="A1243" s="3">
        <f>1236</f>
        <v>1236</v>
      </c>
      <c r="B1243" s="3" t="s">
        <v>1245</v>
      </c>
      <c r="C1243" s="3" t="s">
        <v>10</v>
      </c>
      <c r="D1243" s="3" t="s">
        <v>9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/>
      <c r="P1243" s="3"/>
      <c r="Q1243" s="3"/>
    </row>
    <row r="1244" spans="1:17" ht="15" x14ac:dyDescent="0.25">
      <c r="A1244" s="3">
        <f>1237</f>
        <v>1237</v>
      </c>
      <c r="B1244" s="3" t="s">
        <v>1246</v>
      </c>
      <c r="C1244" s="3" t="s">
        <v>10</v>
      </c>
      <c r="D1244" s="3" t="s">
        <v>9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/>
      <c r="P1244" s="3"/>
      <c r="Q1244" s="3"/>
    </row>
    <row r="1245" spans="1:17" ht="15" x14ac:dyDescent="0.25">
      <c r="A1245" s="3">
        <f>1238</f>
        <v>1238</v>
      </c>
      <c r="B1245" s="3" t="s">
        <v>1247</v>
      </c>
      <c r="C1245" s="3" t="s">
        <v>10</v>
      </c>
      <c r="D1245" s="3" t="s">
        <v>9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/>
      <c r="P1245" s="3"/>
      <c r="Q1245" s="3"/>
    </row>
    <row r="1246" spans="1:17" ht="15" x14ac:dyDescent="0.25">
      <c r="A1246" s="3">
        <f>1239</f>
        <v>1239</v>
      </c>
      <c r="B1246" s="3" t="s">
        <v>1248</v>
      </c>
      <c r="C1246" s="3" t="s">
        <v>10</v>
      </c>
      <c r="D1246" s="3" t="s">
        <v>9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/>
      <c r="P1246" s="3"/>
      <c r="Q1246" s="3"/>
    </row>
    <row r="1247" spans="1:17" ht="15" x14ac:dyDescent="0.25">
      <c r="A1247" s="3">
        <f>1240</f>
        <v>1240</v>
      </c>
      <c r="B1247" s="3" t="s">
        <v>1249</v>
      </c>
      <c r="C1247" s="3" t="s">
        <v>10</v>
      </c>
      <c r="D1247" s="3" t="s">
        <v>9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/>
      <c r="P1247" s="3"/>
      <c r="Q1247" s="3"/>
    </row>
    <row r="1248" spans="1:17" ht="15" x14ac:dyDescent="0.25">
      <c r="A1248" s="3">
        <f>1241</f>
        <v>1241</v>
      </c>
      <c r="B1248" s="3" t="s">
        <v>1250</v>
      </c>
      <c r="C1248" s="3" t="s">
        <v>10</v>
      </c>
      <c r="D1248" s="3" t="s">
        <v>9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/>
      <c r="P1248" s="3"/>
      <c r="Q1248" s="3"/>
    </row>
    <row r="1249" spans="1:17" ht="15" x14ac:dyDescent="0.25">
      <c r="A1249" s="3">
        <f>1242</f>
        <v>1242</v>
      </c>
      <c r="B1249" s="3" t="s">
        <v>1251</v>
      </c>
      <c r="C1249" s="3" t="s">
        <v>10</v>
      </c>
      <c r="D1249" s="3" t="s">
        <v>9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/>
      <c r="P1249" s="3"/>
      <c r="Q1249" s="3"/>
    </row>
    <row r="1250" spans="1:17" ht="15" x14ac:dyDescent="0.25">
      <c r="A1250" s="3">
        <f>1243</f>
        <v>1243</v>
      </c>
      <c r="B1250" s="3" t="s">
        <v>1252</v>
      </c>
      <c r="C1250" s="3" t="s">
        <v>10</v>
      </c>
      <c r="D1250" s="3" t="s">
        <v>9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/>
      <c r="P1250" s="3"/>
      <c r="Q1250" s="3"/>
    </row>
    <row r="1251" spans="1:17" ht="15" x14ac:dyDescent="0.25">
      <c r="A1251" s="3">
        <f>1244</f>
        <v>1244</v>
      </c>
      <c r="B1251" s="3" t="s">
        <v>1253</v>
      </c>
      <c r="C1251" s="3" t="s">
        <v>10</v>
      </c>
      <c r="D1251" s="3" t="s">
        <v>9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/>
      <c r="P1251" s="3"/>
      <c r="Q1251" s="3"/>
    </row>
    <row r="1252" spans="1:17" ht="15" x14ac:dyDescent="0.25">
      <c r="A1252" s="3">
        <f>1245</f>
        <v>1245</v>
      </c>
      <c r="B1252" s="3" t="s">
        <v>1254</v>
      </c>
      <c r="C1252" s="3" t="s">
        <v>10</v>
      </c>
      <c r="D1252" s="3" t="s">
        <v>9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/>
      <c r="P1252" s="3"/>
      <c r="Q1252" s="3"/>
    </row>
    <row r="1253" spans="1:17" ht="15" x14ac:dyDescent="0.25">
      <c r="A1253" s="3">
        <f>1246</f>
        <v>1246</v>
      </c>
      <c r="B1253" s="3" t="s">
        <v>1255</v>
      </c>
      <c r="C1253" s="3" t="s">
        <v>10</v>
      </c>
      <c r="D1253" s="3" t="s">
        <v>9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/>
      <c r="P1253" s="3"/>
      <c r="Q1253" s="3"/>
    </row>
    <row r="1254" spans="1:17" ht="15" x14ac:dyDescent="0.25">
      <c r="A1254" s="3">
        <f>1247</f>
        <v>1247</v>
      </c>
      <c r="B1254" s="3" t="s">
        <v>1256</v>
      </c>
      <c r="C1254" s="3" t="s">
        <v>10</v>
      </c>
      <c r="D1254" s="3" t="s">
        <v>9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/>
      <c r="P1254" s="3"/>
      <c r="Q1254" s="3"/>
    </row>
    <row r="1255" spans="1:17" ht="15" x14ac:dyDescent="0.25">
      <c r="A1255" s="3">
        <f>1248</f>
        <v>1248</v>
      </c>
      <c r="B1255" s="3" t="s">
        <v>1257</v>
      </c>
      <c r="C1255" s="3" t="s">
        <v>10</v>
      </c>
      <c r="D1255" s="3" t="s">
        <v>9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/>
      <c r="P1255" s="3"/>
      <c r="Q1255" s="3"/>
    </row>
    <row r="1256" spans="1:17" ht="15" x14ac:dyDescent="0.25">
      <c r="A1256" s="3">
        <f>1249</f>
        <v>1249</v>
      </c>
      <c r="B1256" s="3" t="s">
        <v>1258</v>
      </c>
      <c r="C1256" s="3" t="s">
        <v>10</v>
      </c>
      <c r="D1256" s="3" t="s">
        <v>9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/>
      <c r="P1256" s="3"/>
      <c r="Q1256" s="3"/>
    </row>
    <row r="1257" spans="1:17" ht="15" x14ac:dyDescent="0.25">
      <c r="A1257" s="3">
        <f>1250</f>
        <v>1250</v>
      </c>
      <c r="B1257" s="3" t="s">
        <v>1259</v>
      </c>
      <c r="C1257" s="3" t="s">
        <v>10</v>
      </c>
      <c r="D1257" s="3" t="s">
        <v>9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/>
      <c r="P1257" s="3"/>
      <c r="Q1257" s="3"/>
    </row>
    <row r="1258" spans="1:17" ht="15" x14ac:dyDescent="0.25">
      <c r="A1258" s="3">
        <f>1251</f>
        <v>1251</v>
      </c>
      <c r="B1258" s="3" t="s">
        <v>1260</v>
      </c>
      <c r="C1258" s="3" t="s">
        <v>10</v>
      </c>
      <c r="D1258" s="3" t="s">
        <v>9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/>
      <c r="P1258" s="3"/>
      <c r="Q1258" s="3"/>
    </row>
    <row r="1259" spans="1:17" ht="15" x14ac:dyDescent="0.25">
      <c r="A1259" s="3">
        <f>1252</f>
        <v>1252</v>
      </c>
      <c r="B1259" s="3" t="s">
        <v>1261</v>
      </c>
      <c r="C1259" s="3" t="s">
        <v>10</v>
      </c>
      <c r="D1259" s="3" t="s">
        <v>9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/>
      <c r="P1259" s="3"/>
      <c r="Q1259" s="3"/>
    </row>
    <row r="1260" spans="1:17" ht="15" x14ac:dyDescent="0.25">
      <c r="A1260" s="3">
        <f>1253</f>
        <v>1253</v>
      </c>
      <c r="B1260" s="3" t="s">
        <v>1262</v>
      </c>
      <c r="C1260" s="3" t="s">
        <v>10</v>
      </c>
      <c r="D1260" s="3" t="s">
        <v>9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/>
      <c r="P1260" s="3"/>
      <c r="Q1260" s="3"/>
    </row>
    <row r="1261" spans="1:17" ht="15" x14ac:dyDescent="0.25">
      <c r="A1261" s="3">
        <f>1254</f>
        <v>1254</v>
      </c>
      <c r="B1261" s="3" t="s">
        <v>1263</v>
      </c>
      <c r="C1261" s="3" t="s">
        <v>10</v>
      </c>
      <c r="D1261" s="3" t="s">
        <v>9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/>
      <c r="P1261" s="3"/>
      <c r="Q1261" s="3"/>
    </row>
    <row r="1262" spans="1:17" ht="15" x14ac:dyDescent="0.25">
      <c r="A1262" s="3">
        <f>1255</f>
        <v>1255</v>
      </c>
      <c r="B1262" s="3" t="s">
        <v>1264</v>
      </c>
      <c r="C1262" s="3" t="s">
        <v>10</v>
      </c>
      <c r="D1262" s="3" t="s">
        <v>9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/>
      <c r="P1262" s="3"/>
      <c r="Q1262" s="3"/>
    </row>
    <row r="1263" spans="1:17" ht="15" x14ac:dyDescent="0.25">
      <c r="A1263" s="3">
        <f>1256</f>
        <v>1256</v>
      </c>
      <c r="B1263" s="3" t="s">
        <v>1265</v>
      </c>
      <c r="C1263" s="3" t="s">
        <v>10</v>
      </c>
      <c r="D1263" s="3" t="s">
        <v>9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/>
      <c r="P1263" s="3"/>
      <c r="Q1263" s="3"/>
    </row>
    <row r="1264" spans="1:17" ht="15" x14ac:dyDescent="0.25">
      <c r="A1264" s="3">
        <f>1257</f>
        <v>1257</v>
      </c>
      <c r="B1264" s="3" t="s">
        <v>1266</v>
      </c>
      <c r="C1264" s="3" t="s">
        <v>10</v>
      </c>
      <c r="D1264" s="3" t="s">
        <v>9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/>
      <c r="P1264" s="3"/>
      <c r="Q1264" s="3"/>
    </row>
    <row r="1265" spans="1:17" ht="15" x14ac:dyDescent="0.25">
      <c r="A1265" s="3">
        <f>1258</f>
        <v>1258</v>
      </c>
      <c r="B1265" s="3" t="s">
        <v>1267</v>
      </c>
      <c r="C1265" s="3" t="s">
        <v>10</v>
      </c>
      <c r="D1265" s="3" t="s">
        <v>9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/>
      <c r="P1265" s="3"/>
      <c r="Q1265" s="3"/>
    </row>
    <row r="1266" spans="1:17" ht="15" x14ac:dyDescent="0.25">
      <c r="A1266" s="3">
        <f>1259</f>
        <v>1259</v>
      </c>
      <c r="B1266" s="3" t="s">
        <v>1268</v>
      </c>
      <c r="C1266" s="3" t="s">
        <v>10</v>
      </c>
      <c r="D1266" s="3" t="s">
        <v>9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/>
      <c r="P1266" s="3"/>
      <c r="Q1266" s="3"/>
    </row>
    <row r="1267" spans="1:17" ht="15" x14ac:dyDescent="0.25">
      <c r="A1267" s="3">
        <f>1260</f>
        <v>1260</v>
      </c>
      <c r="B1267" s="3" t="s">
        <v>1269</v>
      </c>
      <c r="C1267" s="3" t="s">
        <v>10</v>
      </c>
      <c r="D1267" s="3" t="s">
        <v>9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/>
      <c r="P1267" s="3"/>
      <c r="Q1267" s="3"/>
    </row>
    <row r="1268" spans="1:17" ht="15" x14ac:dyDescent="0.25">
      <c r="A1268" s="3">
        <f>1261</f>
        <v>1261</v>
      </c>
      <c r="B1268" s="3" t="s">
        <v>1270</v>
      </c>
      <c r="C1268" s="3" t="s">
        <v>10</v>
      </c>
      <c r="D1268" s="3" t="s">
        <v>9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/>
      <c r="P1268" s="3"/>
      <c r="Q1268" s="3"/>
    </row>
    <row r="1269" spans="1:17" ht="15" x14ac:dyDescent="0.25">
      <c r="A1269" s="3">
        <f>1262</f>
        <v>1262</v>
      </c>
      <c r="B1269" s="3" t="s">
        <v>1271</v>
      </c>
      <c r="C1269" s="3" t="s">
        <v>10</v>
      </c>
      <c r="D1269" s="3" t="s">
        <v>9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/>
      <c r="P1269" s="3"/>
      <c r="Q1269" s="3"/>
    </row>
    <row r="1270" spans="1:17" ht="15" x14ac:dyDescent="0.25">
      <c r="A1270" s="3">
        <f>1263</f>
        <v>1263</v>
      </c>
      <c r="B1270" s="3" t="s">
        <v>1272</v>
      </c>
      <c r="C1270" s="3" t="s">
        <v>10</v>
      </c>
      <c r="D1270" s="3" t="s">
        <v>9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/>
      <c r="P1270" s="3"/>
      <c r="Q1270" s="3"/>
    </row>
    <row r="1271" spans="1:17" ht="15" x14ac:dyDescent="0.25">
      <c r="A1271" s="3">
        <f>1264</f>
        <v>1264</v>
      </c>
      <c r="B1271" s="3" t="s">
        <v>1273</v>
      </c>
      <c r="C1271" s="3" t="s">
        <v>10</v>
      </c>
      <c r="D1271" s="3" t="s">
        <v>9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/>
      <c r="P1271" s="3"/>
      <c r="Q1271" s="3"/>
    </row>
    <row r="1272" spans="1:17" ht="15" x14ac:dyDescent="0.25">
      <c r="A1272" s="3">
        <f>1265</f>
        <v>1265</v>
      </c>
      <c r="B1272" s="3" t="s">
        <v>1274</v>
      </c>
      <c r="C1272" s="3" t="s">
        <v>10</v>
      </c>
      <c r="D1272" s="3" t="s">
        <v>9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/>
      <c r="P1272" s="3"/>
      <c r="Q1272" s="3"/>
    </row>
    <row r="1273" spans="1:17" ht="15" x14ac:dyDescent="0.25">
      <c r="A1273" s="3">
        <f>1266</f>
        <v>1266</v>
      </c>
      <c r="B1273" s="3" t="s">
        <v>1275</v>
      </c>
      <c r="C1273" s="3" t="s">
        <v>10</v>
      </c>
      <c r="D1273" s="3" t="s">
        <v>9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/>
      <c r="P1273" s="3"/>
      <c r="Q1273" s="3"/>
    </row>
    <row r="1274" spans="1:17" ht="15" x14ac:dyDescent="0.25">
      <c r="A1274" s="3">
        <f>1267</f>
        <v>1267</v>
      </c>
      <c r="B1274" s="3" t="s">
        <v>1276</v>
      </c>
      <c r="C1274" s="3" t="s">
        <v>10</v>
      </c>
      <c r="D1274" s="3" t="s">
        <v>9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/>
      <c r="P1274" s="3"/>
      <c r="Q1274" s="3"/>
    </row>
    <row r="1275" spans="1:17" ht="15" x14ac:dyDescent="0.25">
      <c r="A1275" s="3">
        <f>1268</f>
        <v>1268</v>
      </c>
      <c r="B1275" s="3" t="s">
        <v>1277</v>
      </c>
      <c r="C1275" s="3" t="s">
        <v>10</v>
      </c>
      <c r="D1275" s="3" t="s">
        <v>9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/>
      <c r="P1275" s="3"/>
      <c r="Q1275" s="3"/>
    </row>
    <row r="1276" spans="1:17" ht="15" x14ac:dyDescent="0.25">
      <c r="A1276" s="3">
        <f>1269</f>
        <v>1269</v>
      </c>
      <c r="B1276" s="3" t="s">
        <v>1278</v>
      </c>
      <c r="C1276" s="3" t="s">
        <v>10</v>
      </c>
      <c r="D1276" s="3" t="s">
        <v>9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/>
      <c r="P1276" s="3"/>
      <c r="Q1276" s="3"/>
    </row>
    <row r="1277" spans="1:17" ht="15" x14ac:dyDescent="0.25">
      <c r="A1277" s="3">
        <f>1270</f>
        <v>1270</v>
      </c>
      <c r="B1277" s="3" t="s">
        <v>1279</v>
      </c>
      <c r="C1277" s="3" t="s">
        <v>10</v>
      </c>
      <c r="D1277" s="3" t="s">
        <v>9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/>
      <c r="P1277" s="3"/>
      <c r="Q1277" s="3"/>
    </row>
    <row r="1278" spans="1:17" ht="15" x14ac:dyDescent="0.25">
      <c r="A1278" s="3">
        <f>1271</f>
        <v>1271</v>
      </c>
      <c r="B1278" s="3" t="s">
        <v>1280</v>
      </c>
      <c r="C1278" s="3" t="s">
        <v>10</v>
      </c>
      <c r="D1278" s="3" t="s">
        <v>9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/>
      <c r="P1278" s="3"/>
      <c r="Q1278" s="3"/>
    </row>
    <row r="1279" spans="1:17" ht="15" x14ac:dyDescent="0.25">
      <c r="A1279" s="3">
        <f>1272</f>
        <v>1272</v>
      </c>
      <c r="B1279" s="3" t="s">
        <v>1281</v>
      </c>
      <c r="C1279" s="3" t="s">
        <v>10</v>
      </c>
      <c r="D1279" s="3" t="s">
        <v>9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/>
      <c r="P1279" s="3"/>
      <c r="Q1279" s="3"/>
    </row>
    <row r="1280" spans="1:17" ht="15" x14ac:dyDescent="0.25">
      <c r="A1280" s="3">
        <f>1273</f>
        <v>1273</v>
      </c>
      <c r="B1280" s="3" t="s">
        <v>1282</v>
      </c>
      <c r="C1280" s="3" t="s">
        <v>10</v>
      </c>
      <c r="D1280" s="3" t="s">
        <v>9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/>
      <c r="P1280" s="3"/>
      <c r="Q1280" s="3"/>
    </row>
    <row r="1281" spans="1:17" ht="15" x14ac:dyDescent="0.25">
      <c r="A1281" s="3">
        <f>1274</f>
        <v>1274</v>
      </c>
      <c r="B1281" s="3" t="s">
        <v>1283</v>
      </c>
      <c r="C1281" s="3" t="s">
        <v>10</v>
      </c>
      <c r="D1281" s="3" t="s">
        <v>9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/>
      <c r="P1281" s="3"/>
      <c r="Q1281" s="3"/>
    </row>
    <row r="1282" spans="1:17" ht="15" x14ac:dyDescent="0.25">
      <c r="A1282" s="3">
        <f>1275</f>
        <v>1275</v>
      </c>
      <c r="B1282" s="3" t="s">
        <v>1284</v>
      </c>
      <c r="C1282" s="3" t="s">
        <v>10</v>
      </c>
      <c r="D1282" s="3" t="s">
        <v>9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/>
      <c r="P1282" s="3"/>
      <c r="Q1282" s="3"/>
    </row>
    <row r="1283" spans="1:17" ht="15" x14ac:dyDescent="0.25">
      <c r="A1283" s="3">
        <f>1276</f>
        <v>1276</v>
      </c>
      <c r="B1283" s="3" t="s">
        <v>1285</v>
      </c>
      <c r="C1283" s="3" t="s">
        <v>10</v>
      </c>
      <c r="D1283" s="3" t="s">
        <v>9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/>
      <c r="P1283" s="3"/>
      <c r="Q1283" s="3"/>
    </row>
    <row r="1284" spans="1:17" ht="15" x14ac:dyDescent="0.25">
      <c r="A1284" s="3">
        <f>1277</f>
        <v>1277</v>
      </c>
      <c r="B1284" s="3" t="s">
        <v>1286</v>
      </c>
      <c r="C1284" s="3" t="s">
        <v>10</v>
      </c>
      <c r="D1284" s="3" t="s">
        <v>9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/>
      <c r="P1284" s="3"/>
      <c r="Q1284" s="3"/>
    </row>
    <row r="1285" spans="1:17" ht="15" x14ac:dyDescent="0.25">
      <c r="A1285" s="3">
        <f>1278</f>
        <v>1278</v>
      </c>
      <c r="B1285" s="3" t="s">
        <v>1287</v>
      </c>
      <c r="C1285" s="3" t="s">
        <v>10</v>
      </c>
      <c r="D1285" s="3" t="s">
        <v>9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/>
      <c r="P1285" s="3"/>
      <c r="Q1285" s="3"/>
    </row>
    <row r="1286" spans="1:17" ht="15" x14ac:dyDescent="0.25">
      <c r="A1286" s="3">
        <f>1279</f>
        <v>1279</v>
      </c>
      <c r="B1286" s="3" t="s">
        <v>1288</v>
      </c>
      <c r="C1286" s="3" t="s">
        <v>10</v>
      </c>
      <c r="D1286" s="3" t="s">
        <v>9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/>
      <c r="P1286" s="3"/>
      <c r="Q1286" s="3"/>
    </row>
    <row r="1287" spans="1:17" ht="15" x14ac:dyDescent="0.25">
      <c r="A1287" s="3">
        <f>1280</f>
        <v>1280</v>
      </c>
      <c r="B1287" s="3" t="s">
        <v>1289</v>
      </c>
      <c r="C1287" s="3" t="s">
        <v>10</v>
      </c>
      <c r="D1287" s="3" t="s">
        <v>9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/>
      <c r="P1287" s="3"/>
      <c r="Q1287" s="3"/>
    </row>
    <row r="1288" spans="1:17" ht="15" x14ac:dyDescent="0.25">
      <c r="A1288" s="3">
        <f>1281</f>
        <v>1281</v>
      </c>
      <c r="B1288" s="3" t="s">
        <v>1290</v>
      </c>
      <c r="C1288" s="3" t="s">
        <v>10</v>
      </c>
      <c r="D1288" s="3" t="s">
        <v>9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/>
      <c r="P1288" s="3"/>
      <c r="Q1288" s="3"/>
    </row>
    <row r="1289" spans="1:17" ht="15" x14ac:dyDescent="0.25">
      <c r="A1289" s="3">
        <f>1282</f>
        <v>1282</v>
      </c>
      <c r="B1289" s="3" t="s">
        <v>1291</v>
      </c>
      <c r="C1289" s="3" t="s">
        <v>10</v>
      </c>
      <c r="D1289" s="3" t="s">
        <v>9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/>
      <c r="P1289" s="3"/>
      <c r="Q1289" s="3"/>
    </row>
    <row r="1290" spans="1:17" ht="15" x14ac:dyDescent="0.25">
      <c r="A1290" s="3">
        <f>1283</f>
        <v>1283</v>
      </c>
      <c r="B1290" s="3" t="s">
        <v>1292</v>
      </c>
      <c r="C1290" s="3" t="s">
        <v>10</v>
      </c>
      <c r="D1290" s="3" t="s">
        <v>9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/>
      <c r="P1290" s="3"/>
      <c r="Q1290" s="3"/>
    </row>
    <row r="1291" spans="1:17" ht="15" x14ac:dyDescent="0.25">
      <c r="A1291" s="3">
        <f>1284</f>
        <v>1284</v>
      </c>
      <c r="B1291" s="3" t="s">
        <v>1293</v>
      </c>
      <c r="C1291" s="3" t="s">
        <v>10</v>
      </c>
      <c r="D1291" s="3" t="s">
        <v>9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/>
      <c r="P1291" s="3"/>
      <c r="Q1291" s="3"/>
    </row>
    <row r="1292" spans="1:17" ht="15" x14ac:dyDescent="0.25">
      <c r="A1292" s="3">
        <f>1285</f>
        <v>1285</v>
      </c>
      <c r="B1292" s="3" t="s">
        <v>1294</v>
      </c>
      <c r="C1292" s="3" t="s">
        <v>10</v>
      </c>
      <c r="D1292" s="3" t="s">
        <v>9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/>
      <c r="P1292" s="3"/>
      <c r="Q1292" s="3"/>
    </row>
    <row r="1293" spans="1:17" ht="15" x14ac:dyDescent="0.25">
      <c r="A1293" s="3">
        <f>1286</f>
        <v>1286</v>
      </c>
      <c r="B1293" s="3" t="s">
        <v>1295</v>
      </c>
      <c r="C1293" s="3" t="s">
        <v>10</v>
      </c>
      <c r="D1293" s="3" t="s">
        <v>9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/>
      <c r="P1293" s="3"/>
      <c r="Q1293" s="3"/>
    </row>
    <row r="1294" spans="1:17" ht="15" x14ac:dyDescent="0.25">
      <c r="A1294" s="3">
        <f>1287</f>
        <v>1287</v>
      </c>
      <c r="B1294" s="3" t="s">
        <v>1296</v>
      </c>
      <c r="C1294" s="3" t="s">
        <v>10</v>
      </c>
      <c r="D1294" s="3" t="s">
        <v>9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/>
      <c r="P1294" s="3"/>
      <c r="Q1294" s="3"/>
    </row>
    <row r="1295" spans="1:17" ht="15" x14ac:dyDescent="0.25">
      <c r="A1295" s="3">
        <f>1288</f>
        <v>1288</v>
      </c>
      <c r="B1295" s="3" t="s">
        <v>1297</v>
      </c>
      <c r="C1295" s="3" t="s">
        <v>10</v>
      </c>
      <c r="D1295" s="3" t="s">
        <v>9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/>
      <c r="P1295" s="3"/>
      <c r="Q1295" s="3"/>
    </row>
    <row r="1296" spans="1:17" ht="15" x14ac:dyDescent="0.25">
      <c r="A1296" s="3">
        <f>1289</f>
        <v>1289</v>
      </c>
      <c r="B1296" s="3" t="s">
        <v>1298</v>
      </c>
      <c r="C1296" s="3" t="s">
        <v>10</v>
      </c>
      <c r="D1296" s="3" t="s">
        <v>9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/>
      <c r="P1296" s="3"/>
      <c r="Q1296" s="3"/>
    </row>
    <row r="1297" spans="1:17" ht="15" x14ac:dyDescent="0.25">
      <c r="A1297" s="3">
        <f>1290</f>
        <v>1290</v>
      </c>
      <c r="B1297" s="3" t="s">
        <v>1299</v>
      </c>
      <c r="C1297" s="3" t="s">
        <v>10</v>
      </c>
      <c r="D1297" s="3" t="s">
        <v>9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/>
      <c r="P1297" s="3"/>
      <c r="Q1297" s="3"/>
    </row>
    <row r="1298" spans="1:17" ht="15" x14ac:dyDescent="0.25">
      <c r="A1298" s="3">
        <f>1291</f>
        <v>1291</v>
      </c>
      <c r="B1298" s="3" t="s">
        <v>1300</v>
      </c>
      <c r="C1298" s="3" t="s">
        <v>10</v>
      </c>
      <c r="D1298" s="3" t="s">
        <v>9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/>
      <c r="P1298" s="3"/>
      <c r="Q1298" s="3"/>
    </row>
    <row r="1299" spans="1:17" ht="15" x14ac:dyDescent="0.25">
      <c r="A1299" s="3">
        <f>1292</f>
        <v>1292</v>
      </c>
      <c r="B1299" s="3" t="s">
        <v>1301</v>
      </c>
      <c r="C1299" s="3" t="s">
        <v>10</v>
      </c>
      <c r="D1299" s="3" t="s">
        <v>9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/>
      <c r="P1299" s="3"/>
      <c r="Q1299" s="3"/>
    </row>
    <row r="1300" spans="1:17" ht="15" x14ac:dyDescent="0.25">
      <c r="A1300" s="3">
        <f>1293</f>
        <v>1293</v>
      </c>
      <c r="B1300" s="3" t="s">
        <v>1302</v>
      </c>
      <c r="C1300" s="3" t="s">
        <v>10</v>
      </c>
      <c r="D1300" s="3" t="s">
        <v>9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/>
      <c r="P1300" s="3"/>
      <c r="Q1300" s="3"/>
    </row>
    <row r="1301" spans="1:17" ht="15" x14ac:dyDescent="0.25">
      <c r="A1301" s="3">
        <f>1294</f>
        <v>1294</v>
      </c>
      <c r="B1301" s="3" t="s">
        <v>1303</v>
      </c>
      <c r="C1301" s="3" t="s">
        <v>10</v>
      </c>
      <c r="D1301" s="3" t="s">
        <v>9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/>
      <c r="P1301" s="3"/>
      <c r="Q1301" s="3"/>
    </row>
    <row r="1302" spans="1:17" ht="15" x14ac:dyDescent="0.25">
      <c r="A1302" s="3">
        <f>1295</f>
        <v>1295</v>
      </c>
      <c r="B1302" s="3" t="s">
        <v>1304</v>
      </c>
      <c r="C1302" s="3" t="s">
        <v>10</v>
      </c>
      <c r="D1302" s="3" t="s">
        <v>9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/>
      <c r="P1302" s="3"/>
      <c r="Q1302" s="3"/>
    </row>
    <row r="1303" spans="1:17" ht="15" x14ac:dyDescent="0.25">
      <c r="A1303" s="3">
        <f>1296</f>
        <v>1296</v>
      </c>
      <c r="B1303" s="3" t="s">
        <v>1305</v>
      </c>
      <c r="C1303" s="3" t="s">
        <v>10</v>
      </c>
      <c r="D1303" s="3" t="s">
        <v>9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/>
      <c r="P1303" s="3"/>
      <c r="Q1303" s="3"/>
    </row>
    <row r="1304" spans="1:17" ht="15" x14ac:dyDescent="0.25">
      <c r="A1304" s="3">
        <f>1297</f>
        <v>1297</v>
      </c>
      <c r="B1304" s="3" t="s">
        <v>1306</v>
      </c>
      <c r="C1304" s="3" t="s">
        <v>10</v>
      </c>
      <c r="D1304" s="3" t="s">
        <v>9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/>
      <c r="P1304" s="3"/>
      <c r="Q1304" s="3"/>
    </row>
    <row r="1305" spans="1:17" ht="15" x14ac:dyDescent="0.25">
      <c r="A1305" s="3">
        <f>1298</f>
        <v>1298</v>
      </c>
      <c r="B1305" s="3" t="s">
        <v>1307</v>
      </c>
      <c r="C1305" s="3" t="s">
        <v>10</v>
      </c>
      <c r="D1305" s="3" t="s">
        <v>9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/>
      <c r="P1305" s="3"/>
      <c r="Q1305" s="3"/>
    </row>
    <row r="1306" spans="1:17" ht="15" x14ac:dyDescent="0.25">
      <c r="A1306" s="3">
        <f>1299</f>
        <v>1299</v>
      </c>
      <c r="B1306" s="3" t="s">
        <v>1308</v>
      </c>
      <c r="C1306" s="3" t="s">
        <v>10</v>
      </c>
      <c r="D1306" s="3" t="s">
        <v>9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/>
      <c r="P1306" s="3"/>
      <c r="Q1306" s="3"/>
    </row>
    <row r="1307" spans="1:17" ht="15" x14ac:dyDescent="0.25">
      <c r="A1307" s="3">
        <f>1300</f>
        <v>1300</v>
      </c>
      <c r="B1307" s="3" t="s">
        <v>1309</v>
      </c>
      <c r="C1307" s="3" t="s">
        <v>10</v>
      </c>
      <c r="D1307" s="3" t="s">
        <v>9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/>
      <c r="P1307" s="3"/>
      <c r="Q1307" s="3"/>
    </row>
    <row r="1308" spans="1:17" ht="15" x14ac:dyDescent="0.25">
      <c r="A1308" s="3">
        <f>1301</f>
        <v>1301</v>
      </c>
      <c r="B1308" s="3" t="s">
        <v>1310</v>
      </c>
      <c r="C1308" s="3" t="s">
        <v>10</v>
      </c>
      <c r="D1308" s="3" t="s">
        <v>9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/>
      <c r="P1308" s="3"/>
      <c r="Q1308" s="3"/>
    </row>
    <row r="1309" spans="1:17" ht="15" x14ac:dyDescent="0.25">
      <c r="A1309" s="3">
        <f>1302</f>
        <v>1302</v>
      </c>
      <c r="B1309" s="3" t="s">
        <v>1311</v>
      </c>
      <c r="C1309" s="3" t="s">
        <v>10</v>
      </c>
      <c r="D1309" s="3" t="s">
        <v>9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/>
      <c r="P1309" s="3"/>
      <c r="Q1309" s="3"/>
    </row>
    <row r="1310" spans="1:17" ht="15" x14ac:dyDescent="0.25">
      <c r="A1310" s="3">
        <f>1303</f>
        <v>1303</v>
      </c>
      <c r="B1310" s="3" t="s">
        <v>1312</v>
      </c>
      <c r="C1310" s="3" t="s">
        <v>10</v>
      </c>
      <c r="D1310" s="3" t="s">
        <v>9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/>
      <c r="P1310" s="3"/>
      <c r="Q1310" s="3"/>
    </row>
    <row r="1311" spans="1:17" ht="15" x14ac:dyDescent="0.25">
      <c r="A1311" s="3">
        <f>1304</f>
        <v>1304</v>
      </c>
      <c r="B1311" s="3" t="s">
        <v>1313</v>
      </c>
      <c r="C1311" s="3" t="s">
        <v>10</v>
      </c>
      <c r="D1311" s="3" t="s">
        <v>9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/>
      <c r="P1311" s="3"/>
      <c r="Q1311" s="3"/>
    </row>
    <row r="1312" spans="1:17" ht="15" x14ac:dyDescent="0.25">
      <c r="A1312" s="3">
        <f>1305</f>
        <v>1305</v>
      </c>
      <c r="B1312" s="3" t="s">
        <v>1314</v>
      </c>
      <c r="C1312" s="3" t="s">
        <v>10</v>
      </c>
      <c r="D1312" s="3" t="s">
        <v>9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/>
      <c r="P1312" s="3"/>
      <c r="Q1312" s="3"/>
    </row>
    <row r="1313" spans="1:17" ht="15" x14ac:dyDescent="0.25">
      <c r="A1313" s="3">
        <f>1306</f>
        <v>1306</v>
      </c>
      <c r="B1313" s="3" t="s">
        <v>1315</v>
      </c>
      <c r="C1313" s="3" t="s">
        <v>10</v>
      </c>
      <c r="D1313" s="3" t="s">
        <v>9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/>
      <c r="P1313" s="3"/>
      <c r="Q1313" s="3"/>
    </row>
    <row r="1314" spans="1:17" ht="15" x14ac:dyDescent="0.25">
      <c r="A1314" s="3">
        <f>1307</f>
        <v>1307</v>
      </c>
      <c r="B1314" s="3" t="s">
        <v>1316</v>
      </c>
      <c r="C1314" s="3" t="s">
        <v>10</v>
      </c>
      <c r="D1314" s="3" t="s">
        <v>9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/>
      <c r="P1314" s="3"/>
      <c r="Q1314" s="3"/>
    </row>
    <row r="1315" spans="1:17" ht="15" x14ac:dyDescent="0.25">
      <c r="A1315" s="3">
        <f>1308</f>
        <v>1308</v>
      </c>
      <c r="B1315" s="3" t="s">
        <v>1317</v>
      </c>
      <c r="C1315" s="3" t="s">
        <v>10</v>
      </c>
      <c r="D1315" s="3" t="s">
        <v>9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/>
      <c r="P1315" s="3"/>
      <c r="Q1315" s="3"/>
    </row>
    <row r="1316" spans="1:17" ht="15" x14ac:dyDescent="0.25">
      <c r="A1316" s="3">
        <f>1309</f>
        <v>1309</v>
      </c>
      <c r="B1316" s="3" t="s">
        <v>1318</v>
      </c>
      <c r="C1316" s="3" t="s">
        <v>10</v>
      </c>
      <c r="D1316" s="3" t="s">
        <v>9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/>
      <c r="P1316" s="3"/>
      <c r="Q1316" s="3"/>
    </row>
    <row r="1317" spans="1:17" ht="15" x14ac:dyDescent="0.25">
      <c r="A1317" s="3">
        <f>1310</f>
        <v>1310</v>
      </c>
      <c r="B1317" s="3" t="s">
        <v>1319</v>
      </c>
      <c r="C1317" s="3" t="s">
        <v>10</v>
      </c>
      <c r="D1317" s="3" t="s">
        <v>9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/>
      <c r="P1317" s="3"/>
      <c r="Q1317" s="3"/>
    </row>
    <row r="1318" spans="1:17" ht="15" x14ac:dyDescent="0.25">
      <c r="A1318" s="3">
        <f>1311</f>
        <v>1311</v>
      </c>
      <c r="B1318" s="3" t="s">
        <v>1320</v>
      </c>
      <c r="C1318" s="3" t="s">
        <v>10</v>
      </c>
      <c r="D1318" s="3" t="s">
        <v>9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/>
      <c r="P1318" s="3"/>
      <c r="Q1318" s="3"/>
    </row>
    <row r="1319" spans="1:17" ht="15" x14ac:dyDescent="0.25">
      <c r="A1319" s="3">
        <f>1312</f>
        <v>1312</v>
      </c>
      <c r="B1319" s="3" t="s">
        <v>1321</v>
      </c>
      <c r="C1319" s="3" t="s">
        <v>10</v>
      </c>
      <c r="D1319" s="3" t="s">
        <v>9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/>
      <c r="P1319" s="3"/>
      <c r="Q1319" s="3"/>
    </row>
    <row r="1320" spans="1:17" ht="15" x14ac:dyDescent="0.25">
      <c r="A1320" s="3">
        <f>1313</f>
        <v>1313</v>
      </c>
      <c r="B1320" s="3" t="s">
        <v>1322</v>
      </c>
      <c r="C1320" s="3" t="s">
        <v>10</v>
      </c>
      <c r="D1320" s="3" t="s">
        <v>9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/>
      <c r="P1320" s="3"/>
      <c r="Q1320" s="3"/>
    </row>
    <row r="1321" spans="1:17" ht="15" x14ac:dyDescent="0.25">
      <c r="A1321" s="3">
        <f>1314</f>
        <v>1314</v>
      </c>
      <c r="B1321" s="3" t="s">
        <v>1323</v>
      </c>
      <c r="C1321" s="3" t="s">
        <v>10</v>
      </c>
      <c r="D1321" s="3" t="s">
        <v>9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/>
      <c r="P1321" s="3"/>
      <c r="Q1321" s="3"/>
    </row>
    <row r="1322" spans="1:17" ht="15" x14ac:dyDescent="0.25">
      <c r="A1322" s="3">
        <f>1315</f>
        <v>1315</v>
      </c>
      <c r="B1322" s="3" t="s">
        <v>1324</v>
      </c>
      <c r="C1322" s="3" t="s">
        <v>10</v>
      </c>
      <c r="D1322" s="3" t="s">
        <v>9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/>
      <c r="P1322" s="3"/>
      <c r="Q1322" s="3"/>
    </row>
    <row r="1323" spans="1:17" ht="15" x14ac:dyDescent="0.25">
      <c r="A1323" s="3">
        <f>1316</f>
        <v>1316</v>
      </c>
      <c r="B1323" s="3" t="s">
        <v>1325</v>
      </c>
      <c r="C1323" s="3" t="s">
        <v>10</v>
      </c>
      <c r="D1323" s="3" t="s">
        <v>9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/>
      <c r="P1323" s="3"/>
      <c r="Q1323" s="3"/>
    </row>
    <row r="1324" spans="1:17" ht="15" x14ac:dyDescent="0.25">
      <c r="A1324" s="3">
        <f>1317</f>
        <v>1317</v>
      </c>
      <c r="B1324" s="3" t="s">
        <v>1326</v>
      </c>
      <c r="C1324" s="3" t="s">
        <v>10</v>
      </c>
      <c r="D1324" s="3" t="s">
        <v>9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/>
      <c r="P1324" s="3"/>
      <c r="Q1324" s="3"/>
    </row>
    <row r="1325" spans="1:17" ht="15" x14ac:dyDescent="0.25">
      <c r="A1325" s="3">
        <f>1318</f>
        <v>1318</v>
      </c>
      <c r="B1325" s="3" t="s">
        <v>1327</v>
      </c>
      <c r="C1325" s="3" t="s">
        <v>10</v>
      </c>
      <c r="D1325" s="3" t="s">
        <v>9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/>
      <c r="P1325" s="3"/>
      <c r="Q1325" s="3"/>
    </row>
    <row r="1326" spans="1:17" ht="15" x14ac:dyDescent="0.25">
      <c r="A1326" s="3">
        <f>1319</f>
        <v>1319</v>
      </c>
      <c r="B1326" s="3" t="s">
        <v>1328</v>
      </c>
      <c r="C1326" s="3" t="s">
        <v>10</v>
      </c>
      <c r="D1326" s="3" t="s">
        <v>9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/>
      <c r="P1326" s="3"/>
      <c r="Q1326" s="3"/>
    </row>
    <row r="1327" spans="1:17" ht="15" x14ac:dyDescent="0.25">
      <c r="A1327" s="3">
        <f>1320</f>
        <v>1320</v>
      </c>
      <c r="B1327" s="3" t="s">
        <v>1329</v>
      </c>
      <c r="C1327" s="3" t="s">
        <v>10</v>
      </c>
      <c r="D1327" s="3" t="s">
        <v>9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/>
      <c r="P1327" s="3"/>
      <c r="Q1327" s="3"/>
    </row>
    <row r="1328" spans="1:17" ht="15" x14ac:dyDescent="0.25">
      <c r="A1328" s="3">
        <f>1321</f>
        <v>1321</v>
      </c>
      <c r="B1328" s="3" t="s">
        <v>1330</v>
      </c>
      <c r="C1328" s="3" t="s">
        <v>10</v>
      </c>
      <c r="D1328" s="3" t="s">
        <v>9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/>
      <c r="P1328" s="3"/>
      <c r="Q1328" s="3"/>
    </row>
    <row r="1329" spans="1:17" ht="15" x14ac:dyDescent="0.25">
      <c r="A1329" s="3">
        <f>1322</f>
        <v>1322</v>
      </c>
      <c r="B1329" s="3" t="s">
        <v>1331</v>
      </c>
      <c r="C1329" s="3" t="s">
        <v>10</v>
      </c>
      <c r="D1329" s="3" t="s">
        <v>9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/>
      <c r="P1329" s="3"/>
      <c r="Q1329" s="3"/>
    </row>
    <row r="1330" spans="1:17" ht="15" x14ac:dyDescent="0.25">
      <c r="A1330" s="3">
        <f>1323</f>
        <v>1323</v>
      </c>
      <c r="B1330" s="3" t="s">
        <v>1332</v>
      </c>
      <c r="C1330" s="3" t="s">
        <v>10</v>
      </c>
      <c r="D1330" s="3" t="s">
        <v>9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/>
      <c r="P1330" s="3"/>
      <c r="Q1330" s="3"/>
    </row>
    <row r="1331" spans="1:17" ht="15" x14ac:dyDescent="0.25">
      <c r="A1331" s="3">
        <f>1324</f>
        <v>1324</v>
      </c>
      <c r="B1331" s="3" t="s">
        <v>1333</v>
      </c>
      <c r="C1331" s="3" t="s">
        <v>10</v>
      </c>
      <c r="D1331" s="3" t="s">
        <v>9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/>
      <c r="P1331" s="3"/>
      <c r="Q1331" s="3"/>
    </row>
    <row r="1332" spans="1:17" ht="15" x14ac:dyDescent="0.25">
      <c r="A1332" s="3">
        <f>1325</f>
        <v>1325</v>
      </c>
      <c r="B1332" s="3" t="s">
        <v>1334</v>
      </c>
      <c r="C1332" s="3" t="s">
        <v>10</v>
      </c>
      <c r="D1332" s="3" t="s">
        <v>9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/>
      <c r="P1332" s="3"/>
      <c r="Q1332" s="3"/>
    </row>
    <row r="1333" spans="1:17" ht="15" x14ac:dyDescent="0.25">
      <c r="A1333" s="3">
        <f>1326</f>
        <v>1326</v>
      </c>
      <c r="B1333" s="3" t="s">
        <v>1335</v>
      </c>
      <c r="C1333" s="3" t="s">
        <v>10</v>
      </c>
      <c r="D1333" s="3" t="s">
        <v>9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/>
      <c r="P1333" s="3"/>
      <c r="Q1333" s="3"/>
    </row>
    <row r="1334" spans="1:17" ht="15" x14ac:dyDescent="0.25">
      <c r="A1334" s="3">
        <f>1327</f>
        <v>1327</v>
      </c>
      <c r="B1334" s="3" t="s">
        <v>1336</v>
      </c>
      <c r="C1334" s="3" t="s">
        <v>10</v>
      </c>
      <c r="D1334" s="3" t="s">
        <v>9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/>
      <c r="P1334" s="3"/>
      <c r="Q1334" s="3"/>
    </row>
    <row r="1335" spans="1:17" ht="15" x14ac:dyDescent="0.25">
      <c r="A1335" s="3">
        <f>1328</f>
        <v>1328</v>
      </c>
      <c r="B1335" s="3" t="s">
        <v>1337</v>
      </c>
      <c r="C1335" s="3" t="s">
        <v>10</v>
      </c>
      <c r="D1335" s="3" t="s">
        <v>9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/>
      <c r="P1335" s="3"/>
      <c r="Q1335" s="3"/>
    </row>
    <row r="1336" spans="1:17" ht="15" x14ac:dyDescent="0.25">
      <c r="A1336" s="3">
        <f>1329</f>
        <v>1329</v>
      </c>
      <c r="B1336" s="3" t="s">
        <v>1338</v>
      </c>
      <c r="C1336" s="3" t="s">
        <v>10</v>
      </c>
      <c r="D1336" s="3" t="s">
        <v>9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/>
      <c r="P1336" s="3"/>
      <c r="Q1336" s="3"/>
    </row>
    <row r="1337" spans="1:17" ht="15" x14ac:dyDescent="0.25">
      <c r="A1337" s="3">
        <f>1330</f>
        <v>1330</v>
      </c>
      <c r="B1337" s="3" t="s">
        <v>1339</v>
      </c>
      <c r="C1337" s="3" t="s">
        <v>10</v>
      </c>
      <c r="D1337" s="3" t="s">
        <v>9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/>
      <c r="P1337" s="3"/>
      <c r="Q1337" s="3"/>
    </row>
    <row r="1338" spans="1:17" ht="15" x14ac:dyDescent="0.25">
      <c r="A1338" s="3">
        <f>1331</f>
        <v>1331</v>
      </c>
      <c r="B1338" s="3" t="s">
        <v>1340</v>
      </c>
      <c r="C1338" s="3" t="s">
        <v>10</v>
      </c>
      <c r="D1338" s="3" t="s">
        <v>9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/>
      <c r="P1338" s="3"/>
      <c r="Q1338" s="3"/>
    </row>
    <row r="1339" spans="1:17" ht="15" x14ac:dyDescent="0.25">
      <c r="A1339" s="3">
        <f>1332</f>
        <v>1332</v>
      </c>
      <c r="B1339" s="3" t="s">
        <v>1341</v>
      </c>
      <c r="C1339" s="3" t="s">
        <v>10</v>
      </c>
      <c r="D1339" s="3" t="s">
        <v>9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/>
      <c r="P1339" s="3"/>
      <c r="Q1339" s="3"/>
    </row>
    <row r="1340" spans="1:17" ht="15" x14ac:dyDescent="0.25">
      <c r="A1340" s="3">
        <f>1333</f>
        <v>1333</v>
      </c>
      <c r="B1340" s="3" t="s">
        <v>1342</v>
      </c>
      <c r="C1340" s="3" t="s">
        <v>10</v>
      </c>
      <c r="D1340" s="3" t="s">
        <v>9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/>
      <c r="P1340" s="3"/>
      <c r="Q1340" s="3"/>
    </row>
    <row r="1341" spans="1:17" ht="15" x14ac:dyDescent="0.25">
      <c r="A1341" s="3">
        <f>1334</f>
        <v>1334</v>
      </c>
      <c r="B1341" s="3" t="s">
        <v>1343</v>
      </c>
      <c r="C1341" s="3" t="s">
        <v>10</v>
      </c>
      <c r="D1341" s="3" t="s">
        <v>9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/>
      <c r="P1341" s="3"/>
      <c r="Q1341" s="3"/>
    </row>
    <row r="1342" spans="1:17" ht="15" x14ac:dyDescent="0.25">
      <c r="A1342" s="3">
        <f>1335</f>
        <v>1335</v>
      </c>
      <c r="B1342" s="3" t="s">
        <v>1344</v>
      </c>
      <c r="C1342" s="3" t="s">
        <v>10</v>
      </c>
      <c r="D1342" s="3" t="s">
        <v>9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/>
      <c r="P1342" s="3"/>
      <c r="Q1342" s="3"/>
    </row>
    <row r="1343" spans="1:17" ht="15" x14ac:dyDescent="0.25">
      <c r="A1343" s="3">
        <f>1336</f>
        <v>1336</v>
      </c>
      <c r="B1343" s="3" t="s">
        <v>1345</v>
      </c>
      <c r="C1343" s="3" t="s">
        <v>10</v>
      </c>
      <c r="D1343" s="3" t="s">
        <v>9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/>
      <c r="P1343" s="3"/>
      <c r="Q1343" s="3"/>
    </row>
    <row r="1344" spans="1:17" ht="15" x14ac:dyDescent="0.25">
      <c r="A1344" s="3">
        <f>1337</f>
        <v>1337</v>
      </c>
      <c r="B1344" s="3" t="s">
        <v>1346</v>
      </c>
      <c r="C1344" s="3" t="s">
        <v>10</v>
      </c>
      <c r="D1344" s="3" t="s">
        <v>9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/>
      <c r="P1344" s="3"/>
      <c r="Q1344" s="3"/>
    </row>
    <row r="1345" spans="1:17" ht="15" x14ac:dyDescent="0.25">
      <c r="A1345" s="3">
        <f>1338</f>
        <v>1338</v>
      </c>
      <c r="B1345" s="3" t="s">
        <v>1347</v>
      </c>
      <c r="C1345" s="3" t="s">
        <v>10</v>
      </c>
      <c r="D1345" s="3" t="s">
        <v>9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/>
      <c r="P1345" s="3"/>
      <c r="Q1345" s="3"/>
    </row>
    <row r="1346" spans="1:17" ht="15" x14ac:dyDescent="0.25">
      <c r="A1346" s="3">
        <f>1339</f>
        <v>1339</v>
      </c>
      <c r="B1346" s="3" t="s">
        <v>1348</v>
      </c>
      <c r="C1346" s="3" t="s">
        <v>10</v>
      </c>
      <c r="D1346" s="3" t="s">
        <v>9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/>
      <c r="P1346" s="3"/>
      <c r="Q1346" s="3"/>
    </row>
    <row r="1347" spans="1:17" ht="15" x14ac:dyDescent="0.25">
      <c r="A1347" s="3">
        <f>1340</f>
        <v>1340</v>
      </c>
      <c r="B1347" s="3" t="s">
        <v>1349</v>
      </c>
      <c r="C1347" s="3" t="s">
        <v>10</v>
      </c>
      <c r="D1347" s="3" t="s">
        <v>9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/>
      <c r="P1347" s="3"/>
      <c r="Q1347" s="3"/>
    </row>
    <row r="1348" spans="1:17" ht="15" x14ac:dyDescent="0.25">
      <c r="A1348" s="3">
        <f>1341</f>
        <v>1341</v>
      </c>
      <c r="B1348" s="3" t="s">
        <v>1350</v>
      </c>
      <c r="C1348" s="3" t="s">
        <v>10</v>
      </c>
      <c r="D1348" s="3" t="s">
        <v>9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/>
      <c r="P1348" s="3"/>
      <c r="Q1348" s="3"/>
    </row>
    <row r="1349" spans="1:17" ht="15" x14ac:dyDescent="0.25">
      <c r="A1349" s="3">
        <f>1342</f>
        <v>1342</v>
      </c>
      <c r="B1349" s="3" t="s">
        <v>1351</v>
      </c>
      <c r="C1349" s="3" t="s">
        <v>10</v>
      </c>
      <c r="D1349" s="3" t="s">
        <v>9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/>
      <c r="P1349" s="3"/>
      <c r="Q1349" s="3"/>
    </row>
    <row r="1350" spans="1:17" ht="15" x14ac:dyDescent="0.25">
      <c r="A1350" s="3">
        <f>1343</f>
        <v>1343</v>
      </c>
      <c r="B1350" s="3" t="s">
        <v>1352</v>
      </c>
      <c r="C1350" s="3" t="s">
        <v>10</v>
      </c>
      <c r="D1350" s="3" t="s">
        <v>9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/>
      <c r="P1350" s="3"/>
      <c r="Q1350" s="3"/>
    </row>
    <row r="1351" spans="1:17" ht="15" x14ac:dyDescent="0.25">
      <c r="A1351" s="3">
        <f>1344</f>
        <v>1344</v>
      </c>
      <c r="B1351" s="3" t="s">
        <v>1353</v>
      </c>
      <c r="C1351" s="3" t="s">
        <v>10</v>
      </c>
      <c r="D1351" s="3" t="s">
        <v>9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/>
      <c r="P1351" s="3"/>
      <c r="Q1351" s="3"/>
    </row>
    <row r="1352" spans="1:17" ht="15" x14ac:dyDescent="0.25">
      <c r="A1352" s="3">
        <f>1345</f>
        <v>1345</v>
      </c>
      <c r="B1352" s="3" t="s">
        <v>1354</v>
      </c>
      <c r="C1352" s="3" t="s">
        <v>10</v>
      </c>
      <c r="D1352" s="3" t="s">
        <v>9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/>
      <c r="P1352" s="3"/>
      <c r="Q1352" s="3"/>
    </row>
    <row r="1353" spans="1:17" ht="15" x14ac:dyDescent="0.25">
      <c r="A1353" s="3">
        <f>1346</f>
        <v>1346</v>
      </c>
      <c r="B1353" s="3" t="s">
        <v>1355</v>
      </c>
      <c r="C1353" s="3" t="s">
        <v>10</v>
      </c>
      <c r="D1353" s="3" t="s">
        <v>9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/>
      <c r="P1353" s="3"/>
      <c r="Q1353" s="3"/>
    </row>
    <row r="1354" spans="1:17" ht="15" x14ac:dyDescent="0.25">
      <c r="A1354" s="3">
        <f>1347</f>
        <v>1347</v>
      </c>
      <c r="B1354" s="3" t="s">
        <v>1356</v>
      </c>
      <c r="C1354" s="3" t="s">
        <v>10</v>
      </c>
      <c r="D1354" s="3" t="s">
        <v>9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/>
      <c r="P1354" s="3"/>
      <c r="Q1354" s="3"/>
    </row>
    <row r="1355" spans="1:17" ht="15" x14ac:dyDescent="0.25">
      <c r="A1355" s="3">
        <f>1348</f>
        <v>1348</v>
      </c>
      <c r="B1355" s="3" t="s">
        <v>1357</v>
      </c>
      <c r="C1355" s="3" t="s">
        <v>10</v>
      </c>
      <c r="D1355" s="3" t="s">
        <v>9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/>
      <c r="P1355" s="3"/>
      <c r="Q1355" s="3"/>
    </row>
    <row r="1356" spans="1:17" ht="15" x14ac:dyDescent="0.25">
      <c r="A1356" s="3">
        <f>1349</f>
        <v>1349</v>
      </c>
      <c r="B1356" s="3" t="s">
        <v>1358</v>
      </c>
      <c r="C1356" s="3" t="s">
        <v>10</v>
      </c>
      <c r="D1356" s="3" t="s">
        <v>9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/>
      <c r="P1356" s="3"/>
      <c r="Q1356" s="3"/>
    </row>
    <row r="1357" spans="1:17" ht="15" x14ac:dyDescent="0.25">
      <c r="A1357" s="3">
        <f>1350</f>
        <v>1350</v>
      </c>
      <c r="B1357" s="3" t="s">
        <v>1359</v>
      </c>
      <c r="C1357" s="3" t="s">
        <v>10</v>
      </c>
      <c r="D1357" s="3" t="s">
        <v>9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/>
      <c r="P1357" s="3"/>
      <c r="Q1357" s="3"/>
    </row>
    <row r="1358" spans="1:17" ht="15" x14ac:dyDescent="0.25">
      <c r="A1358" s="3">
        <f>1351</f>
        <v>1351</v>
      </c>
      <c r="B1358" s="3" t="s">
        <v>1360</v>
      </c>
      <c r="C1358" s="3" t="s">
        <v>10</v>
      </c>
      <c r="D1358" s="3" t="s">
        <v>9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/>
      <c r="P1358" s="3"/>
      <c r="Q1358" s="3"/>
    </row>
    <row r="1359" spans="1:17" ht="15" x14ac:dyDescent="0.25">
      <c r="A1359" s="3">
        <f>1352</f>
        <v>1352</v>
      </c>
      <c r="B1359" s="3" t="s">
        <v>1361</v>
      </c>
      <c r="C1359" s="3" t="s">
        <v>10</v>
      </c>
      <c r="D1359" s="3" t="s">
        <v>9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/>
      <c r="P1359" s="3"/>
      <c r="Q1359" s="3"/>
    </row>
    <row r="1360" spans="1:17" ht="15" x14ac:dyDescent="0.25">
      <c r="A1360" s="3">
        <f>1353</f>
        <v>1353</v>
      </c>
      <c r="B1360" s="3" t="s">
        <v>1362</v>
      </c>
      <c r="C1360" s="3" t="s">
        <v>10</v>
      </c>
      <c r="D1360" s="3" t="s">
        <v>9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/>
      <c r="P1360" s="3"/>
      <c r="Q1360" s="3"/>
    </row>
    <row r="1361" spans="1:17" ht="15" x14ac:dyDescent="0.25">
      <c r="A1361" s="3">
        <f>1354</f>
        <v>1354</v>
      </c>
      <c r="B1361" s="3" t="s">
        <v>1363</v>
      </c>
      <c r="C1361" s="3" t="s">
        <v>10</v>
      </c>
      <c r="D1361" s="3" t="s">
        <v>9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/>
      <c r="P1361" s="3"/>
      <c r="Q1361" s="3"/>
    </row>
    <row r="1362" spans="1:17" ht="15" x14ac:dyDescent="0.25">
      <c r="A1362" s="3">
        <f>1355</f>
        <v>1355</v>
      </c>
      <c r="B1362" s="3" t="s">
        <v>1364</v>
      </c>
      <c r="C1362" s="3" t="s">
        <v>10</v>
      </c>
      <c r="D1362" s="3" t="s">
        <v>9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/>
      <c r="P1362" s="3"/>
      <c r="Q1362" s="3"/>
    </row>
    <row r="1363" spans="1:17" ht="15" x14ac:dyDescent="0.25">
      <c r="A1363" s="3">
        <f>1356</f>
        <v>1356</v>
      </c>
      <c r="B1363" s="3" t="s">
        <v>1365</v>
      </c>
      <c r="C1363" s="3" t="s">
        <v>10</v>
      </c>
      <c r="D1363" s="3" t="s">
        <v>9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/>
      <c r="P1363" s="3"/>
      <c r="Q1363" s="3"/>
    </row>
    <row r="1364" spans="1:17" ht="15" x14ac:dyDescent="0.25">
      <c r="A1364" s="3">
        <f>1357</f>
        <v>1357</v>
      </c>
      <c r="B1364" s="3" t="s">
        <v>1366</v>
      </c>
      <c r="C1364" s="3" t="s">
        <v>10</v>
      </c>
      <c r="D1364" s="3" t="s">
        <v>9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/>
      <c r="P1364" s="3"/>
      <c r="Q1364" s="3"/>
    </row>
    <row r="1365" spans="1:17" ht="15" x14ac:dyDescent="0.25">
      <c r="A1365" s="3">
        <f>1358</f>
        <v>1358</v>
      </c>
      <c r="B1365" s="3" t="s">
        <v>1367</v>
      </c>
      <c r="C1365" s="3" t="s">
        <v>10</v>
      </c>
      <c r="D1365" s="3" t="s">
        <v>9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/>
      <c r="P1365" s="3"/>
      <c r="Q1365" s="3"/>
    </row>
    <row r="1366" spans="1:17" ht="15" x14ac:dyDescent="0.25">
      <c r="A1366" s="3">
        <f>1359</f>
        <v>1359</v>
      </c>
      <c r="B1366" s="3" t="s">
        <v>1368</v>
      </c>
      <c r="C1366" s="3" t="s">
        <v>10</v>
      </c>
      <c r="D1366" s="3" t="s">
        <v>9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/>
      <c r="P1366" s="3"/>
      <c r="Q1366" s="3"/>
    </row>
    <row r="1367" spans="1:17" ht="15" x14ac:dyDescent="0.25">
      <c r="A1367" s="3">
        <f>1360</f>
        <v>1360</v>
      </c>
      <c r="B1367" s="3" t="s">
        <v>1369</v>
      </c>
      <c r="C1367" s="3" t="s">
        <v>10</v>
      </c>
      <c r="D1367" s="3" t="s">
        <v>9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/>
      <c r="P1367" s="3"/>
      <c r="Q1367" s="3"/>
    </row>
    <row r="1368" spans="1:17" ht="15" x14ac:dyDescent="0.25">
      <c r="A1368" s="3">
        <f>1361</f>
        <v>1361</v>
      </c>
      <c r="B1368" s="3" t="s">
        <v>1370</v>
      </c>
      <c r="C1368" s="3" t="s">
        <v>10</v>
      </c>
      <c r="D1368" s="3" t="s">
        <v>9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/>
      <c r="P1368" s="3"/>
      <c r="Q1368" s="3"/>
    </row>
    <row r="1369" spans="1:17" ht="15" x14ac:dyDescent="0.25">
      <c r="A1369" s="3">
        <f>1362</f>
        <v>1362</v>
      </c>
      <c r="B1369" s="3" t="s">
        <v>1371</v>
      </c>
      <c r="C1369" s="3" t="s">
        <v>10</v>
      </c>
      <c r="D1369" s="3" t="s">
        <v>9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/>
      <c r="P1369" s="3"/>
      <c r="Q1369" s="3"/>
    </row>
    <row r="1370" spans="1:17" ht="15" x14ac:dyDescent="0.25">
      <c r="A1370" s="3">
        <f>1363</f>
        <v>1363</v>
      </c>
      <c r="B1370" s="3" t="s">
        <v>1372</v>
      </c>
      <c r="C1370" s="3" t="s">
        <v>10</v>
      </c>
      <c r="D1370" s="3" t="s">
        <v>9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/>
      <c r="P1370" s="3"/>
      <c r="Q1370" s="3"/>
    </row>
    <row r="1371" spans="1:17" ht="15" x14ac:dyDescent="0.25">
      <c r="A1371" s="3">
        <f>1364</f>
        <v>1364</v>
      </c>
      <c r="B1371" s="3" t="s">
        <v>1373</v>
      </c>
      <c r="C1371" s="3" t="s">
        <v>10</v>
      </c>
      <c r="D1371" s="3" t="s">
        <v>9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/>
      <c r="P1371" s="3"/>
      <c r="Q1371" s="3"/>
    </row>
    <row r="1372" spans="1:17" ht="15" x14ac:dyDescent="0.25">
      <c r="A1372" s="3">
        <f>1365</f>
        <v>1365</v>
      </c>
      <c r="B1372" s="3" t="s">
        <v>1374</v>
      </c>
      <c r="C1372" s="3" t="s">
        <v>10</v>
      </c>
      <c r="D1372" s="3" t="s">
        <v>9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/>
      <c r="P1372" s="3"/>
      <c r="Q1372" s="3"/>
    </row>
    <row r="1373" spans="1:17" ht="15" x14ac:dyDescent="0.25">
      <c r="A1373" s="3">
        <f>1366</f>
        <v>1366</v>
      </c>
      <c r="B1373" s="3" t="s">
        <v>1375</v>
      </c>
      <c r="C1373" s="3" t="s">
        <v>10</v>
      </c>
      <c r="D1373" s="3" t="s">
        <v>9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/>
      <c r="P1373" s="3"/>
      <c r="Q1373" s="3"/>
    </row>
    <row r="1374" spans="1:17" ht="15" x14ac:dyDescent="0.25">
      <c r="A1374" s="3">
        <f>1367</f>
        <v>1367</v>
      </c>
      <c r="B1374" s="3" t="s">
        <v>1376</v>
      </c>
      <c r="C1374" s="3" t="s">
        <v>10</v>
      </c>
      <c r="D1374" s="3" t="s">
        <v>9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/>
      <c r="P1374" s="3"/>
      <c r="Q1374" s="3"/>
    </row>
    <row r="1375" spans="1:17" ht="15" x14ac:dyDescent="0.25">
      <c r="A1375" s="3">
        <f>1368</f>
        <v>1368</v>
      </c>
      <c r="B1375" s="3" t="s">
        <v>1377</v>
      </c>
      <c r="C1375" s="3" t="s">
        <v>10</v>
      </c>
      <c r="D1375" s="3" t="s">
        <v>9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/>
      <c r="P1375" s="3"/>
      <c r="Q1375" s="3"/>
    </row>
    <row r="1376" spans="1:17" ht="15" x14ac:dyDescent="0.25">
      <c r="A1376" s="3">
        <f>1369</f>
        <v>1369</v>
      </c>
      <c r="B1376" s="3" t="s">
        <v>1378</v>
      </c>
      <c r="C1376" s="3" t="s">
        <v>10</v>
      </c>
      <c r="D1376" s="3" t="s">
        <v>9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/>
      <c r="P1376" s="3"/>
      <c r="Q1376" s="3"/>
    </row>
    <row r="1377" spans="1:17" ht="15" x14ac:dyDescent="0.25">
      <c r="A1377" s="3">
        <f>1370</f>
        <v>1370</v>
      </c>
      <c r="B1377" s="3" t="s">
        <v>1379</v>
      </c>
      <c r="C1377" s="3" t="s">
        <v>10</v>
      </c>
      <c r="D1377" s="3" t="s">
        <v>9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/>
      <c r="P1377" s="3"/>
      <c r="Q1377" s="3"/>
    </row>
    <row r="1378" spans="1:17" ht="15" x14ac:dyDescent="0.25">
      <c r="A1378" s="3">
        <f>1371</f>
        <v>1371</v>
      </c>
      <c r="B1378" s="3" t="s">
        <v>1380</v>
      </c>
      <c r="C1378" s="3" t="s">
        <v>10</v>
      </c>
      <c r="D1378" s="3" t="s">
        <v>9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/>
      <c r="P1378" s="3"/>
      <c r="Q1378" s="3"/>
    </row>
    <row r="1379" spans="1:17" ht="15" x14ac:dyDescent="0.25">
      <c r="A1379" s="3">
        <f>1372</f>
        <v>1372</v>
      </c>
      <c r="B1379" s="3" t="s">
        <v>1381</v>
      </c>
      <c r="C1379" s="3" t="s">
        <v>10</v>
      </c>
      <c r="D1379" s="3" t="s">
        <v>9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/>
      <c r="P1379" s="3"/>
      <c r="Q1379" s="3"/>
    </row>
    <row r="1380" spans="1:17" ht="15" x14ac:dyDescent="0.25">
      <c r="A1380" s="3">
        <f>1373</f>
        <v>1373</v>
      </c>
      <c r="B1380" s="3" t="s">
        <v>1382</v>
      </c>
      <c r="C1380" s="3" t="s">
        <v>10</v>
      </c>
      <c r="D1380" s="3" t="s">
        <v>9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/>
      <c r="P1380" s="3"/>
      <c r="Q1380" s="3"/>
    </row>
    <row r="1381" spans="1:17" ht="15" x14ac:dyDescent="0.25">
      <c r="A1381" s="3">
        <f>1374</f>
        <v>1374</v>
      </c>
      <c r="B1381" s="3" t="s">
        <v>1383</v>
      </c>
      <c r="C1381" s="3" t="s">
        <v>10</v>
      </c>
      <c r="D1381" s="3" t="s">
        <v>9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/>
      <c r="P1381" s="3"/>
      <c r="Q1381" s="3"/>
    </row>
    <row r="1382" spans="1:17" ht="15" x14ac:dyDescent="0.25">
      <c r="A1382" s="3">
        <f>1375</f>
        <v>1375</v>
      </c>
      <c r="B1382" s="3" t="s">
        <v>1384</v>
      </c>
      <c r="C1382" s="3" t="s">
        <v>10</v>
      </c>
      <c r="D1382" s="3" t="s">
        <v>9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/>
      <c r="P1382" s="3"/>
      <c r="Q1382" s="3"/>
    </row>
    <row r="1383" spans="1:17" ht="15" x14ac:dyDescent="0.25">
      <c r="A1383" s="3">
        <f>1376</f>
        <v>1376</v>
      </c>
      <c r="B1383" s="3" t="s">
        <v>1385</v>
      </c>
      <c r="C1383" s="3" t="s">
        <v>10</v>
      </c>
      <c r="D1383" s="3" t="s">
        <v>9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/>
      <c r="P1383" s="3"/>
      <c r="Q1383" s="3"/>
    </row>
    <row r="1384" spans="1:17" ht="15" x14ac:dyDescent="0.25">
      <c r="A1384" s="3">
        <f>1377</f>
        <v>1377</v>
      </c>
      <c r="B1384" s="3" t="s">
        <v>1386</v>
      </c>
      <c r="C1384" s="3" t="s">
        <v>10</v>
      </c>
      <c r="D1384" s="3" t="s">
        <v>9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/>
      <c r="P1384" s="3"/>
      <c r="Q1384" s="3"/>
    </row>
    <row r="1385" spans="1:17" ht="15" x14ac:dyDescent="0.25">
      <c r="A1385" s="3">
        <f>1378</f>
        <v>1378</v>
      </c>
      <c r="B1385" s="3" t="s">
        <v>1387</v>
      </c>
      <c r="C1385" s="3" t="s">
        <v>10</v>
      </c>
      <c r="D1385" s="3" t="s">
        <v>9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/>
      <c r="P1385" s="3"/>
      <c r="Q1385" s="3"/>
    </row>
    <row r="1386" spans="1:17" ht="15" x14ac:dyDescent="0.25">
      <c r="A1386" s="3">
        <f>1379</f>
        <v>1379</v>
      </c>
      <c r="B1386" s="3" t="s">
        <v>1388</v>
      </c>
      <c r="C1386" s="3" t="s">
        <v>10</v>
      </c>
      <c r="D1386" s="3" t="s">
        <v>9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/>
      <c r="P1386" s="3"/>
      <c r="Q1386" s="3"/>
    </row>
    <row r="1387" spans="1:17" ht="15" x14ac:dyDescent="0.25">
      <c r="A1387" s="3">
        <f>1380</f>
        <v>1380</v>
      </c>
      <c r="B1387" s="3" t="s">
        <v>1389</v>
      </c>
      <c r="C1387" s="3" t="s">
        <v>10</v>
      </c>
      <c r="D1387" s="3" t="s">
        <v>9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/>
      <c r="P1387" s="3"/>
      <c r="Q1387" s="3"/>
    </row>
    <row r="1388" spans="1:17" ht="15" x14ac:dyDescent="0.25">
      <c r="A1388" s="3">
        <f>1381</f>
        <v>1381</v>
      </c>
      <c r="B1388" s="3" t="s">
        <v>1390</v>
      </c>
      <c r="C1388" s="3" t="s">
        <v>10</v>
      </c>
      <c r="D1388" s="3" t="s">
        <v>9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/>
      <c r="P1388" s="3"/>
      <c r="Q1388" s="3"/>
    </row>
    <row r="1389" spans="1:17" ht="15" x14ac:dyDescent="0.25">
      <c r="A1389" s="3">
        <f>1382</f>
        <v>1382</v>
      </c>
      <c r="B1389" s="3" t="s">
        <v>1391</v>
      </c>
      <c r="C1389" s="3" t="s">
        <v>10</v>
      </c>
      <c r="D1389" s="3" t="s">
        <v>9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/>
      <c r="P1389" s="3"/>
      <c r="Q1389" s="3"/>
    </row>
    <row r="1390" spans="1:17" ht="15" x14ac:dyDescent="0.25">
      <c r="A1390" s="3">
        <f>1383</f>
        <v>1383</v>
      </c>
      <c r="B1390" s="3" t="s">
        <v>1392</v>
      </c>
      <c r="C1390" s="3" t="s">
        <v>10</v>
      </c>
      <c r="D1390" s="3" t="s">
        <v>9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/>
      <c r="P1390" s="3"/>
      <c r="Q1390" s="3"/>
    </row>
    <row r="1391" spans="1:17" ht="15" x14ac:dyDescent="0.25">
      <c r="A1391" s="3">
        <f>1384</f>
        <v>1384</v>
      </c>
      <c r="B1391" s="3" t="s">
        <v>1393</v>
      </c>
      <c r="C1391" s="3" t="s">
        <v>10</v>
      </c>
      <c r="D1391" s="3" t="s">
        <v>9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/>
      <c r="P1391" s="3"/>
      <c r="Q1391" s="3"/>
    </row>
    <row r="1392" spans="1:17" ht="15" x14ac:dyDescent="0.25">
      <c r="A1392" s="3">
        <f>1385</f>
        <v>1385</v>
      </c>
      <c r="B1392" s="3" t="s">
        <v>1394</v>
      </c>
      <c r="C1392" s="3" t="s">
        <v>10</v>
      </c>
      <c r="D1392" s="3" t="s">
        <v>9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/>
      <c r="P1392" s="3"/>
      <c r="Q1392" s="3"/>
    </row>
    <row r="1393" spans="1:17" ht="15" x14ac:dyDescent="0.25">
      <c r="A1393" s="3">
        <f>1386</f>
        <v>1386</v>
      </c>
      <c r="B1393" s="3" t="s">
        <v>1395</v>
      </c>
      <c r="C1393" s="3" t="s">
        <v>10</v>
      </c>
      <c r="D1393" s="3" t="s">
        <v>9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/>
      <c r="P1393" s="3"/>
      <c r="Q1393" s="3"/>
    </row>
    <row r="1394" spans="1:17" ht="15" x14ac:dyDescent="0.25">
      <c r="A1394" s="3">
        <f>1387</f>
        <v>1387</v>
      </c>
      <c r="B1394" s="3" t="s">
        <v>1396</v>
      </c>
      <c r="C1394" s="3" t="s">
        <v>10</v>
      </c>
      <c r="D1394" s="3" t="s">
        <v>9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/>
      <c r="P1394" s="3"/>
      <c r="Q1394" s="3"/>
    </row>
    <row r="1395" spans="1:17" ht="15" x14ac:dyDescent="0.25">
      <c r="A1395" s="3">
        <f>1388</f>
        <v>1388</v>
      </c>
      <c r="B1395" s="3" t="s">
        <v>1397</v>
      </c>
      <c r="C1395" s="3" t="s">
        <v>10</v>
      </c>
      <c r="D1395" s="3" t="s">
        <v>9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/>
      <c r="P1395" s="3"/>
      <c r="Q1395" s="3"/>
    </row>
    <row r="1396" spans="1:17" ht="15" x14ac:dyDescent="0.25">
      <c r="A1396" s="3">
        <f>1389</f>
        <v>1389</v>
      </c>
      <c r="B1396" s="3" t="s">
        <v>1398</v>
      </c>
      <c r="C1396" s="3" t="s">
        <v>10</v>
      </c>
      <c r="D1396" s="3" t="s">
        <v>9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/>
      <c r="P1396" s="3"/>
      <c r="Q1396" s="3"/>
    </row>
    <row r="1397" spans="1:17" ht="15" x14ac:dyDescent="0.25">
      <c r="A1397" s="3">
        <f>1390</f>
        <v>1390</v>
      </c>
      <c r="B1397" s="3" t="s">
        <v>1399</v>
      </c>
      <c r="C1397" s="3" t="s">
        <v>10</v>
      </c>
      <c r="D1397" s="3" t="s">
        <v>9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/>
      <c r="P1397" s="3"/>
      <c r="Q1397" s="3"/>
    </row>
    <row r="1398" spans="1:17" ht="15" x14ac:dyDescent="0.25">
      <c r="A1398" s="3">
        <f>1391</f>
        <v>1391</v>
      </c>
      <c r="B1398" s="3" t="s">
        <v>1400</v>
      </c>
      <c r="C1398" s="3" t="s">
        <v>10</v>
      </c>
      <c r="D1398" s="3" t="s">
        <v>9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/>
      <c r="P1398" s="3"/>
      <c r="Q1398" s="3"/>
    </row>
    <row r="1399" spans="1:17" ht="15" x14ac:dyDescent="0.25">
      <c r="A1399" s="3">
        <f>1392</f>
        <v>1392</v>
      </c>
      <c r="B1399" s="3" t="s">
        <v>1401</v>
      </c>
      <c r="C1399" s="3" t="s">
        <v>10</v>
      </c>
      <c r="D1399" s="3" t="s">
        <v>9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/>
      <c r="P1399" s="3"/>
      <c r="Q1399" s="3"/>
    </row>
    <row r="1400" spans="1:17" ht="15" x14ac:dyDescent="0.25">
      <c r="A1400" s="3">
        <f>1393</f>
        <v>1393</v>
      </c>
      <c r="B1400" s="3" t="s">
        <v>1402</v>
      </c>
      <c r="C1400" s="3" t="s">
        <v>10</v>
      </c>
      <c r="D1400" s="3" t="s">
        <v>9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/>
      <c r="P1400" s="3"/>
      <c r="Q1400" s="3"/>
    </row>
    <row r="1401" spans="1:17" ht="15" x14ac:dyDescent="0.25">
      <c r="A1401" s="3">
        <f>1394</f>
        <v>1394</v>
      </c>
      <c r="B1401" s="3" t="s">
        <v>1403</v>
      </c>
      <c r="C1401" s="3" t="s">
        <v>10</v>
      </c>
      <c r="D1401" s="3" t="s">
        <v>9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/>
      <c r="P1401" s="3"/>
      <c r="Q1401" s="3"/>
    </row>
    <row r="1402" spans="1:17" ht="15" x14ac:dyDescent="0.25">
      <c r="A1402" s="3">
        <f>1395</f>
        <v>1395</v>
      </c>
      <c r="B1402" s="3" t="s">
        <v>1404</v>
      </c>
      <c r="C1402" s="3" t="s">
        <v>10</v>
      </c>
      <c r="D1402" s="3" t="s">
        <v>9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/>
      <c r="P1402" s="3"/>
      <c r="Q1402" s="3"/>
    </row>
    <row r="1403" spans="1:17" ht="15" x14ac:dyDescent="0.25">
      <c r="A1403" s="3">
        <f>1396</f>
        <v>1396</v>
      </c>
      <c r="B1403" s="3" t="s">
        <v>1405</v>
      </c>
      <c r="C1403" s="3" t="s">
        <v>10</v>
      </c>
      <c r="D1403" s="3" t="s">
        <v>9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/>
      <c r="P1403" s="3"/>
      <c r="Q1403" s="3"/>
    </row>
    <row r="1404" spans="1:17" ht="15" x14ac:dyDescent="0.25">
      <c r="A1404" s="3">
        <f>1397</f>
        <v>1397</v>
      </c>
      <c r="B1404" s="3" t="s">
        <v>1406</v>
      </c>
      <c r="C1404" s="3" t="s">
        <v>10</v>
      </c>
      <c r="D1404" s="3" t="s">
        <v>9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/>
      <c r="P1404" s="3"/>
      <c r="Q1404" s="3"/>
    </row>
    <row r="1405" spans="1:17" ht="15" x14ac:dyDescent="0.25">
      <c r="A1405" s="3">
        <f>1398</f>
        <v>1398</v>
      </c>
      <c r="B1405" s="3" t="s">
        <v>1407</v>
      </c>
      <c r="C1405" s="3" t="s">
        <v>10</v>
      </c>
      <c r="D1405" s="3" t="s">
        <v>9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/>
      <c r="P1405" s="3"/>
      <c r="Q1405" s="3"/>
    </row>
    <row r="1406" spans="1:17" ht="15" x14ac:dyDescent="0.25">
      <c r="A1406" s="3">
        <f>1399</f>
        <v>1399</v>
      </c>
      <c r="B1406" s="3" t="s">
        <v>1408</v>
      </c>
      <c r="C1406" s="3" t="s">
        <v>10</v>
      </c>
      <c r="D1406" s="3" t="s">
        <v>9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/>
      <c r="P1406" s="3"/>
      <c r="Q1406" s="3"/>
    </row>
    <row r="1407" spans="1:17" ht="15" x14ac:dyDescent="0.25">
      <c r="A1407" s="3">
        <f>1400</f>
        <v>1400</v>
      </c>
      <c r="B1407" s="3" t="s">
        <v>1409</v>
      </c>
      <c r="C1407" s="3" t="s">
        <v>10</v>
      </c>
      <c r="D1407" s="3" t="s">
        <v>9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/>
      <c r="P1407" s="3"/>
      <c r="Q1407" s="3"/>
    </row>
    <row r="1408" spans="1:17" ht="15" x14ac:dyDescent="0.25">
      <c r="A1408" s="3">
        <f>1401</f>
        <v>1401</v>
      </c>
      <c r="B1408" s="3" t="s">
        <v>1410</v>
      </c>
      <c r="C1408" s="3" t="s">
        <v>10</v>
      </c>
      <c r="D1408" s="3" t="s">
        <v>9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/>
      <c r="P1408" s="3"/>
      <c r="Q1408" s="3"/>
    </row>
    <row r="1409" spans="1:17" ht="15" x14ac:dyDescent="0.25">
      <c r="A1409" s="3">
        <f>1402</f>
        <v>1402</v>
      </c>
      <c r="B1409" s="3" t="s">
        <v>1411</v>
      </c>
      <c r="C1409" s="3" t="s">
        <v>10</v>
      </c>
      <c r="D1409" s="3" t="s">
        <v>9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/>
      <c r="P1409" s="3"/>
      <c r="Q1409" s="3"/>
    </row>
    <row r="1410" spans="1:17" ht="15" x14ac:dyDescent="0.25">
      <c r="A1410" s="3">
        <f>1403</f>
        <v>1403</v>
      </c>
      <c r="B1410" s="3" t="s">
        <v>1412</v>
      </c>
      <c r="C1410" s="3" t="s">
        <v>10</v>
      </c>
      <c r="D1410" s="3" t="s">
        <v>9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/>
      <c r="P1410" s="3"/>
      <c r="Q1410" s="3"/>
    </row>
    <row r="1411" spans="1:17" ht="15" x14ac:dyDescent="0.25">
      <c r="A1411" s="3">
        <f>1404</f>
        <v>1404</v>
      </c>
      <c r="B1411" s="3" t="s">
        <v>1413</v>
      </c>
      <c r="C1411" s="3" t="s">
        <v>10</v>
      </c>
      <c r="D1411" s="3" t="s">
        <v>9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/>
      <c r="P1411" s="3"/>
      <c r="Q1411" s="3"/>
    </row>
    <row r="1412" spans="1:17" ht="15" x14ac:dyDescent="0.25">
      <c r="A1412" s="3">
        <f>1405</f>
        <v>1405</v>
      </c>
      <c r="B1412" s="3" t="s">
        <v>1414</v>
      </c>
      <c r="C1412" s="3" t="s">
        <v>10</v>
      </c>
      <c r="D1412" s="3" t="s">
        <v>9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/>
      <c r="P1412" s="3"/>
      <c r="Q1412" s="3"/>
    </row>
    <row r="1413" spans="1:17" ht="15" x14ac:dyDescent="0.25">
      <c r="A1413" s="3">
        <f>1406</f>
        <v>1406</v>
      </c>
      <c r="B1413" s="3" t="s">
        <v>1415</v>
      </c>
      <c r="C1413" s="3" t="s">
        <v>10</v>
      </c>
      <c r="D1413" s="3" t="s">
        <v>9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/>
      <c r="P1413" s="3"/>
      <c r="Q1413" s="3"/>
    </row>
    <row r="1414" spans="1:17" ht="15" x14ac:dyDescent="0.25">
      <c r="A1414" s="3">
        <f>1407</f>
        <v>1407</v>
      </c>
      <c r="B1414" s="3" t="s">
        <v>1416</v>
      </c>
      <c r="C1414" s="3" t="s">
        <v>10</v>
      </c>
      <c r="D1414" s="3" t="s">
        <v>9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/>
      <c r="P1414" s="3"/>
      <c r="Q1414" s="3"/>
    </row>
    <row r="1415" spans="1:17" ht="15" x14ac:dyDescent="0.25">
      <c r="A1415" s="3">
        <f>1408</f>
        <v>1408</v>
      </c>
      <c r="B1415" s="3" t="s">
        <v>1417</v>
      </c>
      <c r="C1415" s="3" t="s">
        <v>10</v>
      </c>
      <c r="D1415" s="3" t="s">
        <v>9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/>
      <c r="P1415" s="3"/>
      <c r="Q1415" s="3"/>
    </row>
    <row r="1416" spans="1:17" ht="15" x14ac:dyDescent="0.25">
      <c r="A1416" s="3">
        <f>1409</f>
        <v>1409</v>
      </c>
      <c r="B1416" s="3" t="s">
        <v>1418</v>
      </c>
      <c r="C1416" s="3" t="s">
        <v>10</v>
      </c>
      <c r="D1416" s="3" t="s">
        <v>9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/>
      <c r="P1416" s="3"/>
      <c r="Q1416" s="3"/>
    </row>
    <row r="1417" spans="1:17" ht="15" x14ac:dyDescent="0.25">
      <c r="A1417" s="3">
        <f>1410</f>
        <v>1410</v>
      </c>
      <c r="B1417" s="3" t="s">
        <v>1419</v>
      </c>
      <c r="C1417" s="3" t="s">
        <v>10</v>
      </c>
      <c r="D1417" s="3" t="s">
        <v>9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/>
      <c r="P1417" s="3"/>
      <c r="Q1417" s="3"/>
    </row>
    <row r="1418" spans="1:17" ht="15" x14ac:dyDescent="0.25">
      <c r="A1418" s="3">
        <f>1411</f>
        <v>1411</v>
      </c>
      <c r="B1418" s="3" t="s">
        <v>1420</v>
      </c>
      <c r="C1418" s="3" t="s">
        <v>10</v>
      </c>
      <c r="D1418" s="3" t="s">
        <v>9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/>
      <c r="P1418" s="3"/>
      <c r="Q1418" s="3"/>
    </row>
    <row r="1419" spans="1:17" ht="15" x14ac:dyDescent="0.25">
      <c r="A1419" s="3">
        <f>1412</f>
        <v>1412</v>
      </c>
      <c r="B1419" s="3" t="s">
        <v>1421</v>
      </c>
      <c r="C1419" s="3" t="s">
        <v>10</v>
      </c>
      <c r="D1419" s="3" t="s">
        <v>9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/>
      <c r="P1419" s="3"/>
      <c r="Q1419" s="3"/>
    </row>
    <row r="1420" spans="1:17" ht="15" x14ac:dyDescent="0.25">
      <c r="A1420" s="3">
        <f>1413</f>
        <v>1413</v>
      </c>
      <c r="B1420" s="3" t="s">
        <v>1422</v>
      </c>
      <c r="C1420" s="3" t="s">
        <v>10</v>
      </c>
      <c r="D1420" s="3" t="s">
        <v>9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/>
      <c r="P1420" s="3"/>
      <c r="Q1420" s="3"/>
    </row>
    <row r="1421" spans="1:17" ht="15" x14ac:dyDescent="0.25">
      <c r="A1421" s="3">
        <f>1414</f>
        <v>1414</v>
      </c>
      <c r="B1421" s="3" t="s">
        <v>1423</v>
      </c>
      <c r="C1421" s="3" t="s">
        <v>10</v>
      </c>
      <c r="D1421" s="3" t="s">
        <v>9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/>
      <c r="P1421" s="3"/>
      <c r="Q1421" s="3"/>
    </row>
    <row r="1422" spans="1:17" ht="15" x14ac:dyDescent="0.25">
      <c r="A1422" s="3">
        <f>1415</f>
        <v>1415</v>
      </c>
      <c r="B1422" s="3" t="s">
        <v>1424</v>
      </c>
      <c r="C1422" s="3" t="s">
        <v>10</v>
      </c>
      <c r="D1422" s="3" t="s">
        <v>9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/>
      <c r="P1422" s="3"/>
      <c r="Q1422" s="3"/>
    </row>
    <row r="1423" spans="1:17" ht="15" x14ac:dyDescent="0.25">
      <c r="A1423" s="3">
        <f>1416</f>
        <v>1416</v>
      </c>
      <c r="B1423" s="3" t="s">
        <v>1425</v>
      </c>
      <c r="C1423" s="3" t="s">
        <v>10</v>
      </c>
      <c r="D1423" s="3" t="s">
        <v>9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/>
      <c r="P1423" s="3"/>
      <c r="Q1423" s="3"/>
    </row>
    <row r="1424" spans="1:17" ht="15" x14ac:dyDescent="0.25">
      <c r="A1424" s="3">
        <f>1417</f>
        <v>1417</v>
      </c>
      <c r="B1424" s="3" t="s">
        <v>1426</v>
      </c>
      <c r="C1424" s="3" t="s">
        <v>10</v>
      </c>
      <c r="D1424" s="3" t="s">
        <v>9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/>
      <c r="P1424" s="3"/>
      <c r="Q1424" s="3"/>
    </row>
    <row r="1425" spans="1:17" ht="15" x14ac:dyDescent="0.25">
      <c r="A1425" s="3">
        <f>1418</f>
        <v>1418</v>
      </c>
      <c r="B1425" s="3" t="s">
        <v>1427</v>
      </c>
      <c r="C1425" s="3" t="s">
        <v>10</v>
      </c>
      <c r="D1425" s="3" t="s">
        <v>9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/>
      <c r="P1425" s="3"/>
      <c r="Q1425" s="3"/>
    </row>
    <row r="1426" spans="1:17" ht="15" x14ac:dyDescent="0.25">
      <c r="A1426" s="3">
        <f>1419</f>
        <v>1419</v>
      </c>
      <c r="B1426" s="3" t="s">
        <v>1428</v>
      </c>
      <c r="C1426" s="3" t="s">
        <v>10</v>
      </c>
      <c r="D1426" s="3" t="s">
        <v>9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/>
      <c r="P1426" s="3"/>
      <c r="Q1426" s="3"/>
    </row>
    <row r="1427" spans="1:17" ht="15" x14ac:dyDescent="0.25">
      <c r="A1427" s="3">
        <f>1420</f>
        <v>1420</v>
      </c>
      <c r="B1427" s="3" t="s">
        <v>1429</v>
      </c>
      <c r="C1427" s="3" t="s">
        <v>10</v>
      </c>
      <c r="D1427" s="3" t="s">
        <v>9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/>
      <c r="P1427" s="3"/>
      <c r="Q1427" s="3"/>
    </row>
    <row r="1428" spans="1:17" ht="15" x14ac:dyDescent="0.25">
      <c r="A1428" s="3">
        <f>1421</f>
        <v>1421</v>
      </c>
      <c r="B1428" s="3" t="s">
        <v>1430</v>
      </c>
      <c r="C1428" s="3" t="s">
        <v>10</v>
      </c>
      <c r="D1428" s="3" t="s">
        <v>9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/>
      <c r="P1428" s="3"/>
      <c r="Q1428" s="3"/>
    </row>
    <row r="1429" spans="1:17" ht="15" x14ac:dyDescent="0.25">
      <c r="A1429" s="3">
        <f>1422</f>
        <v>1422</v>
      </c>
      <c r="B1429" s="3" t="s">
        <v>1431</v>
      </c>
      <c r="C1429" s="3" t="s">
        <v>10</v>
      </c>
      <c r="D1429" s="3" t="s">
        <v>9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/>
      <c r="P1429" s="3"/>
      <c r="Q1429" s="3"/>
    </row>
    <row r="1430" spans="1:17" ht="15" x14ac:dyDescent="0.25">
      <c r="A1430" s="3">
        <f>1423</f>
        <v>1423</v>
      </c>
      <c r="B1430" s="3" t="s">
        <v>1432</v>
      </c>
      <c r="C1430" s="3" t="s">
        <v>10</v>
      </c>
      <c r="D1430" s="3" t="s">
        <v>9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/>
      <c r="P1430" s="3"/>
      <c r="Q1430" s="3"/>
    </row>
    <row r="1431" spans="1:17" ht="15" x14ac:dyDescent="0.25">
      <c r="A1431" s="3">
        <f>1424</f>
        <v>1424</v>
      </c>
      <c r="B1431" s="3" t="s">
        <v>1433</v>
      </c>
      <c r="C1431" s="3" t="s">
        <v>10</v>
      </c>
      <c r="D1431" s="3" t="s">
        <v>9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/>
      <c r="P1431" s="3"/>
      <c r="Q1431" s="3"/>
    </row>
    <row r="1432" spans="1:17" ht="15" x14ac:dyDescent="0.25">
      <c r="A1432" s="3">
        <f>1425</f>
        <v>1425</v>
      </c>
      <c r="B1432" s="3" t="s">
        <v>1434</v>
      </c>
      <c r="C1432" s="3" t="s">
        <v>10</v>
      </c>
      <c r="D1432" s="3" t="s">
        <v>9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/>
      <c r="P1432" s="3"/>
      <c r="Q1432" s="3"/>
    </row>
    <row r="1433" spans="1:17" ht="15" x14ac:dyDescent="0.25">
      <c r="A1433" s="3">
        <f>1426</f>
        <v>1426</v>
      </c>
      <c r="B1433" s="3" t="s">
        <v>1435</v>
      </c>
      <c r="C1433" s="3" t="s">
        <v>10</v>
      </c>
      <c r="D1433" s="3" t="s">
        <v>9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/>
      <c r="P1433" s="3"/>
      <c r="Q1433" s="3"/>
    </row>
    <row r="1434" spans="1:17" ht="15" x14ac:dyDescent="0.25">
      <c r="A1434" s="3">
        <f>1427</f>
        <v>1427</v>
      </c>
      <c r="B1434" s="3" t="s">
        <v>1436</v>
      </c>
      <c r="C1434" s="3" t="s">
        <v>10</v>
      </c>
      <c r="D1434" s="3" t="s">
        <v>9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/>
      <c r="P1434" s="3"/>
      <c r="Q1434" s="3"/>
    </row>
    <row r="1435" spans="1:17" ht="15" x14ac:dyDescent="0.25">
      <c r="A1435" s="3">
        <f>1428</f>
        <v>1428</v>
      </c>
      <c r="B1435" s="3" t="s">
        <v>1437</v>
      </c>
      <c r="C1435" s="3" t="s">
        <v>10</v>
      </c>
      <c r="D1435" s="3" t="s">
        <v>9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/>
      <c r="P1435" s="3"/>
      <c r="Q1435" s="3"/>
    </row>
    <row r="1436" spans="1:17" ht="15" x14ac:dyDescent="0.25">
      <c r="A1436" s="3">
        <f>1429</f>
        <v>1429</v>
      </c>
      <c r="B1436" s="3" t="s">
        <v>1438</v>
      </c>
      <c r="C1436" s="3" t="s">
        <v>10</v>
      </c>
      <c r="D1436" s="3" t="s">
        <v>9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/>
      <c r="P1436" s="3"/>
      <c r="Q1436" s="3"/>
    </row>
    <row r="1437" spans="1:17" ht="15" x14ac:dyDescent="0.25">
      <c r="A1437" s="3">
        <f>1430</f>
        <v>1430</v>
      </c>
      <c r="B1437" s="3" t="s">
        <v>1439</v>
      </c>
      <c r="C1437" s="3" t="s">
        <v>10</v>
      </c>
      <c r="D1437" s="3" t="s">
        <v>9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/>
      <c r="P1437" s="3"/>
      <c r="Q1437" s="3"/>
    </row>
    <row r="1438" spans="1:17" ht="15" x14ac:dyDescent="0.25">
      <c r="A1438" s="3">
        <f>1431</f>
        <v>1431</v>
      </c>
      <c r="B1438" s="3" t="s">
        <v>1440</v>
      </c>
      <c r="C1438" s="3" t="s">
        <v>10</v>
      </c>
      <c r="D1438" s="3" t="s">
        <v>9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/>
      <c r="P1438" s="3"/>
      <c r="Q1438" s="3"/>
    </row>
    <row r="1439" spans="1:17" ht="15" x14ac:dyDescent="0.25">
      <c r="A1439" s="3">
        <f>1432</f>
        <v>1432</v>
      </c>
      <c r="B1439" s="3" t="s">
        <v>1441</v>
      </c>
      <c r="C1439" s="3" t="s">
        <v>10</v>
      </c>
      <c r="D1439" s="3" t="s">
        <v>9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/>
      <c r="P1439" s="3"/>
      <c r="Q1439" s="3"/>
    </row>
    <row r="1440" spans="1:17" ht="15" x14ac:dyDescent="0.25">
      <c r="A1440" s="3">
        <f>1433</f>
        <v>1433</v>
      </c>
      <c r="B1440" s="3" t="s">
        <v>1442</v>
      </c>
      <c r="C1440" s="3" t="s">
        <v>10</v>
      </c>
      <c r="D1440" s="3" t="s">
        <v>9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/>
      <c r="P1440" s="3"/>
      <c r="Q1440" s="3"/>
    </row>
    <row r="1441" spans="1:17" ht="15" x14ac:dyDescent="0.25">
      <c r="A1441" s="3">
        <f>1434</f>
        <v>1434</v>
      </c>
      <c r="B1441" s="3" t="s">
        <v>1443</v>
      </c>
      <c r="C1441" s="3" t="s">
        <v>10</v>
      </c>
      <c r="D1441" s="3" t="s">
        <v>9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/>
      <c r="P1441" s="3"/>
      <c r="Q1441" s="3"/>
    </row>
    <row r="1442" spans="1:17" ht="15" x14ac:dyDescent="0.25">
      <c r="A1442" s="3">
        <f>1435</f>
        <v>1435</v>
      </c>
      <c r="B1442" s="3" t="s">
        <v>1444</v>
      </c>
      <c r="C1442" s="3" t="s">
        <v>10</v>
      </c>
      <c r="D1442" s="3" t="s">
        <v>9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/>
      <c r="P1442" s="3"/>
      <c r="Q1442" s="3"/>
    </row>
    <row r="1443" spans="1:17" ht="15" x14ac:dyDescent="0.25">
      <c r="A1443" s="3">
        <f>1436</f>
        <v>1436</v>
      </c>
      <c r="B1443" s="3" t="s">
        <v>1445</v>
      </c>
      <c r="C1443" s="3" t="s">
        <v>10</v>
      </c>
      <c r="D1443" s="3" t="s">
        <v>9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/>
      <c r="P1443" s="3"/>
      <c r="Q1443" s="3"/>
    </row>
    <row r="1444" spans="1:17" ht="15" x14ac:dyDescent="0.25">
      <c r="A1444" s="3">
        <f>1437</f>
        <v>1437</v>
      </c>
      <c r="B1444" s="3" t="s">
        <v>1446</v>
      </c>
      <c r="C1444" s="3" t="s">
        <v>10</v>
      </c>
      <c r="D1444" s="3" t="s">
        <v>9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/>
      <c r="P1444" s="3"/>
      <c r="Q1444" s="3"/>
    </row>
    <row r="1445" spans="1:17" ht="15" x14ac:dyDescent="0.25">
      <c r="A1445" s="3">
        <f>1438</f>
        <v>1438</v>
      </c>
      <c r="B1445" s="3" t="s">
        <v>1447</v>
      </c>
      <c r="C1445" s="3" t="s">
        <v>10</v>
      </c>
      <c r="D1445" s="3" t="s">
        <v>9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/>
      <c r="P1445" s="3"/>
      <c r="Q1445" s="3"/>
    </row>
    <row r="1446" spans="1:17" ht="15" x14ac:dyDescent="0.25">
      <c r="A1446" s="3">
        <f>1439</f>
        <v>1439</v>
      </c>
      <c r="B1446" s="3" t="s">
        <v>1448</v>
      </c>
      <c r="C1446" s="3" t="s">
        <v>10</v>
      </c>
      <c r="D1446" s="3" t="s">
        <v>9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/>
      <c r="P1446" s="3"/>
      <c r="Q1446" s="3"/>
    </row>
    <row r="1447" spans="1:17" ht="15" x14ac:dyDescent="0.25">
      <c r="A1447" s="3">
        <f>1440</f>
        <v>1440</v>
      </c>
      <c r="B1447" s="3" t="s">
        <v>1449</v>
      </c>
      <c r="C1447" s="3" t="s">
        <v>10</v>
      </c>
      <c r="D1447" s="3" t="s">
        <v>9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/>
      <c r="P1447" s="3"/>
      <c r="Q1447" s="3"/>
    </row>
    <row r="1448" spans="1:17" ht="15" x14ac:dyDescent="0.25">
      <c r="A1448" s="3">
        <f>1441</f>
        <v>1441</v>
      </c>
      <c r="B1448" s="3" t="s">
        <v>1450</v>
      </c>
      <c r="C1448" s="3" t="s">
        <v>10</v>
      </c>
      <c r="D1448" s="3" t="s">
        <v>9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/>
      <c r="P1448" s="3"/>
      <c r="Q1448" s="3"/>
    </row>
    <row r="1449" spans="1:17" ht="15" x14ac:dyDescent="0.25">
      <c r="A1449" s="3">
        <f>1442</f>
        <v>1442</v>
      </c>
      <c r="B1449" s="3" t="s">
        <v>1451</v>
      </c>
      <c r="C1449" s="3" t="s">
        <v>10</v>
      </c>
      <c r="D1449" s="3" t="s">
        <v>9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/>
      <c r="P1449" s="3"/>
      <c r="Q1449" s="3"/>
    </row>
    <row r="1450" spans="1:17" ht="15" x14ac:dyDescent="0.25">
      <c r="A1450" s="3">
        <f>1443</f>
        <v>1443</v>
      </c>
      <c r="B1450" s="3" t="s">
        <v>1452</v>
      </c>
      <c r="C1450" s="3" t="s">
        <v>10</v>
      </c>
      <c r="D1450" s="3" t="s">
        <v>9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/>
      <c r="P1450" s="3"/>
      <c r="Q1450" s="3"/>
    </row>
    <row r="1451" spans="1:17" ht="15" x14ac:dyDescent="0.25">
      <c r="A1451" s="3">
        <f>1444</f>
        <v>1444</v>
      </c>
      <c r="B1451" s="3" t="s">
        <v>1453</v>
      </c>
      <c r="C1451" s="3" t="s">
        <v>10</v>
      </c>
      <c r="D1451" s="3" t="s">
        <v>9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/>
      <c r="P1451" s="3"/>
      <c r="Q1451" s="3"/>
    </row>
    <row r="1452" spans="1:17" ht="15" x14ac:dyDescent="0.25">
      <c r="A1452" s="3">
        <f>1445</f>
        <v>1445</v>
      </c>
      <c r="B1452" s="3" t="s">
        <v>1454</v>
      </c>
      <c r="C1452" s="3" t="s">
        <v>10</v>
      </c>
      <c r="D1452" s="3" t="s">
        <v>9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/>
      <c r="P1452" s="3"/>
      <c r="Q1452" s="3"/>
    </row>
    <row r="1453" spans="1:17" ht="15" x14ac:dyDescent="0.25">
      <c r="A1453" s="3">
        <f>1446</f>
        <v>1446</v>
      </c>
      <c r="B1453" s="3" t="s">
        <v>1455</v>
      </c>
      <c r="C1453" s="3" t="s">
        <v>10</v>
      </c>
      <c r="D1453" s="3" t="s">
        <v>9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/>
      <c r="P1453" s="3"/>
      <c r="Q1453" s="3"/>
    </row>
    <row r="1454" spans="1:17" ht="15" x14ac:dyDescent="0.25">
      <c r="A1454" s="3">
        <f>1447</f>
        <v>1447</v>
      </c>
      <c r="B1454" s="3" t="s">
        <v>1456</v>
      </c>
      <c r="C1454" s="3" t="s">
        <v>10</v>
      </c>
      <c r="D1454" s="3" t="s">
        <v>9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/>
      <c r="P1454" s="3"/>
      <c r="Q1454" s="3"/>
    </row>
    <row r="1455" spans="1:17" ht="15" x14ac:dyDescent="0.25">
      <c r="A1455" s="3">
        <f>1448</f>
        <v>1448</v>
      </c>
      <c r="B1455" s="3" t="s">
        <v>1457</v>
      </c>
      <c r="C1455" s="3" t="s">
        <v>10</v>
      </c>
      <c r="D1455" s="3" t="s">
        <v>9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/>
      <c r="P1455" s="3"/>
      <c r="Q1455" s="3"/>
    </row>
    <row r="1456" spans="1:17" ht="15" x14ac:dyDescent="0.25">
      <c r="A1456" s="3">
        <f>1449</f>
        <v>1449</v>
      </c>
      <c r="B1456" s="3" t="s">
        <v>1458</v>
      </c>
      <c r="C1456" s="3" t="s">
        <v>10</v>
      </c>
      <c r="D1456" s="3" t="s">
        <v>9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/>
      <c r="P1456" s="3"/>
      <c r="Q1456" s="3"/>
    </row>
    <row r="1457" spans="1:17" ht="15" x14ac:dyDescent="0.25">
      <c r="A1457" s="3">
        <f>1450</f>
        <v>1450</v>
      </c>
      <c r="B1457" s="3" t="s">
        <v>1459</v>
      </c>
      <c r="C1457" s="3" t="s">
        <v>10</v>
      </c>
      <c r="D1457" s="3" t="s">
        <v>9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/>
      <c r="P1457" s="3"/>
      <c r="Q1457" s="3"/>
    </row>
    <row r="1458" spans="1:17" ht="15" x14ac:dyDescent="0.25">
      <c r="A1458" s="3">
        <f>1451</f>
        <v>1451</v>
      </c>
      <c r="B1458" s="3" t="s">
        <v>1460</v>
      </c>
      <c r="C1458" s="3" t="s">
        <v>10</v>
      </c>
      <c r="D1458" s="3" t="s">
        <v>9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/>
      <c r="P1458" s="3"/>
      <c r="Q1458" s="3"/>
    </row>
    <row r="1459" spans="1:17" ht="15" x14ac:dyDescent="0.25">
      <c r="A1459" s="3">
        <f>1452</f>
        <v>1452</v>
      </c>
      <c r="B1459" s="3" t="s">
        <v>1461</v>
      </c>
      <c r="C1459" s="3" t="s">
        <v>10</v>
      </c>
      <c r="D1459" s="3" t="s">
        <v>9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/>
      <c r="P1459" s="3"/>
      <c r="Q1459" s="3"/>
    </row>
    <row r="1460" spans="1:17" ht="15" x14ac:dyDescent="0.25">
      <c r="A1460" s="3">
        <f>1453</f>
        <v>1453</v>
      </c>
      <c r="B1460" s="3" t="s">
        <v>1462</v>
      </c>
      <c r="C1460" s="3" t="s">
        <v>10</v>
      </c>
      <c r="D1460" s="3" t="s">
        <v>9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/>
      <c r="P1460" s="3"/>
      <c r="Q1460" s="3"/>
    </row>
    <row r="1461" spans="1:17" ht="15" x14ac:dyDescent="0.25">
      <c r="A1461" s="3">
        <f>1454</f>
        <v>1454</v>
      </c>
      <c r="B1461" s="3" t="s">
        <v>1463</v>
      </c>
      <c r="C1461" s="3" t="s">
        <v>10</v>
      </c>
      <c r="D1461" s="3" t="s">
        <v>9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/>
      <c r="P1461" s="3"/>
      <c r="Q1461" s="3"/>
    </row>
    <row r="1462" spans="1:17" ht="15" x14ac:dyDescent="0.25">
      <c r="A1462" s="3">
        <f>1455</f>
        <v>1455</v>
      </c>
      <c r="B1462" s="3" t="s">
        <v>1464</v>
      </c>
      <c r="C1462" s="3" t="s">
        <v>10</v>
      </c>
      <c r="D1462" s="3" t="s">
        <v>9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/>
      <c r="P1462" s="3"/>
      <c r="Q1462" s="3"/>
    </row>
    <row r="1463" spans="1:17" ht="15" x14ac:dyDescent="0.25">
      <c r="A1463" s="3">
        <f>1456</f>
        <v>1456</v>
      </c>
      <c r="B1463" s="3" t="s">
        <v>1465</v>
      </c>
      <c r="C1463" s="3" t="s">
        <v>10</v>
      </c>
      <c r="D1463" s="3" t="s">
        <v>9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/>
      <c r="P1463" s="3"/>
      <c r="Q1463" s="3"/>
    </row>
    <row r="1464" spans="1:17" ht="15" x14ac:dyDescent="0.25">
      <c r="A1464" s="3">
        <f>1457</f>
        <v>1457</v>
      </c>
      <c r="B1464" s="3" t="s">
        <v>1466</v>
      </c>
      <c r="C1464" s="3" t="s">
        <v>10</v>
      </c>
      <c r="D1464" s="3" t="s">
        <v>9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/>
      <c r="P1464" s="3"/>
      <c r="Q1464" s="3"/>
    </row>
    <row r="1465" spans="1:17" ht="15" x14ac:dyDescent="0.25">
      <c r="A1465" s="3">
        <f>1458</f>
        <v>1458</v>
      </c>
      <c r="B1465" s="3" t="s">
        <v>1467</v>
      </c>
      <c r="C1465" s="3" t="s">
        <v>10</v>
      </c>
      <c r="D1465" s="3" t="s">
        <v>9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/>
      <c r="P1465" s="3"/>
      <c r="Q1465" s="3"/>
    </row>
    <row r="1466" spans="1:17" ht="15" x14ac:dyDescent="0.25">
      <c r="A1466" s="3">
        <f>1459</f>
        <v>1459</v>
      </c>
      <c r="B1466" s="3" t="s">
        <v>1468</v>
      </c>
      <c r="C1466" s="3" t="s">
        <v>10</v>
      </c>
      <c r="D1466" s="3" t="s">
        <v>9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/>
      <c r="P1466" s="3"/>
      <c r="Q1466" s="3"/>
    </row>
    <row r="1467" spans="1:17" ht="15" x14ac:dyDescent="0.25">
      <c r="A1467" s="3">
        <f>1460</f>
        <v>1460</v>
      </c>
      <c r="B1467" s="3" t="s">
        <v>1469</v>
      </c>
      <c r="C1467" s="3" t="s">
        <v>10</v>
      </c>
      <c r="D1467" s="3" t="s">
        <v>9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/>
      <c r="P1467" s="3"/>
      <c r="Q1467" s="3"/>
    </row>
    <row r="1468" spans="1:17" ht="15" x14ac:dyDescent="0.25">
      <c r="A1468" s="3">
        <f>1461</f>
        <v>1461</v>
      </c>
      <c r="B1468" s="3" t="s">
        <v>1470</v>
      </c>
      <c r="C1468" s="3" t="s">
        <v>10</v>
      </c>
      <c r="D1468" s="3" t="s">
        <v>9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/>
      <c r="P1468" s="3"/>
      <c r="Q1468" s="3"/>
    </row>
    <row r="1469" spans="1:17" ht="15" x14ac:dyDescent="0.25">
      <c r="A1469" s="3">
        <f>1462</f>
        <v>1462</v>
      </c>
      <c r="B1469" s="3" t="s">
        <v>1471</v>
      </c>
      <c r="C1469" s="3" t="s">
        <v>10</v>
      </c>
      <c r="D1469" s="3" t="s">
        <v>9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/>
      <c r="P1469" s="3"/>
      <c r="Q1469" s="3"/>
    </row>
    <row r="1470" spans="1:17" ht="15" x14ac:dyDescent="0.25">
      <c r="A1470" s="3">
        <f>1463</f>
        <v>1463</v>
      </c>
      <c r="B1470" s="3" t="s">
        <v>1472</v>
      </c>
      <c r="C1470" s="3" t="s">
        <v>10</v>
      </c>
      <c r="D1470" s="3" t="s">
        <v>9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/>
      <c r="P1470" s="3"/>
      <c r="Q1470" s="3"/>
    </row>
    <row r="1471" spans="1:17" ht="15" x14ac:dyDescent="0.25">
      <c r="A1471" s="3">
        <f>1464</f>
        <v>1464</v>
      </c>
      <c r="B1471" s="3" t="s">
        <v>1473</v>
      </c>
      <c r="C1471" s="3" t="s">
        <v>10</v>
      </c>
      <c r="D1471" s="3" t="s">
        <v>9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/>
      <c r="P1471" s="3"/>
      <c r="Q1471" s="3"/>
    </row>
    <row r="1472" spans="1:17" ht="15" x14ac:dyDescent="0.25">
      <c r="A1472" s="3">
        <f>1465</f>
        <v>1465</v>
      </c>
      <c r="B1472" s="3" t="s">
        <v>1474</v>
      </c>
      <c r="C1472" s="3" t="s">
        <v>10</v>
      </c>
      <c r="D1472" s="3" t="s">
        <v>9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/>
      <c r="P1472" s="3"/>
      <c r="Q1472" s="3"/>
    </row>
    <row r="1473" spans="1:17" ht="15" x14ac:dyDescent="0.25">
      <c r="A1473" s="3">
        <f>1466</f>
        <v>1466</v>
      </c>
      <c r="B1473" s="3" t="s">
        <v>1475</v>
      </c>
      <c r="C1473" s="3" t="s">
        <v>10</v>
      </c>
      <c r="D1473" s="3" t="s">
        <v>9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/>
      <c r="P1473" s="3"/>
      <c r="Q1473" s="3"/>
    </row>
    <row r="1474" spans="1:17" ht="15" x14ac:dyDescent="0.25">
      <c r="A1474" s="3">
        <f>1467</f>
        <v>1467</v>
      </c>
      <c r="B1474" s="3" t="s">
        <v>1476</v>
      </c>
      <c r="C1474" s="3" t="s">
        <v>10</v>
      </c>
      <c r="D1474" s="3" t="s">
        <v>9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/>
      <c r="P1474" s="3"/>
      <c r="Q1474" s="3"/>
    </row>
    <row r="1475" spans="1:17" ht="15" x14ac:dyDescent="0.25">
      <c r="A1475" s="3">
        <f>1468</f>
        <v>1468</v>
      </c>
      <c r="B1475" s="3" t="s">
        <v>1477</v>
      </c>
      <c r="C1475" s="3" t="s">
        <v>10</v>
      </c>
      <c r="D1475" s="3" t="s">
        <v>9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/>
      <c r="P1475" s="3"/>
      <c r="Q1475" s="3"/>
    </row>
    <row r="1476" spans="1:17" ht="15" x14ac:dyDescent="0.25">
      <c r="A1476" s="3">
        <f>1469</f>
        <v>1469</v>
      </c>
      <c r="B1476" s="3" t="s">
        <v>1478</v>
      </c>
      <c r="C1476" s="3" t="s">
        <v>10</v>
      </c>
      <c r="D1476" s="3" t="s">
        <v>9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/>
      <c r="P1476" s="3"/>
      <c r="Q1476" s="3"/>
    </row>
    <row r="1477" spans="1:17" ht="15" x14ac:dyDescent="0.25">
      <c r="A1477" s="3">
        <f>1470</f>
        <v>1470</v>
      </c>
      <c r="B1477" s="3" t="s">
        <v>1479</v>
      </c>
      <c r="C1477" s="3" t="s">
        <v>10</v>
      </c>
      <c r="D1477" s="3" t="s">
        <v>9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/>
      <c r="P1477" s="3"/>
      <c r="Q1477" s="3"/>
    </row>
    <row r="1478" spans="1:17" ht="15" x14ac:dyDescent="0.25">
      <c r="A1478" s="3">
        <f>1471</f>
        <v>1471</v>
      </c>
      <c r="B1478" s="3" t="s">
        <v>1480</v>
      </c>
      <c r="C1478" s="3" t="s">
        <v>10</v>
      </c>
      <c r="D1478" s="3" t="s">
        <v>9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/>
      <c r="P1478" s="3"/>
      <c r="Q1478" s="3"/>
    </row>
    <row r="1479" spans="1:17" ht="15" x14ac:dyDescent="0.25">
      <c r="A1479" s="3">
        <f>1472</f>
        <v>1472</v>
      </c>
      <c r="B1479" s="3" t="s">
        <v>1481</v>
      </c>
      <c r="C1479" s="3" t="s">
        <v>10</v>
      </c>
      <c r="D1479" s="3" t="s">
        <v>9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/>
      <c r="P1479" s="3"/>
      <c r="Q1479" s="3"/>
    </row>
    <row r="1480" spans="1:17" ht="15" x14ac:dyDescent="0.25">
      <c r="A1480" s="3">
        <f>1473</f>
        <v>1473</v>
      </c>
      <c r="B1480" s="3" t="s">
        <v>1482</v>
      </c>
      <c r="C1480" s="3" t="s">
        <v>10</v>
      </c>
      <c r="D1480" s="3" t="s">
        <v>9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/>
      <c r="P1480" s="3"/>
      <c r="Q1480" s="3"/>
    </row>
    <row r="1481" spans="1:17" ht="15" x14ac:dyDescent="0.25">
      <c r="A1481" s="3">
        <f>1474</f>
        <v>1474</v>
      </c>
      <c r="B1481" s="3" t="s">
        <v>1483</v>
      </c>
      <c r="C1481" s="3" t="s">
        <v>10</v>
      </c>
      <c r="D1481" s="3" t="s">
        <v>9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/>
      <c r="P1481" s="3"/>
      <c r="Q1481" s="3"/>
    </row>
    <row r="1482" spans="1:17" ht="15" x14ac:dyDescent="0.25">
      <c r="A1482" s="3">
        <f>1475</f>
        <v>1475</v>
      </c>
      <c r="B1482" s="3" t="s">
        <v>1484</v>
      </c>
      <c r="C1482" s="3" t="s">
        <v>10</v>
      </c>
      <c r="D1482" s="3" t="s">
        <v>9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/>
      <c r="P1482" s="3"/>
      <c r="Q1482" s="3"/>
    </row>
    <row r="1483" spans="1:17" ht="15" x14ac:dyDescent="0.25">
      <c r="A1483" s="3">
        <f>1476</f>
        <v>1476</v>
      </c>
      <c r="B1483" s="3" t="s">
        <v>1485</v>
      </c>
      <c r="C1483" s="3" t="s">
        <v>10</v>
      </c>
      <c r="D1483" s="3" t="s">
        <v>9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/>
      <c r="P1483" s="3"/>
      <c r="Q1483" s="3"/>
    </row>
    <row r="1484" spans="1:17" ht="15" x14ac:dyDescent="0.25">
      <c r="A1484" s="3">
        <f>1477</f>
        <v>1477</v>
      </c>
      <c r="B1484" s="3" t="s">
        <v>1486</v>
      </c>
      <c r="C1484" s="3" t="s">
        <v>10</v>
      </c>
      <c r="D1484" s="3" t="s">
        <v>9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/>
      <c r="P1484" s="3"/>
      <c r="Q1484" s="3"/>
    </row>
    <row r="1485" spans="1:17" ht="15" x14ac:dyDescent="0.25">
      <c r="A1485" s="3">
        <f>1478</f>
        <v>1478</v>
      </c>
      <c r="B1485" s="3" t="s">
        <v>1487</v>
      </c>
      <c r="C1485" s="3" t="s">
        <v>10</v>
      </c>
      <c r="D1485" s="3" t="s">
        <v>9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/>
      <c r="P1485" s="3"/>
      <c r="Q1485" s="3"/>
    </row>
    <row r="1486" spans="1:17" ht="15" x14ac:dyDescent="0.25">
      <c r="A1486" s="3">
        <f>1479</f>
        <v>1479</v>
      </c>
      <c r="B1486" s="3" t="s">
        <v>1488</v>
      </c>
      <c r="C1486" s="3" t="s">
        <v>10</v>
      </c>
      <c r="D1486" s="3" t="s">
        <v>9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/>
      <c r="P1486" s="3"/>
      <c r="Q1486" s="3"/>
    </row>
    <row r="1487" spans="1:17" ht="15" x14ac:dyDescent="0.25">
      <c r="A1487" s="3">
        <f>1480</f>
        <v>1480</v>
      </c>
      <c r="B1487" s="3" t="s">
        <v>1489</v>
      </c>
      <c r="C1487" s="3" t="s">
        <v>10</v>
      </c>
      <c r="D1487" s="3" t="s">
        <v>9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/>
      <c r="P1487" s="3"/>
      <c r="Q1487" s="3"/>
    </row>
    <row r="1488" spans="1:17" ht="15" x14ac:dyDescent="0.25">
      <c r="A1488" s="3">
        <f>1481</f>
        <v>1481</v>
      </c>
      <c r="B1488" s="3" t="s">
        <v>1490</v>
      </c>
      <c r="C1488" s="3" t="s">
        <v>10</v>
      </c>
      <c r="D1488" s="3" t="s">
        <v>9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/>
      <c r="P1488" s="3"/>
      <c r="Q1488" s="3"/>
    </row>
    <row r="1489" spans="1:17" ht="15" x14ac:dyDescent="0.25">
      <c r="A1489" s="3">
        <f>1482</f>
        <v>1482</v>
      </c>
      <c r="B1489" s="3" t="s">
        <v>1491</v>
      </c>
      <c r="C1489" s="3" t="s">
        <v>10</v>
      </c>
      <c r="D1489" s="3" t="s">
        <v>9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/>
      <c r="P1489" s="3"/>
      <c r="Q1489" s="3"/>
    </row>
    <row r="1490" spans="1:17" ht="15" x14ac:dyDescent="0.25">
      <c r="A1490" s="3">
        <f>1483</f>
        <v>1483</v>
      </c>
      <c r="B1490" s="3" t="s">
        <v>1492</v>
      </c>
      <c r="C1490" s="3" t="s">
        <v>10</v>
      </c>
      <c r="D1490" s="3" t="s">
        <v>9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/>
      <c r="P1490" s="3"/>
      <c r="Q1490" s="3"/>
    </row>
    <row r="1491" spans="1:17" ht="15" x14ac:dyDescent="0.25">
      <c r="A1491" s="3">
        <f>1484</f>
        <v>1484</v>
      </c>
      <c r="B1491" s="3" t="s">
        <v>1493</v>
      </c>
      <c r="C1491" s="3" t="s">
        <v>9</v>
      </c>
      <c r="D1491" s="3" t="s">
        <v>10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/>
      <c r="P1491" s="3"/>
      <c r="Q1491" s="3"/>
    </row>
    <row r="1492" spans="1:17" ht="15" x14ac:dyDescent="0.25">
      <c r="A1492" s="3">
        <f>1485</f>
        <v>1485</v>
      </c>
      <c r="B1492" s="3" t="s">
        <v>1494</v>
      </c>
      <c r="C1492" s="3" t="s">
        <v>9</v>
      </c>
      <c r="D1492" s="3" t="s">
        <v>10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/>
      <c r="P1492" s="3"/>
      <c r="Q1492" s="3"/>
    </row>
    <row r="1493" spans="1:17" ht="15" x14ac:dyDescent="0.25">
      <c r="A1493" s="3">
        <f>1486</f>
        <v>1486</v>
      </c>
      <c r="B1493" s="3" t="s">
        <v>1495</v>
      </c>
      <c r="C1493" s="3" t="s">
        <v>10</v>
      </c>
      <c r="D1493" s="3" t="s">
        <v>9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/>
      <c r="P1493" s="3"/>
      <c r="Q1493" s="3"/>
    </row>
    <row r="1494" spans="1:17" ht="15" x14ac:dyDescent="0.25">
      <c r="A1494" s="3">
        <f>1487</f>
        <v>1487</v>
      </c>
      <c r="B1494" s="3" t="s">
        <v>1496</v>
      </c>
      <c r="C1494" s="3" t="s">
        <v>10</v>
      </c>
      <c r="D1494" s="3" t="s">
        <v>9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/>
      <c r="P1494" s="3"/>
      <c r="Q1494" s="3"/>
    </row>
    <row r="1495" spans="1:17" ht="15" x14ac:dyDescent="0.25">
      <c r="A1495" s="3">
        <f>1488</f>
        <v>1488</v>
      </c>
      <c r="B1495" s="3" t="s">
        <v>1497</v>
      </c>
      <c r="C1495" s="3" t="s">
        <v>10</v>
      </c>
      <c r="D1495" s="3" t="s">
        <v>9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/>
      <c r="P1495" s="3"/>
      <c r="Q1495" s="3"/>
    </row>
    <row r="1496" spans="1:17" ht="15" x14ac:dyDescent="0.25">
      <c r="A1496" s="3">
        <f>1489</f>
        <v>1489</v>
      </c>
      <c r="B1496" s="3" t="s">
        <v>1498</v>
      </c>
      <c r="C1496" s="3" t="s">
        <v>10</v>
      </c>
      <c r="D1496" s="3" t="s">
        <v>9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/>
      <c r="P1496" s="3"/>
      <c r="Q1496" s="3"/>
    </row>
    <row r="1497" spans="1:17" ht="15" x14ac:dyDescent="0.25">
      <c r="A1497" s="3">
        <f>1490</f>
        <v>1490</v>
      </c>
      <c r="B1497" s="3" t="s">
        <v>1499</v>
      </c>
      <c r="C1497" s="3" t="s">
        <v>10</v>
      </c>
      <c r="D1497" s="3" t="s">
        <v>9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/>
      <c r="P1497" s="3"/>
      <c r="Q1497" s="3"/>
    </row>
    <row r="1498" spans="1:17" ht="15" x14ac:dyDescent="0.25">
      <c r="A1498" s="3">
        <f>1491</f>
        <v>1491</v>
      </c>
      <c r="B1498" s="3" t="s">
        <v>1500</v>
      </c>
      <c r="C1498" s="3" t="s">
        <v>10</v>
      </c>
      <c r="D1498" s="3" t="s">
        <v>9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/>
      <c r="P1498" s="3"/>
      <c r="Q1498" s="3"/>
    </row>
    <row r="1499" spans="1:17" ht="15" x14ac:dyDescent="0.25">
      <c r="A1499" s="3">
        <f>1492</f>
        <v>1492</v>
      </c>
      <c r="B1499" s="3" t="s">
        <v>1501</v>
      </c>
      <c r="C1499" s="3" t="s">
        <v>10</v>
      </c>
      <c r="D1499" s="3" t="s">
        <v>9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/>
      <c r="P1499" s="3"/>
      <c r="Q1499" s="3"/>
    </row>
    <row r="1500" spans="1:17" ht="15" x14ac:dyDescent="0.25">
      <c r="A1500" s="3">
        <f>1493</f>
        <v>1493</v>
      </c>
      <c r="B1500" s="3" t="s">
        <v>1502</v>
      </c>
      <c r="C1500" s="3" t="s">
        <v>10</v>
      </c>
      <c r="D1500" s="3" t="s">
        <v>9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/>
      <c r="P1500" s="3"/>
      <c r="Q1500" s="3"/>
    </row>
    <row r="1501" spans="1:17" ht="15" x14ac:dyDescent="0.25">
      <c r="A1501" s="3">
        <f>1494</f>
        <v>1494</v>
      </c>
      <c r="B1501" s="3" t="s">
        <v>1503</v>
      </c>
      <c r="C1501" s="3" t="s">
        <v>10</v>
      </c>
      <c r="D1501" s="3" t="s">
        <v>9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/>
      <c r="P1501" s="3"/>
      <c r="Q1501" s="3"/>
    </row>
    <row r="1502" spans="1:17" ht="15" x14ac:dyDescent="0.25">
      <c r="A1502" s="3">
        <f>1495</f>
        <v>1495</v>
      </c>
      <c r="B1502" s="3" t="s">
        <v>1504</v>
      </c>
      <c r="C1502" s="3" t="s">
        <v>10</v>
      </c>
      <c r="D1502" s="3" t="s">
        <v>9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/>
      <c r="P1502" s="3"/>
      <c r="Q1502" s="3"/>
    </row>
    <row r="1503" spans="1:17" ht="15" x14ac:dyDescent="0.25">
      <c r="A1503" s="3">
        <f>1496</f>
        <v>1496</v>
      </c>
      <c r="B1503" s="3" t="s">
        <v>1505</v>
      </c>
      <c r="C1503" s="3" t="s">
        <v>10</v>
      </c>
      <c r="D1503" s="3" t="s">
        <v>9</v>
      </c>
      <c r="E1503" s="3">
        <v>25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/>
      <c r="P1503" s="3"/>
      <c r="Q1503" s="3"/>
    </row>
    <row r="1504" spans="1:17" ht="15" x14ac:dyDescent="0.25">
      <c r="A1504" s="3">
        <f>1497</f>
        <v>1497</v>
      </c>
      <c r="B1504" s="3" t="s">
        <v>1506</v>
      </c>
      <c r="C1504" s="3" t="s">
        <v>10</v>
      </c>
      <c r="D1504" s="3" t="s">
        <v>9</v>
      </c>
      <c r="E1504" s="3">
        <v>25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/>
      <c r="P1504" s="3"/>
      <c r="Q1504" s="3"/>
    </row>
    <row r="1505" spans="1:17" ht="15" x14ac:dyDescent="0.25">
      <c r="A1505" s="3">
        <f>1498</f>
        <v>1498</v>
      </c>
      <c r="B1505" s="3" t="s">
        <v>1507</v>
      </c>
      <c r="C1505" s="3" t="s">
        <v>10</v>
      </c>
      <c r="D1505" s="3" t="s">
        <v>9</v>
      </c>
      <c r="E1505" s="3">
        <v>25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/>
      <c r="P1505" s="3"/>
      <c r="Q1505" s="3"/>
    </row>
    <row r="1506" spans="1:17" ht="15" x14ac:dyDescent="0.25">
      <c r="A1506" s="3">
        <f>1499</f>
        <v>1499</v>
      </c>
      <c r="B1506" s="3" t="s">
        <v>1508</v>
      </c>
      <c r="C1506" s="3" t="s">
        <v>10</v>
      </c>
      <c r="D1506" s="3" t="s">
        <v>9</v>
      </c>
      <c r="E1506" s="3">
        <v>25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/>
      <c r="P1506" s="3"/>
      <c r="Q1506" s="3"/>
    </row>
    <row r="1507" spans="1:17" ht="15" x14ac:dyDescent="0.25">
      <c r="A1507" s="3">
        <f>1500</f>
        <v>1500</v>
      </c>
      <c r="B1507" s="3" t="s">
        <v>1509</v>
      </c>
      <c r="C1507" s="3" t="s">
        <v>10</v>
      </c>
      <c r="D1507" s="3" t="s">
        <v>9</v>
      </c>
      <c r="E1507" s="3">
        <v>25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/>
      <c r="P1507" s="3"/>
      <c r="Q1507" s="3"/>
    </row>
    <row r="1508" spans="1:17" ht="15" x14ac:dyDescent="0.25">
      <c r="A1508" s="3">
        <f>1501</f>
        <v>1501</v>
      </c>
      <c r="B1508" s="3" t="s">
        <v>1510</v>
      </c>
      <c r="C1508" s="3" t="s">
        <v>10</v>
      </c>
      <c r="D1508" s="3" t="s">
        <v>9</v>
      </c>
      <c r="E1508" s="3">
        <v>25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/>
      <c r="P1508" s="3"/>
      <c r="Q1508" s="3"/>
    </row>
    <row r="1509" spans="1:17" ht="15" x14ac:dyDescent="0.25">
      <c r="A1509" s="3">
        <f>1502</f>
        <v>1502</v>
      </c>
      <c r="B1509" s="3" t="s">
        <v>1511</v>
      </c>
      <c r="C1509" s="3" t="s">
        <v>10</v>
      </c>
      <c r="D1509" s="3" t="s">
        <v>9</v>
      </c>
      <c r="E1509" s="3">
        <v>25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/>
      <c r="P1509" s="3"/>
      <c r="Q1509" s="3"/>
    </row>
    <row r="1510" spans="1:17" ht="15" x14ac:dyDescent="0.25">
      <c r="A1510" s="3">
        <f>1503</f>
        <v>1503</v>
      </c>
      <c r="B1510" s="3" t="s">
        <v>1512</v>
      </c>
      <c r="C1510" s="3" t="s">
        <v>10</v>
      </c>
      <c r="D1510" s="3" t="s">
        <v>9</v>
      </c>
      <c r="E1510" s="3">
        <v>25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/>
      <c r="P1510" s="3"/>
      <c r="Q1510" s="3"/>
    </row>
    <row r="1511" spans="1:17" ht="15" x14ac:dyDescent="0.25">
      <c r="A1511" s="3">
        <f>1504</f>
        <v>1504</v>
      </c>
      <c r="B1511" s="3" t="s">
        <v>1513</v>
      </c>
      <c r="C1511" s="3" t="s">
        <v>10</v>
      </c>
      <c r="D1511" s="3" t="s">
        <v>9</v>
      </c>
      <c r="E1511" s="3">
        <v>25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/>
      <c r="P1511" s="3"/>
      <c r="Q1511" s="3"/>
    </row>
    <row r="1512" spans="1:17" ht="15" x14ac:dyDescent="0.25">
      <c r="A1512" s="3">
        <f>1505</f>
        <v>1505</v>
      </c>
      <c r="B1512" s="3" t="s">
        <v>1514</v>
      </c>
      <c r="C1512" s="3" t="s">
        <v>10</v>
      </c>
      <c r="D1512" s="3" t="s">
        <v>9</v>
      </c>
      <c r="E1512" s="3">
        <v>25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/>
      <c r="P1512" s="3"/>
      <c r="Q1512" s="3"/>
    </row>
    <row r="1513" spans="1:17" ht="15" x14ac:dyDescent="0.25">
      <c r="A1513" s="3">
        <f>1506</f>
        <v>1506</v>
      </c>
      <c r="B1513" s="3" t="s">
        <v>1515</v>
      </c>
      <c r="C1513" s="3" t="s">
        <v>10</v>
      </c>
      <c r="D1513" s="3" t="s">
        <v>9</v>
      </c>
      <c r="E1513" s="3">
        <v>25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/>
      <c r="P1513" s="3"/>
      <c r="Q1513" s="3"/>
    </row>
    <row r="1514" spans="1:17" ht="15" x14ac:dyDescent="0.25">
      <c r="A1514" s="3">
        <f>1507</f>
        <v>1507</v>
      </c>
      <c r="B1514" s="3" t="s">
        <v>1516</v>
      </c>
      <c r="C1514" s="3" t="s">
        <v>10</v>
      </c>
      <c r="D1514" s="3" t="s">
        <v>9</v>
      </c>
      <c r="E1514" s="3">
        <v>25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/>
      <c r="P1514" s="3"/>
      <c r="Q1514" s="3"/>
    </row>
    <row r="1515" spans="1:17" ht="15" x14ac:dyDescent="0.25">
      <c r="A1515" s="3">
        <f>1508</f>
        <v>1508</v>
      </c>
      <c r="B1515" s="3" t="s">
        <v>1517</v>
      </c>
      <c r="C1515" s="3" t="s">
        <v>10</v>
      </c>
      <c r="D1515" s="3" t="s">
        <v>9</v>
      </c>
      <c r="E1515" s="3">
        <v>25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/>
      <c r="P1515" s="3"/>
      <c r="Q1515" s="3"/>
    </row>
    <row r="1516" spans="1:17" ht="15" x14ac:dyDescent="0.25">
      <c r="A1516" s="3">
        <f>1509</f>
        <v>1509</v>
      </c>
      <c r="B1516" s="3" t="s">
        <v>1518</v>
      </c>
      <c r="C1516" s="3" t="s">
        <v>10</v>
      </c>
      <c r="D1516" s="3" t="s">
        <v>9</v>
      </c>
      <c r="E1516" s="3">
        <v>25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/>
      <c r="P1516" s="3"/>
      <c r="Q1516" s="3"/>
    </row>
    <row r="1517" spans="1:17" ht="15" x14ac:dyDescent="0.25">
      <c r="A1517" s="3">
        <f>1510</f>
        <v>1510</v>
      </c>
      <c r="B1517" s="3" t="s">
        <v>1519</v>
      </c>
      <c r="C1517" s="3" t="s">
        <v>10</v>
      </c>
      <c r="D1517" s="3" t="s">
        <v>9</v>
      </c>
      <c r="E1517" s="3">
        <v>25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/>
      <c r="P1517" s="3"/>
      <c r="Q1517" s="3"/>
    </row>
    <row r="1518" spans="1:17" ht="15" x14ac:dyDescent="0.25">
      <c r="A1518" s="3">
        <f>1511</f>
        <v>1511</v>
      </c>
      <c r="B1518" s="3" t="s">
        <v>1520</v>
      </c>
      <c r="C1518" s="3" t="s">
        <v>10</v>
      </c>
      <c r="D1518" s="3" t="s">
        <v>9</v>
      </c>
      <c r="E1518" s="3">
        <v>25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/>
      <c r="P1518" s="3"/>
      <c r="Q1518" s="3"/>
    </row>
    <row r="1519" spans="1:17" ht="15" x14ac:dyDescent="0.25">
      <c r="A1519" s="3">
        <f>1512</f>
        <v>1512</v>
      </c>
      <c r="B1519" s="3" t="s">
        <v>1521</v>
      </c>
      <c r="C1519" s="3" t="s">
        <v>10</v>
      </c>
      <c r="D1519" s="3" t="s">
        <v>9</v>
      </c>
      <c r="E1519" s="3">
        <v>25</v>
      </c>
      <c r="F1519" s="3">
        <v>60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/>
      <c r="P1519" s="3"/>
      <c r="Q1519" s="3"/>
    </row>
    <row r="1520" spans="1:17" ht="15" x14ac:dyDescent="0.25">
      <c r="A1520" s="3">
        <f>1513</f>
        <v>1513</v>
      </c>
      <c r="B1520" s="3" t="s">
        <v>1522</v>
      </c>
      <c r="C1520" s="3" t="s">
        <v>10</v>
      </c>
      <c r="D1520" s="3" t="s">
        <v>9</v>
      </c>
      <c r="E1520" s="3">
        <v>25</v>
      </c>
      <c r="F1520" s="3">
        <v>60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/>
      <c r="P1520" s="3"/>
      <c r="Q1520" s="3"/>
    </row>
    <row r="1521" spans="1:17" ht="15" x14ac:dyDescent="0.25">
      <c r="A1521" s="3">
        <f>1514</f>
        <v>1514</v>
      </c>
      <c r="B1521" s="3" t="s">
        <v>1523</v>
      </c>
      <c r="C1521" s="3" t="s">
        <v>10</v>
      </c>
      <c r="D1521" s="3" t="s">
        <v>9</v>
      </c>
      <c r="E1521" s="3">
        <v>25</v>
      </c>
      <c r="F1521" s="3">
        <v>60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/>
      <c r="P1521" s="3"/>
      <c r="Q1521" s="3"/>
    </row>
    <row r="1522" spans="1:17" ht="15" x14ac:dyDescent="0.25">
      <c r="A1522" s="3">
        <f>1515</f>
        <v>1515</v>
      </c>
      <c r="B1522" s="3" t="s">
        <v>1524</v>
      </c>
      <c r="C1522" s="3" t="s">
        <v>10</v>
      </c>
      <c r="D1522" s="3" t="s">
        <v>9</v>
      </c>
      <c r="E1522" s="3">
        <v>25</v>
      </c>
      <c r="F1522" s="3">
        <v>60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/>
      <c r="P1522" s="3"/>
      <c r="Q1522" s="3"/>
    </row>
    <row r="1523" spans="1:17" ht="15" x14ac:dyDescent="0.25">
      <c r="A1523" s="3">
        <f>1516</f>
        <v>1516</v>
      </c>
      <c r="B1523" s="3" t="s">
        <v>1525</v>
      </c>
      <c r="C1523" s="3" t="s">
        <v>10</v>
      </c>
      <c r="D1523" s="3" t="s">
        <v>9</v>
      </c>
      <c r="E1523" s="3">
        <v>25</v>
      </c>
      <c r="F1523" s="3">
        <v>60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/>
      <c r="P1523" s="3"/>
      <c r="Q1523" s="3"/>
    </row>
    <row r="1524" spans="1:17" ht="15" x14ac:dyDescent="0.25">
      <c r="A1524" s="3">
        <f>1517</f>
        <v>1517</v>
      </c>
      <c r="B1524" s="3" t="s">
        <v>1526</v>
      </c>
      <c r="C1524" s="3" t="s">
        <v>10</v>
      </c>
      <c r="D1524" s="3" t="s">
        <v>9</v>
      </c>
      <c r="E1524" s="3">
        <v>25</v>
      </c>
      <c r="F1524" s="3">
        <v>60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/>
      <c r="P1524" s="3"/>
      <c r="Q1524" s="3"/>
    </row>
    <row r="1525" spans="1:17" ht="15" x14ac:dyDescent="0.25">
      <c r="A1525" s="3">
        <f>1518</f>
        <v>1518</v>
      </c>
      <c r="B1525" s="3" t="s">
        <v>1527</v>
      </c>
      <c r="C1525" s="3" t="s">
        <v>10</v>
      </c>
      <c r="D1525" s="3" t="s">
        <v>9</v>
      </c>
      <c r="E1525" s="3">
        <v>25</v>
      </c>
      <c r="F1525" s="3">
        <v>60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/>
      <c r="P1525" s="3"/>
      <c r="Q1525" s="3"/>
    </row>
    <row r="1526" spans="1:17" ht="15" x14ac:dyDescent="0.25">
      <c r="A1526" s="3">
        <f>1519</f>
        <v>1519</v>
      </c>
      <c r="B1526" s="3" t="s">
        <v>1528</v>
      </c>
      <c r="C1526" s="3" t="s">
        <v>10</v>
      </c>
      <c r="D1526" s="3" t="s">
        <v>9</v>
      </c>
      <c r="E1526" s="3">
        <v>25</v>
      </c>
      <c r="F1526" s="3">
        <v>60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/>
      <c r="P1526" s="3"/>
      <c r="Q1526" s="3"/>
    </row>
    <row r="1527" spans="1:17" ht="15" x14ac:dyDescent="0.25">
      <c r="A1527" s="3">
        <f>1520</f>
        <v>1520</v>
      </c>
      <c r="B1527" s="3" t="s">
        <v>1529</v>
      </c>
      <c r="C1527" s="3" t="s">
        <v>10</v>
      </c>
      <c r="D1527" s="3" t="s">
        <v>9</v>
      </c>
      <c r="E1527" s="3">
        <v>25</v>
      </c>
      <c r="F1527" s="3">
        <v>60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/>
      <c r="P1527" s="3"/>
      <c r="Q1527" s="3"/>
    </row>
    <row r="1528" spans="1:17" ht="15" x14ac:dyDescent="0.25">
      <c r="A1528" s="3">
        <f>1521</f>
        <v>1521</v>
      </c>
      <c r="B1528" s="3" t="s">
        <v>1530</v>
      </c>
      <c r="C1528" s="3" t="s">
        <v>10</v>
      </c>
      <c r="D1528" s="3" t="s">
        <v>9</v>
      </c>
      <c r="E1528" s="3">
        <v>25</v>
      </c>
      <c r="F1528" s="3">
        <v>60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/>
      <c r="P1528" s="3"/>
      <c r="Q1528" s="3"/>
    </row>
    <row r="1529" spans="1:17" ht="15" x14ac:dyDescent="0.25">
      <c r="A1529" s="3">
        <f>1522</f>
        <v>1522</v>
      </c>
      <c r="B1529" s="3" t="s">
        <v>1531</v>
      </c>
      <c r="C1529" s="3" t="s">
        <v>10</v>
      </c>
      <c r="D1529" s="3" t="s">
        <v>9</v>
      </c>
      <c r="E1529" s="3">
        <v>25</v>
      </c>
      <c r="F1529" s="3">
        <v>60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/>
      <c r="P1529" s="3"/>
      <c r="Q1529" s="3"/>
    </row>
    <row r="1530" spans="1:17" ht="15" x14ac:dyDescent="0.25">
      <c r="A1530" s="3">
        <f>1523</f>
        <v>1523</v>
      </c>
      <c r="B1530" s="3" t="s">
        <v>1532</v>
      </c>
      <c r="C1530" s="3" t="s">
        <v>10</v>
      </c>
      <c r="D1530" s="3" t="s">
        <v>9</v>
      </c>
      <c r="E1530" s="3">
        <v>25</v>
      </c>
      <c r="F1530" s="3">
        <v>60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/>
      <c r="P1530" s="3"/>
      <c r="Q1530" s="3"/>
    </row>
    <row r="1531" spans="1:17" ht="15" x14ac:dyDescent="0.25">
      <c r="A1531" s="3">
        <f>1524</f>
        <v>1524</v>
      </c>
      <c r="B1531" s="3" t="s">
        <v>1533</v>
      </c>
      <c r="C1531" s="3" t="s">
        <v>10</v>
      </c>
      <c r="D1531" s="3" t="s">
        <v>9</v>
      </c>
      <c r="E1531" s="3">
        <v>25</v>
      </c>
      <c r="F1531" s="3">
        <v>60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/>
      <c r="P1531" s="3"/>
      <c r="Q1531" s="3"/>
    </row>
    <row r="1532" spans="1:17" ht="15" x14ac:dyDescent="0.25">
      <c r="A1532" s="3">
        <f>1525</f>
        <v>1525</v>
      </c>
      <c r="B1532" s="3" t="s">
        <v>1534</v>
      </c>
      <c r="C1532" s="3" t="s">
        <v>10</v>
      </c>
      <c r="D1532" s="3" t="s">
        <v>9</v>
      </c>
      <c r="E1532" s="3">
        <v>25</v>
      </c>
      <c r="F1532" s="3">
        <v>60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/>
      <c r="P1532" s="3"/>
      <c r="Q1532" s="3"/>
    </row>
    <row r="1533" spans="1:17" ht="15" x14ac:dyDescent="0.25">
      <c r="A1533" s="3">
        <f>1526</f>
        <v>1526</v>
      </c>
      <c r="B1533" s="3" t="s">
        <v>1535</v>
      </c>
      <c r="C1533" s="3" t="s">
        <v>10</v>
      </c>
      <c r="D1533" s="3" t="s">
        <v>9</v>
      </c>
      <c r="E1533" s="3">
        <v>25</v>
      </c>
      <c r="F1533" s="3">
        <v>60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/>
      <c r="P1533" s="3"/>
      <c r="Q1533" s="3"/>
    </row>
    <row r="1534" spans="1:17" ht="15" x14ac:dyDescent="0.25">
      <c r="A1534" s="3">
        <f>1527</f>
        <v>1527</v>
      </c>
      <c r="B1534" s="3" t="s">
        <v>1536</v>
      </c>
      <c r="C1534" s="3" t="s">
        <v>10</v>
      </c>
      <c r="D1534" s="3" t="s">
        <v>9</v>
      </c>
      <c r="E1534" s="3">
        <v>25</v>
      </c>
      <c r="F1534" s="3">
        <v>60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/>
      <c r="P1534" s="3"/>
      <c r="Q1534" s="3"/>
    </row>
    <row r="1535" spans="1:17" ht="15" x14ac:dyDescent="0.25">
      <c r="A1535" s="3">
        <f>1528</f>
        <v>1528</v>
      </c>
      <c r="B1535" s="3" t="s">
        <v>1537</v>
      </c>
      <c r="C1535" s="3" t="s">
        <v>10</v>
      </c>
      <c r="D1535" s="3" t="s">
        <v>9</v>
      </c>
      <c r="E1535" s="3">
        <v>25</v>
      </c>
      <c r="F1535" s="3">
        <v>60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/>
      <c r="P1535" s="3"/>
      <c r="Q1535" s="3"/>
    </row>
    <row r="1536" spans="1:17" ht="15" x14ac:dyDescent="0.25">
      <c r="A1536" s="3">
        <f>1529</f>
        <v>1529</v>
      </c>
      <c r="B1536" s="3" t="s">
        <v>1538</v>
      </c>
      <c r="C1536" s="3" t="s">
        <v>10</v>
      </c>
      <c r="D1536" s="3" t="s">
        <v>9</v>
      </c>
      <c r="E1536" s="3">
        <v>25</v>
      </c>
      <c r="F1536" s="3">
        <v>60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/>
      <c r="P1536" s="3"/>
      <c r="Q1536" s="3"/>
    </row>
    <row r="1537" spans="1:17" ht="15" x14ac:dyDescent="0.25">
      <c r="A1537" s="3">
        <f>1530</f>
        <v>1530</v>
      </c>
      <c r="B1537" s="3" t="s">
        <v>1539</v>
      </c>
      <c r="C1537" s="3" t="s">
        <v>10</v>
      </c>
      <c r="D1537" s="3" t="s">
        <v>9</v>
      </c>
      <c r="E1537" s="3">
        <v>25</v>
      </c>
      <c r="F1537" s="3">
        <v>60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/>
      <c r="P1537" s="3"/>
      <c r="Q1537" s="3"/>
    </row>
    <row r="1538" spans="1:17" ht="15" x14ac:dyDescent="0.25">
      <c r="A1538" s="3">
        <f>1531</f>
        <v>1531</v>
      </c>
      <c r="B1538" s="3" t="s">
        <v>1540</v>
      </c>
      <c r="C1538" s="3" t="s">
        <v>10</v>
      </c>
      <c r="D1538" s="3" t="s">
        <v>9</v>
      </c>
      <c r="E1538" s="3">
        <v>25</v>
      </c>
      <c r="F1538" s="3">
        <v>60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/>
      <c r="P1538" s="3"/>
      <c r="Q1538" s="3"/>
    </row>
    <row r="1539" spans="1:17" ht="15" x14ac:dyDescent="0.25">
      <c r="A1539" s="3">
        <f>1532</f>
        <v>1532</v>
      </c>
      <c r="B1539" s="3" t="s">
        <v>1541</v>
      </c>
      <c r="C1539" s="3" t="s">
        <v>10</v>
      </c>
      <c r="D1539" s="3" t="s">
        <v>9</v>
      </c>
      <c r="E1539" s="3">
        <v>25</v>
      </c>
      <c r="F1539" s="3">
        <v>60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/>
      <c r="P1539" s="3"/>
      <c r="Q1539" s="3"/>
    </row>
    <row r="1540" spans="1:17" ht="15" x14ac:dyDescent="0.25">
      <c r="A1540" s="3">
        <f>1533</f>
        <v>1533</v>
      </c>
      <c r="B1540" s="3" t="s">
        <v>1542</v>
      </c>
      <c r="C1540" s="3" t="s">
        <v>10</v>
      </c>
      <c r="D1540" s="3" t="s">
        <v>9</v>
      </c>
      <c r="E1540" s="3">
        <v>25</v>
      </c>
      <c r="F1540" s="3">
        <v>60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/>
      <c r="P1540" s="3"/>
      <c r="Q1540" s="3"/>
    </row>
    <row r="1541" spans="1:17" ht="15" x14ac:dyDescent="0.25">
      <c r="A1541" s="3">
        <f>1534</f>
        <v>1534</v>
      </c>
      <c r="B1541" s="3" t="s">
        <v>1543</v>
      </c>
      <c r="C1541" s="3" t="s">
        <v>10</v>
      </c>
      <c r="D1541" s="3" t="s">
        <v>9</v>
      </c>
      <c r="E1541" s="3">
        <v>25</v>
      </c>
      <c r="F1541" s="3">
        <v>60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/>
      <c r="P1541" s="3"/>
      <c r="Q1541" s="3"/>
    </row>
    <row r="1542" spans="1:17" ht="15" x14ac:dyDescent="0.25">
      <c r="A1542" s="3">
        <f>1535</f>
        <v>1535</v>
      </c>
      <c r="B1542" s="3" t="s">
        <v>1544</v>
      </c>
      <c r="C1542" s="3" t="s">
        <v>10</v>
      </c>
      <c r="D1542" s="3" t="s">
        <v>9</v>
      </c>
      <c r="E1542" s="3">
        <v>25</v>
      </c>
      <c r="F1542" s="3">
        <v>60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/>
      <c r="P1542" s="3"/>
      <c r="Q1542" s="3"/>
    </row>
    <row r="1543" spans="1:17" ht="15" x14ac:dyDescent="0.25">
      <c r="A1543" s="3">
        <f>1536</f>
        <v>1536</v>
      </c>
      <c r="B1543" s="3" t="s">
        <v>1545</v>
      </c>
      <c r="C1543" s="3" t="s">
        <v>10</v>
      </c>
      <c r="D1543" s="3" t="s">
        <v>9</v>
      </c>
      <c r="E1543" s="3">
        <v>25</v>
      </c>
      <c r="F1543" s="3">
        <v>60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/>
      <c r="P1543" s="3"/>
      <c r="Q1543" s="3"/>
    </row>
    <row r="1544" spans="1:17" ht="15" x14ac:dyDescent="0.25">
      <c r="A1544" s="3">
        <f>1537</f>
        <v>1537</v>
      </c>
      <c r="B1544" s="3" t="s">
        <v>1546</v>
      </c>
      <c r="C1544" s="3" t="s">
        <v>10</v>
      </c>
      <c r="D1544" s="3" t="s">
        <v>9</v>
      </c>
      <c r="E1544" s="3">
        <v>25</v>
      </c>
      <c r="F1544" s="3">
        <v>60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/>
      <c r="P1544" s="3"/>
      <c r="Q1544" s="3"/>
    </row>
    <row r="1545" spans="1:17" ht="15" x14ac:dyDescent="0.25">
      <c r="A1545" s="3">
        <f>1538</f>
        <v>1538</v>
      </c>
      <c r="B1545" s="3" t="s">
        <v>1547</v>
      </c>
      <c r="C1545" s="3" t="s">
        <v>10</v>
      </c>
      <c r="D1545" s="3" t="s">
        <v>9</v>
      </c>
      <c r="E1545" s="3">
        <v>25</v>
      </c>
      <c r="F1545" s="3">
        <v>60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/>
      <c r="P1545" s="3"/>
      <c r="Q1545" s="3"/>
    </row>
    <row r="1546" spans="1:17" ht="15" x14ac:dyDescent="0.25">
      <c r="A1546" s="3">
        <f>1539</f>
        <v>1539</v>
      </c>
      <c r="B1546" s="3" t="s">
        <v>1548</v>
      </c>
      <c r="C1546" s="3" t="s">
        <v>10</v>
      </c>
      <c r="D1546" s="3" t="s">
        <v>9</v>
      </c>
      <c r="E1546" s="3">
        <v>25</v>
      </c>
      <c r="F1546" s="3">
        <v>60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/>
      <c r="P1546" s="3"/>
      <c r="Q1546" s="3"/>
    </row>
    <row r="1547" spans="1:17" ht="15" x14ac:dyDescent="0.25">
      <c r="A1547" s="3">
        <f>1540</f>
        <v>1540</v>
      </c>
      <c r="B1547" s="3" t="s">
        <v>1549</v>
      </c>
      <c r="C1547" s="3" t="s">
        <v>10</v>
      </c>
      <c r="D1547" s="3" t="s">
        <v>9</v>
      </c>
      <c r="E1547" s="3">
        <v>25</v>
      </c>
      <c r="F1547" s="3">
        <v>60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/>
      <c r="P1547" s="3"/>
      <c r="Q1547" s="3"/>
    </row>
    <row r="1548" spans="1:17" ht="15" x14ac:dyDescent="0.25">
      <c r="A1548" s="3">
        <f>1541</f>
        <v>1541</v>
      </c>
      <c r="B1548" s="3" t="s">
        <v>1550</v>
      </c>
      <c r="C1548" s="3" t="s">
        <v>10</v>
      </c>
      <c r="D1548" s="3" t="s">
        <v>9</v>
      </c>
      <c r="E1548" s="3">
        <v>25</v>
      </c>
      <c r="F1548" s="3">
        <v>60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/>
      <c r="P1548" s="3"/>
      <c r="Q1548" s="3"/>
    </row>
    <row r="1549" spans="1:17" ht="15" x14ac:dyDescent="0.25">
      <c r="A1549" s="3">
        <f>1542</f>
        <v>1542</v>
      </c>
      <c r="B1549" s="3" t="s">
        <v>1551</v>
      </c>
      <c r="C1549" s="3" t="s">
        <v>10</v>
      </c>
      <c r="D1549" s="3" t="s">
        <v>9</v>
      </c>
      <c r="E1549" s="3">
        <v>25</v>
      </c>
      <c r="F1549" s="3">
        <v>60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/>
      <c r="P1549" s="3"/>
      <c r="Q1549" s="3"/>
    </row>
    <row r="1550" spans="1:17" ht="15" x14ac:dyDescent="0.25">
      <c r="A1550" s="3">
        <f>1543</f>
        <v>1543</v>
      </c>
      <c r="B1550" s="3" t="s">
        <v>1552</v>
      </c>
      <c r="C1550" s="3" t="s">
        <v>10</v>
      </c>
      <c r="D1550" s="3" t="s">
        <v>9</v>
      </c>
      <c r="E1550" s="3">
        <v>25</v>
      </c>
      <c r="F1550" s="3">
        <v>60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/>
      <c r="P1550" s="3"/>
      <c r="Q1550" s="3"/>
    </row>
    <row r="1551" spans="1:17" ht="15" x14ac:dyDescent="0.25">
      <c r="A1551" s="3">
        <f>1544</f>
        <v>1544</v>
      </c>
      <c r="B1551" s="3" t="s">
        <v>1553</v>
      </c>
      <c r="C1551" s="3" t="s">
        <v>10</v>
      </c>
      <c r="D1551" s="3" t="s">
        <v>9</v>
      </c>
      <c r="E1551" s="3">
        <v>25</v>
      </c>
      <c r="F1551" s="3">
        <v>60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/>
      <c r="P1551" s="3"/>
      <c r="Q1551" s="3"/>
    </row>
    <row r="1552" spans="1:17" ht="15" x14ac:dyDescent="0.25">
      <c r="A1552" s="3">
        <f>1545</f>
        <v>1545</v>
      </c>
      <c r="B1552" s="3" t="s">
        <v>1554</v>
      </c>
      <c r="C1552" s="3" t="s">
        <v>10</v>
      </c>
      <c r="D1552" s="3" t="s">
        <v>9</v>
      </c>
      <c r="E1552" s="3">
        <v>25</v>
      </c>
      <c r="F1552" s="3">
        <v>60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/>
      <c r="P1552" s="3"/>
      <c r="Q1552" s="3"/>
    </row>
    <row r="1553" spans="1:17" ht="15" x14ac:dyDescent="0.25">
      <c r="A1553" s="3">
        <f>1546</f>
        <v>1546</v>
      </c>
      <c r="B1553" s="3" t="s">
        <v>1555</v>
      </c>
      <c r="C1553" s="3" t="s">
        <v>10</v>
      </c>
      <c r="D1553" s="3" t="s">
        <v>9</v>
      </c>
      <c r="E1553" s="3">
        <v>25</v>
      </c>
      <c r="F1553" s="3">
        <v>60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/>
      <c r="P1553" s="3"/>
      <c r="Q1553" s="3"/>
    </row>
    <row r="1554" spans="1:17" ht="15" x14ac:dyDescent="0.25">
      <c r="A1554" s="3">
        <f>1547</f>
        <v>1547</v>
      </c>
      <c r="B1554" s="3" t="s">
        <v>1556</v>
      </c>
      <c r="C1554" s="3" t="s">
        <v>10</v>
      </c>
      <c r="D1554" s="3" t="s">
        <v>9</v>
      </c>
      <c r="E1554" s="3">
        <v>25</v>
      </c>
      <c r="F1554" s="3">
        <v>60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/>
      <c r="P1554" s="3"/>
      <c r="Q1554" s="3"/>
    </row>
    <row r="1555" spans="1:17" ht="15" x14ac:dyDescent="0.25">
      <c r="A1555" s="3">
        <f>1548</f>
        <v>1548</v>
      </c>
      <c r="B1555" s="3" t="s">
        <v>1557</v>
      </c>
      <c r="C1555" s="3" t="s">
        <v>10</v>
      </c>
      <c r="D1555" s="3" t="s">
        <v>9</v>
      </c>
      <c r="E1555" s="3">
        <v>25</v>
      </c>
      <c r="F1555" s="3">
        <v>60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/>
      <c r="P1555" s="3"/>
      <c r="Q1555" s="3"/>
    </row>
    <row r="1556" spans="1:17" ht="15" x14ac:dyDescent="0.25">
      <c r="A1556" s="3">
        <f>1549</f>
        <v>1549</v>
      </c>
      <c r="B1556" s="3" t="s">
        <v>1558</v>
      </c>
      <c r="C1556" s="3" t="s">
        <v>10</v>
      </c>
      <c r="D1556" s="3" t="s">
        <v>9</v>
      </c>
      <c r="E1556" s="3">
        <v>25</v>
      </c>
      <c r="F1556" s="3">
        <v>60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/>
      <c r="P1556" s="3"/>
      <c r="Q1556" s="3"/>
    </row>
    <row r="1557" spans="1:17" ht="15" x14ac:dyDescent="0.25">
      <c r="A1557" s="3">
        <f>1550</f>
        <v>1550</v>
      </c>
      <c r="B1557" s="3" t="s">
        <v>1559</v>
      </c>
      <c r="C1557" s="3" t="s">
        <v>10</v>
      </c>
      <c r="D1557" s="3" t="s">
        <v>9</v>
      </c>
      <c r="E1557" s="3">
        <v>25</v>
      </c>
      <c r="F1557" s="3">
        <v>60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/>
      <c r="P1557" s="3"/>
      <c r="Q1557" s="3"/>
    </row>
    <row r="1558" spans="1:17" ht="15" x14ac:dyDescent="0.25">
      <c r="A1558" s="3">
        <f>1551</f>
        <v>1551</v>
      </c>
      <c r="B1558" s="3" t="s">
        <v>1560</v>
      </c>
      <c r="C1558" s="3" t="s">
        <v>10</v>
      </c>
      <c r="D1558" s="3" t="s">
        <v>9</v>
      </c>
      <c r="E1558" s="3">
        <v>25</v>
      </c>
      <c r="F1558" s="3">
        <v>60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/>
      <c r="P1558" s="3"/>
      <c r="Q1558" s="3"/>
    </row>
    <row r="1559" spans="1:17" ht="15" x14ac:dyDescent="0.25">
      <c r="A1559" s="3">
        <f>1552</f>
        <v>1552</v>
      </c>
      <c r="B1559" s="3" t="s">
        <v>1561</v>
      </c>
      <c r="C1559" s="3" t="s">
        <v>10</v>
      </c>
      <c r="D1559" s="3" t="s">
        <v>9</v>
      </c>
      <c r="E1559" s="3">
        <v>25</v>
      </c>
      <c r="F1559" s="3">
        <v>60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/>
      <c r="P1559" s="3"/>
      <c r="Q1559" s="3"/>
    </row>
    <row r="1560" spans="1:17" ht="15" x14ac:dyDescent="0.25">
      <c r="A1560" s="3">
        <f>1553</f>
        <v>1553</v>
      </c>
      <c r="B1560" s="3" t="s">
        <v>1562</v>
      </c>
      <c r="C1560" s="3" t="s">
        <v>10</v>
      </c>
      <c r="D1560" s="3" t="s">
        <v>9</v>
      </c>
      <c r="E1560" s="3">
        <v>25</v>
      </c>
      <c r="F1560" s="3">
        <v>60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/>
      <c r="P1560" s="3"/>
      <c r="Q1560" s="3"/>
    </row>
    <row r="1561" spans="1:17" ht="15" x14ac:dyDescent="0.25">
      <c r="A1561" s="3">
        <f>1554</f>
        <v>1554</v>
      </c>
      <c r="B1561" s="3" t="s">
        <v>1563</v>
      </c>
      <c r="C1561" s="3" t="s">
        <v>10</v>
      </c>
      <c r="D1561" s="3" t="s">
        <v>9</v>
      </c>
      <c r="E1561" s="3">
        <v>25</v>
      </c>
      <c r="F1561" s="3">
        <v>60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/>
      <c r="P1561" s="3"/>
      <c r="Q1561" s="3"/>
    </row>
    <row r="1562" spans="1:17" ht="15" x14ac:dyDescent="0.25">
      <c r="A1562" s="3">
        <f>1555</f>
        <v>1555</v>
      </c>
      <c r="B1562" s="3" t="s">
        <v>1564</v>
      </c>
      <c r="C1562" s="3" t="s">
        <v>10</v>
      </c>
      <c r="D1562" s="3" t="s">
        <v>9</v>
      </c>
      <c r="E1562" s="3">
        <v>25</v>
      </c>
      <c r="F1562" s="3">
        <v>60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/>
      <c r="P1562" s="3"/>
      <c r="Q1562" s="3"/>
    </row>
    <row r="1563" spans="1:17" ht="15" x14ac:dyDescent="0.25">
      <c r="A1563" s="3">
        <f>1556</f>
        <v>1556</v>
      </c>
      <c r="B1563" s="3" t="s">
        <v>1565</v>
      </c>
      <c r="C1563" s="3" t="s">
        <v>10</v>
      </c>
      <c r="D1563" s="3" t="s">
        <v>9</v>
      </c>
      <c r="E1563" s="3">
        <v>25</v>
      </c>
      <c r="F1563" s="3">
        <v>60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/>
      <c r="P1563" s="3"/>
      <c r="Q1563" s="3"/>
    </row>
    <row r="1564" spans="1:17" ht="15" x14ac:dyDescent="0.25">
      <c r="A1564" s="3">
        <f>1557</f>
        <v>1557</v>
      </c>
      <c r="B1564" s="3" t="s">
        <v>1566</v>
      </c>
      <c r="C1564" s="3" t="s">
        <v>10</v>
      </c>
      <c r="D1564" s="3" t="s">
        <v>9</v>
      </c>
      <c r="E1564" s="3">
        <v>25</v>
      </c>
      <c r="F1564" s="3">
        <v>60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/>
      <c r="P1564" s="3"/>
      <c r="Q1564" s="3"/>
    </row>
    <row r="1565" spans="1:17" ht="15" x14ac:dyDescent="0.25">
      <c r="A1565" s="3">
        <f>1558</f>
        <v>1558</v>
      </c>
      <c r="B1565" s="3" t="s">
        <v>1567</v>
      </c>
      <c r="C1565" s="3" t="s">
        <v>10</v>
      </c>
      <c r="D1565" s="3" t="s">
        <v>9</v>
      </c>
      <c r="E1565" s="3">
        <v>25</v>
      </c>
      <c r="F1565" s="3">
        <v>60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/>
      <c r="P1565" s="3"/>
      <c r="Q1565" s="3"/>
    </row>
    <row r="1566" spans="1:17" ht="15" x14ac:dyDescent="0.25">
      <c r="A1566" s="3">
        <f>1559</f>
        <v>1559</v>
      </c>
      <c r="B1566" s="3" t="s">
        <v>1568</v>
      </c>
      <c r="C1566" s="3" t="s">
        <v>10</v>
      </c>
      <c r="D1566" s="3" t="s">
        <v>9</v>
      </c>
      <c r="E1566" s="3">
        <v>25</v>
      </c>
      <c r="F1566" s="3">
        <v>60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/>
      <c r="P1566" s="3"/>
      <c r="Q1566" s="3"/>
    </row>
    <row r="1567" spans="1:17" ht="15" x14ac:dyDescent="0.25">
      <c r="A1567" s="3">
        <f>1560</f>
        <v>1560</v>
      </c>
      <c r="B1567" s="3" t="s">
        <v>1569</v>
      </c>
      <c r="C1567" s="3" t="s">
        <v>10</v>
      </c>
      <c r="D1567" s="3" t="s">
        <v>9</v>
      </c>
      <c r="E1567" s="3">
        <v>25</v>
      </c>
      <c r="F1567" s="3">
        <v>60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/>
      <c r="P1567" s="3"/>
      <c r="Q1567" s="3"/>
    </row>
    <row r="1568" spans="1:17" ht="15" x14ac:dyDescent="0.25">
      <c r="A1568" s="3">
        <f>1561</f>
        <v>1561</v>
      </c>
      <c r="B1568" s="3" t="s">
        <v>1570</v>
      </c>
      <c r="C1568" s="3" t="s">
        <v>10</v>
      </c>
      <c r="D1568" s="3" t="s">
        <v>9</v>
      </c>
      <c r="E1568" s="3">
        <v>25</v>
      </c>
      <c r="F1568" s="3">
        <v>60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/>
      <c r="P1568" s="3"/>
      <c r="Q1568" s="3"/>
    </row>
    <row r="1569" spans="1:17" ht="15" x14ac:dyDescent="0.25">
      <c r="A1569" s="3">
        <f>1562</f>
        <v>1562</v>
      </c>
      <c r="B1569" s="3" t="s">
        <v>1571</v>
      </c>
      <c r="C1569" s="3" t="s">
        <v>10</v>
      </c>
      <c r="D1569" s="3" t="s">
        <v>9</v>
      </c>
      <c r="E1569" s="3">
        <v>25</v>
      </c>
      <c r="F1569" s="3">
        <v>60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/>
      <c r="P1569" s="3"/>
      <c r="Q1569" s="3"/>
    </row>
    <row r="1570" spans="1:17" ht="15" x14ac:dyDescent="0.25">
      <c r="A1570" s="3">
        <f>1563</f>
        <v>1563</v>
      </c>
      <c r="B1570" s="3" t="s">
        <v>1572</v>
      </c>
      <c r="C1570" s="3" t="s">
        <v>10</v>
      </c>
      <c r="D1570" s="3" t="s">
        <v>9</v>
      </c>
      <c r="E1570" s="3">
        <v>25</v>
      </c>
      <c r="F1570" s="3">
        <v>60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/>
      <c r="P1570" s="3"/>
      <c r="Q1570" s="3"/>
    </row>
    <row r="1571" spans="1:17" ht="15" x14ac:dyDescent="0.25">
      <c r="A1571" s="3">
        <f>1564</f>
        <v>1564</v>
      </c>
      <c r="B1571" s="3" t="s">
        <v>1573</v>
      </c>
      <c r="C1571" s="3" t="s">
        <v>10</v>
      </c>
      <c r="D1571" s="3" t="s">
        <v>9</v>
      </c>
      <c r="E1571" s="3">
        <v>25</v>
      </c>
      <c r="F1571" s="3">
        <v>60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/>
      <c r="P1571" s="3"/>
      <c r="Q1571" s="3"/>
    </row>
    <row r="1572" spans="1:17" ht="15" x14ac:dyDescent="0.25">
      <c r="A1572" s="3">
        <f>1565</f>
        <v>1565</v>
      </c>
      <c r="B1572" s="3" t="s">
        <v>1574</v>
      </c>
      <c r="C1572" s="3" t="s">
        <v>10</v>
      </c>
      <c r="D1572" s="3" t="s">
        <v>9</v>
      </c>
      <c r="E1572" s="3">
        <v>25</v>
      </c>
      <c r="F1572" s="3">
        <v>60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/>
      <c r="P1572" s="3"/>
      <c r="Q1572" s="3"/>
    </row>
    <row r="1573" spans="1:17" ht="15" x14ac:dyDescent="0.25">
      <c r="A1573" s="3">
        <f>1566</f>
        <v>1566</v>
      </c>
      <c r="B1573" s="3" t="s">
        <v>1575</v>
      </c>
      <c r="C1573" s="3" t="s">
        <v>10</v>
      </c>
      <c r="D1573" s="3" t="s">
        <v>9</v>
      </c>
      <c r="E1573" s="3">
        <v>25</v>
      </c>
      <c r="F1573" s="3">
        <v>60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/>
      <c r="P1573" s="3"/>
      <c r="Q1573" s="3"/>
    </row>
    <row r="1574" spans="1:17" ht="15" x14ac:dyDescent="0.25">
      <c r="A1574" s="3">
        <f>1567</f>
        <v>1567</v>
      </c>
      <c r="B1574" s="3" t="s">
        <v>1576</v>
      </c>
      <c r="C1574" s="3" t="s">
        <v>10</v>
      </c>
      <c r="D1574" s="3" t="s">
        <v>9</v>
      </c>
      <c r="E1574" s="3">
        <v>25</v>
      </c>
      <c r="F1574" s="3">
        <v>60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/>
      <c r="P1574" s="3"/>
      <c r="Q1574" s="3"/>
    </row>
    <row r="1575" spans="1:17" ht="15" x14ac:dyDescent="0.25">
      <c r="A1575" s="3">
        <f>1568</f>
        <v>1568</v>
      </c>
      <c r="B1575" s="3" t="s">
        <v>1577</v>
      </c>
      <c r="C1575" s="3" t="s">
        <v>10</v>
      </c>
      <c r="D1575" s="3" t="s">
        <v>9</v>
      </c>
      <c r="E1575" s="3">
        <v>25</v>
      </c>
      <c r="F1575" s="3">
        <v>60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/>
      <c r="P1575" s="3"/>
      <c r="Q1575" s="3"/>
    </row>
    <row r="1576" spans="1:17" ht="15" x14ac:dyDescent="0.25">
      <c r="A1576" s="3">
        <f>1569</f>
        <v>1569</v>
      </c>
      <c r="B1576" s="3" t="s">
        <v>1578</v>
      </c>
      <c r="C1576" s="3" t="s">
        <v>10</v>
      </c>
      <c r="D1576" s="3" t="s">
        <v>9</v>
      </c>
      <c r="E1576" s="3">
        <v>25</v>
      </c>
      <c r="F1576" s="3">
        <v>60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/>
      <c r="P1576" s="3"/>
      <c r="Q1576" s="3"/>
    </row>
    <row r="1577" spans="1:17" ht="15" x14ac:dyDescent="0.25">
      <c r="A1577" s="3">
        <f>1570</f>
        <v>1570</v>
      </c>
      <c r="B1577" s="3" t="s">
        <v>1579</v>
      </c>
      <c r="C1577" s="3" t="s">
        <v>10</v>
      </c>
      <c r="D1577" s="3" t="s">
        <v>9</v>
      </c>
      <c r="E1577" s="3">
        <v>25</v>
      </c>
      <c r="F1577" s="3">
        <v>60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/>
      <c r="P1577" s="3"/>
      <c r="Q1577" s="3"/>
    </row>
    <row r="1578" spans="1:17" ht="15" x14ac:dyDescent="0.25">
      <c r="A1578" s="3">
        <f>1571</f>
        <v>1571</v>
      </c>
      <c r="B1578" s="3" t="s">
        <v>1580</v>
      </c>
      <c r="C1578" s="3" t="s">
        <v>10</v>
      </c>
      <c r="D1578" s="3" t="s">
        <v>9</v>
      </c>
      <c r="E1578" s="3">
        <v>25</v>
      </c>
      <c r="F1578" s="3">
        <v>60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/>
      <c r="P1578" s="3"/>
      <c r="Q1578" s="3"/>
    </row>
    <row r="1579" spans="1:17" ht="15" x14ac:dyDescent="0.25">
      <c r="A1579" s="3">
        <f>1572</f>
        <v>1572</v>
      </c>
      <c r="B1579" s="3" t="s">
        <v>1581</v>
      </c>
      <c r="C1579" s="3" t="s">
        <v>10</v>
      </c>
      <c r="D1579" s="3" t="s">
        <v>9</v>
      </c>
      <c r="E1579" s="3">
        <v>25</v>
      </c>
      <c r="F1579" s="3">
        <v>60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/>
      <c r="P1579" s="3"/>
      <c r="Q1579" s="3"/>
    </row>
    <row r="1580" spans="1:17" ht="15" x14ac:dyDescent="0.25">
      <c r="A1580" s="3">
        <f>1573</f>
        <v>1573</v>
      </c>
      <c r="B1580" s="3" t="s">
        <v>1582</v>
      </c>
      <c r="C1580" s="3" t="s">
        <v>10</v>
      </c>
      <c r="D1580" s="3" t="s">
        <v>9</v>
      </c>
      <c r="E1580" s="3">
        <v>25</v>
      </c>
      <c r="F1580" s="3">
        <v>60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/>
      <c r="P1580" s="3"/>
      <c r="Q1580" s="3"/>
    </row>
    <row r="1581" spans="1:17" ht="15" x14ac:dyDescent="0.25">
      <c r="A1581" s="3">
        <f>1574</f>
        <v>1574</v>
      </c>
      <c r="B1581" s="3" t="s">
        <v>1583</v>
      </c>
      <c r="C1581" s="3" t="s">
        <v>10</v>
      </c>
      <c r="D1581" s="3" t="s">
        <v>9</v>
      </c>
      <c r="E1581" s="3">
        <v>25</v>
      </c>
      <c r="F1581" s="3">
        <v>60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/>
      <c r="P1581" s="3"/>
      <c r="Q1581" s="3"/>
    </row>
    <row r="1582" spans="1:17" ht="15" x14ac:dyDescent="0.25">
      <c r="A1582" s="3">
        <f>1575</f>
        <v>1575</v>
      </c>
      <c r="B1582" s="3" t="s">
        <v>1584</v>
      </c>
      <c r="C1582" s="3" t="s">
        <v>10</v>
      </c>
      <c r="D1582" s="3" t="s">
        <v>9</v>
      </c>
      <c r="E1582" s="3">
        <v>25</v>
      </c>
      <c r="F1582" s="3">
        <v>60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/>
      <c r="P1582" s="3"/>
      <c r="Q1582" s="3"/>
    </row>
    <row r="1583" spans="1:17" ht="15" x14ac:dyDescent="0.25">
      <c r="A1583" s="3">
        <f>1576</f>
        <v>1576</v>
      </c>
      <c r="B1583" s="3" t="s">
        <v>1585</v>
      </c>
      <c r="C1583" s="3" t="s">
        <v>10</v>
      </c>
      <c r="D1583" s="3" t="s">
        <v>9</v>
      </c>
      <c r="E1583" s="3">
        <v>25</v>
      </c>
      <c r="F1583" s="3">
        <v>60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/>
      <c r="P1583" s="3"/>
      <c r="Q1583" s="3"/>
    </row>
    <row r="1584" spans="1:17" ht="15" x14ac:dyDescent="0.25">
      <c r="A1584" s="3">
        <f>1577</f>
        <v>1577</v>
      </c>
      <c r="B1584" s="3" t="s">
        <v>1586</v>
      </c>
      <c r="C1584" s="3" t="s">
        <v>10</v>
      </c>
      <c r="D1584" s="3" t="s">
        <v>9</v>
      </c>
      <c r="E1584" s="3">
        <v>25</v>
      </c>
      <c r="F1584" s="3">
        <v>60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/>
      <c r="P1584" s="3"/>
      <c r="Q1584" s="3"/>
    </row>
    <row r="1585" spans="1:17" ht="15" x14ac:dyDescent="0.25">
      <c r="A1585" s="3">
        <f>1578</f>
        <v>1578</v>
      </c>
      <c r="B1585" s="3" t="s">
        <v>1587</v>
      </c>
      <c r="C1585" s="3" t="s">
        <v>10</v>
      </c>
      <c r="D1585" s="3" t="s">
        <v>9</v>
      </c>
      <c r="E1585" s="3">
        <v>25</v>
      </c>
      <c r="F1585" s="3">
        <v>60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/>
      <c r="P1585" s="3"/>
      <c r="Q1585" s="3"/>
    </row>
    <row r="1586" spans="1:17" ht="15" x14ac:dyDescent="0.25">
      <c r="A1586" s="3">
        <f>1579</f>
        <v>1579</v>
      </c>
      <c r="B1586" s="3" t="s">
        <v>1588</v>
      </c>
      <c r="C1586" s="3" t="s">
        <v>10</v>
      </c>
      <c r="D1586" s="3" t="s">
        <v>9</v>
      </c>
      <c r="E1586" s="3">
        <v>25</v>
      </c>
      <c r="F1586" s="3">
        <v>60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/>
      <c r="P1586" s="3"/>
      <c r="Q1586" s="3"/>
    </row>
    <row r="1587" spans="1:17" ht="15" x14ac:dyDescent="0.25">
      <c r="A1587" s="3">
        <f>1580</f>
        <v>1580</v>
      </c>
      <c r="B1587" s="3" t="s">
        <v>1589</v>
      </c>
      <c r="C1587" s="3" t="s">
        <v>10</v>
      </c>
      <c r="D1587" s="3" t="s">
        <v>9</v>
      </c>
      <c r="E1587" s="3">
        <v>25</v>
      </c>
      <c r="F1587" s="3">
        <v>60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/>
      <c r="P1587" s="3"/>
      <c r="Q1587" s="3"/>
    </row>
    <row r="1588" spans="1:17" ht="15" x14ac:dyDescent="0.25">
      <c r="A1588" s="3">
        <f>1581</f>
        <v>1581</v>
      </c>
      <c r="B1588" s="3" t="s">
        <v>1590</v>
      </c>
      <c r="C1588" s="3" t="s">
        <v>10</v>
      </c>
      <c r="D1588" s="3" t="s">
        <v>9</v>
      </c>
      <c r="E1588" s="3">
        <v>25</v>
      </c>
      <c r="F1588" s="3">
        <v>60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/>
      <c r="P1588" s="3"/>
      <c r="Q1588" s="3"/>
    </row>
    <row r="1589" spans="1:17" ht="15" x14ac:dyDescent="0.25">
      <c r="A1589" s="3">
        <f>1582</f>
        <v>1582</v>
      </c>
      <c r="B1589" s="3" t="s">
        <v>1591</v>
      </c>
      <c r="C1589" s="3" t="s">
        <v>10</v>
      </c>
      <c r="D1589" s="3" t="s">
        <v>9</v>
      </c>
      <c r="E1589" s="3">
        <v>25</v>
      </c>
      <c r="F1589" s="3">
        <v>60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/>
      <c r="P1589" s="3"/>
      <c r="Q1589" s="3"/>
    </row>
    <row r="1590" spans="1:17" ht="15" x14ac:dyDescent="0.25">
      <c r="A1590" s="3">
        <f>1583</f>
        <v>1583</v>
      </c>
      <c r="B1590" s="3" t="s">
        <v>1592</v>
      </c>
      <c r="C1590" s="3" t="s">
        <v>10</v>
      </c>
      <c r="D1590" s="3" t="s">
        <v>9</v>
      </c>
      <c r="E1590" s="3">
        <v>25</v>
      </c>
      <c r="F1590" s="3">
        <v>60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/>
      <c r="P1590" s="3"/>
      <c r="Q1590" s="3"/>
    </row>
    <row r="1591" spans="1:17" ht="15" x14ac:dyDescent="0.25">
      <c r="A1591" s="3">
        <f>1584</f>
        <v>1584</v>
      </c>
      <c r="B1591" s="3" t="s">
        <v>1593</v>
      </c>
      <c r="C1591" s="3" t="s">
        <v>10</v>
      </c>
      <c r="D1591" s="3" t="s">
        <v>9</v>
      </c>
      <c r="E1591" s="3">
        <v>25</v>
      </c>
      <c r="F1591" s="3">
        <v>60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/>
      <c r="P1591" s="3"/>
      <c r="Q1591" s="3"/>
    </row>
    <row r="1592" spans="1:17" ht="15" x14ac:dyDescent="0.25">
      <c r="A1592" s="3">
        <f>1585</f>
        <v>1585</v>
      </c>
      <c r="B1592" s="3" t="s">
        <v>1594</v>
      </c>
      <c r="C1592" s="3" t="s">
        <v>10</v>
      </c>
      <c r="D1592" s="3" t="s">
        <v>9</v>
      </c>
      <c r="E1592" s="3">
        <v>25</v>
      </c>
      <c r="F1592" s="3">
        <v>60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/>
      <c r="P1592" s="3"/>
      <c r="Q1592" s="3"/>
    </row>
    <row r="1593" spans="1:17" ht="15" x14ac:dyDescent="0.25">
      <c r="A1593" s="3">
        <f>1586</f>
        <v>1586</v>
      </c>
      <c r="B1593" s="3" t="s">
        <v>1595</v>
      </c>
      <c r="C1593" s="3" t="s">
        <v>10</v>
      </c>
      <c r="D1593" s="3" t="s">
        <v>9</v>
      </c>
      <c r="E1593" s="3">
        <v>25</v>
      </c>
      <c r="F1593" s="3">
        <v>60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/>
      <c r="P1593" s="3"/>
      <c r="Q1593" s="3"/>
    </row>
    <row r="1594" spans="1:17" ht="15" x14ac:dyDescent="0.25">
      <c r="A1594" s="3">
        <f>1587</f>
        <v>1587</v>
      </c>
      <c r="B1594" s="3" t="s">
        <v>1596</v>
      </c>
      <c r="C1594" s="3" t="s">
        <v>10</v>
      </c>
      <c r="D1594" s="3" t="s">
        <v>9</v>
      </c>
      <c r="E1594" s="3">
        <v>25</v>
      </c>
      <c r="F1594" s="3">
        <v>60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/>
      <c r="P1594" s="3"/>
      <c r="Q1594" s="3"/>
    </row>
    <row r="1595" spans="1:17" ht="15" x14ac:dyDescent="0.25">
      <c r="A1595" s="3">
        <f>1588</f>
        <v>1588</v>
      </c>
      <c r="B1595" s="3" t="s">
        <v>1597</v>
      </c>
      <c r="C1595" s="3" t="s">
        <v>10</v>
      </c>
      <c r="D1595" s="3" t="s">
        <v>9</v>
      </c>
      <c r="E1595" s="3">
        <v>25</v>
      </c>
      <c r="F1595" s="3">
        <v>60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/>
      <c r="P1595" s="3"/>
      <c r="Q1595" s="3"/>
    </row>
    <row r="1596" spans="1:17" ht="15" x14ac:dyDescent="0.25">
      <c r="A1596" s="3">
        <f>1589</f>
        <v>1589</v>
      </c>
      <c r="B1596" s="3" t="s">
        <v>1598</v>
      </c>
      <c r="C1596" s="3" t="s">
        <v>10</v>
      </c>
      <c r="D1596" s="3" t="s">
        <v>9</v>
      </c>
      <c r="E1596" s="3">
        <v>25</v>
      </c>
      <c r="F1596" s="3">
        <v>60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/>
      <c r="P1596" s="3"/>
      <c r="Q1596" s="3"/>
    </row>
    <row r="1597" spans="1:17" ht="15" x14ac:dyDescent="0.25">
      <c r="A1597" s="3">
        <f>1590</f>
        <v>1590</v>
      </c>
      <c r="B1597" s="3" t="s">
        <v>1599</v>
      </c>
      <c r="C1597" s="3" t="s">
        <v>10</v>
      </c>
      <c r="D1597" s="3" t="s">
        <v>9</v>
      </c>
      <c r="E1597" s="3">
        <v>25</v>
      </c>
      <c r="F1597" s="3">
        <v>60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/>
      <c r="P1597" s="3"/>
      <c r="Q1597" s="3"/>
    </row>
    <row r="1598" spans="1:17" ht="15" x14ac:dyDescent="0.25">
      <c r="A1598" s="3">
        <f>1591</f>
        <v>1591</v>
      </c>
      <c r="B1598" s="3" t="s">
        <v>1600</v>
      </c>
      <c r="C1598" s="3" t="s">
        <v>10</v>
      </c>
      <c r="D1598" s="3" t="s">
        <v>9</v>
      </c>
      <c r="E1598" s="3">
        <v>25</v>
      </c>
      <c r="F1598" s="3">
        <v>60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/>
      <c r="P1598" s="3"/>
      <c r="Q1598" s="3"/>
    </row>
    <row r="1599" spans="1:17" ht="15" x14ac:dyDescent="0.25">
      <c r="A1599" s="3">
        <f>1592</f>
        <v>1592</v>
      </c>
      <c r="B1599" s="3" t="s">
        <v>1601</v>
      </c>
      <c r="C1599" s="3" t="s">
        <v>10</v>
      </c>
      <c r="D1599" s="3" t="s">
        <v>9</v>
      </c>
      <c r="E1599" s="3">
        <v>25</v>
      </c>
      <c r="F1599" s="3">
        <v>60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/>
      <c r="P1599" s="3"/>
      <c r="Q1599" s="3"/>
    </row>
    <row r="1600" spans="1:17" ht="15" x14ac:dyDescent="0.25">
      <c r="A1600" s="3">
        <f>1593</f>
        <v>1593</v>
      </c>
      <c r="B1600" s="3" t="s">
        <v>1602</v>
      </c>
      <c r="C1600" s="3" t="s">
        <v>10</v>
      </c>
      <c r="D1600" s="3" t="s">
        <v>9</v>
      </c>
      <c r="E1600" s="3">
        <v>25</v>
      </c>
      <c r="F1600" s="3">
        <v>60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/>
      <c r="P1600" s="3"/>
      <c r="Q1600" s="3"/>
    </row>
    <row r="1601" spans="1:17" ht="15" x14ac:dyDescent="0.25">
      <c r="A1601" s="3">
        <f>1594</f>
        <v>1594</v>
      </c>
      <c r="B1601" s="3" t="s">
        <v>1603</v>
      </c>
      <c r="C1601" s="3" t="s">
        <v>10</v>
      </c>
      <c r="D1601" s="3" t="s">
        <v>9</v>
      </c>
      <c r="E1601" s="3">
        <v>25</v>
      </c>
      <c r="F1601" s="3">
        <v>60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/>
      <c r="P1601" s="3"/>
      <c r="Q1601" s="3"/>
    </row>
    <row r="1602" spans="1:17" ht="15" x14ac:dyDescent="0.25">
      <c r="A1602" s="3">
        <f>1595</f>
        <v>1595</v>
      </c>
      <c r="B1602" s="3" t="s">
        <v>1604</v>
      </c>
      <c r="C1602" s="3" t="s">
        <v>10</v>
      </c>
      <c r="D1602" s="3" t="s">
        <v>9</v>
      </c>
      <c r="E1602" s="3">
        <v>25</v>
      </c>
      <c r="F1602" s="3">
        <v>60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/>
      <c r="P1602" s="3"/>
      <c r="Q1602" s="3"/>
    </row>
    <row r="1603" spans="1:17" ht="15" x14ac:dyDescent="0.25">
      <c r="A1603" s="3">
        <f>1596</f>
        <v>1596</v>
      </c>
      <c r="B1603" s="3" t="s">
        <v>1605</v>
      </c>
      <c r="C1603" s="3" t="s">
        <v>10</v>
      </c>
      <c r="D1603" s="3" t="s">
        <v>9</v>
      </c>
      <c r="E1603" s="3">
        <v>25</v>
      </c>
      <c r="F1603" s="3">
        <v>60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/>
      <c r="P1603" s="3"/>
      <c r="Q1603" s="3"/>
    </row>
    <row r="1604" spans="1:17" ht="15" x14ac:dyDescent="0.25">
      <c r="A1604" s="3">
        <f>1597</f>
        <v>1597</v>
      </c>
      <c r="B1604" s="3" t="s">
        <v>1606</v>
      </c>
      <c r="C1604" s="3" t="s">
        <v>10</v>
      </c>
      <c r="D1604" s="3" t="s">
        <v>9</v>
      </c>
      <c r="E1604" s="3">
        <v>25</v>
      </c>
      <c r="F1604" s="3">
        <v>60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/>
      <c r="P1604" s="3"/>
      <c r="Q1604" s="3"/>
    </row>
    <row r="1605" spans="1:17" ht="15" x14ac:dyDescent="0.25">
      <c r="A1605" s="3">
        <f>1598</f>
        <v>1598</v>
      </c>
      <c r="B1605" s="3" t="s">
        <v>1607</v>
      </c>
      <c r="C1605" s="3" t="s">
        <v>10</v>
      </c>
      <c r="D1605" s="3" t="s">
        <v>9</v>
      </c>
      <c r="E1605" s="3">
        <v>25</v>
      </c>
      <c r="F1605" s="3">
        <v>60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/>
      <c r="P1605" s="3"/>
      <c r="Q1605" s="3"/>
    </row>
    <row r="1606" spans="1:17" ht="15" x14ac:dyDescent="0.25">
      <c r="A1606" s="3">
        <f>1599</f>
        <v>1599</v>
      </c>
      <c r="B1606" s="3" t="s">
        <v>1608</v>
      </c>
      <c r="C1606" s="3" t="s">
        <v>10</v>
      </c>
      <c r="D1606" s="3" t="s">
        <v>9</v>
      </c>
      <c r="E1606" s="3">
        <v>25</v>
      </c>
      <c r="F1606" s="3">
        <v>60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/>
      <c r="P1606" s="3"/>
      <c r="Q1606" s="3"/>
    </row>
    <row r="1607" spans="1:17" ht="15" x14ac:dyDescent="0.25">
      <c r="A1607" s="3">
        <f>1600</f>
        <v>1600</v>
      </c>
      <c r="B1607" s="3" t="s">
        <v>1609</v>
      </c>
      <c r="C1607" s="3" t="s">
        <v>10</v>
      </c>
      <c r="D1607" s="3" t="s">
        <v>9</v>
      </c>
      <c r="E1607" s="3">
        <v>25</v>
      </c>
      <c r="F1607" s="3">
        <v>60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/>
      <c r="P1607" s="3"/>
      <c r="Q1607" s="3"/>
    </row>
    <row r="1608" spans="1:17" ht="15" x14ac:dyDescent="0.25">
      <c r="A1608" s="3">
        <f>1601</f>
        <v>1601</v>
      </c>
      <c r="B1608" s="3" t="s">
        <v>1610</v>
      </c>
      <c r="C1608" s="3" t="s">
        <v>10</v>
      </c>
      <c r="D1608" s="3" t="s">
        <v>9</v>
      </c>
      <c r="E1608" s="3">
        <v>25</v>
      </c>
      <c r="F1608" s="3">
        <v>60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/>
      <c r="P1608" s="3"/>
      <c r="Q1608" s="3"/>
    </row>
    <row r="1609" spans="1:17" ht="15" x14ac:dyDescent="0.25">
      <c r="A1609" s="3">
        <f>1602</f>
        <v>1602</v>
      </c>
      <c r="B1609" s="3" t="s">
        <v>1611</v>
      </c>
      <c r="C1609" s="3" t="s">
        <v>10</v>
      </c>
      <c r="D1609" s="3" t="s">
        <v>9</v>
      </c>
      <c r="E1609" s="3">
        <v>25</v>
      </c>
      <c r="F1609" s="3">
        <v>60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/>
      <c r="P1609" s="3"/>
      <c r="Q1609" s="3"/>
    </row>
    <row r="1610" spans="1:17" ht="15" x14ac:dyDescent="0.25">
      <c r="A1610" s="3">
        <f>1603</f>
        <v>1603</v>
      </c>
      <c r="B1610" s="3" t="s">
        <v>1612</v>
      </c>
      <c r="C1610" s="3" t="s">
        <v>10</v>
      </c>
      <c r="D1610" s="3" t="s">
        <v>9</v>
      </c>
      <c r="E1610" s="3">
        <v>25</v>
      </c>
      <c r="F1610" s="3">
        <v>60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/>
      <c r="P1610" s="3"/>
      <c r="Q1610" s="3"/>
    </row>
    <row r="1611" spans="1:17" ht="15" x14ac:dyDescent="0.25">
      <c r="A1611" s="3">
        <f>1604</f>
        <v>1604</v>
      </c>
      <c r="B1611" s="3" t="s">
        <v>1613</v>
      </c>
      <c r="C1611" s="3" t="s">
        <v>10</v>
      </c>
      <c r="D1611" s="3" t="s">
        <v>9</v>
      </c>
      <c r="E1611" s="3">
        <v>25</v>
      </c>
      <c r="F1611" s="3">
        <v>60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/>
      <c r="P1611" s="3"/>
      <c r="Q1611" s="3"/>
    </row>
    <row r="1612" spans="1:17" ht="15" x14ac:dyDescent="0.25">
      <c r="A1612" s="3">
        <f>1605</f>
        <v>1605</v>
      </c>
      <c r="B1612" s="3" t="s">
        <v>1614</v>
      </c>
      <c r="C1612" s="3" t="s">
        <v>10</v>
      </c>
      <c r="D1612" s="3" t="s">
        <v>9</v>
      </c>
      <c r="E1612" s="3">
        <v>25</v>
      </c>
      <c r="F1612" s="3">
        <v>60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/>
      <c r="P1612" s="3"/>
      <c r="Q1612" s="3"/>
    </row>
    <row r="1613" spans="1:17" ht="15" x14ac:dyDescent="0.25">
      <c r="A1613" s="3">
        <f>1606</f>
        <v>1606</v>
      </c>
      <c r="B1613" s="3" t="s">
        <v>1615</v>
      </c>
      <c r="C1613" s="3" t="s">
        <v>9</v>
      </c>
      <c r="D1613" s="3" t="s">
        <v>10</v>
      </c>
      <c r="E1613" s="3">
        <v>25</v>
      </c>
      <c r="F1613" s="3">
        <v>60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/>
      <c r="P1613" s="3"/>
      <c r="Q1613" s="3"/>
    </row>
    <row r="1614" spans="1:17" ht="15" x14ac:dyDescent="0.25">
      <c r="A1614" s="3">
        <f>1607</f>
        <v>1607</v>
      </c>
      <c r="B1614" s="3" t="s">
        <v>1616</v>
      </c>
      <c r="C1614" s="3" t="s">
        <v>9</v>
      </c>
      <c r="D1614" s="3" t="s">
        <v>10</v>
      </c>
      <c r="E1614" s="3">
        <v>25</v>
      </c>
      <c r="F1614" s="3">
        <v>60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/>
      <c r="P1614" s="3"/>
      <c r="Q1614" s="3"/>
    </row>
    <row r="1615" spans="1:17" ht="15" x14ac:dyDescent="0.25">
      <c r="A1615" s="3">
        <f>1608</f>
        <v>1608</v>
      </c>
      <c r="B1615" s="3" t="s">
        <v>1617</v>
      </c>
      <c r="C1615" s="3" t="s">
        <v>9</v>
      </c>
      <c r="D1615" s="3" t="s">
        <v>10</v>
      </c>
      <c r="E1615" s="3">
        <v>25</v>
      </c>
      <c r="F1615" s="3">
        <v>60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/>
      <c r="P1615" s="3"/>
      <c r="Q1615" s="3"/>
    </row>
    <row r="1616" spans="1:17" ht="15" x14ac:dyDescent="0.25">
      <c r="A1616" s="3">
        <f>1609</f>
        <v>1609</v>
      </c>
      <c r="B1616" s="3" t="s">
        <v>1618</v>
      </c>
      <c r="C1616" s="3" t="s">
        <v>9</v>
      </c>
      <c r="D1616" s="3" t="s">
        <v>10</v>
      </c>
      <c r="E1616" s="3">
        <v>25</v>
      </c>
      <c r="F1616" s="3">
        <v>60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/>
      <c r="P1616" s="3"/>
      <c r="Q1616" s="3"/>
    </row>
    <row r="1617" spans="1:17" ht="15" x14ac:dyDescent="0.25">
      <c r="A1617" s="3">
        <f>1610</f>
        <v>1610</v>
      </c>
      <c r="B1617" s="3" t="s">
        <v>1619</v>
      </c>
      <c r="C1617" s="3" t="s">
        <v>9</v>
      </c>
      <c r="D1617" s="3" t="s">
        <v>10</v>
      </c>
      <c r="E1617" s="3">
        <v>25</v>
      </c>
      <c r="F1617" s="3">
        <v>60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/>
      <c r="P1617" s="3"/>
      <c r="Q1617" s="3"/>
    </row>
    <row r="1618" spans="1:17" ht="15" x14ac:dyDescent="0.25">
      <c r="A1618" s="3">
        <f>1611</f>
        <v>1611</v>
      </c>
      <c r="B1618" s="3" t="s">
        <v>1620</v>
      </c>
      <c r="C1618" s="3" t="s">
        <v>9</v>
      </c>
      <c r="D1618" s="3" t="s">
        <v>10</v>
      </c>
      <c r="E1618" s="3">
        <v>25</v>
      </c>
      <c r="F1618" s="3">
        <v>60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/>
      <c r="P1618" s="3"/>
      <c r="Q1618" s="3"/>
    </row>
    <row r="1619" spans="1:17" ht="15" x14ac:dyDescent="0.25">
      <c r="A1619" s="3">
        <f>1612</f>
        <v>1612</v>
      </c>
      <c r="B1619" s="3" t="s">
        <v>1621</v>
      </c>
      <c r="C1619" s="3" t="s">
        <v>9</v>
      </c>
      <c r="D1619" s="3" t="s">
        <v>10</v>
      </c>
      <c r="E1619" s="3">
        <v>25</v>
      </c>
      <c r="F1619" s="3">
        <v>60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/>
      <c r="P1619" s="3"/>
      <c r="Q1619" s="3"/>
    </row>
    <row r="1620" spans="1:17" ht="15" x14ac:dyDescent="0.25">
      <c r="A1620" s="3">
        <f>1613</f>
        <v>1613</v>
      </c>
      <c r="B1620" s="3" t="s">
        <v>1622</v>
      </c>
      <c r="C1620" s="3" t="s">
        <v>9</v>
      </c>
      <c r="D1620" s="3" t="s">
        <v>10</v>
      </c>
      <c r="E1620" s="3">
        <v>25</v>
      </c>
      <c r="F1620" s="3">
        <v>60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/>
      <c r="P1620" s="3"/>
      <c r="Q1620" s="3"/>
    </row>
    <row r="1621" spans="1:17" ht="15" x14ac:dyDescent="0.25">
      <c r="A1621" s="3">
        <f>1614</f>
        <v>1614</v>
      </c>
      <c r="B1621" s="3" t="s">
        <v>1623</v>
      </c>
      <c r="C1621" s="3" t="s">
        <v>9</v>
      </c>
      <c r="D1621" s="3" t="s">
        <v>10</v>
      </c>
      <c r="E1621" s="3">
        <v>25</v>
      </c>
      <c r="F1621" s="3">
        <v>60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/>
      <c r="P1621" s="3"/>
      <c r="Q1621" s="3"/>
    </row>
    <row r="1622" spans="1:17" ht="15" x14ac:dyDescent="0.25">
      <c r="A1622" s="3">
        <f>1615</f>
        <v>1615</v>
      </c>
      <c r="B1622" s="3" t="s">
        <v>1624</v>
      </c>
      <c r="C1622" s="3" t="s">
        <v>9</v>
      </c>
      <c r="D1622" s="3" t="s">
        <v>10</v>
      </c>
      <c r="E1622" s="3">
        <v>25</v>
      </c>
      <c r="F1622" s="3">
        <v>60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/>
      <c r="P1622" s="3"/>
      <c r="Q1622" s="3"/>
    </row>
    <row r="1623" spans="1:17" ht="15" x14ac:dyDescent="0.25">
      <c r="A1623" s="3">
        <f>1616</f>
        <v>1616</v>
      </c>
      <c r="B1623" s="3" t="s">
        <v>1625</v>
      </c>
      <c r="C1623" s="3" t="s">
        <v>9</v>
      </c>
      <c r="D1623" s="3" t="s">
        <v>10</v>
      </c>
      <c r="E1623" s="3">
        <v>25</v>
      </c>
      <c r="F1623" s="3">
        <v>60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/>
      <c r="P1623" s="3"/>
      <c r="Q1623" s="3"/>
    </row>
    <row r="1624" spans="1:17" ht="15" x14ac:dyDescent="0.25">
      <c r="A1624" s="3">
        <f>1617</f>
        <v>1617</v>
      </c>
      <c r="B1624" s="3" t="s">
        <v>1626</v>
      </c>
      <c r="C1624" s="3" t="s">
        <v>9</v>
      </c>
      <c r="D1624" s="3" t="s">
        <v>10</v>
      </c>
      <c r="E1624" s="3">
        <v>25</v>
      </c>
      <c r="F1624" s="3">
        <v>60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/>
      <c r="P1624" s="3"/>
      <c r="Q1624" s="3"/>
    </row>
    <row r="1625" spans="1:17" ht="15" x14ac:dyDescent="0.25">
      <c r="A1625" s="3">
        <f>1618</f>
        <v>1618</v>
      </c>
      <c r="B1625" s="3" t="s">
        <v>1627</v>
      </c>
      <c r="C1625" s="3" t="s">
        <v>9</v>
      </c>
      <c r="D1625" s="3" t="s">
        <v>10</v>
      </c>
      <c r="E1625" s="3">
        <v>25</v>
      </c>
      <c r="F1625" s="3">
        <v>60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/>
      <c r="P1625" s="3"/>
      <c r="Q1625" s="3"/>
    </row>
    <row r="1626" spans="1:17" ht="15" x14ac:dyDescent="0.25">
      <c r="A1626" s="3">
        <f>1619</f>
        <v>1619</v>
      </c>
      <c r="B1626" s="3" t="s">
        <v>1628</v>
      </c>
      <c r="C1626" s="3" t="s">
        <v>9</v>
      </c>
      <c r="D1626" s="3" t="s">
        <v>10</v>
      </c>
      <c r="E1626" s="3">
        <v>25</v>
      </c>
      <c r="F1626" s="3">
        <v>60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/>
      <c r="P1626" s="3"/>
      <c r="Q1626" s="3"/>
    </row>
    <row r="1627" spans="1:17" ht="15" x14ac:dyDescent="0.25">
      <c r="A1627" s="3">
        <f>1620</f>
        <v>1620</v>
      </c>
      <c r="B1627" s="3" t="s">
        <v>1629</v>
      </c>
      <c r="C1627" s="3" t="s">
        <v>9</v>
      </c>
      <c r="D1627" s="3" t="s">
        <v>10</v>
      </c>
      <c r="E1627" s="3">
        <v>25</v>
      </c>
      <c r="F1627" s="3">
        <v>60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/>
      <c r="P1627" s="3"/>
      <c r="Q1627" s="3"/>
    </row>
    <row r="1628" spans="1:17" ht="15" x14ac:dyDescent="0.25">
      <c r="A1628" s="3">
        <f>1621</f>
        <v>1621</v>
      </c>
      <c r="B1628" s="3" t="s">
        <v>1630</v>
      </c>
      <c r="C1628" s="3" t="s">
        <v>9</v>
      </c>
      <c r="D1628" s="3" t="s">
        <v>10</v>
      </c>
      <c r="E1628" s="3">
        <v>25</v>
      </c>
      <c r="F1628" s="3">
        <v>60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/>
      <c r="P1628" s="3"/>
      <c r="Q1628" s="3"/>
    </row>
    <row r="1629" spans="1:17" ht="15" x14ac:dyDescent="0.25">
      <c r="A1629" s="3">
        <f>1622</f>
        <v>1622</v>
      </c>
      <c r="B1629" s="3" t="s">
        <v>1631</v>
      </c>
      <c r="C1629" s="3" t="s">
        <v>9</v>
      </c>
      <c r="D1629" s="3" t="s">
        <v>10</v>
      </c>
      <c r="E1629" s="3">
        <v>25</v>
      </c>
      <c r="F1629" s="3">
        <v>60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/>
      <c r="P1629" s="3"/>
      <c r="Q1629" s="3"/>
    </row>
    <row r="1630" spans="1:17" ht="15" x14ac:dyDescent="0.25">
      <c r="A1630" s="3">
        <f>1623</f>
        <v>1623</v>
      </c>
      <c r="B1630" s="3" t="s">
        <v>1632</v>
      </c>
      <c r="C1630" s="3" t="s">
        <v>9</v>
      </c>
      <c r="D1630" s="3" t="s">
        <v>10</v>
      </c>
      <c r="E1630" s="3">
        <v>25</v>
      </c>
      <c r="F1630" s="3">
        <v>60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/>
      <c r="P1630" s="3"/>
      <c r="Q1630" s="3"/>
    </row>
    <row r="1631" spans="1:17" ht="15" x14ac:dyDescent="0.25">
      <c r="A1631" s="3">
        <f>1624</f>
        <v>1624</v>
      </c>
      <c r="B1631" s="3" t="s">
        <v>1633</v>
      </c>
      <c r="C1631" s="3" t="s">
        <v>9</v>
      </c>
      <c r="D1631" s="3" t="s">
        <v>10</v>
      </c>
      <c r="E1631" s="3">
        <v>25</v>
      </c>
      <c r="F1631" s="3">
        <v>60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/>
      <c r="P1631" s="3"/>
      <c r="Q1631" s="3"/>
    </row>
    <row r="1632" spans="1:17" ht="15" x14ac:dyDescent="0.25">
      <c r="A1632" s="3">
        <f>1625</f>
        <v>1625</v>
      </c>
      <c r="B1632" s="3" t="s">
        <v>1634</v>
      </c>
      <c r="C1632" s="3" t="s">
        <v>9</v>
      </c>
      <c r="D1632" s="3" t="s">
        <v>10</v>
      </c>
      <c r="E1632" s="3">
        <v>25</v>
      </c>
      <c r="F1632" s="3">
        <v>60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/>
      <c r="P1632" s="3"/>
      <c r="Q1632" s="3"/>
    </row>
    <row r="1633" spans="1:17" ht="15" x14ac:dyDescent="0.25">
      <c r="A1633" s="3">
        <f>1626</f>
        <v>1626</v>
      </c>
      <c r="B1633" s="3" t="s">
        <v>1635</v>
      </c>
      <c r="C1633" s="3" t="s">
        <v>9</v>
      </c>
      <c r="D1633" s="3" t="s">
        <v>10</v>
      </c>
      <c r="E1633" s="3">
        <v>25</v>
      </c>
      <c r="F1633" s="3">
        <v>60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/>
      <c r="P1633" s="3"/>
      <c r="Q1633" s="3"/>
    </row>
    <row r="1634" spans="1:17" ht="15" x14ac:dyDescent="0.25">
      <c r="A1634" s="3">
        <f>1627</f>
        <v>1627</v>
      </c>
      <c r="B1634" s="3" t="s">
        <v>1636</v>
      </c>
      <c r="C1634" s="3" t="s">
        <v>9</v>
      </c>
      <c r="D1634" s="3" t="s">
        <v>10</v>
      </c>
      <c r="E1634" s="3">
        <v>25</v>
      </c>
      <c r="F1634" s="3">
        <v>60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/>
      <c r="P1634" s="3"/>
      <c r="Q1634" s="3"/>
    </row>
    <row r="1635" spans="1:17" ht="15" x14ac:dyDescent="0.25">
      <c r="A1635" s="3">
        <f>1628</f>
        <v>1628</v>
      </c>
      <c r="B1635" s="3" t="s">
        <v>1637</v>
      </c>
      <c r="C1635" s="3" t="s">
        <v>9</v>
      </c>
      <c r="D1635" s="3" t="s">
        <v>10</v>
      </c>
      <c r="E1635" s="3">
        <v>25</v>
      </c>
      <c r="F1635" s="3">
        <v>60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/>
      <c r="P1635" s="3"/>
      <c r="Q1635" s="3"/>
    </row>
    <row r="1636" spans="1:17" ht="15" x14ac:dyDescent="0.25">
      <c r="A1636" s="3">
        <f>1629</f>
        <v>1629</v>
      </c>
      <c r="B1636" s="3" t="s">
        <v>1638</v>
      </c>
      <c r="C1636" s="3" t="s">
        <v>9</v>
      </c>
      <c r="D1636" s="3" t="s">
        <v>10</v>
      </c>
      <c r="E1636" s="3">
        <v>25</v>
      </c>
      <c r="F1636" s="3">
        <v>60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/>
      <c r="P1636" s="3"/>
      <c r="Q1636" s="3"/>
    </row>
    <row r="1637" spans="1:17" ht="15" x14ac:dyDescent="0.25">
      <c r="A1637" s="3">
        <f>1630</f>
        <v>1630</v>
      </c>
      <c r="B1637" s="3" t="s">
        <v>1639</v>
      </c>
      <c r="C1637" s="3" t="s">
        <v>9</v>
      </c>
      <c r="D1637" s="3" t="s">
        <v>10</v>
      </c>
      <c r="E1637" s="3">
        <v>25</v>
      </c>
      <c r="F1637" s="3">
        <v>60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/>
      <c r="P1637" s="3"/>
      <c r="Q1637" s="3"/>
    </row>
    <row r="1638" spans="1:17" ht="15" x14ac:dyDescent="0.25">
      <c r="A1638" s="3">
        <f>1631</f>
        <v>1631</v>
      </c>
      <c r="B1638" s="3" t="s">
        <v>1640</v>
      </c>
      <c r="C1638" s="3" t="s">
        <v>9</v>
      </c>
      <c r="D1638" s="3" t="s">
        <v>10</v>
      </c>
      <c r="E1638" s="3">
        <v>25</v>
      </c>
      <c r="F1638" s="3">
        <v>60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/>
      <c r="P1638" s="3"/>
      <c r="Q1638" s="3"/>
    </row>
    <row r="1639" spans="1:17" ht="15" x14ac:dyDescent="0.25">
      <c r="A1639" s="3">
        <f>1632</f>
        <v>1632</v>
      </c>
      <c r="B1639" s="3" t="s">
        <v>1641</v>
      </c>
      <c r="C1639" s="3" t="s">
        <v>9</v>
      </c>
      <c r="D1639" s="3" t="s">
        <v>10</v>
      </c>
      <c r="E1639" s="3">
        <v>25</v>
      </c>
      <c r="F1639" s="3">
        <v>60</v>
      </c>
      <c r="G1639" s="3">
        <v>0</v>
      </c>
      <c r="H1639" s="3">
        <v>22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/>
      <c r="P1639" s="3"/>
      <c r="Q1639" s="3"/>
    </row>
    <row r="1640" spans="1:17" ht="15" x14ac:dyDescent="0.25">
      <c r="A1640" s="3">
        <f>1633</f>
        <v>1633</v>
      </c>
      <c r="B1640" s="3" t="s">
        <v>1642</v>
      </c>
      <c r="C1640" s="3" t="s">
        <v>9</v>
      </c>
      <c r="D1640" s="3" t="s">
        <v>10</v>
      </c>
      <c r="E1640" s="3">
        <v>25</v>
      </c>
      <c r="F1640" s="3">
        <v>60</v>
      </c>
      <c r="G1640" s="3">
        <v>0</v>
      </c>
      <c r="H1640" s="3">
        <v>22</v>
      </c>
      <c r="I1640" s="3">
        <v>22</v>
      </c>
      <c r="J1640" s="3">
        <v>0</v>
      </c>
      <c r="K1640" s="3">
        <v>24</v>
      </c>
      <c r="L1640" s="3">
        <v>0</v>
      </c>
      <c r="M1640" s="3">
        <v>0</v>
      </c>
      <c r="N1640" s="3">
        <v>26</v>
      </c>
      <c r="O1640" s="3"/>
      <c r="P1640" s="3"/>
      <c r="Q1640" s="3"/>
    </row>
    <row r="1641" spans="1:17" ht="15" x14ac:dyDescent="0.25">
      <c r="A1641" s="3">
        <f>1634</f>
        <v>1634</v>
      </c>
      <c r="B1641" s="3" t="s">
        <v>1643</v>
      </c>
      <c r="C1641" s="3" t="s">
        <v>9</v>
      </c>
      <c r="D1641" s="3" t="s">
        <v>10</v>
      </c>
      <c r="E1641" s="3">
        <v>25</v>
      </c>
      <c r="F1641" s="3">
        <v>60</v>
      </c>
      <c r="G1641" s="3">
        <v>0</v>
      </c>
      <c r="H1641" s="3">
        <v>22</v>
      </c>
      <c r="I1641" s="3">
        <v>30</v>
      </c>
      <c r="J1641" s="3">
        <v>0</v>
      </c>
      <c r="K1641" s="3">
        <v>35</v>
      </c>
      <c r="L1641" s="3">
        <v>0</v>
      </c>
      <c r="M1641" s="3">
        <v>0</v>
      </c>
      <c r="N1641" s="3">
        <v>18</v>
      </c>
      <c r="O1641" s="3"/>
      <c r="P1641" s="3"/>
      <c r="Q1641" s="3"/>
    </row>
    <row r="1642" spans="1:17" ht="15" x14ac:dyDescent="0.25">
      <c r="A1642" s="3">
        <f>1635</f>
        <v>1635</v>
      </c>
      <c r="B1642" s="3" t="s">
        <v>1644</v>
      </c>
      <c r="C1642" s="3" t="s">
        <v>9</v>
      </c>
      <c r="D1642" s="3" t="s">
        <v>10</v>
      </c>
      <c r="E1642" s="3">
        <v>25</v>
      </c>
      <c r="F1642" s="3">
        <v>60</v>
      </c>
      <c r="G1642" s="3">
        <v>0</v>
      </c>
      <c r="H1642" s="3">
        <v>22</v>
      </c>
      <c r="I1642" s="3">
        <v>30</v>
      </c>
      <c r="J1642" s="3">
        <v>0</v>
      </c>
      <c r="K1642" s="3">
        <v>35</v>
      </c>
      <c r="L1642" s="3">
        <v>0</v>
      </c>
      <c r="M1642" s="3">
        <v>0</v>
      </c>
      <c r="N1642" s="3">
        <v>18</v>
      </c>
      <c r="O1642" s="3"/>
      <c r="P1642" s="3"/>
      <c r="Q1642" s="3"/>
    </row>
    <row r="1643" spans="1:17" ht="15" x14ac:dyDescent="0.25">
      <c r="A1643" s="3">
        <f>1636</f>
        <v>1636</v>
      </c>
      <c r="B1643" s="3" t="s">
        <v>1645</v>
      </c>
      <c r="C1643" s="3" t="s">
        <v>9</v>
      </c>
      <c r="D1643" s="3" t="s">
        <v>10</v>
      </c>
      <c r="E1643" s="3">
        <v>25</v>
      </c>
      <c r="F1643" s="3">
        <v>60</v>
      </c>
      <c r="G1643" s="3">
        <v>0</v>
      </c>
      <c r="H1643" s="3">
        <v>22</v>
      </c>
      <c r="I1643" s="3">
        <v>30</v>
      </c>
      <c r="J1643" s="3">
        <v>0</v>
      </c>
      <c r="K1643" s="3">
        <v>35</v>
      </c>
      <c r="L1643" s="3">
        <v>0</v>
      </c>
      <c r="M1643" s="3">
        <v>0</v>
      </c>
      <c r="N1643" s="3">
        <v>18</v>
      </c>
      <c r="O1643" s="3"/>
      <c r="P1643" s="3"/>
      <c r="Q1643" s="3"/>
    </row>
    <row r="1644" spans="1:17" ht="15" x14ac:dyDescent="0.25">
      <c r="A1644" s="3">
        <f>1637</f>
        <v>1637</v>
      </c>
      <c r="B1644" s="3" t="s">
        <v>1646</v>
      </c>
      <c r="C1644" s="3" t="s">
        <v>9</v>
      </c>
      <c r="D1644" s="3" t="s">
        <v>10</v>
      </c>
      <c r="E1644" s="3">
        <v>25</v>
      </c>
      <c r="F1644" s="3">
        <v>60</v>
      </c>
      <c r="G1644" s="3">
        <v>0</v>
      </c>
      <c r="H1644" s="3">
        <v>22</v>
      </c>
      <c r="I1644" s="3">
        <v>30</v>
      </c>
      <c r="J1644" s="3">
        <v>0</v>
      </c>
      <c r="K1644" s="3">
        <v>35</v>
      </c>
      <c r="L1644" s="3">
        <v>0</v>
      </c>
      <c r="M1644" s="3">
        <v>0</v>
      </c>
      <c r="N1644" s="3">
        <v>18</v>
      </c>
      <c r="O1644" s="3"/>
      <c r="P1644" s="3"/>
      <c r="Q1644" s="3"/>
    </row>
    <row r="1645" spans="1:17" ht="15" x14ac:dyDescent="0.25">
      <c r="A1645" s="3">
        <f>1638</f>
        <v>1638</v>
      </c>
      <c r="B1645" s="3" t="s">
        <v>1647</v>
      </c>
      <c r="C1645" s="3" t="s">
        <v>9</v>
      </c>
      <c r="D1645" s="3" t="s">
        <v>10</v>
      </c>
      <c r="E1645" s="3">
        <v>25</v>
      </c>
      <c r="F1645" s="3">
        <v>60</v>
      </c>
      <c r="G1645" s="3">
        <v>0</v>
      </c>
      <c r="H1645" s="3">
        <v>22</v>
      </c>
      <c r="I1645" s="3">
        <v>30</v>
      </c>
      <c r="J1645" s="3">
        <v>0</v>
      </c>
      <c r="K1645" s="3">
        <v>35</v>
      </c>
      <c r="L1645" s="3">
        <v>0</v>
      </c>
      <c r="M1645" s="3">
        <v>0</v>
      </c>
      <c r="N1645" s="3">
        <v>18</v>
      </c>
      <c r="O1645" s="3"/>
      <c r="P1645" s="3"/>
      <c r="Q1645" s="3"/>
    </row>
    <row r="1646" spans="1:17" ht="15" x14ac:dyDescent="0.25">
      <c r="A1646" s="3">
        <f>1639</f>
        <v>1639</v>
      </c>
      <c r="B1646" s="3" t="s">
        <v>1648</v>
      </c>
      <c r="C1646" s="3" t="s">
        <v>9</v>
      </c>
      <c r="D1646" s="3" t="s">
        <v>10</v>
      </c>
      <c r="E1646" s="3">
        <v>25</v>
      </c>
      <c r="F1646" s="3">
        <v>60</v>
      </c>
      <c r="G1646" s="3">
        <v>0</v>
      </c>
      <c r="H1646" s="3">
        <v>22</v>
      </c>
      <c r="I1646" s="3">
        <v>30</v>
      </c>
      <c r="J1646" s="3">
        <v>0</v>
      </c>
      <c r="K1646" s="3">
        <v>35</v>
      </c>
      <c r="L1646" s="3">
        <v>0</v>
      </c>
      <c r="M1646" s="3">
        <v>0</v>
      </c>
      <c r="N1646" s="3">
        <v>18</v>
      </c>
      <c r="O1646" s="3"/>
      <c r="P1646" s="3"/>
      <c r="Q1646" s="3"/>
    </row>
    <row r="1647" spans="1:17" ht="15" x14ac:dyDescent="0.25">
      <c r="A1647" s="3">
        <f>1640</f>
        <v>1640</v>
      </c>
      <c r="B1647" s="3" t="s">
        <v>1649</v>
      </c>
      <c r="C1647" s="3" t="s">
        <v>9</v>
      </c>
      <c r="D1647" s="3" t="s">
        <v>10</v>
      </c>
      <c r="E1647" s="3">
        <v>25</v>
      </c>
      <c r="F1647" s="3">
        <v>60</v>
      </c>
      <c r="G1647" s="3">
        <v>0</v>
      </c>
      <c r="H1647" s="3">
        <v>22</v>
      </c>
      <c r="I1647" s="3">
        <v>30</v>
      </c>
      <c r="J1647" s="3">
        <v>0</v>
      </c>
      <c r="K1647" s="3">
        <v>35</v>
      </c>
      <c r="L1647" s="3">
        <v>0</v>
      </c>
      <c r="M1647" s="3">
        <v>0</v>
      </c>
      <c r="N1647" s="3">
        <v>18</v>
      </c>
      <c r="O1647" s="3"/>
      <c r="P1647" s="3"/>
      <c r="Q1647" s="3"/>
    </row>
    <row r="1648" spans="1:17" ht="15" x14ac:dyDescent="0.25">
      <c r="A1648" s="3">
        <f>1641</f>
        <v>1641</v>
      </c>
      <c r="B1648" s="3" t="s">
        <v>1650</v>
      </c>
      <c r="C1648" s="3" t="s">
        <v>9</v>
      </c>
      <c r="D1648" s="3" t="s">
        <v>10</v>
      </c>
      <c r="E1648" s="3">
        <v>25</v>
      </c>
      <c r="F1648" s="3">
        <v>60</v>
      </c>
      <c r="G1648" s="3">
        <v>0</v>
      </c>
      <c r="H1648" s="3">
        <v>22</v>
      </c>
      <c r="I1648" s="3">
        <v>30</v>
      </c>
      <c r="J1648" s="3">
        <v>0</v>
      </c>
      <c r="K1648" s="3">
        <v>35</v>
      </c>
      <c r="L1648" s="3">
        <v>0</v>
      </c>
      <c r="M1648" s="3">
        <v>0</v>
      </c>
      <c r="N1648" s="3">
        <v>18</v>
      </c>
      <c r="O1648" s="3"/>
      <c r="P1648" s="3"/>
      <c r="Q1648" s="3"/>
    </row>
    <row r="1649" spans="1:17" ht="15" x14ac:dyDescent="0.25">
      <c r="A1649" s="3">
        <f>1642</f>
        <v>1642</v>
      </c>
      <c r="B1649" s="3" t="s">
        <v>1651</v>
      </c>
      <c r="C1649" s="3" t="s">
        <v>9</v>
      </c>
      <c r="D1649" s="3" t="s">
        <v>10</v>
      </c>
      <c r="E1649" s="3">
        <v>25</v>
      </c>
      <c r="F1649" s="3">
        <v>60</v>
      </c>
      <c r="G1649" s="3">
        <v>0</v>
      </c>
      <c r="H1649" s="3">
        <v>22</v>
      </c>
      <c r="I1649" s="3">
        <v>30</v>
      </c>
      <c r="J1649" s="3">
        <v>0</v>
      </c>
      <c r="K1649" s="3">
        <v>35</v>
      </c>
      <c r="L1649" s="3">
        <v>0</v>
      </c>
      <c r="M1649" s="3">
        <v>0</v>
      </c>
      <c r="N1649" s="3">
        <v>18</v>
      </c>
      <c r="O1649" s="3"/>
      <c r="P1649" s="3"/>
      <c r="Q1649" s="3"/>
    </row>
    <row r="1650" spans="1:17" ht="15" x14ac:dyDescent="0.25">
      <c r="A1650" s="3">
        <f>1643</f>
        <v>1643</v>
      </c>
      <c r="B1650" s="3" t="s">
        <v>1652</v>
      </c>
      <c r="C1650" s="3" t="s">
        <v>9</v>
      </c>
      <c r="D1650" s="3" t="s">
        <v>10</v>
      </c>
      <c r="E1650" s="3">
        <v>25</v>
      </c>
      <c r="F1650" s="3">
        <v>60</v>
      </c>
      <c r="G1650" s="3">
        <v>0</v>
      </c>
      <c r="H1650" s="3">
        <v>22</v>
      </c>
      <c r="I1650" s="3">
        <v>30</v>
      </c>
      <c r="J1650" s="3">
        <v>0</v>
      </c>
      <c r="K1650" s="3">
        <v>35</v>
      </c>
      <c r="L1650" s="3">
        <v>0</v>
      </c>
      <c r="M1650" s="3">
        <v>0</v>
      </c>
      <c r="N1650" s="3">
        <v>18</v>
      </c>
      <c r="O1650" s="3"/>
      <c r="P1650" s="3"/>
      <c r="Q1650" s="3"/>
    </row>
    <row r="1651" spans="1:17" ht="15" x14ac:dyDescent="0.25">
      <c r="A1651" s="3">
        <f>1644</f>
        <v>1644</v>
      </c>
      <c r="B1651" s="3" t="s">
        <v>1653</v>
      </c>
      <c r="C1651" s="3" t="s">
        <v>9</v>
      </c>
      <c r="D1651" s="3" t="s">
        <v>10</v>
      </c>
      <c r="E1651" s="3">
        <v>25</v>
      </c>
      <c r="F1651" s="3">
        <v>60</v>
      </c>
      <c r="G1651" s="3">
        <v>0</v>
      </c>
      <c r="H1651" s="3">
        <v>22</v>
      </c>
      <c r="I1651" s="3">
        <v>30</v>
      </c>
      <c r="J1651" s="3">
        <v>0</v>
      </c>
      <c r="K1651" s="3">
        <v>35</v>
      </c>
      <c r="L1651" s="3">
        <v>0</v>
      </c>
      <c r="M1651" s="3">
        <v>0</v>
      </c>
      <c r="N1651" s="3">
        <v>18</v>
      </c>
      <c r="O1651" s="3"/>
      <c r="P1651" s="3"/>
      <c r="Q1651" s="3"/>
    </row>
    <row r="1652" spans="1:17" ht="15" x14ac:dyDescent="0.25">
      <c r="A1652" s="3">
        <f>1645</f>
        <v>1645</v>
      </c>
      <c r="B1652" s="3" t="s">
        <v>1654</v>
      </c>
      <c r="C1652" s="3" t="s">
        <v>9</v>
      </c>
      <c r="D1652" s="3" t="s">
        <v>10</v>
      </c>
      <c r="E1652" s="3">
        <v>25</v>
      </c>
      <c r="F1652" s="3">
        <v>60</v>
      </c>
      <c r="G1652" s="3">
        <v>0</v>
      </c>
      <c r="H1652" s="3">
        <v>22</v>
      </c>
      <c r="I1652" s="3">
        <v>30</v>
      </c>
      <c r="J1652" s="3">
        <v>0</v>
      </c>
      <c r="K1652" s="3">
        <v>35</v>
      </c>
      <c r="L1652" s="3">
        <v>0</v>
      </c>
      <c r="M1652" s="3">
        <v>0</v>
      </c>
      <c r="N1652" s="3">
        <v>18</v>
      </c>
      <c r="O1652" s="3"/>
      <c r="P1652" s="3"/>
      <c r="Q1652" s="3"/>
    </row>
    <row r="1653" spans="1:17" ht="15" x14ac:dyDescent="0.25">
      <c r="A1653" s="3">
        <f>1646</f>
        <v>1646</v>
      </c>
      <c r="B1653" s="3" t="s">
        <v>1655</v>
      </c>
      <c r="C1653" s="3" t="s">
        <v>9</v>
      </c>
      <c r="D1653" s="3" t="s">
        <v>10</v>
      </c>
      <c r="E1653" s="3">
        <v>25</v>
      </c>
      <c r="F1653" s="3">
        <v>60</v>
      </c>
      <c r="G1653" s="3">
        <v>0</v>
      </c>
      <c r="H1653" s="3">
        <v>22</v>
      </c>
      <c r="I1653" s="3">
        <v>30</v>
      </c>
      <c r="J1653" s="3">
        <v>0</v>
      </c>
      <c r="K1653" s="3">
        <v>35</v>
      </c>
      <c r="L1653" s="3">
        <v>0</v>
      </c>
      <c r="M1653" s="3">
        <v>0</v>
      </c>
      <c r="N1653" s="3">
        <v>18</v>
      </c>
      <c r="O1653" s="3"/>
      <c r="P1653" s="3"/>
      <c r="Q1653" s="3"/>
    </row>
    <row r="1654" spans="1:17" ht="15" x14ac:dyDescent="0.25">
      <c r="A1654" s="3">
        <f>1647</f>
        <v>1647</v>
      </c>
      <c r="B1654" s="3" t="s">
        <v>1656</v>
      </c>
      <c r="C1654" s="3" t="s">
        <v>9</v>
      </c>
      <c r="D1654" s="3" t="s">
        <v>10</v>
      </c>
      <c r="E1654" s="3">
        <v>25</v>
      </c>
      <c r="F1654" s="3">
        <v>60</v>
      </c>
      <c r="G1654" s="3">
        <v>0</v>
      </c>
      <c r="H1654" s="3">
        <v>22</v>
      </c>
      <c r="I1654" s="3">
        <v>30</v>
      </c>
      <c r="J1654" s="3">
        <v>0</v>
      </c>
      <c r="K1654" s="3">
        <v>35</v>
      </c>
      <c r="L1654" s="3">
        <v>0</v>
      </c>
      <c r="M1654" s="3">
        <v>0</v>
      </c>
      <c r="N1654" s="3">
        <v>18</v>
      </c>
      <c r="O1654" s="3"/>
      <c r="P1654" s="3"/>
      <c r="Q1654" s="3"/>
    </row>
    <row r="1655" spans="1:17" ht="15" x14ac:dyDescent="0.25">
      <c r="A1655" s="3">
        <f>1648</f>
        <v>1648</v>
      </c>
      <c r="B1655" s="3" t="s">
        <v>1657</v>
      </c>
      <c r="C1655" s="3" t="s">
        <v>9</v>
      </c>
      <c r="D1655" s="3" t="s">
        <v>10</v>
      </c>
      <c r="E1655" s="3">
        <v>25</v>
      </c>
      <c r="F1655" s="3">
        <v>60</v>
      </c>
      <c r="G1655" s="3">
        <v>0</v>
      </c>
      <c r="H1655" s="3">
        <v>22</v>
      </c>
      <c r="I1655" s="3">
        <v>30</v>
      </c>
      <c r="J1655" s="3">
        <v>0</v>
      </c>
      <c r="K1655" s="3">
        <v>35</v>
      </c>
      <c r="L1655" s="3">
        <v>0</v>
      </c>
      <c r="M1655" s="3">
        <v>0</v>
      </c>
      <c r="N1655" s="3">
        <v>18</v>
      </c>
      <c r="O1655" s="3"/>
      <c r="P1655" s="3"/>
      <c r="Q1655" s="3"/>
    </row>
    <row r="1656" spans="1:17" ht="15" x14ac:dyDescent="0.25">
      <c r="A1656" s="3">
        <f>1649</f>
        <v>1649</v>
      </c>
      <c r="B1656" s="3" t="s">
        <v>1658</v>
      </c>
      <c r="C1656" s="3" t="s">
        <v>9</v>
      </c>
      <c r="D1656" s="3" t="s">
        <v>10</v>
      </c>
      <c r="E1656" s="3">
        <v>25</v>
      </c>
      <c r="F1656" s="3">
        <v>60</v>
      </c>
      <c r="G1656" s="3">
        <v>0</v>
      </c>
      <c r="H1656" s="3">
        <v>22</v>
      </c>
      <c r="I1656" s="3">
        <v>30</v>
      </c>
      <c r="J1656" s="3">
        <v>0</v>
      </c>
      <c r="K1656" s="3">
        <v>35</v>
      </c>
      <c r="L1656" s="3">
        <v>0</v>
      </c>
      <c r="M1656" s="3">
        <v>0</v>
      </c>
      <c r="N1656" s="3">
        <v>18</v>
      </c>
      <c r="O1656" s="3"/>
      <c r="P1656" s="3"/>
      <c r="Q1656" s="3"/>
    </row>
    <row r="1657" spans="1:17" ht="15" x14ac:dyDescent="0.25">
      <c r="A1657" s="3">
        <f>1650</f>
        <v>1650</v>
      </c>
      <c r="B1657" s="3" t="s">
        <v>1659</v>
      </c>
      <c r="C1657" s="3" t="s">
        <v>9</v>
      </c>
      <c r="D1657" s="3" t="s">
        <v>10</v>
      </c>
      <c r="E1657" s="3">
        <v>25</v>
      </c>
      <c r="F1657" s="3">
        <v>60</v>
      </c>
      <c r="G1657" s="3">
        <v>0</v>
      </c>
      <c r="H1657" s="3">
        <v>22</v>
      </c>
      <c r="I1657" s="3">
        <v>30</v>
      </c>
      <c r="J1657" s="3">
        <v>0</v>
      </c>
      <c r="K1657" s="3">
        <v>35</v>
      </c>
      <c r="L1657" s="3">
        <v>0</v>
      </c>
      <c r="M1657" s="3">
        <v>0</v>
      </c>
      <c r="N1657" s="3">
        <v>18</v>
      </c>
      <c r="O1657" s="3"/>
      <c r="P1657" s="3"/>
      <c r="Q1657" s="3"/>
    </row>
    <row r="1658" spans="1:17" ht="15" x14ac:dyDescent="0.25">
      <c r="A1658" s="3">
        <f>1651</f>
        <v>1651</v>
      </c>
      <c r="B1658" s="3" t="s">
        <v>1660</v>
      </c>
      <c r="C1658" s="3" t="s">
        <v>9</v>
      </c>
      <c r="D1658" s="3" t="s">
        <v>10</v>
      </c>
      <c r="E1658" s="3">
        <v>25</v>
      </c>
      <c r="F1658" s="3">
        <v>60</v>
      </c>
      <c r="G1658" s="3">
        <v>0</v>
      </c>
      <c r="H1658" s="3">
        <v>22</v>
      </c>
      <c r="I1658" s="3">
        <v>30</v>
      </c>
      <c r="J1658" s="3">
        <v>0</v>
      </c>
      <c r="K1658" s="3">
        <v>35</v>
      </c>
      <c r="L1658" s="3">
        <v>0</v>
      </c>
      <c r="M1658" s="3">
        <v>0</v>
      </c>
      <c r="N1658" s="3">
        <v>18</v>
      </c>
      <c r="O1658" s="3"/>
      <c r="P1658" s="3"/>
      <c r="Q1658" s="3"/>
    </row>
    <row r="1659" spans="1:17" ht="15" x14ac:dyDescent="0.25">
      <c r="A1659" s="3">
        <f>1652</f>
        <v>1652</v>
      </c>
      <c r="B1659" s="3" t="s">
        <v>1661</v>
      </c>
      <c r="C1659" s="3" t="s">
        <v>9</v>
      </c>
      <c r="D1659" s="3" t="s">
        <v>10</v>
      </c>
      <c r="E1659" s="3">
        <v>25</v>
      </c>
      <c r="F1659" s="3">
        <v>60</v>
      </c>
      <c r="G1659" s="3">
        <v>0</v>
      </c>
      <c r="H1659" s="3">
        <v>22</v>
      </c>
      <c r="I1659" s="3">
        <v>30</v>
      </c>
      <c r="J1659" s="3">
        <v>0</v>
      </c>
      <c r="K1659" s="3">
        <v>35</v>
      </c>
      <c r="L1659" s="3">
        <v>0</v>
      </c>
      <c r="M1659" s="3">
        <v>0</v>
      </c>
      <c r="N1659" s="3">
        <v>18</v>
      </c>
      <c r="O1659" s="3"/>
      <c r="P1659" s="3"/>
      <c r="Q1659" s="3"/>
    </row>
    <row r="1660" spans="1:17" ht="15" x14ac:dyDescent="0.25">
      <c r="A1660" s="3">
        <f>1653</f>
        <v>1653</v>
      </c>
      <c r="B1660" s="3" t="s">
        <v>1662</v>
      </c>
      <c r="C1660" s="3" t="s">
        <v>9</v>
      </c>
      <c r="D1660" s="3" t="s">
        <v>10</v>
      </c>
      <c r="E1660" s="3">
        <v>25</v>
      </c>
      <c r="F1660" s="3">
        <v>60</v>
      </c>
      <c r="G1660" s="3">
        <v>0</v>
      </c>
      <c r="H1660" s="3">
        <v>22</v>
      </c>
      <c r="I1660" s="3">
        <v>30</v>
      </c>
      <c r="J1660" s="3">
        <v>0</v>
      </c>
      <c r="K1660" s="3">
        <v>35</v>
      </c>
      <c r="L1660" s="3">
        <v>0</v>
      </c>
      <c r="M1660" s="3">
        <v>0</v>
      </c>
      <c r="N1660" s="3">
        <v>18</v>
      </c>
      <c r="O1660" s="3"/>
      <c r="P1660" s="3"/>
      <c r="Q1660" s="3"/>
    </row>
    <row r="1661" spans="1:17" ht="15" x14ac:dyDescent="0.25">
      <c r="A1661" s="3">
        <f>1654</f>
        <v>1654</v>
      </c>
      <c r="B1661" s="3" t="s">
        <v>1663</v>
      </c>
      <c r="C1661" s="3" t="s">
        <v>9</v>
      </c>
      <c r="D1661" s="3" t="s">
        <v>10</v>
      </c>
      <c r="E1661" s="3">
        <v>25</v>
      </c>
      <c r="F1661" s="3">
        <v>60</v>
      </c>
      <c r="G1661" s="3">
        <v>0</v>
      </c>
      <c r="H1661" s="3">
        <v>22</v>
      </c>
      <c r="I1661" s="3">
        <v>30</v>
      </c>
      <c r="J1661" s="3">
        <v>0</v>
      </c>
      <c r="K1661" s="3">
        <v>35</v>
      </c>
      <c r="L1661" s="3">
        <v>0</v>
      </c>
      <c r="M1661" s="3">
        <v>0</v>
      </c>
      <c r="N1661" s="3">
        <v>18</v>
      </c>
      <c r="O1661" s="3"/>
      <c r="P1661" s="3"/>
      <c r="Q1661" s="3"/>
    </row>
    <row r="1662" spans="1:17" ht="15" x14ac:dyDescent="0.25">
      <c r="A1662" s="3">
        <f>1655</f>
        <v>1655</v>
      </c>
      <c r="B1662" s="3" t="s">
        <v>1664</v>
      </c>
      <c r="C1662" s="3" t="s">
        <v>9</v>
      </c>
      <c r="D1662" s="3" t="s">
        <v>10</v>
      </c>
      <c r="E1662" s="3">
        <v>25</v>
      </c>
      <c r="F1662" s="3">
        <v>60</v>
      </c>
      <c r="G1662" s="3">
        <v>0</v>
      </c>
      <c r="H1662" s="3">
        <v>22</v>
      </c>
      <c r="I1662" s="3">
        <v>30</v>
      </c>
      <c r="J1662" s="3">
        <v>0</v>
      </c>
      <c r="K1662" s="3">
        <v>35</v>
      </c>
      <c r="L1662" s="3">
        <v>0</v>
      </c>
      <c r="M1662" s="3">
        <v>0</v>
      </c>
      <c r="N1662" s="3">
        <v>18</v>
      </c>
      <c r="O1662" s="3"/>
      <c r="P1662" s="3"/>
      <c r="Q1662" s="3"/>
    </row>
    <row r="1663" spans="1:17" ht="15" x14ac:dyDescent="0.25">
      <c r="A1663" s="3">
        <f>1656</f>
        <v>1656</v>
      </c>
      <c r="B1663" s="3" t="s">
        <v>1665</v>
      </c>
      <c r="C1663" s="3" t="s">
        <v>9</v>
      </c>
      <c r="D1663" s="3" t="s">
        <v>10</v>
      </c>
      <c r="E1663" s="3">
        <v>25</v>
      </c>
      <c r="F1663" s="3">
        <v>60</v>
      </c>
      <c r="G1663" s="3">
        <v>0</v>
      </c>
      <c r="H1663" s="3">
        <v>22</v>
      </c>
      <c r="I1663" s="3">
        <v>30</v>
      </c>
      <c r="J1663" s="3">
        <v>0</v>
      </c>
      <c r="K1663" s="3">
        <v>35</v>
      </c>
      <c r="L1663" s="3">
        <v>0</v>
      </c>
      <c r="M1663" s="3">
        <v>0</v>
      </c>
      <c r="N1663" s="3">
        <v>18</v>
      </c>
      <c r="O1663" s="3"/>
      <c r="P1663" s="3"/>
      <c r="Q1663" s="3"/>
    </row>
    <row r="1664" spans="1:17" ht="15" x14ac:dyDescent="0.25">
      <c r="A1664" s="3">
        <f>1657</f>
        <v>1657</v>
      </c>
      <c r="B1664" s="3" t="s">
        <v>1666</v>
      </c>
      <c r="C1664" s="3" t="s">
        <v>9</v>
      </c>
      <c r="D1664" s="3" t="s">
        <v>10</v>
      </c>
      <c r="E1664" s="3">
        <v>25</v>
      </c>
      <c r="F1664" s="3">
        <v>60</v>
      </c>
      <c r="G1664" s="3">
        <v>0</v>
      </c>
      <c r="H1664" s="3">
        <v>22</v>
      </c>
      <c r="I1664" s="3">
        <v>30</v>
      </c>
      <c r="J1664" s="3">
        <v>0</v>
      </c>
      <c r="K1664" s="3">
        <v>35</v>
      </c>
      <c r="L1664" s="3">
        <v>0</v>
      </c>
      <c r="M1664" s="3">
        <v>0</v>
      </c>
      <c r="N1664" s="3">
        <v>18</v>
      </c>
      <c r="O1664" s="3"/>
      <c r="P1664" s="3"/>
      <c r="Q1664" s="3"/>
    </row>
    <row r="1665" spans="1:17" ht="15" x14ac:dyDescent="0.25">
      <c r="A1665" s="3">
        <f>1658</f>
        <v>1658</v>
      </c>
      <c r="B1665" s="3" t="s">
        <v>1667</v>
      </c>
      <c r="C1665" s="3" t="s">
        <v>9</v>
      </c>
      <c r="D1665" s="3" t="s">
        <v>10</v>
      </c>
      <c r="E1665" s="3">
        <v>25</v>
      </c>
      <c r="F1665" s="3">
        <v>60</v>
      </c>
      <c r="G1665" s="3">
        <v>0</v>
      </c>
      <c r="H1665" s="3">
        <v>22</v>
      </c>
      <c r="I1665" s="3">
        <v>30</v>
      </c>
      <c r="J1665" s="3">
        <v>0</v>
      </c>
      <c r="K1665" s="3">
        <v>35</v>
      </c>
      <c r="L1665" s="3">
        <v>0</v>
      </c>
      <c r="M1665" s="3">
        <v>0</v>
      </c>
      <c r="N1665" s="3">
        <v>18</v>
      </c>
      <c r="O1665" s="3"/>
      <c r="P1665" s="3"/>
      <c r="Q1665" s="3"/>
    </row>
    <row r="1666" spans="1:17" ht="15" x14ac:dyDescent="0.25">
      <c r="A1666" s="3">
        <f>1659</f>
        <v>1659</v>
      </c>
      <c r="B1666" s="3" t="s">
        <v>1668</v>
      </c>
      <c r="C1666" s="3" t="s">
        <v>9</v>
      </c>
      <c r="D1666" s="3" t="s">
        <v>10</v>
      </c>
      <c r="E1666" s="3">
        <v>25</v>
      </c>
      <c r="F1666" s="3">
        <v>60</v>
      </c>
      <c r="G1666" s="3">
        <v>0</v>
      </c>
      <c r="H1666" s="3">
        <v>22</v>
      </c>
      <c r="I1666" s="3">
        <v>30</v>
      </c>
      <c r="J1666" s="3">
        <v>0</v>
      </c>
      <c r="K1666" s="3">
        <v>35</v>
      </c>
      <c r="L1666" s="3">
        <v>0</v>
      </c>
      <c r="M1666" s="3">
        <v>0</v>
      </c>
      <c r="N1666" s="3">
        <v>18</v>
      </c>
      <c r="O1666" s="3"/>
      <c r="P1666" s="3"/>
      <c r="Q1666" s="3"/>
    </row>
    <row r="1667" spans="1:17" ht="15" x14ac:dyDescent="0.25">
      <c r="A1667" s="3">
        <f>1660</f>
        <v>1660</v>
      </c>
      <c r="B1667" s="3" t="s">
        <v>1669</v>
      </c>
      <c r="C1667" s="3" t="s">
        <v>9</v>
      </c>
      <c r="D1667" s="3" t="s">
        <v>10</v>
      </c>
      <c r="E1667" s="3">
        <v>25</v>
      </c>
      <c r="F1667" s="3">
        <v>60</v>
      </c>
      <c r="G1667" s="3">
        <v>0</v>
      </c>
      <c r="H1667" s="3">
        <v>22</v>
      </c>
      <c r="I1667" s="3">
        <v>30</v>
      </c>
      <c r="J1667" s="3">
        <v>0</v>
      </c>
      <c r="K1667" s="3">
        <v>35</v>
      </c>
      <c r="L1667" s="3">
        <v>0</v>
      </c>
      <c r="M1667" s="3">
        <v>0</v>
      </c>
      <c r="N1667" s="3">
        <v>18</v>
      </c>
      <c r="O1667" s="3"/>
      <c r="P1667" s="3"/>
      <c r="Q1667" s="3"/>
    </row>
    <row r="1668" spans="1:17" ht="15" x14ac:dyDescent="0.25">
      <c r="A1668" s="3">
        <f>1661</f>
        <v>1661</v>
      </c>
      <c r="B1668" s="3" t="s">
        <v>1670</v>
      </c>
      <c r="C1668" s="3" t="s">
        <v>9</v>
      </c>
      <c r="D1668" s="3" t="s">
        <v>10</v>
      </c>
      <c r="E1668" s="3">
        <v>25</v>
      </c>
      <c r="F1668" s="3">
        <v>60</v>
      </c>
      <c r="G1668" s="3">
        <v>0</v>
      </c>
      <c r="H1668" s="3">
        <v>22</v>
      </c>
      <c r="I1668" s="3">
        <v>30</v>
      </c>
      <c r="J1668" s="3">
        <v>0</v>
      </c>
      <c r="K1668" s="3">
        <v>35</v>
      </c>
      <c r="L1668" s="3">
        <v>0</v>
      </c>
      <c r="M1668" s="3">
        <v>0</v>
      </c>
      <c r="N1668" s="3">
        <v>18</v>
      </c>
      <c r="O1668" s="3"/>
      <c r="P1668" s="3"/>
      <c r="Q1668" s="3"/>
    </row>
    <row r="1669" spans="1:17" ht="15" x14ac:dyDescent="0.25">
      <c r="A1669" s="3">
        <f>1662</f>
        <v>1662</v>
      </c>
      <c r="B1669" s="3" t="s">
        <v>1671</v>
      </c>
      <c r="C1669" s="3" t="s">
        <v>9</v>
      </c>
      <c r="D1669" s="3" t="s">
        <v>10</v>
      </c>
      <c r="E1669" s="3">
        <v>25</v>
      </c>
      <c r="F1669" s="3">
        <v>60</v>
      </c>
      <c r="G1669" s="3">
        <v>0</v>
      </c>
      <c r="H1669" s="3">
        <v>22</v>
      </c>
      <c r="I1669" s="3">
        <v>30</v>
      </c>
      <c r="J1669" s="3">
        <v>0</v>
      </c>
      <c r="K1669" s="3">
        <v>35</v>
      </c>
      <c r="L1669" s="3">
        <v>0</v>
      </c>
      <c r="M1669" s="3">
        <v>0</v>
      </c>
      <c r="N1669" s="3">
        <v>18</v>
      </c>
      <c r="O1669" s="3"/>
      <c r="P1669" s="3"/>
      <c r="Q1669" s="3"/>
    </row>
    <row r="1670" spans="1:17" ht="15" x14ac:dyDescent="0.25">
      <c r="A1670" s="3">
        <f>1663</f>
        <v>1663</v>
      </c>
      <c r="B1670" s="3" t="s">
        <v>1672</v>
      </c>
      <c r="C1670" s="3" t="s">
        <v>9</v>
      </c>
      <c r="D1670" s="3" t="s">
        <v>10</v>
      </c>
      <c r="E1670" s="3">
        <v>25</v>
      </c>
      <c r="F1670" s="3">
        <v>60</v>
      </c>
      <c r="G1670" s="3">
        <v>0</v>
      </c>
      <c r="H1670" s="3">
        <v>22</v>
      </c>
      <c r="I1670" s="3">
        <v>30</v>
      </c>
      <c r="J1670" s="3">
        <v>0</v>
      </c>
      <c r="K1670" s="3">
        <v>35</v>
      </c>
      <c r="L1670" s="3">
        <v>0</v>
      </c>
      <c r="M1670" s="3">
        <v>0</v>
      </c>
      <c r="N1670" s="3">
        <v>18</v>
      </c>
      <c r="O1670" s="3"/>
      <c r="P1670" s="3"/>
      <c r="Q1670" s="3"/>
    </row>
    <row r="1671" spans="1:17" ht="15" x14ac:dyDescent="0.25">
      <c r="A1671" s="3">
        <f>1664</f>
        <v>1664</v>
      </c>
      <c r="B1671" s="3" t="s">
        <v>1673</v>
      </c>
      <c r="C1671" s="3" t="s">
        <v>9</v>
      </c>
      <c r="D1671" s="3" t="s">
        <v>10</v>
      </c>
      <c r="E1671" s="3">
        <v>25</v>
      </c>
      <c r="F1671" s="3">
        <v>60</v>
      </c>
      <c r="G1671" s="3">
        <v>0</v>
      </c>
      <c r="H1671" s="3">
        <v>22</v>
      </c>
      <c r="I1671" s="3">
        <v>30</v>
      </c>
      <c r="J1671" s="3">
        <v>0</v>
      </c>
      <c r="K1671" s="3">
        <v>35</v>
      </c>
      <c r="L1671" s="3">
        <v>0</v>
      </c>
      <c r="M1671" s="3">
        <v>0</v>
      </c>
      <c r="N1671" s="3">
        <v>18</v>
      </c>
      <c r="O1671" s="3"/>
      <c r="P1671" s="3"/>
      <c r="Q1671" s="3"/>
    </row>
    <row r="1672" spans="1:17" ht="15" x14ac:dyDescent="0.25">
      <c r="A1672" s="3">
        <f>1665</f>
        <v>1665</v>
      </c>
      <c r="B1672" s="3" t="s">
        <v>1674</v>
      </c>
      <c r="C1672" s="3" t="s">
        <v>9</v>
      </c>
      <c r="D1672" s="3" t="s">
        <v>10</v>
      </c>
      <c r="E1672" s="3">
        <v>25</v>
      </c>
      <c r="F1672" s="3">
        <v>60</v>
      </c>
      <c r="G1672" s="3">
        <v>0</v>
      </c>
      <c r="H1672" s="3">
        <v>22</v>
      </c>
      <c r="I1672" s="3">
        <v>30</v>
      </c>
      <c r="J1672" s="3">
        <v>0</v>
      </c>
      <c r="K1672" s="3">
        <v>35</v>
      </c>
      <c r="L1672" s="3">
        <v>0</v>
      </c>
      <c r="M1672" s="3">
        <v>0</v>
      </c>
      <c r="N1672" s="3">
        <v>18</v>
      </c>
      <c r="O1672" s="3"/>
      <c r="P1672" s="3"/>
      <c r="Q1672" s="3"/>
    </row>
    <row r="1673" spans="1:17" ht="15" x14ac:dyDescent="0.25">
      <c r="A1673" s="3">
        <f>1666</f>
        <v>1666</v>
      </c>
      <c r="B1673" s="3" t="s">
        <v>1675</v>
      </c>
      <c r="C1673" s="3" t="s">
        <v>9</v>
      </c>
      <c r="D1673" s="3" t="s">
        <v>10</v>
      </c>
      <c r="E1673" s="3">
        <v>25</v>
      </c>
      <c r="F1673" s="3">
        <v>60</v>
      </c>
      <c r="G1673" s="3">
        <v>0</v>
      </c>
      <c r="H1673" s="3">
        <v>22</v>
      </c>
      <c r="I1673" s="3">
        <v>30</v>
      </c>
      <c r="J1673" s="3">
        <v>0</v>
      </c>
      <c r="K1673" s="3">
        <v>35</v>
      </c>
      <c r="L1673" s="3">
        <v>0</v>
      </c>
      <c r="M1673" s="3">
        <v>0</v>
      </c>
      <c r="N1673" s="3">
        <v>18</v>
      </c>
      <c r="O1673" s="3"/>
      <c r="P1673" s="3"/>
      <c r="Q1673" s="3"/>
    </row>
    <row r="1674" spans="1:17" ht="15" x14ac:dyDescent="0.25">
      <c r="A1674" s="3">
        <f>1667</f>
        <v>1667</v>
      </c>
      <c r="B1674" s="3" t="s">
        <v>1676</v>
      </c>
      <c r="C1674" s="3" t="s">
        <v>9</v>
      </c>
      <c r="D1674" s="3" t="s">
        <v>10</v>
      </c>
      <c r="E1674" s="3">
        <v>25</v>
      </c>
      <c r="F1674" s="3">
        <v>60</v>
      </c>
      <c r="G1674" s="3">
        <v>0</v>
      </c>
      <c r="H1674" s="3">
        <v>22</v>
      </c>
      <c r="I1674" s="3">
        <v>30</v>
      </c>
      <c r="J1674" s="3">
        <v>0</v>
      </c>
      <c r="K1674" s="3">
        <v>35</v>
      </c>
      <c r="L1674" s="3">
        <v>0</v>
      </c>
      <c r="M1674" s="3">
        <v>0</v>
      </c>
      <c r="N1674" s="3">
        <v>18</v>
      </c>
      <c r="O1674" s="3"/>
      <c r="P1674" s="3"/>
      <c r="Q1674" s="3"/>
    </row>
    <row r="1675" spans="1:17" ht="15" x14ac:dyDescent="0.25">
      <c r="A1675" s="3">
        <f>1668</f>
        <v>1668</v>
      </c>
      <c r="B1675" s="3" t="s">
        <v>1677</v>
      </c>
      <c r="C1675" s="3" t="s">
        <v>9</v>
      </c>
      <c r="D1675" s="3" t="s">
        <v>10</v>
      </c>
      <c r="E1675" s="3">
        <v>25</v>
      </c>
      <c r="F1675" s="3">
        <v>60</v>
      </c>
      <c r="G1675" s="3">
        <v>0</v>
      </c>
      <c r="H1675" s="3">
        <v>22</v>
      </c>
      <c r="I1675" s="3">
        <v>30</v>
      </c>
      <c r="J1675" s="3">
        <v>0</v>
      </c>
      <c r="K1675" s="3">
        <v>35</v>
      </c>
      <c r="L1675" s="3">
        <v>0</v>
      </c>
      <c r="M1675" s="3">
        <v>0</v>
      </c>
      <c r="N1675" s="3">
        <v>18</v>
      </c>
      <c r="O1675" s="3"/>
      <c r="P1675" s="3"/>
      <c r="Q1675" s="3"/>
    </row>
    <row r="1676" spans="1:17" ht="15" x14ac:dyDescent="0.25">
      <c r="A1676" s="3">
        <f>1669</f>
        <v>1669</v>
      </c>
      <c r="B1676" s="3" t="s">
        <v>1678</v>
      </c>
      <c r="C1676" s="3" t="s">
        <v>9</v>
      </c>
      <c r="D1676" s="3" t="s">
        <v>10</v>
      </c>
      <c r="E1676" s="3">
        <v>25</v>
      </c>
      <c r="F1676" s="3">
        <v>60</v>
      </c>
      <c r="G1676" s="3">
        <v>0</v>
      </c>
      <c r="H1676" s="3">
        <v>22</v>
      </c>
      <c r="I1676" s="3">
        <v>30</v>
      </c>
      <c r="J1676" s="3">
        <v>0</v>
      </c>
      <c r="K1676" s="3">
        <v>35</v>
      </c>
      <c r="L1676" s="3">
        <v>0</v>
      </c>
      <c r="M1676" s="3">
        <v>0</v>
      </c>
      <c r="N1676" s="3">
        <v>18</v>
      </c>
      <c r="O1676" s="3"/>
      <c r="P1676" s="3"/>
      <c r="Q1676" s="3"/>
    </row>
    <row r="1677" spans="1:17" ht="15" x14ac:dyDescent="0.25">
      <c r="A1677" s="3">
        <f>1670</f>
        <v>1670</v>
      </c>
      <c r="B1677" s="3" t="s">
        <v>1679</v>
      </c>
      <c r="C1677" s="3" t="s">
        <v>9</v>
      </c>
      <c r="D1677" s="3" t="s">
        <v>10</v>
      </c>
      <c r="E1677" s="3">
        <v>25</v>
      </c>
      <c r="F1677" s="3">
        <v>60</v>
      </c>
      <c r="G1677" s="3">
        <v>0</v>
      </c>
      <c r="H1677" s="3">
        <v>22</v>
      </c>
      <c r="I1677" s="3">
        <v>30</v>
      </c>
      <c r="J1677" s="3">
        <v>0</v>
      </c>
      <c r="K1677" s="3">
        <v>35</v>
      </c>
      <c r="L1677" s="3">
        <v>0</v>
      </c>
      <c r="M1677" s="3">
        <v>0</v>
      </c>
      <c r="N1677" s="3">
        <v>18</v>
      </c>
      <c r="O1677" s="3"/>
      <c r="P1677" s="3"/>
      <c r="Q1677" s="3"/>
    </row>
    <row r="1678" spans="1:17" ht="15" x14ac:dyDescent="0.25">
      <c r="A1678" s="3">
        <f>1671</f>
        <v>1671</v>
      </c>
      <c r="B1678" s="3" t="s">
        <v>1680</v>
      </c>
      <c r="C1678" s="3" t="s">
        <v>9</v>
      </c>
      <c r="D1678" s="3" t="s">
        <v>10</v>
      </c>
      <c r="E1678" s="3">
        <v>25</v>
      </c>
      <c r="F1678" s="3">
        <v>60</v>
      </c>
      <c r="G1678" s="3">
        <v>0</v>
      </c>
      <c r="H1678" s="3">
        <v>22</v>
      </c>
      <c r="I1678" s="3">
        <v>30</v>
      </c>
      <c r="J1678" s="3">
        <v>0</v>
      </c>
      <c r="K1678" s="3">
        <v>35</v>
      </c>
      <c r="L1678" s="3">
        <v>0</v>
      </c>
      <c r="M1678" s="3">
        <v>0</v>
      </c>
      <c r="N1678" s="3">
        <v>18</v>
      </c>
      <c r="O1678" s="3"/>
      <c r="P1678" s="3"/>
      <c r="Q1678" s="3"/>
    </row>
    <row r="1679" spans="1:17" ht="15" x14ac:dyDescent="0.25">
      <c r="A1679" s="3">
        <f>1672</f>
        <v>1672</v>
      </c>
      <c r="B1679" s="3" t="s">
        <v>1681</v>
      </c>
      <c r="C1679" s="3" t="s">
        <v>9</v>
      </c>
      <c r="D1679" s="3" t="s">
        <v>10</v>
      </c>
      <c r="E1679" s="3">
        <v>25</v>
      </c>
      <c r="F1679" s="3">
        <v>60</v>
      </c>
      <c r="G1679" s="3">
        <v>0</v>
      </c>
      <c r="H1679" s="3">
        <v>22</v>
      </c>
      <c r="I1679" s="3">
        <v>30</v>
      </c>
      <c r="J1679" s="3">
        <v>0</v>
      </c>
      <c r="K1679" s="3">
        <v>35</v>
      </c>
      <c r="L1679" s="3">
        <v>0</v>
      </c>
      <c r="M1679" s="3">
        <v>0</v>
      </c>
      <c r="N1679" s="3">
        <v>18</v>
      </c>
      <c r="O1679" s="3"/>
      <c r="P1679" s="3"/>
      <c r="Q1679" s="3"/>
    </row>
    <row r="1680" spans="1:17" ht="15" x14ac:dyDescent="0.25">
      <c r="A1680" s="3">
        <f>1673</f>
        <v>1673</v>
      </c>
      <c r="B1680" s="3" t="s">
        <v>1682</v>
      </c>
      <c r="C1680" s="3" t="s">
        <v>9</v>
      </c>
      <c r="D1680" s="3" t="s">
        <v>10</v>
      </c>
      <c r="E1680" s="3">
        <v>25</v>
      </c>
      <c r="F1680" s="3">
        <v>60</v>
      </c>
      <c r="G1680" s="3">
        <v>0</v>
      </c>
      <c r="H1680" s="3">
        <v>22</v>
      </c>
      <c r="I1680" s="3">
        <v>30</v>
      </c>
      <c r="J1680" s="3">
        <v>0</v>
      </c>
      <c r="K1680" s="3">
        <v>35</v>
      </c>
      <c r="L1680" s="3">
        <v>0</v>
      </c>
      <c r="M1680" s="3">
        <v>0</v>
      </c>
      <c r="N1680" s="3">
        <v>18</v>
      </c>
      <c r="O1680" s="3"/>
      <c r="P1680" s="3"/>
      <c r="Q1680" s="3"/>
    </row>
    <row r="1681" spans="1:17" ht="15" x14ac:dyDescent="0.25">
      <c r="A1681" s="3">
        <f>1674</f>
        <v>1674</v>
      </c>
      <c r="B1681" s="3" t="s">
        <v>1683</v>
      </c>
      <c r="C1681" s="3" t="s">
        <v>9</v>
      </c>
      <c r="D1681" s="3" t="s">
        <v>10</v>
      </c>
      <c r="E1681" s="3">
        <v>25</v>
      </c>
      <c r="F1681" s="3">
        <v>60</v>
      </c>
      <c r="G1681" s="3">
        <v>0</v>
      </c>
      <c r="H1681" s="3">
        <v>22</v>
      </c>
      <c r="I1681" s="3">
        <v>30</v>
      </c>
      <c r="J1681" s="3">
        <v>0</v>
      </c>
      <c r="K1681" s="3">
        <v>35</v>
      </c>
      <c r="L1681" s="3">
        <v>0</v>
      </c>
      <c r="M1681" s="3">
        <v>0</v>
      </c>
      <c r="N1681" s="3">
        <v>18</v>
      </c>
      <c r="O1681" s="3"/>
      <c r="P1681" s="3"/>
      <c r="Q1681" s="3"/>
    </row>
    <row r="1682" spans="1:17" ht="15" x14ac:dyDescent="0.25">
      <c r="A1682" s="3">
        <f>1675</f>
        <v>1675</v>
      </c>
      <c r="B1682" s="3" t="s">
        <v>1684</v>
      </c>
      <c r="C1682" s="3" t="s">
        <v>9</v>
      </c>
      <c r="D1682" s="3" t="s">
        <v>10</v>
      </c>
      <c r="E1682" s="3">
        <v>25</v>
      </c>
      <c r="F1682" s="3">
        <v>60</v>
      </c>
      <c r="G1682" s="3">
        <v>0</v>
      </c>
      <c r="H1682" s="3">
        <v>22</v>
      </c>
      <c r="I1682" s="3">
        <v>30</v>
      </c>
      <c r="J1682" s="3">
        <v>0</v>
      </c>
      <c r="K1682" s="3">
        <v>35</v>
      </c>
      <c r="L1682" s="3">
        <v>0</v>
      </c>
      <c r="M1682" s="3">
        <v>0</v>
      </c>
      <c r="N1682" s="3">
        <v>18</v>
      </c>
      <c r="O1682" s="3"/>
      <c r="P1682" s="3"/>
      <c r="Q1682" s="3"/>
    </row>
    <row r="1683" spans="1:17" ht="15" x14ac:dyDescent="0.25">
      <c r="A1683" s="3">
        <f>1676</f>
        <v>1676</v>
      </c>
      <c r="B1683" s="3" t="s">
        <v>1685</v>
      </c>
      <c r="C1683" s="3" t="s">
        <v>9</v>
      </c>
      <c r="D1683" s="3" t="s">
        <v>10</v>
      </c>
      <c r="E1683" s="3">
        <v>25</v>
      </c>
      <c r="F1683" s="3">
        <v>60</v>
      </c>
      <c r="G1683" s="3">
        <v>0</v>
      </c>
      <c r="H1683" s="3">
        <v>22</v>
      </c>
      <c r="I1683" s="3">
        <v>30</v>
      </c>
      <c r="J1683" s="3">
        <v>0</v>
      </c>
      <c r="K1683" s="3">
        <v>35</v>
      </c>
      <c r="L1683" s="3">
        <v>0</v>
      </c>
      <c r="M1683" s="3">
        <v>0</v>
      </c>
      <c r="N1683" s="3">
        <v>18</v>
      </c>
      <c r="O1683" s="3"/>
      <c r="P1683" s="3"/>
      <c r="Q1683" s="3"/>
    </row>
    <row r="1684" spans="1:17" ht="15" x14ac:dyDescent="0.25">
      <c r="A1684" s="3">
        <f>1677</f>
        <v>1677</v>
      </c>
      <c r="B1684" s="3" t="s">
        <v>1686</v>
      </c>
      <c r="C1684" s="3" t="s">
        <v>9</v>
      </c>
      <c r="D1684" s="3" t="s">
        <v>10</v>
      </c>
      <c r="E1684" s="3">
        <v>25</v>
      </c>
      <c r="F1684" s="3">
        <v>60</v>
      </c>
      <c r="G1684" s="3">
        <v>0</v>
      </c>
      <c r="H1684" s="3">
        <v>22</v>
      </c>
      <c r="I1684" s="3">
        <v>28</v>
      </c>
      <c r="J1684" s="3">
        <v>0</v>
      </c>
      <c r="K1684" s="3">
        <v>35</v>
      </c>
      <c r="L1684" s="3">
        <v>0</v>
      </c>
      <c r="M1684" s="3">
        <v>0</v>
      </c>
      <c r="N1684" s="3">
        <v>18</v>
      </c>
      <c r="O1684" s="3"/>
      <c r="P1684" s="3"/>
      <c r="Q1684" s="3"/>
    </row>
    <row r="1685" spans="1:17" ht="15" x14ac:dyDescent="0.25">
      <c r="A1685" s="3">
        <f>1678</f>
        <v>1678</v>
      </c>
      <c r="B1685" s="3" t="s">
        <v>1687</v>
      </c>
      <c r="C1685" s="3" t="s">
        <v>9</v>
      </c>
      <c r="D1685" s="3" t="s">
        <v>10</v>
      </c>
      <c r="E1685" s="3">
        <v>25</v>
      </c>
      <c r="F1685" s="3">
        <v>60</v>
      </c>
      <c r="G1685" s="3">
        <v>0</v>
      </c>
      <c r="H1685" s="3">
        <v>22</v>
      </c>
      <c r="I1685" s="3">
        <v>36</v>
      </c>
      <c r="J1685" s="3">
        <v>0</v>
      </c>
      <c r="K1685" s="3">
        <v>35</v>
      </c>
      <c r="L1685" s="3">
        <v>0</v>
      </c>
      <c r="M1685" s="3">
        <v>0</v>
      </c>
      <c r="N1685" s="3">
        <v>18</v>
      </c>
      <c r="O1685" s="3"/>
      <c r="P1685" s="3"/>
      <c r="Q1685" s="3"/>
    </row>
    <row r="1686" spans="1:17" ht="15" x14ac:dyDescent="0.25">
      <c r="A1686" s="3">
        <f>1679</f>
        <v>1679</v>
      </c>
      <c r="B1686" s="3" t="s">
        <v>1688</v>
      </c>
      <c r="C1686" s="3" t="s">
        <v>9</v>
      </c>
      <c r="D1686" s="3" t="s">
        <v>10</v>
      </c>
      <c r="E1686" s="3">
        <v>25</v>
      </c>
      <c r="F1686" s="3">
        <v>60</v>
      </c>
      <c r="G1686" s="3">
        <v>0</v>
      </c>
      <c r="H1686" s="3">
        <v>22</v>
      </c>
      <c r="I1686" s="3">
        <v>36</v>
      </c>
      <c r="J1686" s="3">
        <v>0</v>
      </c>
      <c r="K1686" s="3">
        <v>35</v>
      </c>
      <c r="L1686" s="3">
        <v>0</v>
      </c>
      <c r="M1686" s="3">
        <v>0</v>
      </c>
      <c r="N1686" s="3">
        <v>18</v>
      </c>
      <c r="O1686" s="3"/>
      <c r="P1686" s="3"/>
      <c r="Q1686" s="3"/>
    </row>
    <row r="1687" spans="1:17" ht="15" x14ac:dyDescent="0.25">
      <c r="A1687" s="3">
        <f>1680</f>
        <v>1680</v>
      </c>
      <c r="B1687" s="3" t="s">
        <v>1689</v>
      </c>
      <c r="C1687" s="3" t="s">
        <v>9</v>
      </c>
      <c r="D1687" s="3" t="s">
        <v>10</v>
      </c>
      <c r="E1687" s="3">
        <v>25</v>
      </c>
      <c r="F1687" s="3">
        <v>60</v>
      </c>
      <c r="G1687" s="3">
        <v>0</v>
      </c>
      <c r="H1687" s="3">
        <v>22</v>
      </c>
      <c r="I1687" s="3">
        <v>36</v>
      </c>
      <c r="J1687" s="3">
        <v>0</v>
      </c>
      <c r="K1687" s="3">
        <v>35</v>
      </c>
      <c r="L1687" s="3">
        <v>0</v>
      </c>
      <c r="M1687" s="3">
        <v>0</v>
      </c>
      <c r="N1687" s="3">
        <v>18</v>
      </c>
      <c r="O1687" s="3"/>
      <c r="P1687" s="3"/>
      <c r="Q1687" s="3"/>
    </row>
    <row r="1688" spans="1:17" ht="15" x14ac:dyDescent="0.25">
      <c r="A1688" s="3">
        <f>1681</f>
        <v>1681</v>
      </c>
      <c r="B1688" s="3" t="s">
        <v>1690</v>
      </c>
      <c r="C1688" s="3" t="s">
        <v>9</v>
      </c>
      <c r="D1688" s="3" t="s">
        <v>10</v>
      </c>
      <c r="E1688" s="3">
        <v>25</v>
      </c>
      <c r="F1688" s="3">
        <v>60</v>
      </c>
      <c r="G1688" s="3">
        <v>0</v>
      </c>
      <c r="H1688" s="3">
        <v>22</v>
      </c>
      <c r="I1688" s="3">
        <v>36</v>
      </c>
      <c r="J1688" s="3">
        <v>0</v>
      </c>
      <c r="K1688" s="3">
        <v>35</v>
      </c>
      <c r="L1688" s="3">
        <v>0</v>
      </c>
      <c r="M1688" s="3">
        <v>0</v>
      </c>
      <c r="N1688" s="3">
        <v>18</v>
      </c>
      <c r="O1688" s="3"/>
      <c r="P1688" s="3"/>
      <c r="Q1688" s="3"/>
    </row>
    <row r="1689" spans="1:17" ht="15" x14ac:dyDescent="0.25">
      <c r="A1689" s="3">
        <f>1682</f>
        <v>1682</v>
      </c>
      <c r="B1689" s="3" t="s">
        <v>1691</v>
      </c>
      <c r="C1689" s="3" t="s">
        <v>9</v>
      </c>
      <c r="D1689" s="3" t="s">
        <v>10</v>
      </c>
      <c r="E1689" s="3">
        <v>25</v>
      </c>
      <c r="F1689" s="3">
        <v>60</v>
      </c>
      <c r="G1689" s="3">
        <v>0</v>
      </c>
      <c r="H1689" s="3">
        <v>22</v>
      </c>
      <c r="I1689" s="3">
        <v>36</v>
      </c>
      <c r="J1689" s="3">
        <v>0</v>
      </c>
      <c r="K1689" s="3">
        <v>35</v>
      </c>
      <c r="L1689" s="3">
        <v>0</v>
      </c>
      <c r="M1689" s="3">
        <v>0</v>
      </c>
      <c r="N1689" s="3">
        <v>18</v>
      </c>
      <c r="O1689" s="3"/>
      <c r="P1689" s="3"/>
      <c r="Q1689" s="3"/>
    </row>
    <row r="1690" spans="1:17" ht="15" x14ac:dyDescent="0.25">
      <c r="A1690" s="3">
        <f>1683</f>
        <v>1683</v>
      </c>
      <c r="B1690" s="3" t="s">
        <v>1692</v>
      </c>
      <c r="C1690" s="3" t="s">
        <v>9</v>
      </c>
      <c r="D1690" s="3" t="s">
        <v>10</v>
      </c>
      <c r="E1690" s="3">
        <v>25</v>
      </c>
      <c r="F1690" s="3">
        <v>60</v>
      </c>
      <c r="G1690" s="3">
        <v>0</v>
      </c>
      <c r="H1690" s="3">
        <v>22</v>
      </c>
      <c r="I1690" s="3">
        <v>36</v>
      </c>
      <c r="J1690" s="3">
        <v>0</v>
      </c>
      <c r="K1690" s="3">
        <v>35</v>
      </c>
      <c r="L1690" s="3">
        <v>0</v>
      </c>
      <c r="M1690" s="3">
        <v>0</v>
      </c>
      <c r="N1690" s="3">
        <v>18</v>
      </c>
      <c r="O1690" s="3"/>
      <c r="P1690" s="3"/>
      <c r="Q1690" s="3"/>
    </row>
    <row r="1691" spans="1:17" ht="15" x14ac:dyDescent="0.25">
      <c r="A1691" s="3">
        <f>1684</f>
        <v>1684</v>
      </c>
      <c r="B1691" s="3" t="s">
        <v>1693</v>
      </c>
      <c r="C1691" s="3" t="s">
        <v>9</v>
      </c>
      <c r="D1691" s="3" t="s">
        <v>10</v>
      </c>
      <c r="E1691" s="3">
        <v>25</v>
      </c>
      <c r="F1691" s="3">
        <v>60</v>
      </c>
      <c r="G1691" s="3">
        <v>0</v>
      </c>
      <c r="H1691" s="3">
        <v>22</v>
      </c>
      <c r="I1691" s="3">
        <v>36</v>
      </c>
      <c r="J1691" s="3">
        <v>0</v>
      </c>
      <c r="K1691" s="3">
        <v>35</v>
      </c>
      <c r="L1691" s="3">
        <v>0</v>
      </c>
      <c r="M1691" s="3">
        <v>0</v>
      </c>
      <c r="N1691" s="3">
        <v>18</v>
      </c>
      <c r="O1691" s="3"/>
      <c r="P1691" s="3"/>
      <c r="Q1691" s="3"/>
    </row>
    <row r="1692" spans="1:17" ht="15" x14ac:dyDescent="0.25">
      <c r="A1692" s="3">
        <f>1685</f>
        <v>1685</v>
      </c>
      <c r="B1692" s="3" t="s">
        <v>1694</v>
      </c>
      <c r="C1692" s="3" t="s">
        <v>9</v>
      </c>
      <c r="D1692" s="3" t="s">
        <v>10</v>
      </c>
      <c r="E1692" s="3">
        <v>25</v>
      </c>
      <c r="F1692" s="3">
        <v>60</v>
      </c>
      <c r="G1692" s="3">
        <v>0</v>
      </c>
      <c r="H1692" s="3">
        <v>22</v>
      </c>
      <c r="I1692" s="3">
        <v>36</v>
      </c>
      <c r="J1692" s="3">
        <v>0</v>
      </c>
      <c r="K1692" s="3">
        <v>35</v>
      </c>
      <c r="L1692" s="3">
        <v>0</v>
      </c>
      <c r="M1692" s="3">
        <v>0</v>
      </c>
      <c r="N1692" s="3">
        <v>18</v>
      </c>
      <c r="O1692" s="3"/>
      <c r="P1692" s="3"/>
      <c r="Q1692" s="3"/>
    </row>
    <row r="1693" spans="1:17" ht="15" x14ac:dyDescent="0.25">
      <c r="A1693" s="3">
        <f>1686</f>
        <v>1686</v>
      </c>
      <c r="B1693" s="3" t="s">
        <v>1695</v>
      </c>
      <c r="C1693" s="3" t="s">
        <v>9</v>
      </c>
      <c r="D1693" s="3" t="s">
        <v>10</v>
      </c>
      <c r="E1693" s="3">
        <v>25</v>
      </c>
      <c r="F1693" s="3">
        <v>60</v>
      </c>
      <c r="G1693" s="3">
        <v>0</v>
      </c>
      <c r="H1693" s="3">
        <v>22</v>
      </c>
      <c r="I1693" s="3">
        <v>36</v>
      </c>
      <c r="J1693" s="3">
        <v>0</v>
      </c>
      <c r="K1693" s="3">
        <v>35</v>
      </c>
      <c r="L1693" s="3">
        <v>0</v>
      </c>
      <c r="M1693" s="3">
        <v>0</v>
      </c>
      <c r="N1693" s="3">
        <v>18</v>
      </c>
      <c r="O1693" s="3"/>
      <c r="P1693" s="3"/>
      <c r="Q1693" s="3"/>
    </row>
    <row r="1694" spans="1:17" ht="15" x14ac:dyDescent="0.25">
      <c r="A1694" s="3">
        <f>1687</f>
        <v>1687</v>
      </c>
      <c r="B1694" s="3" t="s">
        <v>1696</v>
      </c>
      <c r="C1694" s="3" t="s">
        <v>9</v>
      </c>
      <c r="D1694" s="3" t="s">
        <v>10</v>
      </c>
      <c r="E1694" s="3">
        <v>25</v>
      </c>
      <c r="F1694" s="3">
        <v>60</v>
      </c>
      <c r="G1694" s="3">
        <v>0</v>
      </c>
      <c r="H1694" s="3">
        <v>22</v>
      </c>
      <c r="I1694" s="3">
        <v>36</v>
      </c>
      <c r="J1694" s="3">
        <v>0</v>
      </c>
      <c r="K1694" s="3">
        <v>35</v>
      </c>
      <c r="L1694" s="3">
        <v>0</v>
      </c>
      <c r="M1694" s="3">
        <v>0</v>
      </c>
      <c r="N1694" s="3">
        <v>18</v>
      </c>
      <c r="O1694" s="3"/>
      <c r="P1694" s="3"/>
      <c r="Q1694" s="3"/>
    </row>
    <row r="1695" spans="1:17" ht="15" x14ac:dyDescent="0.25">
      <c r="A1695" s="3">
        <f>1688</f>
        <v>1688</v>
      </c>
      <c r="B1695" s="3" t="s">
        <v>1697</v>
      </c>
      <c r="C1695" s="3" t="s">
        <v>9</v>
      </c>
      <c r="D1695" s="3" t="s">
        <v>10</v>
      </c>
      <c r="E1695" s="3">
        <v>25</v>
      </c>
      <c r="F1695" s="3">
        <v>60</v>
      </c>
      <c r="G1695" s="3">
        <v>0</v>
      </c>
      <c r="H1695" s="3">
        <v>22</v>
      </c>
      <c r="I1695" s="3">
        <v>36</v>
      </c>
      <c r="J1695" s="3">
        <v>0</v>
      </c>
      <c r="K1695" s="3">
        <v>35</v>
      </c>
      <c r="L1695" s="3">
        <v>0</v>
      </c>
      <c r="M1695" s="3">
        <v>0</v>
      </c>
      <c r="N1695" s="3">
        <v>18</v>
      </c>
      <c r="O1695" s="3"/>
      <c r="P1695" s="3"/>
      <c r="Q1695" s="3"/>
    </row>
    <row r="1696" spans="1:17" ht="15" x14ac:dyDescent="0.25">
      <c r="A1696" s="3">
        <f>1689</f>
        <v>1689</v>
      </c>
      <c r="B1696" s="3" t="s">
        <v>1698</v>
      </c>
      <c r="C1696" s="3" t="s">
        <v>9</v>
      </c>
      <c r="D1696" s="3" t="s">
        <v>10</v>
      </c>
      <c r="E1696" s="3">
        <v>25</v>
      </c>
      <c r="F1696" s="3">
        <v>60</v>
      </c>
      <c r="G1696" s="3">
        <v>0</v>
      </c>
      <c r="H1696" s="3">
        <v>22</v>
      </c>
      <c r="I1696" s="3">
        <v>36</v>
      </c>
      <c r="J1696" s="3">
        <v>0</v>
      </c>
      <c r="K1696" s="3">
        <v>35</v>
      </c>
      <c r="L1696" s="3">
        <v>0</v>
      </c>
      <c r="M1696" s="3">
        <v>0</v>
      </c>
      <c r="N1696" s="3">
        <v>18</v>
      </c>
      <c r="O1696" s="3"/>
      <c r="P1696" s="3"/>
      <c r="Q1696" s="3"/>
    </row>
    <row r="1697" spans="1:17" ht="15" x14ac:dyDescent="0.25">
      <c r="A1697" s="3">
        <f>1690</f>
        <v>1690</v>
      </c>
      <c r="B1697" s="3" t="s">
        <v>1699</v>
      </c>
      <c r="C1697" s="3" t="s">
        <v>9</v>
      </c>
      <c r="D1697" s="3" t="s">
        <v>10</v>
      </c>
      <c r="E1697" s="3">
        <v>25</v>
      </c>
      <c r="F1697" s="3">
        <v>60</v>
      </c>
      <c r="G1697" s="3">
        <v>0</v>
      </c>
      <c r="H1697" s="3">
        <v>22</v>
      </c>
      <c r="I1697" s="3">
        <v>36</v>
      </c>
      <c r="J1697" s="3">
        <v>0</v>
      </c>
      <c r="K1697" s="3">
        <v>35</v>
      </c>
      <c r="L1697" s="3">
        <v>0</v>
      </c>
      <c r="M1697" s="3">
        <v>0</v>
      </c>
      <c r="N1697" s="3">
        <v>18</v>
      </c>
      <c r="O1697" s="3"/>
      <c r="P1697" s="3"/>
      <c r="Q1697" s="3"/>
    </row>
    <row r="1698" spans="1:17" ht="15" x14ac:dyDescent="0.25">
      <c r="A1698" s="3">
        <f>1691</f>
        <v>1691</v>
      </c>
      <c r="B1698" s="3" t="s">
        <v>1700</v>
      </c>
      <c r="C1698" s="3" t="s">
        <v>9</v>
      </c>
      <c r="D1698" s="3" t="s">
        <v>10</v>
      </c>
      <c r="E1698" s="3">
        <v>25</v>
      </c>
      <c r="F1698" s="3">
        <v>60</v>
      </c>
      <c r="G1698" s="3">
        <v>0</v>
      </c>
      <c r="H1698" s="3">
        <v>22</v>
      </c>
      <c r="I1698" s="3">
        <v>36</v>
      </c>
      <c r="J1698" s="3">
        <v>0</v>
      </c>
      <c r="K1698" s="3">
        <v>35</v>
      </c>
      <c r="L1698" s="3">
        <v>0</v>
      </c>
      <c r="M1698" s="3">
        <v>0</v>
      </c>
      <c r="N1698" s="3">
        <v>18</v>
      </c>
      <c r="O1698" s="3"/>
      <c r="P1698" s="3"/>
      <c r="Q1698" s="3"/>
    </row>
    <row r="1699" spans="1:17" ht="15" x14ac:dyDescent="0.25">
      <c r="A1699" s="3">
        <f>1692</f>
        <v>1692</v>
      </c>
      <c r="B1699" s="3" t="s">
        <v>1701</v>
      </c>
      <c r="C1699" s="3" t="s">
        <v>9</v>
      </c>
      <c r="D1699" s="3" t="s">
        <v>10</v>
      </c>
      <c r="E1699" s="3">
        <v>25</v>
      </c>
      <c r="F1699" s="3">
        <v>60</v>
      </c>
      <c r="G1699" s="3">
        <v>0</v>
      </c>
      <c r="H1699" s="3">
        <v>22</v>
      </c>
      <c r="I1699" s="3">
        <v>36</v>
      </c>
      <c r="J1699" s="3">
        <v>0</v>
      </c>
      <c r="K1699" s="3">
        <v>35</v>
      </c>
      <c r="L1699" s="3">
        <v>0</v>
      </c>
      <c r="M1699" s="3">
        <v>0</v>
      </c>
      <c r="N1699" s="3">
        <v>18</v>
      </c>
      <c r="O1699" s="3"/>
      <c r="P1699" s="3"/>
      <c r="Q1699" s="3"/>
    </row>
    <row r="1700" spans="1:17" ht="15" x14ac:dyDescent="0.25">
      <c r="A1700" s="3">
        <f>1693</f>
        <v>1693</v>
      </c>
      <c r="B1700" s="3" t="s">
        <v>1702</v>
      </c>
      <c r="C1700" s="3" t="s">
        <v>9</v>
      </c>
      <c r="D1700" s="3" t="s">
        <v>10</v>
      </c>
      <c r="E1700" s="3">
        <v>25</v>
      </c>
      <c r="F1700" s="3">
        <v>60</v>
      </c>
      <c r="G1700" s="3">
        <v>0</v>
      </c>
      <c r="H1700" s="3">
        <v>22</v>
      </c>
      <c r="I1700" s="3">
        <v>36</v>
      </c>
      <c r="J1700" s="3">
        <v>0</v>
      </c>
      <c r="K1700" s="3">
        <v>35</v>
      </c>
      <c r="L1700" s="3">
        <v>0</v>
      </c>
      <c r="M1700" s="3">
        <v>0</v>
      </c>
      <c r="N1700" s="3">
        <v>18</v>
      </c>
      <c r="O1700" s="3"/>
      <c r="P1700" s="3"/>
      <c r="Q1700" s="3"/>
    </row>
    <row r="1701" spans="1:17" ht="15" x14ac:dyDescent="0.25">
      <c r="A1701" s="3">
        <f>1694</f>
        <v>1694</v>
      </c>
      <c r="B1701" s="3" t="s">
        <v>1703</v>
      </c>
      <c r="C1701" s="3" t="s">
        <v>9</v>
      </c>
      <c r="D1701" s="3" t="s">
        <v>10</v>
      </c>
      <c r="E1701" s="3">
        <v>25</v>
      </c>
      <c r="F1701" s="3">
        <v>60</v>
      </c>
      <c r="G1701" s="3">
        <v>0</v>
      </c>
      <c r="H1701" s="3">
        <v>22</v>
      </c>
      <c r="I1701" s="3">
        <v>36</v>
      </c>
      <c r="J1701" s="3">
        <v>0</v>
      </c>
      <c r="K1701" s="3">
        <v>35</v>
      </c>
      <c r="L1701" s="3">
        <v>0</v>
      </c>
      <c r="M1701" s="3">
        <v>0</v>
      </c>
      <c r="N1701" s="3">
        <v>18</v>
      </c>
      <c r="O1701" s="3"/>
      <c r="P1701" s="3"/>
      <c r="Q1701" s="3"/>
    </row>
    <row r="1702" spans="1:17" ht="15" x14ac:dyDescent="0.25">
      <c r="A1702" s="3">
        <f>1695</f>
        <v>1695</v>
      </c>
      <c r="B1702" s="3" t="s">
        <v>1704</v>
      </c>
      <c r="C1702" s="3" t="s">
        <v>9</v>
      </c>
      <c r="D1702" s="3" t="s">
        <v>10</v>
      </c>
      <c r="E1702" s="3">
        <v>25</v>
      </c>
      <c r="F1702" s="3">
        <v>60</v>
      </c>
      <c r="G1702" s="3">
        <v>0</v>
      </c>
      <c r="H1702" s="3">
        <v>22</v>
      </c>
      <c r="I1702" s="3">
        <v>36</v>
      </c>
      <c r="J1702" s="3">
        <v>0</v>
      </c>
      <c r="K1702" s="3">
        <v>35</v>
      </c>
      <c r="L1702" s="3">
        <v>0</v>
      </c>
      <c r="M1702" s="3">
        <v>0</v>
      </c>
      <c r="N1702" s="3">
        <v>18</v>
      </c>
      <c r="O1702" s="3"/>
      <c r="P1702" s="3"/>
      <c r="Q1702" s="3"/>
    </row>
    <row r="1703" spans="1:17" ht="15" x14ac:dyDescent="0.25">
      <c r="A1703" s="3">
        <f>1696</f>
        <v>1696</v>
      </c>
      <c r="B1703" s="3" t="s">
        <v>1705</v>
      </c>
      <c r="C1703" s="3" t="s">
        <v>9</v>
      </c>
      <c r="D1703" s="3" t="s">
        <v>10</v>
      </c>
      <c r="E1703" s="3">
        <v>25</v>
      </c>
      <c r="F1703" s="3">
        <v>60</v>
      </c>
      <c r="G1703" s="3">
        <v>0</v>
      </c>
      <c r="H1703" s="3">
        <v>22</v>
      </c>
      <c r="I1703" s="3">
        <v>36</v>
      </c>
      <c r="J1703" s="3">
        <v>0</v>
      </c>
      <c r="K1703" s="3">
        <v>35</v>
      </c>
      <c r="L1703" s="3">
        <v>0</v>
      </c>
      <c r="M1703" s="3">
        <v>0</v>
      </c>
      <c r="N1703" s="3">
        <v>18</v>
      </c>
      <c r="O1703" s="3"/>
      <c r="P1703" s="3"/>
      <c r="Q1703" s="3"/>
    </row>
    <row r="1704" spans="1:17" ht="15" x14ac:dyDescent="0.25">
      <c r="A1704" s="3">
        <f>1697</f>
        <v>1697</v>
      </c>
      <c r="B1704" s="3" t="s">
        <v>1706</v>
      </c>
      <c r="C1704" s="3" t="s">
        <v>9</v>
      </c>
      <c r="D1704" s="3" t="s">
        <v>10</v>
      </c>
      <c r="E1704" s="3">
        <v>25</v>
      </c>
      <c r="F1704" s="3">
        <v>60</v>
      </c>
      <c r="G1704" s="3">
        <v>0</v>
      </c>
      <c r="H1704" s="3">
        <v>22</v>
      </c>
      <c r="I1704" s="3">
        <v>36</v>
      </c>
      <c r="J1704" s="3">
        <v>0</v>
      </c>
      <c r="K1704" s="3">
        <v>35</v>
      </c>
      <c r="L1704" s="3">
        <v>0</v>
      </c>
      <c r="M1704" s="3">
        <v>0</v>
      </c>
      <c r="N1704" s="3">
        <v>18</v>
      </c>
      <c r="O1704" s="3"/>
      <c r="P1704" s="3"/>
      <c r="Q1704" s="3"/>
    </row>
    <row r="1705" spans="1:17" ht="15" x14ac:dyDescent="0.25">
      <c r="A1705" s="3">
        <f>1698</f>
        <v>1698</v>
      </c>
      <c r="B1705" s="3" t="s">
        <v>1707</v>
      </c>
      <c r="C1705" s="3" t="s">
        <v>9</v>
      </c>
      <c r="D1705" s="3" t="s">
        <v>10</v>
      </c>
      <c r="E1705" s="3">
        <v>25</v>
      </c>
      <c r="F1705" s="3">
        <v>60</v>
      </c>
      <c r="G1705" s="3">
        <v>0</v>
      </c>
      <c r="H1705" s="3">
        <v>22</v>
      </c>
      <c r="I1705" s="3">
        <v>36</v>
      </c>
      <c r="J1705" s="3">
        <v>0</v>
      </c>
      <c r="K1705" s="3">
        <v>35</v>
      </c>
      <c r="L1705" s="3">
        <v>0</v>
      </c>
      <c r="M1705" s="3">
        <v>0</v>
      </c>
      <c r="N1705" s="3">
        <v>18</v>
      </c>
      <c r="O1705" s="3"/>
      <c r="P1705" s="3"/>
      <c r="Q1705" s="3"/>
    </row>
    <row r="1706" spans="1:17" ht="15" x14ac:dyDescent="0.25">
      <c r="A1706" s="3">
        <f>1699</f>
        <v>1699</v>
      </c>
      <c r="B1706" s="3" t="s">
        <v>1708</v>
      </c>
      <c r="C1706" s="3" t="s">
        <v>9</v>
      </c>
      <c r="D1706" s="3" t="s">
        <v>10</v>
      </c>
      <c r="E1706" s="3">
        <v>25</v>
      </c>
      <c r="F1706" s="3">
        <v>60</v>
      </c>
      <c r="G1706" s="3">
        <v>0</v>
      </c>
      <c r="H1706" s="3">
        <v>22</v>
      </c>
      <c r="I1706" s="3">
        <v>36</v>
      </c>
      <c r="J1706" s="3">
        <v>0</v>
      </c>
      <c r="K1706" s="3">
        <v>35</v>
      </c>
      <c r="L1706" s="3">
        <v>0</v>
      </c>
      <c r="M1706" s="3">
        <v>0</v>
      </c>
      <c r="N1706" s="3">
        <v>18</v>
      </c>
      <c r="O1706" s="3"/>
      <c r="P1706" s="3"/>
      <c r="Q1706" s="3"/>
    </row>
    <row r="1707" spans="1:17" ht="15" x14ac:dyDescent="0.25">
      <c r="A1707" s="3">
        <f>1700</f>
        <v>1700</v>
      </c>
      <c r="B1707" s="3" t="s">
        <v>1709</v>
      </c>
      <c r="C1707" s="3" t="s">
        <v>9</v>
      </c>
      <c r="D1707" s="3" t="s">
        <v>10</v>
      </c>
      <c r="E1707" s="3">
        <v>25</v>
      </c>
      <c r="F1707" s="3">
        <v>60</v>
      </c>
      <c r="G1707" s="3">
        <v>0</v>
      </c>
      <c r="H1707" s="3">
        <v>22</v>
      </c>
      <c r="I1707" s="3">
        <v>36</v>
      </c>
      <c r="J1707" s="3">
        <v>0</v>
      </c>
      <c r="K1707" s="3">
        <v>35</v>
      </c>
      <c r="L1707" s="3">
        <v>0</v>
      </c>
      <c r="M1707" s="3">
        <v>0</v>
      </c>
      <c r="N1707" s="3">
        <v>18</v>
      </c>
      <c r="O1707" s="3"/>
      <c r="P1707" s="3"/>
      <c r="Q1707" s="3"/>
    </row>
    <row r="1708" spans="1:17" ht="15" x14ac:dyDescent="0.25">
      <c r="A1708" s="3">
        <f>1701</f>
        <v>1701</v>
      </c>
      <c r="B1708" s="3" t="s">
        <v>1710</v>
      </c>
      <c r="C1708" s="3" t="s">
        <v>9</v>
      </c>
      <c r="D1708" s="3" t="s">
        <v>10</v>
      </c>
      <c r="E1708" s="3">
        <v>25</v>
      </c>
      <c r="F1708" s="3">
        <v>60</v>
      </c>
      <c r="G1708" s="3">
        <v>0</v>
      </c>
      <c r="H1708" s="3">
        <v>22</v>
      </c>
      <c r="I1708" s="3">
        <v>36</v>
      </c>
      <c r="J1708" s="3">
        <v>0</v>
      </c>
      <c r="K1708" s="3">
        <v>35</v>
      </c>
      <c r="L1708" s="3">
        <v>0</v>
      </c>
      <c r="M1708" s="3">
        <v>0</v>
      </c>
      <c r="N1708" s="3">
        <v>18</v>
      </c>
      <c r="O1708" s="3"/>
      <c r="P1708" s="3"/>
      <c r="Q1708" s="3"/>
    </row>
    <row r="1709" spans="1:17" ht="15" x14ac:dyDescent="0.25">
      <c r="A1709" s="3">
        <f>1702</f>
        <v>1702</v>
      </c>
      <c r="B1709" s="3" t="s">
        <v>1711</v>
      </c>
      <c r="C1709" s="3" t="s">
        <v>9</v>
      </c>
      <c r="D1709" s="3" t="s">
        <v>10</v>
      </c>
      <c r="E1709" s="3">
        <v>25</v>
      </c>
      <c r="F1709" s="3">
        <v>60</v>
      </c>
      <c r="G1709" s="3">
        <v>0</v>
      </c>
      <c r="H1709" s="3">
        <v>22</v>
      </c>
      <c r="I1709" s="3">
        <v>36</v>
      </c>
      <c r="J1709" s="3">
        <v>0</v>
      </c>
      <c r="K1709" s="3">
        <v>35</v>
      </c>
      <c r="L1709" s="3">
        <v>0</v>
      </c>
      <c r="M1709" s="3">
        <v>0</v>
      </c>
      <c r="N1709" s="3">
        <v>18</v>
      </c>
      <c r="O1709" s="3"/>
      <c r="P1709" s="3"/>
      <c r="Q1709" s="3"/>
    </row>
    <row r="1710" spans="1:17" ht="15" x14ac:dyDescent="0.25">
      <c r="A1710" s="3">
        <f>1703</f>
        <v>1703</v>
      </c>
      <c r="B1710" s="3" t="s">
        <v>1712</v>
      </c>
      <c r="C1710" s="3" t="s">
        <v>9</v>
      </c>
      <c r="D1710" s="3" t="s">
        <v>10</v>
      </c>
      <c r="E1710" s="3">
        <v>25</v>
      </c>
      <c r="F1710" s="3">
        <v>60</v>
      </c>
      <c r="G1710" s="3">
        <v>0</v>
      </c>
      <c r="H1710" s="3">
        <v>22</v>
      </c>
      <c r="I1710" s="3">
        <v>36</v>
      </c>
      <c r="J1710" s="3">
        <v>0</v>
      </c>
      <c r="K1710" s="3">
        <v>35</v>
      </c>
      <c r="L1710" s="3">
        <v>0</v>
      </c>
      <c r="M1710" s="3">
        <v>0</v>
      </c>
      <c r="N1710" s="3">
        <v>18</v>
      </c>
      <c r="O1710" s="3"/>
      <c r="P1710" s="3"/>
      <c r="Q1710" s="3"/>
    </row>
    <row r="1711" spans="1:17" ht="15" x14ac:dyDescent="0.25">
      <c r="A1711" s="3">
        <f>1704</f>
        <v>1704</v>
      </c>
      <c r="B1711" s="3" t="s">
        <v>1713</v>
      </c>
      <c r="C1711" s="3" t="s">
        <v>9</v>
      </c>
      <c r="D1711" s="3" t="s">
        <v>10</v>
      </c>
      <c r="E1711" s="3">
        <v>25</v>
      </c>
      <c r="F1711" s="3">
        <v>60</v>
      </c>
      <c r="G1711" s="3">
        <v>0</v>
      </c>
      <c r="H1711" s="3">
        <v>22</v>
      </c>
      <c r="I1711" s="3">
        <v>36</v>
      </c>
      <c r="J1711" s="3">
        <v>0</v>
      </c>
      <c r="K1711" s="3">
        <v>35</v>
      </c>
      <c r="L1711" s="3">
        <v>0</v>
      </c>
      <c r="M1711" s="3">
        <v>0</v>
      </c>
      <c r="N1711" s="3">
        <v>18</v>
      </c>
      <c r="O1711" s="3"/>
      <c r="P1711" s="3"/>
      <c r="Q1711" s="3"/>
    </row>
    <row r="1712" spans="1:17" ht="15" x14ac:dyDescent="0.25">
      <c r="A1712" s="3">
        <f>1705</f>
        <v>1705</v>
      </c>
      <c r="B1712" s="3" t="s">
        <v>1714</v>
      </c>
      <c r="C1712" s="3" t="s">
        <v>9</v>
      </c>
      <c r="D1712" s="3" t="s">
        <v>10</v>
      </c>
      <c r="E1712" s="3">
        <v>25</v>
      </c>
      <c r="F1712" s="3">
        <v>60</v>
      </c>
      <c r="G1712" s="3">
        <v>0</v>
      </c>
      <c r="H1712" s="3">
        <v>22</v>
      </c>
      <c r="I1712" s="3">
        <v>36</v>
      </c>
      <c r="J1712" s="3">
        <v>0</v>
      </c>
      <c r="K1712" s="3">
        <v>35</v>
      </c>
      <c r="L1712" s="3">
        <v>0</v>
      </c>
      <c r="M1712" s="3">
        <v>0</v>
      </c>
      <c r="N1712" s="3">
        <v>18</v>
      </c>
      <c r="O1712" s="3"/>
      <c r="P1712" s="3"/>
      <c r="Q1712" s="3"/>
    </row>
    <row r="1713" spans="1:17" ht="15" x14ac:dyDescent="0.25">
      <c r="A1713" s="3">
        <f>1706</f>
        <v>1706</v>
      </c>
      <c r="B1713" s="3" t="s">
        <v>1715</v>
      </c>
      <c r="C1713" s="3" t="s">
        <v>9</v>
      </c>
      <c r="D1713" s="3" t="s">
        <v>10</v>
      </c>
      <c r="E1713" s="3">
        <v>25</v>
      </c>
      <c r="F1713" s="3">
        <v>60</v>
      </c>
      <c r="G1713" s="3">
        <v>0</v>
      </c>
      <c r="H1713" s="3">
        <v>22</v>
      </c>
      <c r="I1713" s="3">
        <v>18</v>
      </c>
      <c r="J1713" s="3">
        <v>0</v>
      </c>
      <c r="K1713" s="3">
        <v>35</v>
      </c>
      <c r="L1713" s="3">
        <v>0</v>
      </c>
      <c r="M1713" s="3">
        <v>0</v>
      </c>
      <c r="N1713" s="3">
        <v>18</v>
      </c>
      <c r="O1713" s="3"/>
      <c r="P1713" s="3"/>
      <c r="Q1713" s="3"/>
    </row>
    <row r="1714" spans="1:17" ht="15" x14ac:dyDescent="0.25">
      <c r="A1714" s="3">
        <f>1707</f>
        <v>1707</v>
      </c>
      <c r="B1714" s="3" t="s">
        <v>1716</v>
      </c>
      <c r="C1714" s="3" t="s">
        <v>9</v>
      </c>
      <c r="D1714" s="3" t="s">
        <v>10</v>
      </c>
      <c r="E1714" s="3">
        <v>25</v>
      </c>
      <c r="F1714" s="3">
        <v>60</v>
      </c>
      <c r="G1714" s="3">
        <v>0</v>
      </c>
      <c r="H1714" s="3">
        <v>22</v>
      </c>
      <c r="I1714" s="3">
        <v>1818</v>
      </c>
      <c r="J1714" s="3">
        <v>0</v>
      </c>
      <c r="K1714" s="3">
        <v>35</v>
      </c>
      <c r="L1714" s="3">
        <v>0</v>
      </c>
      <c r="M1714" s="3">
        <v>0</v>
      </c>
      <c r="N1714" s="3">
        <v>18</v>
      </c>
      <c r="O1714" s="3"/>
      <c r="P1714" s="3"/>
      <c r="Q1714" s="3"/>
    </row>
    <row r="1715" spans="1:17" ht="15" x14ac:dyDescent="0.25">
      <c r="A1715" s="3">
        <f>1708</f>
        <v>1708</v>
      </c>
      <c r="B1715" s="3" t="s">
        <v>1717</v>
      </c>
      <c r="C1715" s="3" t="s">
        <v>9</v>
      </c>
      <c r="D1715" s="3" t="s">
        <v>10</v>
      </c>
      <c r="E1715" s="3">
        <v>25</v>
      </c>
      <c r="F1715" s="3">
        <v>60</v>
      </c>
      <c r="G1715" s="3">
        <v>0</v>
      </c>
      <c r="H1715" s="3">
        <v>22</v>
      </c>
      <c r="I1715" s="3">
        <v>1818</v>
      </c>
      <c r="J1715" s="3">
        <v>0</v>
      </c>
      <c r="K1715" s="3">
        <v>35</v>
      </c>
      <c r="L1715" s="3">
        <v>0</v>
      </c>
      <c r="M1715" s="3">
        <v>0</v>
      </c>
      <c r="N1715" s="3">
        <v>18</v>
      </c>
      <c r="O1715" s="3"/>
      <c r="P1715" s="3"/>
      <c r="Q1715" s="3"/>
    </row>
    <row r="1716" spans="1:17" ht="15" x14ac:dyDescent="0.25">
      <c r="A1716" s="3">
        <f>1709</f>
        <v>1709</v>
      </c>
      <c r="B1716" s="3" t="s">
        <v>1718</v>
      </c>
      <c r="C1716" s="3" t="s">
        <v>9</v>
      </c>
      <c r="D1716" s="3" t="s">
        <v>10</v>
      </c>
      <c r="E1716" s="3">
        <v>25</v>
      </c>
      <c r="F1716" s="3">
        <v>60</v>
      </c>
      <c r="G1716" s="3">
        <v>0</v>
      </c>
      <c r="H1716" s="3">
        <v>22</v>
      </c>
      <c r="I1716" s="3">
        <v>1818</v>
      </c>
      <c r="J1716" s="3">
        <v>0</v>
      </c>
      <c r="K1716" s="3">
        <v>35</v>
      </c>
      <c r="L1716" s="3">
        <v>0</v>
      </c>
      <c r="M1716" s="3">
        <v>0</v>
      </c>
      <c r="N1716" s="3">
        <v>18</v>
      </c>
      <c r="O1716" s="3"/>
      <c r="P1716" s="3"/>
      <c r="Q1716" s="3"/>
    </row>
    <row r="1717" spans="1:17" ht="15" x14ac:dyDescent="0.25">
      <c r="A1717" s="3">
        <f>1710</f>
        <v>1710</v>
      </c>
      <c r="B1717" s="3" t="s">
        <v>1719</v>
      </c>
      <c r="C1717" s="3" t="s">
        <v>9</v>
      </c>
      <c r="D1717" s="3" t="s">
        <v>10</v>
      </c>
      <c r="E1717" s="3">
        <v>25</v>
      </c>
      <c r="F1717" s="3">
        <v>60</v>
      </c>
      <c r="G1717" s="3">
        <v>0</v>
      </c>
      <c r="H1717" s="3">
        <v>22</v>
      </c>
      <c r="I1717" s="3">
        <v>25</v>
      </c>
      <c r="J1717" s="3">
        <v>0</v>
      </c>
      <c r="K1717" s="3">
        <v>35</v>
      </c>
      <c r="L1717" s="3">
        <v>0</v>
      </c>
      <c r="M1717" s="3">
        <v>0</v>
      </c>
      <c r="N1717" s="3">
        <v>18</v>
      </c>
      <c r="O1717" s="3"/>
      <c r="P1717" s="3"/>
      <c r="Q1717" s="3"/>
    </row>
    <row r="1718" spans="1:17" ht="15" x14ac:dyDescent="0.25">
      <c r="A1718" s="3">
        <f>1711</f>
        <v>1711</v>
      </c>
      <c r="B1718" s="3" t="s">
        <v>1720</v>
      </c>
      <c r="C1718" s="3" t="s">
        <v>9</v>
      </c>
      <c r="D1718" s="3" t="s">
        <v>10</v>
      </c>
      <c r="E1718" s="3">
        <v>25</v>
      </c>
      <c r="F1718" s="3">
        <v>60</v>
      </c>
      <c r="G1718" s="3">
        <v>0</v>
      </c>
      <c r="H1718" s="3">
        <v>22</v>
      </c>
      <c r="I1718" s="3">
        <v>15</v>
      </c>
      <c r="J1718" s="3">
        <v>0</v>
      </c>
      <c r="K1718" s="3">
        <v>35</v>
      </c>
      <c r="L1718" s="3">
        <v>0</v>
      </c>
      <c r="M1718" s="3">
        <v>0</v>
      </c>
      <c r="N1718" s="3">
        <v>18</v>
      </c>
      <c r="O1718" s="3"/>
      <c r="P1718" s="3"/>
      <c r="Q1718" s="3"/>
    </row>
    <row r="1719" spans="1:17" ht="15" x14ac:dyDescent="0.25">
      <c r="A1719" s="3">
        <f>1712</f>
        <v>1712</v>
      </c>
      <c r="B1719" s="3" t="s">
        <v>1721</v>
      </c>
      <c r="C1719" s="3" t="s">
        <v>9</v>
      </c>
      <c r="D1719" s="3" t="s">
        <v>10</v>
      </c>
      <c r="E1719" s="3">
        <v>25</v>
      </c>
      <c r="F1719" s="3">
        <v>60</v>
      </c>
      <c r="G1719" s="3">
        <v>0</v>
      </c>
      <c r="H1719" s="3">
        <v>22</v>
      </c>
      <c r="I1719" s="3">
        <v>15</v>
      </c>
      <c r="J1719" s="3">
        <v>0</v>
      </c>
      <c r="K1719" s="3">
        <v>35</v>
      </c>
      <c r="L1719" s="3">
        <v>0</v>
      </c>
      <c r="M1719" s="3">
        <v>0</v>
      </c>
      <c r="N1719" s="3">
        <v>18</v>
      </c>
      <c r="O1719" s="3"/>
      <c r="P1719" s="3"/>
      <c r="Q1719" s="3"/>
    </row>
    <row r="1720" spans="1:17" ht="15" x14ac:dyDescent="0.25">
      <c r="A1720" s="3">
        <f>1713</f>
        <v>1713</v>
      </c>
      <c r="B1720" s="3" t="s">
        <v>1722</v>
      </c>
      <c r="C1720" s="3" t="s">
        <v>9</v>
      </c>
      <c r="D1720" s="3" t="s">
        <v>10</v>
      </c>
      <c r="E1720" s="3">
        <v>25</v>
      </c>
      <c r="F1720" s="3">
        <v>60</v>
      </c>
      <c r="G1720" s="3">
        <v>0</v>
      </c>
      <c r="H1720" s="3">
        <v>22</v>
      </c>
      <c r="I1720" s="3">
        <v>15</v>
      </c>
      <c r="J1720" s="3">
        <v>0</v>
      </c>
      <c r="K1720" s="3">
        <v>35</v>
      </c>
      <c r="L1720" s="3">
        <v>0</v>
      </c>
      <c r="M1720" s="3">
        <v>0</v>
      </c>
      <c r="N1720" s="3">
        <v>18</v>
      </c>
      <c r="O1720" s="3"/>
      <c r="P1720" s="3"/>
      <c r="Q1720" s="3"/>
    </row>
    <row r="1721" spans="1:17" ht="15" x14ac:dyDescent="0.25">
      <c r="A1721" s="3">
        <f>1714</f>
        <v>1714</v>
      </c>
      <c r="B1721" s="3" t="s">
        <v>1723</v>
      </c>
      <c r="C1721" s="3" t="s">
        <v>9</v>
      </c>
      <c r="D1721" s="3" t="s">
        <v>10</v>
      </c>
      <c r="E1721" s="3">
        <v>25</v>
      </c>
      <c r="F1721" s="3">
        <v>60</v>
      </c>
      <c r="G1721" s="3">
        <v>0</v>
      </c>
      <c r="H1721" s="3">
        <v>22</v>
      </c>
      <c r="I1721" s="3">
        <v>15</v>
      </c>
      <c r="J1721" s="3">
        <v>0</v>
      </c>
      <c r="K1721" s="3">
        <v>35</v>
      </c>
      <c r="L1721" s="3">
        <v>0</v>
      </c>
      <c r="M1721" s="3">
        <v>0</v>
      </c>
      <c r="N1721" s="3">
        <v>18</v>
      </c>
      <c r="O1721" s="3"/>
      <c r="P1721" s="3"/>
      <c r="Q1721" s="3"/>
    </row>
    <row r="1722" spans="1:17" ht="15" x14ac:dyDescent="0.25">
      <c r="A1722" s="3">
        <f>1715</f>
        <v>1715</v>
      </c>
      <c r="B1722" s="3" t="s">
        <v>1724</v>
      </c>
      <c r="C1722" s="3" t="s">
        <v>9</v>
      </c>
      <c r="D1722" s="3" t="s">
        <v>10</v>
      </c>
      <c r="E1722" s="3">
        <v>25</v>
      </c>
      <c r="F1722" s="3">
        <v>60</v>
      </c>
      <c r="G1722" s="3">
        <v>0</v>
      </c>
      <c r="H1722" s="3">
        <v>22</v>
      </c>
      <c r="I1722" s="3">
        <v>15</v>
      </c>
      <c r="J1722" s="3">
        <v>0</v>
      </c>
      <c r="K1722" s="3">
        <v>35</v>
      </c>
      <c r="L1722" s="3">
        <v>0</v>
      </c>
      <c r="M1722" s="3">
        <v>0</v>
      </c>
      <c r="N1722" s="3">
        <v>18</v>
      </c>
      <c r="O1722" s="3"/>
      <c r="P1722" s="3"/>
      <c r="Q1722" s="3"/>
    </row>
    <row r="1723" spans="1:17" ht="15" x14ac:dyDescent="0.25">
      <c r="A1723" s="3">
        <f>1716</f>
        <v>1716</v>
      </c>
      <c r="B1723" s="3" t="s">
        <v>1725</v>
      </c>
      <c r="C1723" s="3" t="s">
        <v>9</v>
      </c>
      <c r="D1723" s="3" t="s">
        <v>10</v>
      </c>
      <c r="E1723" s="3">
        <v>25</v>
      </c>
      <c r="F1723" s="3">
        <v>60</v>
      </c>
      <c r="G1723" s="3">
        <v>0</v>
      </c>
      <c r="H1723" s="3">
        <v>22</v>
      </c>
      <c r="I1723" s="3">
        <v>15</v>
      </c>
      <c r="J1723" s="3">
        <v>0</v>
      </c>
      <c r="K1723" s="3">
        <v>35</v>
      </c>
      <c r="L1723" s="3">
        <v>0</v>
      </c>
      <c r="M1723" s="3">
        <v>0</v>
      </c>
      <c r="N1723" s="3">
        <v>18</v>
      </c>
      <c r="O1723" s="3"/>
      <c r="P1723" s="3"/>
      <c r="Q1723" s="3"/>
    </row>
    <row r="1724" spans="1:17" ht="15" x14ac:dyDescent="0.25">
      <c r="A1724" s="3">
        <f>1717</f>
        <v>1717</v>
      </c>
      <c r="B1724" s="3" t="s">
        <v>1726</v>
      </c>
      <c r="C1724" s="3" t="s">
        <v>9</v>
      </c>
      <c r="D1724" s="3" t="s">
        <v>10</v>
      </c>
      <c r="E1724" s="3">
        <v>25</v>
      </c>
      <c r="F1724" s="3">
        <v>60</v>
      </c>
      <c r="G1724" s="3">
        <v>0</v>
      </c>
      <c r="H1724" s="3">
        <v>22</v>
      </c>
      <c r="I1724" s="3">
        <v>15</v>
      </c>
      <c r="J1724" s="3">
        <v>0</v>
      </c>
      <c r="K1724" s="3">
        <v>35</v>
      </c>
      <c r="L1724" s="3">
        <v>0</v>
      </c>
      <c r="M1724" s="3">
        <v>0</v>
      </c>
      <c r="N1724" s="3">
        <v>18</v>
      </c>
      <c r="O1724" s="3"/>
      <c r="P1724" s="3"/>
      <c r="Q1724" s="3"/>
    </row>
    <row r="1725" spans="1:17" ht="15" x14ac:dyDescent="0.25">
      <c r="A1725" s="3">
        <f>1718</f>
        <v>1718</v>
      </c>
      <c r="B1725" s="3" t="s">
        <v>1727</v>
      </c>
      <c r="C1725" s="3" t="s">
        <v>9</v>
      </c>
      <c r="D1725" s="3" t="s">
        <v>10</v>
      </c>
      <c r="E1725" s="3">
        <v>25</v>
      </c>
      <c r="F1725" s="3">
        <v>60</v>
      </c>
      <c r="G1725" s="3">
        <v>0</v>
      </c>
      <c r="H1725" s="3">
        <v>22</v>
      </c>
      <c r="I1725" s="3">
        <v>15</v>
      </c>
      <c r="J1725" s="3">
        <v>0</v>
      </c>
      <c r="K1725" s="3">
        <v>35</v>
      </c>
      <c r="L1725" s="3">
        <v>0</v>
      </c>
      <c r="M1725" s="3">
        <v>0</v>
      </c>
      <c r="N1725" s="3">
        <v>18</v>
      </c>
      <c r="O1725" s="3"/>
      <c r="P1725" s="3"/>
      <c r="Q1725" s="3"/>
    </row>
    <row r="1726" spans="1:17" ht="15" x14ac:dyDescent="0.25">
      <c r="A1726" s="3">
        <f>1719</f>
        <v>1719</v>
      </c>
      <c r="B1726" s="3" t="s">
        <v>1728</v>
      </c>
      <c r="C1726" s="3" t="s">
        <v>9</v>
      </c>
      <c r="D1726" s="3" t="s">
        <v>10</v>
      </c>
      <c r="E1726" s="3">
        <v>25</v>
      </c>
      <c r="F1726" s="3">
        <v>60</v>
      </c>
      <c r="G1726" s="3">
        <v>0</v>
      </c>
      <c r="H1726" s="3">
        <v>22</v>
      </c>
      <c r="I1726" s="3">
        <v>15</v>
      </c>
      <c r="J1726" s="3">
        <v>0</v>
      </c>
      <c r="K1726" s="3">
        <v>35</v>
      </c>
      <c r="L1726" s="3">
        <v>0</v>
      </c>
      <c r="M1726" s="3">
        <v>0</v>
      </c>
      <c r="N1726" s="3">
        <v>18</v>
      </c>
      <c r="O1726" s="3"/>
      <c r="P1726" s="3"/>
      <c r="Q1726" s="3"/>
    </row>
    <row r="1727" spans="1:17" ht="15" x14ac:dyDescent="0.25">
      <c r="A1727" s="3">
        <f>1720</f>
        <v>1720</v>
      </c>
      <c r="B1727" s="3" t="s">
        <v>1729</v>
      </c>
      <c r="C1727" s="3" t="s">
        <v>9</v>
      </c>
      <c r="D1727" s="3" t="s">
        <v>10</v>
      </c>
      <c r="E1727" s="3">
        <v>25</v>
      </c>
      <c r="F1727" s="3">
        <v>60</v>
      </c>
      <c r="G1727" s="3">
        <v>0</v>
      </c>
      <c r="H1727" s="3">
        <v>22</v>
      </c>
      <c r="I1727" s="3">
        <v>15</v>
      </c>
      <c r="J1727" s="3">
        <v>0</v>
      </c>
      <c r="K1727" s="3">
        <v>35</v>
      </c>
      <c r="L1727" s="3">
        <v>0</v>
      </c>
      <c r="M1727" s="3">
        <v>0</v>
      </c>
      <c r="N1727" s="3">
        <v>18</v>
      </c>
      <c r="O1727" s="3"/>
      <c r="P1727" s="3"/>
      <c r="Q1727" s="3"/>
    </row>
    <row r="1728" spans="1:17" ht="15" x14ac:dyDescent="0.25">
      <c r="A1728" s="3">
        <f>1721</f>
        <v>1721</v>
      </c>
      <c r="B1728" s="3" t="s">
        <v>1730</v>
      </c>
      <c r="C1728" s="3" t="s">
        <v>9</v>
      </c>
      <c r="D1728" s="3" t="s">
        <v>10</v>
      </c>
      <c r="E1728" s="3">
        <v>25</v>
      </c>
      <c r="F1728" s="3">
        <v>60</v>
      </c>
      <c r="G1728" s="3">
        <v>0</v>
      </c>
      <c r="H1728" s="3">
        <v>22</v>
      </c>
      <c r="I1728" s="3">
        <v>15</v>
      </c>
      <c r="J1728" s="3">
        <v>0</v>
      </c>
      <c r="K1728" s="3">
        <v>35</v>
      </c>
      <c r="L1728" s="3">
        <v>0</v>
      </c>
      <c r="M1728" s="3">
        <v>0</v>
      </c>
      <c r="N1728" s="3">
        <v>18</v>
      </c>
      <c r="O1728" s="3"/>
      <c r="P1728" s="3"/>
      <c r="Q1728" s="3"/>
    </row>
    <row r="1729" spans="1:17" ht="15" x14ac:dyDescent="0.25">
      <c r="A1729" s="3">
        <f>1722</f>
        <v>1722</v>
      </c>
      <c r="B1729" s="3" t="s">
        <v>1731</v>
      </c>
      <c r="C1729" s="3" t="s">
        <v>9</v>
      </c>
      <c r="D1729" s="3" t="s">
        <v>10</v>
      </c>
      <c r="E1729" s="3">
        <v>25</v>
      </c>
      <c r="F1729" s="3">
        <v>60</v>
      </c>
      <c r="G1729" s="3">
        <v>0</v>
      </c>
      <c r="H1729" s="3">
        <v>22</v>
      </c>
      <c r="I1729" s="3">
        <v>15</v>
      </c>
      <c r="J1729" s="3">
        <v>0</v>
      </c>
      <c r="K1729" s="3">
        <v>35</v>
      </c>
      <c r="L1729" s="3">
        <v>0</v>
      </c>
      <c r="M1729" s="3">
        <v>0</v>
      </c>
      <c r="N1729" s="3">
        <v>18</v>
      </c>
      <c r="O1729" s="3"/>
      <c r="P1729" s="3"/>
      <c r="Q1729" s="3"/>
    </row>
    <row r="1730" spans="1:17" ht="15" x14ac:dyDescent="0.25">
      <c r="A1730" s="3">
        <f>1723</f>
        <v>1723</v>
      </c>
      <c r="B1730" s="3" t="s">
        <v>1732</v>
      </c>
      <c r="C1730" s="3" t="s">
        <v>9</v>
      </c>
      <c r="D1730" s="3" t="s">
        <v>10</v>
      </c>
      <c r="E1730" s="3">
        <v>25</v>
      </c>
      <c r="F1730" s="3">
        <v>60</v>
      </c>
      <c r="G1730" s="3">
        <v>0</v>
      </c>
      <c r="H1730" s="3">
        <v>22</v>
      </c>
      <c r="I1730" s="3">
        <v>15</v>
      </c>
      <c r="J1730" s="3">
        <v>0</v>
      </c>
      <c r="K1730" s="3">
        <v>35</v>
      </c>
      <c r="L1730" s="3">
        <v>0</v>
      </c>
      <c r="M1730" s="3">
        <v>0</v>
      </c>
      <c r="N1730" s="3">
        <v>18</v>
      </c>
      <c r="O1730" s="3"/>
      <c r="P1730" s="3"/>
      <c r="Q1730" s="3"/>
    </row>
    <row r="1731" spans="1:17" ht="15" x14ac:dyDescent="0.25">
      <c r="A1731" s="3">
        <f>1724</f>
        <v>1724</v>
      </c>
      <c r="B1731" s="3" t="s">
        <v>1733</v>
      </c>
      <c r="C1731" s="3" t="s">
        <v>9</v>
      </c>
      <c r="D1731" s="3" t="s">
        <v>10</v>
      </c>
      <c r="E1731" s="3">
        <v>25</v>
      </c>
      <c r="F1731" s="3">
        <v>60</v>
      </c>
      <c r="G1731" s="3">
        <v>0</v>
      </c>
      <c r="H1731" s="3">
        <v>22</v>
      </c>
      <c r="I1731" s="3">
        <v>15</v>
      </c>
      <c r="J1731" s="3">
        <v>0</v>
      </c>
      <c r="K1731" s="3">
        <v>35</v>
      </c>
      <c r="L1731" s="3">
        <v>0</v>
      </c>
      <c r="M1731" s="3">
        <v>0</v>
      </c>
      <c r="N1731" s="3">
        <v>18</v>
      </c>
      <c r="O1731" s="3"/>
      <c r="P1731" s="3"/>
      <c r="Q1731" s="3"/>
    </row>
    <row r="1732" spans="1:17" ht="15" x14ac:dyDescent="0.25">
      <c r="A1732" s="3">
        <f>1725</f>
        <v>1725</v>
      </c>
      <c r="B1732" s="3" t="s">
        <v>1734</v>
      </c>
      <c r="C1732" s="3" t="s">
        <v>9</v>
      </c>
      <c r="D1732" s="3" t="s">
        <v>10</v>
      </c>
      <c r="E1732" s="3">
        <v>25</v>
      </c>
      <c r="F1732" s="3">
        <v>60</v>
      </c>
      <c r="G1732" s="3">
        <v>0</v>
      </c>
      <c r="H1732" s="3">
        <v>22</v>
      </c>
      <c r="I1732" s="3">
        <v>15</v>
      </c>
      <c r="J1732" s="3">
        <v>0</v>
      </c>
      <c r="K1732" s="3">
        <v>35</v>
      </c>
      <c r="L1732" s="3">
        <v>0</v>
      </c>
      <c r="M1732" s="3">
        <v>0</v>
      </c>
      <c r="N1732" s="3">
        <v>18</v>
      </c>
      <c r="O1732" s="3"/>
      <c r="P1732" s="3"/>
      <c r="Q1732" s="3"/>
    </row>
    <row r="1733" spans="1:17" ht="15" x14ac:dyDescent="0.25">
      <c r="A1733" s="3">
        <f>1726</f>
        <v>1726</v>
      </c>
      <c r="B1733" s="3" t="s">
        <v>1735</v>
      </c>
      <c r="C1733" s="3" t="s">
        <v>9</v>
      </c>
      <c r="D1733" s="3" t="s">
        <v>10</v>
      </c>
      <c r="E1733" s="3">
        <v>25</v>
      </c>
      <c r="F1733" s="3">
        <v>60</v>
      </c>
      <c r="G1733" s="3">
        <v>0</v>
      </c>
      <c r="H1733" s="3">
        <v>22</v>
      </c>
      <c r="I1733" s="3">
        <v>15</v>
      </c>
      <c r="J1733" s="3">
        <v>0</v>
      </c>
      <c r="K1733" s="3">
        <v>35</v>
      </c>
      <c r="L1733" s="3">
        <v>0</v>
      </c>
      <c r="M1733" s="3">
        <v>0</v>
      </c>
      <c r="N1733" s="3">
        <v>18</v>
      </c>
      <c r="O1733" s="3"/>
      <c r="P1733" s="3"/>
      <c r="Q1733" s="3"/>
    </row>
    <row r="1734" spans="1:17" ht="15" x14ac:dyDescent="0.25">
      <c r="A1734" s="3">
        <f>1727</f>
        <v>1727</v>
      </c>
      <c r="B1734" s="3" t="s">
        <v>1736</v>
      </c>
      <c r="C1734" s="3" t="s">
        <v>9</v>
      </c>
      <c r="D1734" s="3" t="s">
        <v>10</v>
      </c>
      <c r="E1734" s="3">
        <v>25</v>
      </c>
      <c r="F1734" s="3">
        <v>60</v>
      </c>
      <c r="G1734" s="3">
        <v>0</v>
      </c>
      <c r="H1734" s="3">
        <v>22</v>
      </c>
      <c r="I1734" s="3">
        <v>15</v>
      </c>
      <c r="J1734" s="3">
        <v>0</v>
      </c>
      <c r="K1734" s="3">
        <v>35</v>
      </c>
      <c r="L1734" s="3">
        <v>0</v>
      </c>
      <c r="M1734" s="3">
        <v>0</v>
      </c>
      <c r="N1734" s="3">
        <v>18</v>
      </c>
      <c r="O1734" s="3"/>
      <c r="P1734" s="3"/>
      <c r="Q1734" s="3"/>
    </row>
    <row r="1735" spans="1:17" ht="15" x14ac:dyDescent="0.25">
      <c r="A1735" s="3">
        <f>1728</f>
        <v>1728</v>
      </c>
      <c r="B1735" s="3" t="s">
        <v>1737</v>
      </c>
      <c r="C1735" s="3" t="s">
        <v>9</v>
      </c>
      <c r="D1735" s="3" t="s">
        <v>10</v>
      </c>
      <c r="E1735" s="3">
        <v>25</v>
      </c>
      <c r="F1735" s="3">
        <v>60</v>
      </c>
      <c r="G1735" s="3">
        <v>0</v>
      </c>
      <c r="H1735" s="3">
        <v>22</v>
      </c>
      <c r="I1735" s="3">
        <v>15</v>
      </c>
      <c r="J1735" s="3">
        <v>0</v>
      </c>
      <c r="K1735" s="3">
        <v>35</v>
      </c>
      <c r="L1735" s="3">
        <v>0</v>
      </c>
      <c r="M1735" s="3">
        <v>0</v>
      </c>
      <c r="N1735" s="3">
        <v>18</v>
      </c>
      <c r="O1735" s="3"/>
      <c r="P1735" s="3"/>
      <c r="Q1735" s="3"/>
    </row>
    <row r="1736" spans="1:17" ht="15" x14ac:dyDescent="0.25">
      <c r="A1736" s="3">
        <f>1729</f>
        <v>1729</v>
      </c>
      <c r="B1736" s="3" t="s">
        <v>1738</v>
      </c>
      <c r="C1736" s="3" t="s">
        <v>9</v>
      </c>
      <c r="D1736" s="3" t="s">
        <v>10</v>
      </c>
      <c r="E1736" s="3">
        <v>25</v>
      </c>
      <c r="F1736" s="3">
        <v>60</v>
      </c>
      <c r="G1736" s="3">
        <v>0</v>
      </c>
      <c r="H1736" s="3">
        <v>22</v>
      </c>
      <c r="I1736" s="3">
        <v>15</v>
      </c>
      <c r="J1736" s="3">
        <v>0</v>
      </c>
      <c r="K1736" s="3">
        <v>35</v>
      </c>
      <c r="L1736" s="3">
        <v>0</v>
      </c>
      <c r="M1736" s="3">
        <v>0</v>
      </c>
      <c r="N1736" s="3">
        <v>18</v>
      </c>
      <c r="O1736" s="3"/>
      <c r="P1736" s="3"/>
      <c r="Q1736" s="3"/>
    </row>
    <row r="1737" spans="1:17" ht="15" x14ac:dyDescent="0.25">
      <c r="A1737" s="3">
        <f>1730</f>
        <v>1730</v>
      </c>
      <c r="B1737" s="3" t="s">
        <v>1739</v>
      </c>
      <c r="C1737" s="3" t="s">
        <v>9</v>
      </c>
      <c r="D1737" s="3" t="s">
        <v>10</v>
      </c>
      <c r="E1737" s="3">
        <v>25</v>
      </c>
      <c r="F1737" s="3">
        <v>60</v>
      </c>
      <c r="G1737" s="3">
        <v>0</v>
      </c>
      <c r="H1737" s="3">
        <v>22</v>
      </c>
      <c r="I1737" s="3">
        <v>15</v>
      </c>
      <c r="J1737" s="3">
        <v>0</v>
      </c>
      <c r="K1737" s="3">
        <v>35</v>
      </c>
      <c r="L1737" s="3">
        <v>0</v>
      </c>
      <c r="M1737" s="3">
        <v>0</v>
      </c>
      <c r="N1737" s="3">
        <v>18</v>
      </c>
      <c r="O1737" s="3"/>
      <c r="P1737" s="3"/>
      <c r="Q1737" s="3"/>
    </row>
    <row r="1738" spans="1:17" ht="15" x14ac:dyDescent="0.25">
      <c r="A1738" s="3">
        <f>1731</f>
        <v>1731</v>
      </c>
      <c r="B1738" s="3" t="s">
        <v>1740</v>
      </c>
      <c r="C1738" s="3" t="s">
        <v>9</v>
      </c>
      <c r="D1738" s="3" t="s">
        <v>10</v>
      </c>
      <c r="E1738" s="3">
        <v>25</v>
      </c>
      <c r="F1738" s="3">
        <v>60</v>
      </c>
      <c r="G1738" s="3">
        <v>0</v>
      </c>
      <c r="H1738" s="3">
        <v>22</v>
      </c>
      <c r="I1738" s="3">
        <v>15</v>
      </c>
      <c r="J1738" s="3">
        <v>0</v>
      </c>
      <c r="K1738" s="3">
        <v>35</v>
      </c>
      <c r="L1738" s="3">
        <v>0</v>
      </c>
      <c r="M1738" s="3">
        <v>0</v>
      </c>
      <c r="N1738" s="3">
        <v>18</v>
      </c>
      <c r="O1738" s="3"/>
      <c r="P1738" s="3"/>
      <c r="Q1738" s="3"/>
    </row>
    <row r="1739" spans="1:17" ht="15" x14ac:dyDescent="0.25">
      <c r="A1739" s="3">
        <f>1732</f>
        <v>1732</v>
      </c>
      <c r="B1739" s="3" t="s">
        <v>1741</v>
      </c>
      <c r="C1739" s="3" t="s">
        <v>9</v>
      </c>
      <c r="D1739" s="3" t="s">
        <v>10</v>
      </c>
      <c r="E1739" s="3">
        <v>25</v>
      </c>
      <c r="F1739" s="3">
        <v>60</v>
      </c>
      <c r="G1739" s="3">
        <v>0</v>
      </c>
      <c r="H1739" s="3">
        <v>22</v>
      </c>
      <c r="I1739" s="3">
        <v>15</v>
      </c>
      <c r="J1739" s="3">
        <v>0</v>
      </c>
      <c r="K1739" s="3">
        <v>35</v>
      </c>
      <c r="L1739" s="3">
        <v>0</v>
      </c>
      <c r="M1739" s="3">
        <v>0</v>
      </c>
      <c r="N1739" s="3">
        <v>18</v>
      </c>
      <c r="O1739" s="3"/>
      <c r="P1739" s="3"/>
      <c r="Q1739" s="3"/>
    </row>
    <row r="1740" spans="1:17" ht="15" x14ac:dyDescent="0.25">
      <c r="A1740" s="3">
        <f>1733</f>
        <v>1733</v>
      </c>
      <c r="B1740" s="3" t="s">
        <v>1742</v>
      </c>
      <c r="C1740" s="3" t="s">
        <v>9</v>
      </c>
      <c r="D1740" s="3" t="s">
        <v>10</v>
      </c>
      <c r="E1740" s="3">
        <v>25</v>
      </c>
      <c r="F1740" s="3">
        <v>60</v>
      </c>
      <c r="G1740" s="3">
        <v>0</v>
      </c>
      <c r="H1740" s="3">
        <v>22</v>
      </c>
      <c r="I1740" s="3">
        <v>15</v>
      </c>
      <c r="J1740" s="3">
        <v>0</v>
      </c>
      <c r="K1740" s="3">
        <v>35</v>
      </c>
      <c r="L1740" s="3">
        <v>0</v>
      </c>
      <c r="M1740" s="3">
        <v>0</v>
      </c>
      <c r="N1740" s="3">
        <v>18</v>
      </c>
      <c r="O1740" s="3"/>
      <c r="P1740" s="3"/>
      <c r="Q1740" s="3"/>
    </row>
    <row r="1741" spans="1:17" ht="15" x14ac:dyDescent="0.25">
      <c r="A1741" s="3">
        <f>1734</f>
        <v>1734</v>
      </c>
      <c r="B1741" s="3" t="s">
        <v>1743</v>
      </c>
      <c r="C1741" s="3" t="s">
        <v>9</v>
      </c>
      <c r="D1741" s="3" t="s">
        <v>10</v>
      </c>
      <c r="E1741" s="3">
        <v>25</v>
      </c>
      <c r="F1741" s="3">
        <v>60</v>
      </c>
      <c r="G1741" s="3">
        <v>0</v>
      </c>
      <c r="H1741" s="3">
        <v>22</v>
      </c>
      <c r="I1741" s="3">
        <v>15</v>
      </c>
      <c r="J1741" s="3">
        <v>0</v>
      </c>
      <c r="K1741" s="3">
        <v>35</v>
      </c>
      <c r="L1741" s="3">
        <v>0</v>
      </c>
      <c r="M1741" s="3">
        <v>0</v>
      </c>
      <c r="N1741" s="3">
        <v>18</v>
      </c>
      <c r="O1741" s="3"/>
      <c r="P1741" s="3"/>
      <c r="Q1741" s="3"/>
    </row>
    <row r="1742" spans="1:17" ht="15" x14ac:dyDescent="0.25">
      <c r="A1742" s="3">
        <f>1735</f>
        <v>1735</v>
      </c>
      <c r="B1742" s="3" t="s">
        <v>1744</v>
      </c>
      <c r="C1742" s="3" t="s">
        <v>9</v>
      </c>
      <c r="D1742" s="3" t="s">
        <v>10</v>
      </c>
      <c r="E1742" s="3">
        <v>25</v>
      </c>
      <c r="F1742" s="3">
        <v>60</v>
      </c>
      <c r="G1742" s="3">
        <v>0</v>
      </c>
      <c r="H1742" s="3">
        <v>22</v>
      </c>
      <c r="I1742" s="3">
        <v>15</v>
      </c>
      <c r="J1742" s="3">
        <v>0</v>
      </c>
      <c r="K1742" s="3">
        <v>35</v>
      </c>
      <c r="L1742" s="3">
        <v>0</v>
      </c>
      <c r="M1742" s="3">
        <v>0</v>
      </c>
      <c r="N1742" s="3">
        <v>18</v>
      </c>
      <c r="O1742" s="3"/>
      <c r="P1742" s="3"/>
      <c r="Q1742" s="3"/>
    </row>
    <row r="1743" spans="1:17" ht="15" x14ac:dyDescent="0.25">
      <c r="A1743" s="3">
        <f>1736</f>
        <v>1736</v>
      </c>
      <c r="B1743" s="3" t="s">
        <v>1745</v>
      </c>
      <c r="C1743" s="3" t="s">
        <v>9</v>
      </c>
      <c r="D1743" s="3" t="s">
        <v>9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/>
      <c r="P1743" s="3"/>
      <c r="Q1743" s="3"/>
    </row>
    <row r="1744" spans="1:17" ht="15" x14ac:dyDescent="0.25">
      <c r="A1744" s="3">
        <f>1737</f>
        <v>1737</v>
      </c>
      <c r="B1744" s="3" t="s">
        <v>1746</v>
      </c>
      <c r="C1744" s="3" t="s">
        <v>9</v>
      </c>
      <c r="D1744" s="3" t="s">
        <v>9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/>
      <c r="P1744" s="3"/>
      <c r="Q1744" s="3"/>
    </row>
    <row r="1745" spans="1:17" ht="15" x14ac:dyDescent="0.25">
      <c r="A1745" s="3">
        <f>1738</f>
        <v>1738</v>
      </c>
      <c r="B1745" s="3" t="s">
        <v>1747</v>
      </c>
      <c r="C1745" s="3" t="s">
        <v>9</v>
      </c>
      <c r="D1745" s="3" t="s">
        <v>9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/>
      <c r="P1745" s="3"/>
      <c r="Q1745" s="3"/>
    </row>
    <row r="1746" spans="1:17" ht="15" x14ac:dyDescent="0.25">
      <c r="A1746" s="3">
        <f>1739</f>
        <v>1739</v>
      </c>
      <c r="B1746" s="3" t="s">
        <v>1748</v>
      </c>
      <c r="C1746" s="3" t="s">
        <v>10</v>
      </c>
      <c r="D1746" s="3" t="s">
        <v>9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/>
      <c r="P1746" s="3"/>
      <c r="Q1746" s="3"/>
    </row>
    <row r="1747" spans="1:17" ht="15" x14ac:dyDescent="0.25">
      <c r="A1747" s="3">
        <f>1740</f>
        <v>1740</v>
      </c>
      <c r="B1747" s="3" t="s">
        <v>1749</v>
      </c>
      <c r="C1747" s="3" t="s">
        <v>10</v>
      </c>
      <c r="D1747" s="3" t="s">
        <v>9</v>
      </c>
      <c r="E1747" s="3">
        <v>25</v>
      </c>
      <c r="F1747" s="3">
        <v>0</v>
      </c>
      <c r="G1747" s="3">
        <v>0</v>
      </c>
      <c r="H1747" s="3">
        <v>18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/>
      <c r="P1747" s="3"/>
      <c r="Q1747" s="3"/>
    </row>
    <row r="1748" spans="1:17" ht="15" x14ac:dyDescent="0.25">
      <c r="A1748" s="3">
        <f>1741</f>
        <v>1741</v>
      </c>
      <c r="B1748" s="3" t="s">
        <v>1750</v>
      </c>
      <c r="C1748" s="3" t="s">
        <v>10</v>
      </c>
      <c r="D1748" s="3" t="s">
        <v>9</v>
      </c>
      <c r="E1748" s="3">
        <v>25</v>
      </c>
      <c r="F1748" s="3">
        <v>0</v>
      </c>
      <c r="G1748" s="3">
        <v>0</v>
      </c>
      <c r="H1748" s="3">
        <v>18</v>
      </c>
      <c r="I1748" s="3">
        <v>0</v>
      </c>
      <c r="J1748" s="3">
        <v>0</v>
      </c>
      <c r="K1748" s="3">
        <v>0</v>
      </c>
      <c r="L1748" s="3">
        <v>0</v>
      </c>
      <c r="M1748" s="3">
        <v>30</v>
      </c>
      <c r="N1748" s="3">
        <v>0</v>
      </c>
      <c r="O1748" s="3"/>
      <c r="P1748" s="3"/>
      <c r="Q1748" s="3"/>
    </row>
    <row r="1749" spans="1:17" ht="15" x14ac:dyDescent="0.25">
      <c r="A1749" s="3">
        <f>1742</f>
        <v>1742</v>
      </c>
      <c r="B1749" s="3" t="s">
        <v>1751</v>
      </c>
      <c r="C1749" s="3" t="s">
        <v>10</v>
      </c>
      <c r="D1749" s="3" t="s">
        <v>9</v>
      </c>
      <c r="E1749" s="3">
        <v>25</v>
      </c>
      <c r="F1749" s="3">
        <v>0</v>
      </c>
      <c r="G1749" s="3">
        <v>0</v>
      </c>
      <c r="H1749" s="3">
        <v>18</v>
      </c>
      <c r="I1749" s="3">
        <v>0</v>
      </c>
      <c r="J1749" s="3">
        <v>0</v>
      </c>
      <c r="K1749" s="3">
        <v>0</v>
      </c>
      <c r="L1749" s="3">
        <v>0</v>
      </c>
      <c r="M1749" s="3">
        <v>30</v>
      </c>
      <c r="N1749" s="3">
        <v>0</v>
      </c>
      <c r="O1749" s="3"/>
      <c r="P1749" s="3"/>
      <c r="Q1749" s="3"/>
    </row>
    <row r="1750" spans="1:17" ht="15" x14ac:dyDescent="0.25">
      <c r="A1750" s="3">
        <f>1743</f>
        <v>1743</v>
      </c>
      <c r="B1750" s="3" t="s">
        <v>1752</v>
      </c>
      <c r="C1750" s="3" t="s">
        <v>10</v>
      </c>
      <c r="D1750" s="3" t="s">
        <v>9</v>
      </c>
      <c r="E1750" s="3">
        <v>25</v>
      </c>
      <c r="F1750" s="3">
        <v>0</v>
      </c>
      <c r="G1750" s="3">
        <v>0</v>
      </c>
      <c r="H1750" s="3">
        <v>18</v>
      </c>
      <c r="I1750" s="3">
        <v>0</v>
      </c>
      <c r="J1750" s="3">
        <v>0</v>
      </c>
      <c r="K1750" s="3">
        <v>0</v>
      </c>
      <c r="L1750" s="3">
        <v>0</v>
      </c>
      <c r="M1750" s="3">
        <v>30</v>
      </c>
      <c r="N1750" s="3">
        <v>0</v>
      </c>
      <c r="O1750" s="3"/>
      <c r="P1750" s="3"/>
      <c r="Q1750" s="3"/>
    </row>
    <row r="1751" spans="1:17" ht="15" x14ac:dyDescent="0.25">
      <c r="A1751" s="3">
        <f>1744</f>
        <v>1744</v>
      </c>
      <c r="B1751" s="3" t="s">
        <v>1753</v>
      </c>
      <c r="C1751" s="3" t="s">
        <v>10</v>
      </c>
      <c r="D1751" s="3" t="s">
        <v>9</v>
      </c>
      <c r="E1751" s="3">
        <v>25</v>
      </c>
      <c r="F1751" s="3">
        <v>0</v>
      </c>
      <c r="G1751" s="3">
        <v>0</v>
      </c>
      <c r="H1751" s="3">
        <v>18</v>
      </c>
      <c r="I1751" s="3">
        <v>18</v>
      </c>
      <c r="J1751" s="3">
        <v>0</v>
      </c>
      <c r="K1751" s="3">
        <v>27</v>
      </c>
      <c r="L1751" s="3">
        <v>0</v>
      </c>
      <c r="M1751" s="3">
        <v>30</v>
      </c>
      <c r="N1751" s="3">
        <v>0</v>
      </c>
      <c r="O1751" s="3"/>
      <c r="P1751" s="3"/>
      <c r="Q1751" s="3"/>
    </row>
    <row r="1752" spans="1:17" ht="15" x14ac:dyDescent="0.25">
      <c r="A1752" s="3">
        <f>1745</f>
        <v>1745</v>
      </c>
      <c r="B1752" s="3" t="s">
        <v>1754</v>
      </c>
      <c r="C1752" s="3" t="s">
        <v>10</v>
      </c>
      <c r="D1752" s="3" t="s">
        <v>9</v>
      </c>
      <c r="E1752" s="3">
        <v>25</v>
      </c>
      <c r="F1752" s="3">
        <v>0</v>
      </c>
      <c r="G1752" s="3">
        <v>0</v>
      </c>
      <c r="H1752" s="3">
        <v>18</v>
      </c>
      <c r="I1752" s="3">
        <v>18</v>
      </c>
      <c r="J1752" s="3">
        <v>0</v>
      </c>
      <c r="K1752" s="3">
        <v>27</v>
      </c>
      <c r="L1752" s="3">
        <v>0</v>
      </c>
      <c r="M1752" s="3">
        <v>30</v>
      </c>
      <c r="N1752" s="3">
        <v>30</v>
      </c>
      <c r="O1752" s="3"/>
      <c r="P1752" s="3"/>
      <c r="Q1752" s="3"/>
    </row>
    <row r="1753" spans="1:17" ht="15" x14ac:dyDescent="0.25">
      <c r="A1753" s="3">
        <f>1746</f>
        <v>1746</v>
      </c>
      <c r="B1753" s="3" t="s">
        <v>1755</v>
      </c>
      <c r="C1753" s="3" t="s">
        <v>10</v>
      </c>
      <c r="D1753" s="3" t="s">
        <v>9</v>
      </c>
      <c r="E1753" s="3">
        <v>25</v>
      </c>
      <c r="F1753" s="3">
        <v>0</v>
      </c>
      <c r="G1753" s="3">
        <v>0</v>
      </c>
      <c r="H1753" s="3">
        <v>18</v>
      </c>
      <c r="I1753" s="3">
        <v>18</v>
      </c>
      <c r="J1753" s="3">
        <v>0</v>
      </c>
      <c r="K1753" s="3">
        <v>20</v>
      </c>
      <c r="L1753" s="3">
        <v>0</v>
      </c>
      <c r="M1753" s="3">
        <v>30</v>
      </c>
      <c r="N1753" s="3">
        <v>30</v>
      </c>
      <c r="O1753" s="3"/>
      <c r="P1753" s="3"/>
      <c r="Q1753" s="3"/>
    </row>
    <row r="1754" spans="1:17" ht="15" x14ac:dyDescent="0.25">
      <c r="A1754" s="3">
        <f>1747</f>
        <v>1747</v>
      </c>
      <c r="B1754" s="3" t="s">
        <v>1756</v>
      </c>
      <c r="C1754" s="3" t="s">
        <v>9</v>
      </c>
      <c r="D1754" s="3" t="s">
        <v>10</v>
      </c>
      <c r="E1754" s="3">
        <v>25</v>
      </c>
      <c r="F1754" s="3">
        <v>0</v>
      </c>
      <c r="G1754" s="3">
        <v>0</v>
      </c>
      <c r="H1754" s="3">
        <v>18</v>
      </c>
      <c r="I1754" s="3">
        <v>18</v>
      </c>
      <c r="J1754" s="3">
        <v>0</v>
      </c>
      <c r="K1754" s="3">
        <v>20</v>
      </c>
      <c r="L1754" s="3">
        <v>0</v>
      </c>
      <c r="M1754" s="3">
        <v>30</v>
      </c>
      <c r="N1754" s="3">
        <v>30</v>
      </c>
      <c r="O1754" s="3"/>
      <c r="P1754" s="3"/>
      <c r="Q1754" s="3"/>
    </row>
    <row r="1755" spans="1:17" ht="15" x14ac:dyDescent="0.25">
      <c r="A1755" s="3">
        <f>1748</f>
        <v>1748</v>
      </c>
      <c r="B1755" s="3" t="s">
        <v>1757</v>
      </c>
      <c r="C1755" s="3" t="s">
        <v>9</v>
      </c>
      <c r="D1755" s="3" t="s">
        <v>10</v>
      </c>
      <c r="E1755" s="3">
        <v>25</v>
      </c>
      <c r="F1755" s="3">
        <v>0</v>
      </c>
      <c r="G1755" s="3">
        <v>0</v>
      </c>
      <c r="H1755" s="3">
        <v>18</v>
      </c>
      <c r="I1755" s="3">
        <v>18</v>
      </c>
      <c r="J1755" s="3">
        <v>0</v>
      </c>
      <c r="K1755" s="3">
        <v>20</v>
      </c>
      <c r="L1755" s="3">
        <v>0</v>
      </c>
      <c r="M1755" s="3">
        <v>30</v>
      </c>
      <c r="N1755" s="3">
        <v>30</v>
      </c>
      <c r="O1755" s="3"/>
      <c r="P1755" s="3"/>
      <c r="Q1755" s="3"/>
    </row>
    <row r="1756" spans="1:17" ht="15" x14ac:dyDescent="0.25">
      <c r="A1756" s="3">
        <f>1749</f>
        <v>1749</v>
      </c>
      <c r="B1756" s="3" t="s">
        <v>1758</v>
      </c>
      <c r="C1756" s="3" t="s">
        <v>10</v>
      </c>
      <c r="D1756" s="3" t="s">
        <v>9</v>
      </c>
      <c r="E1756" s="3">
        <v>25</v>
      </c>
      <c r="F1756" s="3">
        <v>0</v>
      </c>
      <c r="G1756" s="3">
        <v>0</v>
      </c>
      <c r="H1756" s="3">
        <v>18</v>
      </c>
      <c r="I1756" s="3">
        <v>18</v>
      </c>
      <c r="J1756" s="3">
        <v>0</v>
      </c>
      <c r="K1756" s="3">
        <v>20</v>
      </c>
      <c r="L1756" s="3">
        <v>0</v>
      </c>
      <c r="M1756" s="3">
        <v>30</v>
      </c>
      <c r="N1756" s="3">
        <v>30</v>
      </c>
      <c r="O1756" s="3"/>
      <c r="P1756" s="3"/>
      <c r="Q1756" s="3"/>
    </row>
    <row r="1757" spans="1:17" ht="15" x14ac:dyDescent="0.25">
      <c r="A1757" s="3">
        <f>1750</f>
        <v>1750</v>
      </c>
      <c r="B1757" s="3" t="s">
        <v>1759</v>
      </c>
      <c r="C1757" s="3" t="s">
        <v>10</v>
      </c>
      <c r="D1757" s="3" t="s">
        <v>9</v>
      </c>
      <c r="E1757" s="3">
        <v>25</v>
      </c>
      <c r="F1757" s="3">
        <v>0</v>
      </c>
      <c r="G1757" s="3">
        <v>0</v>
      </c>
      <c r="H1757" s="3">
        <v>18</v>
      </c>
      <c r="I1757" s="3">
        <v>18</v>
      </c>
      <c r="J1757" s="3">
        <v>0</v>
      </c>
      <c r="K1757" s="3">
        <v>20</v>
      </c>
      <c r="L1757" s="3">
        <v>0</v>
      </c>
      <c r="M1757" s="3">
        <v>30</v>
      </c>
      <c r="N1757" s="3">
        <v>30</v>
      </c>
      <c r="O1757" s="3"/>
      <c r="P1757" s="3"/>
      <c r="Q1757" s="3"/>
    </row>
    <row r="1758" spans="1:17" ht="15" x14ac:dyDescent="0.25">
      <c r="A1758" s="3">
        <f>1751</f>
        <v>1751</v>
      </c>
      <c r="B1758" s="3" t="s">
        <v>1760</v>
      </c>
      <c r="C1758" s="3" t="s">
        <v>10</v>
      </c>
      <c r="D1758" s="3" t="s">
        <v>9</v>
      </c>
      <c r="E1758" s="3">
        <v>25</v>
      </c>
      <c r="F1758" s="3">
        <v>0</v>
      </c>
      <c r="G1758" s="3">
        <v>0</v>
      </c>
      <c r="H1758" s="3">
        <v>18</v>
      </c>
      <c r="I1758" s="3">
        <v>18</v>
      </c>
      <c r="J1758" s="3">
        <v>0</v>
      </c>
      <c r="K1758" s="3">
        <v>20</v>
      </c>
      <c r="L1758" s="3">
        <v>0</v>
      </c>
      <c r="M1758" s="3">
        <v>30</v>
      </c>
      <c r="N1758" s="3">
        <v>30</v>
      </c>
      <c r="O1758" s="3"/>
      <c r="P1758" s="3"/>
      <c r="Q1758" s="3"/>
    </row>
    <row r="1759" spans="1:17" ht="15" x14ac:dyDescent="0.25">
      <c r="A1759" s="3">
        <f>1752</f>
        <v>1752</v>
      </c>
      <c r="B1759" s="3" t="s">
        <v>1761</v>
      </c>
      <c r="C1759" s="3" t="s">
        <v>10</v>
      </c>
      <c r="D1759" s="3" t="s">
        <v>9</v>
      </c>
      <c r="E1759" s="3">
        <v>25</v>
      </c>
      <c r="F1759" s="3">
        <v>0</v>
      </c>
      <c r="G1759" s="3">
        <v>0</v>
      </c>
      <c r="H1759" s="3">
        <v>18</v>
      </c>
      <c r="I1759" s="3">
        <v>18</v>
      </c>
      <c r="J1759" s="3">
        <v>0</v>
      </c>
      <c r="K1759" s="3">
        <v>20</v>
      </c>
      <c r="L1759" s="3">
        <v>0</v>
      </c>
      <c r="M1759" s="3">
        <v>30</v>
      </c>
      <c r="N1759" s="3">
        <v>35</v>
      </c>
      <c r="O1759" s="3"/>
      <c r="P1759" s="3"/>
      <c r="Q1759" s="3"/>
    </row>
    <row r="1760" spans="1:17" ht="15" x14ac:dyDescent="0.25">
      <c r="A1760" s="3">
        <f>1753</f>
        <v>1753</v>
      </c>
      <c r="B1760" s="3" t="s">
        <v>1762</v>
      </c>
      <c r="C1760" s="3" t="s">
        <v>10</v>
      </c>
      <c r="D1760" s="3" t="s">
        <v>9</v>
      </c>
      <c r="E1760" s="3">
        <v>25</v>
      </c>
      <c r="F1760" s="3">
        <v>0</v>
      </c>
      <c r="G1760" s="3">
        <v>0</v>
      </c>
      <c r="H1760" s="3">
        <v>18</v>
      </c>
      <c r="I1760" s="3">
        <v>18</v>
      </c>
      <c r="J1760" s="3">
        <v>0</v>
      </c>
      <c r="K1760" s="3">
        <v>20</v>
      </c>
      <c r="L1760" s="3">
        <v>0</v>
      </c>
      <c r="M1760" s="3">
        <v>30</v>
      </c>
      <c r="N1760" s="3">
        <v>35</v>
      </c>
      <c r="O1760" s="3"/>
      <c r="P1760" s="3"/>
      <c r="Q1760" s="3"/>
    </row>
    <row r="1761" spans="1:17" ht="15" x14ac:dyDescent="0.25">
      <c r="A1761" s="3">
        <f>1754</f>
        <v>1754</v>
      </c>
      <c r="B1761" s="3" t="s">
        <v>1763</v>
      </c>
      <c r="C1761" s="3" t="s">
        <v>10</v>
      </c>
      <c r="D1761" s="3" t="s">
        <v>9</v>
      </c>
      <c r="E1761" s="3">
        <v>25</v>
      </c>
      <c r="F1761" s="3">
        <v>0</v>
      </c>
      <c r="G1761" s="3">
        <v>0</v>
      </c>
      <c r="H1761" s="3">
        <v>18</v>
      </c>
      <c r="I1761" s="3">
        <v>18</v>
      </c>
      <c r="J1761" s="3">
        <v>0</v>
      </c>
      <c r="K1761" s="3">
        <v>20</v>
      </c>
      <c r="L1761" s="3">
        <v>0</v>
      </c>
      <c r="M1761" s="3">
        <v>30</v>
      </c>
      <c r="N1761" s="3">
        <v>35</v>
      </c>
      <c r="O1761" s="3"/>
      <c r="P1761" s="3"/>
      <c r="Q1761" s="3"/>
    </row>
    <row r="1762" spans="1:17" ht="15" x14ac:dyDescent="0.25">
      <c r="A1762" s="3">
        <f>1755</f>
        <v>1755</v>
      </c>
      <c r="B1762" s="3" t="s">
        <v>1764</v>
      </c>
      <c r="C1762" s="3" t="s">
        <v>10</v>
      </c>
      <c r="D1762" s="3" t="s">
        <v>9</v>
      </c>
      <c r="E1762" s="3">
        <v>25</v>
      </c>
      <c r="F1762" s="3">
        <v>0</v>
      </c>
      <c r="G1762" s="3">
        <v>0</v>
      </c>
      <c r="H1762" s="3">
        <v>18</v>
      </c>
      <c r="I1762" s="3">
        <v>18</v>
      </c>
      <c r="J1762" s="3">
        <v>0</v>
      </c>
      <c r="K1762" s="3">
        <v>20</v>
      </c>
      <c r="L1762" s="3">
        <v>0</v>
      </c>
      <c r="M1762" s="3">
        <v>30</v>
      </c>
      <c r="N1762" s="3">
        <v>35</v>
      </c>
      <c r="O1762" s="3"/>
      <c r="P1762" s="3"/>
      <c r="Q1762" s="3"/>
    </row>
    <row r="1763" spans="1:17" ht="15" x14ac:dyDescent="0.25">
      <c r="A1763" s="3">
        <f>1756</f>
        <v>1756</v>
      </c>
      <c r="B1763" s="3" t="s">
        <v>1765</v>
      </c>
      <c r="C1763" s="3" t="s">
        <v>10</v>
      </c>
      <c r="D1763" s="3" t="s">
        <v>9</v>
      </c>
      <c r="E1763" s="3">
        <v>25</v>
      </c>
      <c r="F1763" s="3">
        <v>0</v>
      </c>
      <c r="G1763" s="3">
        <v>0</v>
      </c>
      <c r="H1763" s="3">
        <v>18</v>
      </c>
      <c r="I1763" s="3">
        <v>18</v>
      </c>
      <c r="J1763" s="3">
        <v>0</v>
      </c>
      <c r="K1763" s="3">
        <v>20</v>
      </c>
      <c r="L1763" s="3">
        <v>0</v>
      </c>
      <c r="M1763" s="3">
        <v>30</v>
      </c>
      <c r="N1763" s="3">
        <v>35</v>
      </c>
      <c r="O1763" s="3"/>
      <c r="P1763" s="3"/>
      <c r="Q1763" s="3"/>
    </row>
    <row r="1764" spans="1:17" ht="15" x14ac:dyDescent="0.25">
      <c r="A1764" s="3">
        <f>1757</f>
        <v>1757</v>
      </c>
      <c r="B1764" s="3" t="s">
        <v>1766</v>
      </c>
      <c r="C1764" s="3" t="s">
        <v>10</v>
      </c>
      <c r="D1764" s="3" t="s">
        <v>9</v>
      </c>
      <c r="E1764" s="3">
        <v>25</v>
      </c>
      <c r="F1764" s="3">
        <v>0</v>
      </c>
      <c r="G1764" s="3">
        <v>0</v>
      </c>
      <c r="H1764" s="3">
        <v>18</v>
      </c>
      <c r="I1764" s="3">
        <v>18</v>
      </c>
      <c r="J1764" s="3">
        <v>0</v>
      </c>
      <c r="K1764" s="3">
        <v>20</v>
      </c>
      <c r="L1764" s="3">
        <v>0</v>
      </c>
      <c r="M1764" s="3">
        <v>30</v>
      </c>
      <c r="N1764" s="3">
        <v>35</v>
      </c>
      <c r="O1764" s="3"/>
      <c r="P1764" s="3"/>
      <c r="Q1764" s="3"/>
    </row>
    <row r="1765" spans="1:17" ht="15" x14ac:dyDescent="0.25">
      <c r="A1765" s="3">
        <f>1758</f>
        <v>1758</v>
      </c>
      <c r="B1765" s="3" t="s">
        <v>1767</v>
      </c>
      <c r="C1765" s="3" t="s">
        <v>10</v>
      </c>
      <c r="D1765" s="3" t="s">
        <v>9</v>
      </c>
      <c r="E1765" s="3">
        <v>25</v>
      </c>
      <c r="F1765" s="3">
        <v>0</v>
      </c>
      <c r="G1765" s="3">
        <v>0</v>
      </c>
      <c r="H1765" s="3">
        <v>18</v>
      </c>
      <c r="I1765" s="3">
        <v>18</v>
      </c>
      <c r="J1765" s="3">
        <v>0</v>
      </c>
      <c r="K1765" s="3">
        <v>20</v>
      </c>
      <c r="L1765" s="3">
        <v>0</v>
      </c>
      <c r="M1765" s="3">
        <v>30</v>
      </c>
      <c r="N1765" s="3">
        <v>35</v>
      </c>
      <c r="O1765" s="3"/>
      <c r="P1765" s="3"/>
      <c r="Q1765" s="3"/>
    </row>
    <row r="1766" spans="1:17" ht="15" x14ac:dyDescent="0.25">
      <c r="A1766" s="3">
        <f>1759</f>
        <v>1759</v>
      </c>
      <c r="B1766" s="3" t="s">
        <v>1768</v>
      </c>
      <c r="C1766" s="3" t="s">
        <v>10</v>
      </c>
      <c r="D1766" s="3" t="s">
        <v>9</v>
      </c>
      <c r="E1766" s="3">
        <v>25</v>
      </c>
      <c r="F1766" s="3">
        <v>0</v>
      </c>
      <c r="G1766" s="3">
        <v>0</v>
      </c>
      <c r="H1766" s="3">
        <v>18</v>
      </c>
      <c r="I1766" s="3">
        <v>18</v>
      </c>
      <c r="J1766" s="3">
        <v>0</v>
      </c>
      <c r="K1766" s="3">
        <v>20</v>
      </c>
      <c r="L1766" s="3">
        <v>0</v>
      </c>
      <c r="M1766" s="3">
        <v>30</v>
      </c>
      <c r="N1766" s="3">
        <v>35</v>
      </c>
      <c r="O1766" s="3"/>
      <c r="P1766" s="3"/>
      <c r="Q1766" s="3"/>
    </row>
    <row r="1767" spans="1:17" ht="15" x14ac:dyDescent="0.25">
      <c r="A1767" s="3">
        <f>1760</f>
        <v>1760</v>
      </c>
      <c r="B1767" s="3" t="s">
        <v>1769</v>
      </c>
      <c r="C1767" s="3" t="s">
        <v>9</v>
      </c>
      <c r="D1767" s="3" t="s">
        <v>10</v>
      </c>
      <c r="E1767" s="3">
        <v>25</v>
      </c>
      <c r="F1767" s="3">
        <v>0</v>
      </c>
      <c r="G1767" s="3">
        <v>0</v>
      </c>
      <c r="H1767" s="3">
        <v>18</v>
      </c>
      <c r="I1767" s="3">
        <v>18</v>
      </c>
      <c r="J1767" s="3">
        <v>0</v>
      </c>
      <c r="K1767" s="3">
        <v>20</v>
      </c>
      <c r="L1767" s="3">
        <v>0</v>
      </c>
      <c r="M1767" s="3">
        <v>30</v>
      </c>
      <c r="N1767" s="3">
        <v>35</v>
      </c>
      <c r="O1767" s="3"/>
      <c r="P1767" s="3"/>
      <c r="Q1767" s="3"/>
    </row>
    <row r="1768" spans="1:17" ht="15" x14ac:dyDescent="0.25">
      <c r="A1768" s="3">
        <f>1761</f>
        <v>1761</v>
      </c>
      <c r="B1768" s="3" t="s">
        <v>1770</v>
      </c>
      <c r="C1768" s="3" t="s">
        <v>10</v>
      </c>
      <c r="D1768" s="3" t="s">
        <v>9</v>
      </c>
      <c r="E1768" s="3">
        <v>22</v>
      </c>
      <c r="F1768" s="3">
        <v>0</v>
      </c>
      <c r="G1768" s="3">
        <v>0</v>
      </c>
      <c r="H1768" s="3">
        <v>18</v>
      </c>
      <c r="I1768" s="3">
        <v>20</v>
      </c>
      <c r="J1768" s="3">
        <v>0</v>
      </c>
      <c r="K1768" s="3">
        <v>26</v>
      </c>
      <c r="L1768" s="3">
        <v>0</v>
      </c>
      <c r="M1768" s="3">
        <v>30</v>
      </c>
      <c r="N1768" s="3">
        <v>35</v>
      </c>
      <c r="O1768" s="3"/>
      <c r="P1768" s="3"/>
      <c r="Q1768" s="3"/>
    </row>
    <row r="1769" spans="1:17" ht="15" x14ac:dyDescent="0.25">
      <c r="A1769" s="3">
        <f>1762</f>
        <v>1762</v>
      </c>
      <c r="B1769" s="3" t="s">
        <v>1771</v>
      </c>
      <c r="C1769" s="3" t="s">
        <v>10</v>
      </c>
      <c r="D1769" s="3" t="s">
        <v>9</v>
      </c>
      <c r="E1769" s="3">
        <v>24</v>
      </c>
      <c r="F1769" s="3">
        <v>0</v>
      </c>
      <c r="G1769" s="3">
        <v>0</v>
      </c>
      <c r="H1769" s="3">
        <v>18</v>
      </c>
      <c r="I1769" s="3">
        <v>17</v>
      </c>
      <c r="J1769" s="3">
        <v>0</v>
      </c>
      <c r="K1769" s="3">
        <v>30</v>
      </c>
      <c r="L1769" s="3">
        <v>0</v>
      </c>
      <c r="M1769" s="3">
        <v>30</v>
      </c>
      <c r="N1769" s="3">
        <v>35</v>
      </c>
      <c r="O1769" s="3"/>
      <c r="P1769" s="3"/>
      <c r="Q1769" s="3"/>
    </row>
    <row r="1770" spans="1:17" ht="15" x14ac:dyDescent="0.25">
      <c r="A1770" s="3">
        <f>1763</f>
        <v>1763</v>
      </c>
      <c r="B1770" s="3" t="s">
        <v>1772</v>
      </c>
      <c r="C1770" s="3" t="s">
        <v>10</v>
      </c>
      <c r="D1770" s="3" t="s">
        <v>9</v>
      </c>
      <c r="E1770" s="3">
        <v>24</v>
      </c>
      <c r="F1770" s="3">
        <v>0</v>
      </c>
      <c r="G1770" s="3">
        <v>0</v>
      </c>
      <c r="H1770" s="3">
        <v>18</v>
      </c>
      <c r="I1770" s="3">
        <v>24</v>
      </c>
      <c r="J1770" s="3">
        <v>0</v>
      </c>
      <c r="K1770" s="3">
        <v>30</v>
      </c>
      <c r="L1770" s="3">
        <v>0</v>
      </c>
      <c r="M1770" s="3">
        <v>30</v>
      </c>
      <c r="N1770" s="3">
        <v>17</v>
      </c>
      <c r="O1770" s="3"/>
      <c r="P1770" s="3"/>
      <c r="Q1770" s="3"/>
    </row>
    <row r="1771" spans="1:17" ht="15" x14ac:dyDescent="0.25">
      <c r="A1771" s="3">
        <f>1764</f>
        <v>1764</v>
      </c>
      <c r="B1771" s="3" t="s">
        <v>1773</v>
      </c>
      <c r="C1771" s="3" t="s">
        <v>10</v>
      </c>
      <c r="D1771" s="3" t="s">
        <v>9</v>
      </c>
      <c r="E1771" s="3">
        <v>18</v>
      </c>
      <c r="F1771" s="3">
        <v>0</v>
      </c>
      <c r="G1771" s="3">
        <v>0</v>
      </c>
      <c r="H1771" s="3">
        <v>18</v>
      </c>
      <c r="I1771" s="3">
        <v>22</v>
      </c>
      <c r="J1771" s="3">
        <v>0</v>
      </c>
      <c r="K1771" s="3">
        <v>28</v>
      </c>
      <c r="L1771" s="3">
        <v>0</v>
      </c>
      <c r="M1771" s="3">
        <v>30</v>
      </c>
      <c r="N1771" s="3">
        <v>30</v>
      </c>
      <c r="O1771" s="3"/>
      <c r="P1771" s="3"/>
      <c r="Q1771" s="3"/>
    </row>
    <row r="1772" spans="1:17" ht="15" x14ac:dyDescent="0.25">
      <c r="A1772" s="3">
        <f>1765</f>
        <v>1765</v>
      </c>
      <c r="B1772" s="3" t="s">
        <v>1774</v>
      </c>
      <c r="C1772" s="3" t="s">
        <v>9</v>
      </c>
      <c r="D1772" s="3" t="s">
        <v>10</v>
      </c>
      <c r="E1772" s="3">
        <v>18</v>
      </c>
      <c r="F1772" s="3">
        <v>0</v>
      </c>
      <c r="G1772" s="3">
        <v>0</v>
      </c>
      <c r="H1772" s="3">
        <v>18</v>
      </c>
      <c r="I1772" s="3">
        <v>22</v>
      </c>
      <c r="J1772" s="3">
        <v>0</v>
      </c>
      <c r="K1772" s="3">
        <v>28</v>
      </c>
      <c r="L1772" s="3">
        <v>0</v>
      </c>
      <c r="M1772" s="3">
        <v>30</v>
      </c>
      <c r="N1772" s="3">
        <v>30</v>
      </c>
      <c r="O1772" s="3"/>
      <c r="P1772" s="3"/>
      <c r="Q1772" s="3"/>
    </row>
    <row r="1773" spans="1:17" ht="15" x14ac:dyDescent="0.25">
      <c r="A1773" s="3">
        <f>1766</f>
        <v>1766</v>
      </c>
      <c r="B1773" s="3" t="s">
        <v>1775</v>
      </c>
      <c r="C1773" s="3" t="s">
        <v>9</v>
      </c>
      <c r="D1773" s="3" t="s">
        <v>10</v>
      </c>
      <c r="E1773" s="3">
        <v>18</v>
      </c>
      <c r="F1773" s="3">
        <v>0</v>
      </c>
      <c r="G1773" s="3">
        <v>0</v>
      </c>
      <c r="H1773" s="3">
        <v>18</v>
      </c>
      <c r="I1773" s="3">
        <v>22</v>
      </c>
      <c r="J1773" s="3">
        <v>0</v>
      </c>
      <c r="K1773" s="3">
        <v>28</v>
      </c>
      <c r="L1773" s="3">
        <v>0</v>
      </c>
      <c r="M1773" s="3">
        <v>30</v>
      </c>
      <c r="N1773" s="3">
        <v>30</v>
      </c>
      <c r="O1773" s="3"/>
      <c r="P1773" s="3"/>
      <c r="Q1773" s="3"/>
    </row>
    <row r="1774" spans="1:17" ht="15" x14ac:dyDescent="0.25">
      <c r="A1774" s="3">
        <f>1767</f>
        <v>1767</v>
      </c>
      <c r="B1774" s="3" t="s">
        <v>1776</v>
      </c>
      <c r="C1774" s="3" t="s">
        <v>10</v>
      </c>
      <c r="D1774" s="3" t="s">
        <v>9</v>
      </c>
      <c r="E1774" s="3">
        <v>18</v>
      </c>
      <c r="F1774" s="3">
        <v>0</v>
      </c>
      <c r="G1774" s="3">
        <v>0</v>
      </c>
      <c r="H1774" s="3">
        <v>18</v>
      </c>
      <c r="I1774" s="3">
        <v>22</v>
      </c>
      <c r="J1774" s="3">
        <v>0</v>
      </c>
      <c r="K1774" s="3">
        <v>28</v>
      </c>
      <c r="L1774" s="3">
        <v>0</v>
      </c>
      <c r="M1774" s="3">
        <v>30</v>
      </c>
      <c r="N1774" s="3">
        <v>30</v>
      </c>
      <c r="O1774" s="3"/>
      <c r="P1774" s="3"/>
      <c r="Q1774" s="3"/>
    </row>
    <row r="1775" spans="1:17" ht="15" x14ac:dyDescent="0.25">
      <c r="A1775" s="3">
        <f>1768</f>
        <v>1768</v>
      </c>
      <c r="B1775" s="3" t="s">
        <v>1777</v>
      </c>
      <c r="C1775" s="3" t="s">
        <v>10</v>
      </c>
      <c r="D1775" s="3" t="s">
        <v>9</v>
      </c>
      <c r="E1775" s="3">
        <v>18</v>
      </c>
      <c r="F1775" s="3">
        <v>0</v>
      </c>
      <c r="G1775" s="3">
        <v>0</v>
      </c>
      <c r="H1775" s="3">
        <v>18</v>
      </c>
      <c r="I1775" s="3">
        <v>22</v>
      </c>
      <c r="J1775" s="3">
        <v>0</v>
      </c>
      <c r="K1775" s="3">
        <v>28</v>
      </c>
      <c r="L1775" s="3">
        <v>0</v>
      </c>
      <c r="M1775" s="3">
        <v>30</v>
      </c>
      <c r="N1775" s="3">
        <v>30</v>
      </c>
      <c r="O1775" s="3"/>
      <c r="P1775" s="3"/>
      <c r="Q1775" s="3"/>
    </row>
    <row r="1776" spans="1:17" ht="15" x14ac:dyDescent="0.25">
      <c r="A1776" s="3">
        <f>1769</f>
        <v>1769</v>
      </c>
      <c r="B1776" s="3" t="s">
        <v>1778</v>
      </c>
      <c r="C1776" s="3" t="s">
        <v>10</v>
      </c>
      <c r="D1776" s="3" t="s">
        <v>9</v>
      </c>
      <c r="E1776" s="3">
        <v>18</v>
      </c>
      <c r="F1776" s="3">
        <v>0</v>
      </c>
      <c r="G1776" s="3">
        <v>0</v>
      </c>
      <c r="H1776" s="3">
        <v>18</v>
      </c>
      <c r="I1776" s="3">
        <v>22</v>
      </c>
      <c r="J1776" s="3">
        <v>0</v>
      </c>
      <c r="K1776" s="3">
        <v>28</v>
      </c>
      <c r="L1776" s="3">
        <v>0</v>
      </c>
      <c r="M1776" s="3">
        <v>30</v>
      </c>
      <c r="N1776" s="3">
        <v>30</v>
      </c>
      <c r="O1776" s="3"/>
      <c r="P1776" s="3"/>
      <c r="Q1776" s="3"/>
    </row>
    <row r="1777" spans="1:17" ht="15" x14ac:dyDescent="0.25">
      <c r="A1777" s="3">
        <f>1770</f>
        <v>1770</v>
      </c>
      <c r="B1777" s="3" t="s">
        <v>1779</v>
      </c>
      <c r="C1777" s="3" t="s">
        <v>10</v>
      </c>
      <c r="D1777" s="3" t="s">
        <v>9</v>
      </c>
      <c r="E1777" s="3">
        <v>18</v>
      </c>
      <c r="F1777" s="3">
        <v>0</v>
      </c>
      <c r="G1777" s="3">
        <v>0</v>
      </c>
      <c r="H1777" s="3">
        <v>18</v>
      </c>
      <c r="I1777" s="3">
        <v>22</v>
      </c>
      <c r="J1777" s="3">
        <v>0</v>
      </c>
      <c r="K1777" s="3">
        <v>28</v>
      </c>
      <c r="L1777" s="3">
        <v>0</v>
      </c>
      <c r="M1777" s="3">
        <v>30</v>
      </c>
      <c r="N1777" s="3">
        <v>30</v>
      </c>
      <c r="O1777" s="3"/>
      <c r="P1777" s="3"/>
      <c r="Q1777" s="3"/>
    </row>
    <row r="1778" spans="1:17" ht="15" x14ac:dyDescent="0.25">
      <c r="A1778" s="3">
        <f>1771</f>
        <v>1771</v>
      </c>
      <c r="B1778" s="3" t="s">
        <v>1780</v>
      </c>
      <c r="C1778" s="3" t="s">
        <v>10</v>
      </c>
      <c r="D1778" s="3" t="s">
        <v>9</v>
      </c>
      <c r="E1778" s="3">
        <v>18</v>
      </c>
      <c r="F1778" s="3">
        <v>0</v>
      </c>
      <c r="G1778" s="3">
        <v>0</v>
      </c>
      <c r="H1778" s="3">
        <v>18</v>
      </c>
      <c r="I1778" s="3">
        <v>22</v>
      </c>
      <c r="J1778" s="3">
        <v>0</v>
      </c>
      <c r="K1778" s="3">
        <v>28</v>
      </c>
      <c r="L1778" s="3">
        <v>0</v>
      </c>
      <c r="M1778" s="3">
        <v>30</v>
      </c>
      <c r="N1778" s="3">
        <v>30</v>
      </c>
      <c r="O1778" s="3"/>
      <c r="P1778" s="3"/>
      <c r="Q1778" s="3"/>
    </row>
    <row r="1779" spans="1:17" ht="15" x14ac:dyDescent="0.25">
      <c r="A1779" s="3">
        <f>1772</f>
        <v>1772</v>
      </c>
      <c r="B1779" s="3" t="s">
        <v>1781</v>
      </c>
      <c r="C1779" s="3" t="s">
        <v>10</v>
      </c>
      <c r="D1779" s="3" t="s">
        <v>9</v>
      </c>
      <c r="E1779" s="3">
        <v>18</v>
      </c>
      <c r="F1779" s="3">
        <v>0</v>
      </c>
      <c r="G1779" s="3">
        <v>0</v>
      </c>
      <c r="H1779" s="3">
        <v>18</v>
      </c>
      <c r="I1779" s="3">
        <v>22</v>
      </c>
      <c r="J1779" s="3">
        <v>0</v>
      </c>
      <c r="K1779" s="3">
        <v>28</v>
      </c>
      <c r="L1779" s="3">
        <v>0</v>
      </c>
      <c r="M1779" s="3">
        <v>30</v>
      </c>
      <c r="N1779" s="3">
        <v>30</v>
      </c>
      <c r="O1779" s="3"/>
      <c r="P1779" s="3"/>
      <c r="Q1779" s="3"/>
    </row>
    <row r="1780" spans="1:17" ht="15" x14ac:dyDescent="0.25">
      <c r="A1780" s="3">
        <f>1773</f>
        <v>1773</v>
      </c>
      <c r="B1780" s="3" t="s">
        <v>1782</v>
      </c>
      <c r="C1780" s="3" t="s">
        <v>10</v>
      </c>
      <c r="D1780" s="3" t="s">
        <v>9</v>
      </c>
      <c r="E1780" s="3">
        <v>18</v>
      </c>
      <c r="F1780" s="3">
        <v>0</v>
      </c>
      <c r="G1780" s="3">
        <v>0</v>
      </c>
      <c r="H1780" s="3">
        <v>18</v>
      </c>
      <c r="I1780" s="3">
        <v>22</v>
      </c>
      <c r="J1780" s="3">
        <v>0</v>
      </c>
      <c r="K1780" s="3">
        <v>28</v>
      </c>
      <c r="L1780" s="3">
        <v>0</v>
      </c>
      <c r="M1780" s="3">
        <v>30</v>
      </c>
      <c r="N1780" s="3">
        <v>30</v>
      </c>
      <c r="O1780" s="3"/>
      <c r="P1780" s="3"/>
      <c r="Q1780" s="3"/>
    </row>
    <row r="1781" spans="1:17" ht="15" x14ac:dyDescent="0.25">
      <c r="A1781" s="3">
        <f>1774</f>
        <v>1774</v>
      </c>
      <c r="B1781" s="3" t="s">
        <v>1783</v>
      </c>
      <c r="C1781" s="3" t="s">
        <v>10</v>
      </c>
      <c r="D1781" s="3" t="s">
        <v>9</v>
      </c>
      <c r="E1781" s="3">
        <v>18</v>
      </c>
      <c r="F1781" s="3">
        <v>0</v>
      </c>
      <c r="G1781" s="3">
        <v>0</v>
      </c>
      <c r="H1781" s="3">
        <v>18</v>
      </c>
      <c r="I1781" s="3">
        <v>22</v>
      </c>
      <c r="J1781" s="3">
        <v>0</v>
      </c>
      <c r="K1781" s="3">
        <v>28</v>
      </c>
      <c r="L1781" s="3">
        <v>0</v>
      </c>
      <c r="M1781" s="3">
        <v>30</v>
      </c>
      <c r="N1781" s="3">
        <v>30</v>
      </c>
      <c r="O1781" s="3"/>
      <c r="P1781" s="3"/>
      <c r="Q1781" s="3"/>
    </row>
    <row r="1782" spans="1:17" ht="15" x14ac:dyDescent="0.25">
      <c r="A1782" s="3">
        <f>1775</f>
        <v>1775</v>
      </c>
      <c r="B1782" s="3" t="s">
        <v>1784</v>
      </c>
      <c r="C1782" s="3" t="s">
        <v>10</v>
      </c>
      <c r="D1782" s="3" t="s">
        <v>9</v>
      </c>
      <c r="E1782" s="3">
        <v>18</v>
      </c>
      <c r="F1782" s="3">
        <v>0</v>
      </c>
      <c r="G1782" s="3">
        <v>0</v>
      </c>
      <c r="H1782" s="3">
        <v>18</v>
      </c>
      <c r="I1782" s="3">
        <v>22</v>
      </c>
      <c r="J1782" s="3">
        <v>0</v>
      </c>
      <c r="K1782" s="3">
        <v>28</v>
      </c>
      <c r="L1782" s="3">
        <v>0</v>
      </c>
      <c r="M1782" s="3">
        <v>30</v>
      </c>
      <c r="N1782" s="3">
        <v>30</v>
      </c>
      <c r="O1782" s="3"/>
      <c r="P1782" s="3"/>
      <c r="Q1782" s="3"/>
    </row>
    <row r="1783" spans="1:17" ht="15" x14ac:dyDescent="0.25">
      <c r="A1783" s="3">
        <f>1776</f>
        <v>1776</v>
      </c>
      <c r="B1783" s="3" t="s">
        <v>1785</v>
      </c>
      <c r="C1783" s="3" t="s">
        <v>10</v>
      </c>
      <c r="D1783" s="3" t="s">
        <v>9</v>
      </c>
      <c r="E1783" s="3">
        <v>18</v>
      </c>
      <c r="F1783" s="3">
        <v>0</v>
      </c>
      <c r="G1783" s="3">
        <v>0</v>
      </c>
      <c r="H1783" s="3">
        <v>18</v>
      </c>
      <c r="I1783" s="3">
        <v>22</v>
      </c>
      <c r="J1783" s="3">
        <v>0</v>
      </c>
      <c r="K1783" s="3">
        <v>28</v>
      </c>
      <c r="L1783" s="3">
        <v>0</v>
      </c>
      <c r="M1783" s="3">
        <v>30</v>
      </c>
      <c r="N1783" s="3">
        <v>30</v>
      </c>
      <c r="O1783" s="3"/>
      <c r="P1783" s="3"/>
      <c r="Q1783" s="3"/>
    </row>
    <row r="1784" spans="1:17" ht="15" x14ac:dyDescent="0.25">
      <c r="A1784" s="3">
        <f>1777</f>
        <v>1777</v>
      </c>
      <c r="B1784" s="3" t="s">
        <v>1786</v>
      </c>
      <c r="C1784" s="3" t="s">
        <v>10</v>
      </c>
      <c r="D1784" s="3" t="s">
        <v>9</v>
      </c>
      <c r="E1784" s="3">
        <v>18</v>
      </c>
      <c r="F1784" s="3">
        <v>0</v>
      </c>
      <c r="G1784" s="3">
        <v>0</v>
      </c>
      <c r="H1784" s="3">
        <v>18</v>
      </c>
      <c r="I1784" s="3">
        <v>22</v>
      </c>
      <c r="J1784" s="3">
        <v>0</v>
      </c>
      <c r="K1784" s="3">
        <v>28</v>
      </c>
      <c r="L1784" s="3">
        <v>0</v>
      </c>
      <c r="M1784" s="3">
        <v>30</v>
      </c>
      <c r="N1784" s="3">
        <v>30</v>
      </c>
      <c r="O1784" s="3"/>
      <c r="P1784" s="3"/>
      <c r="Q1784" s="3"/>
    </row>
    <row r="1785" spans="1:17" ht="15" x14ac:dyDescent="0.25">
      <c r="A1785" s="3">
        <f>1778</f>
        <v>1778</v>
      </c>
      <c r="B1785" s="3" t="s">
        <v>1787</v>
      </c>
      <c r="C1785" s="3" t="s">
        <v>10</v>
      </c>
      <c r="D1785" s="3" t="s">
        <v>9</v>
      </c>
      <c r="E1785" s="3">
        <v>18</v>
      </c>
      <c r="F1785" s="3">
        <v>0</v>
      </c>
      <c r="G1785" s="3">
        <v>0</v>
      </c>
      <c r="H1785" s="3">
        <v>18</v>
      </c>
      <c r="I1785" s="3">
        <v>22</v>
      </c>
      <c r="J1785" s="3">
        <v>0</v>
      </c>
      <c r="K1785" s="3">
        <v>28</v>
      </c>
      <c r="L1785" s="3">
        <v>0</v>
      </c>
      <c r="M1785" s="3">
        <v>30</v>
      </c>
      <c r="N1785" s="3">
        <v>30</v>
      </c>
      <c r="O1785" s="3"/>
      <c r="P1785" s="3"/>
      <c r="Q1785" s="3"/>
    </row>
    <row r="1786" spans="1:17" ht="15" x14ac:dyDescent="0.25">
      <c r="A1786" s="3">
        <f>1779</f>
        <v>1779</v>
      </c>
      <c r="B1786" s="3" t="s">
        <v>1788</v>
      </c>
      <c r="C1786" s="3" t="s">
        <v>10</v>
      </c>
      <c r="D1786" s="3" t="s">
        <v>9</v>
      </c>
      <c r="E1786" s="3">
        <v>18</v>
      </c>
      <c r="F1786" s="3">
        <v>0</v>
      </c>
      <c r="G1786" s="3">
        <v>0</v>
      </c>
      <c r="H1786" s="3">
        <v>18</v>
      </c>
      <c r="I1786" s="3">
        <v>22</v>
      </c>
      <c r="J1786" s="3">
        <v>0</v>
      </c>
      <c r="K1786" s="3">
        <v>28</v>
      </c>
      <c r="L1786" s="3">
        <v>0</v>
      </c>
      <c r="M1786" s="3">
        <v>30</v>
      </c>
      <c r="N1786" s="3">
        <v>30</v>
      </c>
      <c r="O1786" s="3"/>
      <c r="P1786" s="3"/>
      <c r="Q1786" s="3"/>
    </row>
    <row r="1787" spans="1:17" ht="15" x14ac:dyDescent="0.25">
      <c r="A1787" s="3">
        <f>1780</f>
        <v>1780</v>
      </c>
      <c r="B1787" s="3" t="s">
        <v>1789</v>
      </c>
      <c r="C1787" s="3" t="s">
        <v>10</v>
      </c>
      <c r="D1787" s="3" t="s">
        <v>9</v>
      </c>
      <c r="E1787" s="3">
        <v>18</v>
      </c>
      <c r="F1787" s="3">
        <v>0</v>
      </c>
      <c r="G1787" s="3">
        <v>0</v>
      </c>
      <c r="H1787" s="3">
        <v>18</v>
      </c>
      <c r="I1787" s="3">
        <v>22</v>
      </c>
      <c r="J1787" s="3">
        <v>0</v>
      </c>
      <c r="K1787" s="3">
        <v>28</v>
      </c>
      <c r="L1787" s="3">
        <v>0</v>
      </c>
      <c r="M1787" s="3">
        <v>30</v>
      </c>
      <c r="N1787" s="3">
        <v>30</v>
      </c>
      <c r="O1787" s="3"/>
      <c r="P1787" s="3"/>
      <c r="Q1787" s="3"/>
    </row>
    <row r="1788" spans="1:17" ht="15" x14ac:dyDescent="0.25">
      <c r="A1788" s="3">
        <f>1781</f>
        <v>1781</v>
      </c>
      <c r="B1788" s="3" t="s">
        <v>1790</v>
      </c>
      <c r="C1788" s="3" t="s">
        <v>10</v>
      </c>
      <c r="D1788" s="3" t="s">
        <v>9</v>
      </c>
      <c r="E1788" s="3">
        <v>18</v>
      </c>
      <c r="F1788" s="3">
        <v>0</v>
      </c>
      <c r="G1788" s="3">
        <v>0</v>
      </c>
      <c r="H1788" s="3">
        <v>18</v>
      </c>
      <c r="I1788" s="3">
        <v>22</v>
      </c>
      <c r="J1788" s="3">
        <v>0</v>
      </c>
      <c r="K1788" s="3">
        <v>28</v>
      </c>
      <c r="L1788" s="3">
        <v>0</v>
      </c>
      <c r="M1788" s="3">
        <v>30</v>
      </c>
      <c r="N1788" s="3">
        <v>30</v>
      </c>
      <c r="O1788" s="3"/>
      <c r="P1788" s="3"/>
      <c r="Q1788" s="3"/>
    </row>
    <row r="1789" spans="1:17" ht="15" x14ac:dyDescent="0.25">
      <c r="A1789" s="3">
        <f>1782</f>
        <v>1782</v>
      </c>
      <c r="B1789" s="3" t="s">
        <v>1791</v>
      </c>
      <c r="C1789" s="3" t="s">
        <v>10</v>
      </c>
      <c r="D1789" s="3" t="s">
        <v>9</v>
      </c>
      <c r="E1789" s="3">
        <v>18</v>
      </c>
      <c r="F1789" s="3">
        <v>0</v>
      </c>
      <c r="G1789" s="3">
        <v>0</v>
      </c>
      <c r="H1789" s="3">
        <v>18</v>
      </c>
      <c r="I1789" s="3">
        <v>22</v>
      </c>
      <c r="J1789" s="3">
        <v>0</v>
      </c>
      <c r="K1789" s="3">
        <v>28</v>
      </c>
      <c r="L1789" s="3">
        <v>0</v>
      </c>
      <c r="M1789" s="3">
        <v>30</v>
      </c>
      <c r="N1789" s="3">
        <v>30</v>
      </c>
      <c r="O1789" s="3"/>
      <c r="P1789" s="3"/>
      <c r="Q1789" s="3"/>
    </row>
    <row r="1790" spans="1:17" ht="15" x14ac:dyDescent="0.25">
      <c r="A1790" s="3">
        <f>1783</f>
        <v>1783</v>
      </c>
      <c r="B1790" s="3" t="s">
        <v>1792</v>
      </c>
      <c r="C1790" s="3" t="s">
        <v>10</v>
      </c>
      <c r="D1790" s="3" t="s">
        <v>9</v>
      </c>
      <c r="E1790" s="3">
        <v>18</v>
      </c>
      <c r="F1790" s="3">
        <v>0</v>
      </c>
      <c r="G1790" s="3">
        <v>0</v>
      </c>
      <c r="H1790" s="3">
        <v>18</v>
      </c>
      <c r="I1790" s="3">
        <v>22</v>
      </c>
      <c r="J1790" s="3">
        <v>0</v>
      </c>
      <c r="K1790" s="3">
        <v>28</v>
      </c>
      <c r="L1790" s="3">
        <v>0</v>
      </c>
      <c r="M1790" s="3">
        <v>30</v>
      </c>
      <c r="N1790" s="3">
        <v>30</v>
      </c>
      <c r="O1790" s="3"/>
      <c r="P1790" s="3"/>
      <c r="Q1790" s="3"/>
    </row>
    <row r="1791" spans="1:17" ht="15" x14ac:dyDescent="0.25">
      <c r="A1791" s="3">
        <f>1784</f>
        <v>1784</v>
      </c>
      <c r="B1791" s="3" t="s">
        <v>1793</v>
      </c>
      <c r="C1791" s="3" t="s">
        <v>10</v>
      </c>
      <c r="D1791" s="3" t="s">
        <v>9</v>
      </c>
      <c r="E1791" s="3">
        <v>18</v>
      </c>
      <c r="F1791" s="3">
        <v>0</v>
      </c>
      <c r="G1791" s="3">
        <v>0</v>
      </c>
      <c r="H1791" s="3">
        <v>18</v>
      </c>
      <c r="I1791" s="3">
        <v>22</v>
      </c>
      <c r="J1791" s="3">
        <v>0</v>
      </c>
      <c r="K1791" s="3">
        <v>28</v>
      </c>
      <c r="L1791" s="3">
        <v>0</v>
      </c>
      <c r="M1791" s="3">
        <v>30</v>
      </c>
      <c r="N1791" s="3">
        <v>30</v>
      </c>
      <c r="O1791" s="3"/>
      <c r="P1791" s="3"/>
      <c r="Q1791" s="3"/>
    </row>
    <row r="1792" spans="1:17" ht="15" x14ac:dyDescent="0.25">
      <c r="A1792" s="3">
        <f>1785</f>
        <v>1785</v>
      </c>
      <c r="B1792" s="3" t="s">
        <v>1794</v>
      </c>
      <c r="C1792" s="3" t="s">
        <v>10</v>
      </c>
      <c r="D1792" s="3" t="s">
        <v>9</v>
      </c>
      <c r="E1792" s="3">
        <v>18</v>
      </c>
      <c r="F1792" s="3">
        <v>0</v>
      </c>
      <c r="G1792" s="3">
        <v>0</v>
      </c>
      <c r="H1792" s="3">
        <v>18</v>
      </c>
      <c r="I1792" s="3">
        <v>22</v>
      </c>
      <c r="J1792" s="3">
        <v>0</v>
      </c>
      <c r="K1792" s="3">
        <v>28</v>
      </c>
      <c r="L1792" s="3">
        <v>0</v>
      </c>
      <c r="M1792" s="3">
        <v>30</v>
      </c>
      <c r="N1792" s="3">
        <v>30</v>
      </c>
      <c r="O1792" s="3"/>
      <c r="P1792" s="3"/>
      <c r="Q1792" s="3"/>
    </row>
    <row r="1793" spans="1:17" ht="15" x14ac:dyDescent="0.25">
      <c r="A1793" s="3">
        <f>1786</f>
        <v>1786</v>
      </c>
      <c r="B1793" s="3" t="s">
        <v>1795</v>
      </c>
      <c r="C1793" s="3" t="s">
        <v>10</v>
      </c>
      <c r="D1793" s="3" t="s">
        <v>9</v>
      </c>
      <c r="E1793" s="3">
        <v>18</v>
      </c>
      <c r="F1793" s="3">
        <v>0</v>
      </c>
      <c r="G1793" s="3">
        <v>0</v>
      </c>
      <c r="H1793" s="3">
        <v>18</v>
      </c>
      <c r="I1793" s="3">
        <v>22</v>
      </c>
      <c r="J1793" s="3">
        <v>0</v>
      </c>
      <c r="K1793" s="3">
        <v>28</v>
      </c>
      <c r="L1793" s="3">
        <v>0</v>
      </c>
      <c r="M1793" s="3">
        <v>30</v>
      </c>
      <c r="N1793" s="3">
        <v>30</v>
      </c>
      <c r="O1793" s="3"/>
      <c r="P1793" s="3"/>
      <c r="Q1793" s="3"/>
    </row>
    <row r="1794" spans="1:17" ht="15" x14ac:dyDescent="0.25">
      <c r="A1794" s="3">
        <f>1787</f>
        <v>1787</v>
      </c>
      <c r="B1794" s="3" t="s">
        <v>1796</v>
      </c>
      <c r="C1794" s="3" t="s">
        <v>10</v>
      </c>
      <c r="D1794" s="3" t="s">
        <v>9</v>
      </c>
      <c r="E1794" s="3">
        <v>18</v>
      </c>
      <c r="F1794" s="3">
        <v>0</v>
      </c>
      <c r="G1794" s="3">
        <v>0</v>
      </c>
      <c r="H1794" s="3">
        <v>18</v>
      </c>
      <c r="I1794" s="3">
        <v>22</v>
      </c>
      <c r="J1794" s="3">
        <v>0</v>
      </c>
      <c r="K1794" s="3">
        <v>28</v>
      </c>
      <c r="L1794" s="3">
        <v>0</v>
      </c>
      <c r="M1794" s="3">
        <v>30</v>
      </c>
      <c r="N1794" s="3">
        <v>30</v>
      </c>
      <c r="O1794" s="3"/>
      <c r="P1794" s="3"/>
      <c r="Q1794" s="3"/>
    </row>
    <row r="1795" spans="1:17" ht="15" x14ac:dyDescent="0.25">
      <c r="A1795" s="3">
        <f>1788</f>
        <v>1788</v>
      </c>
      <c r="B1795" s="3" t="s">
        <v>1797</v>
      </c>
      <c r="C1795" s="3" t="s">
        <v>10</v>
      </c>
      <c r="D1795" s="3" t="s">
        <v>9</v>
      </c>
      <c r="E1795" s="3">
        <v>18</v>
      </c>
      <c r="F1795" s="3">
        <v>0</v>
      </c>
      <c r="G1795" s="3">
        <v>0</v>
      </c>
      <c r="H1795" s="3">
        <v>18</v>
      </c>
      <c r="I1795" s="3">
        <v>22</v>
      </c>
      <c r="J1795" s="3">
        <v>0</v>
      </c>
      <c r="K1795" s="3">
        <v>28</v>
      </c>
      <c r="L1795" s="3">
        <v>0</v>
      </c>
      <c r="M1795" s="3">
        <v>30</v>
      </c>
      <c r="N1795" s="3">
        <v>30</v>
      </c>
      <c r="O1795" s="3"/>
      <c r="P1795" s="3"/>
      <c r="Q1795" s="3"/>
    </row>
    <row r="1796" spans="1:17" ht="15" x14ac:dyDescent="0.25">
      <c r="A1796" s="3">
        <f>1789</f>
        <v>1789</v>
      </c>
      <c r="B1796" s="3" t="s">
        <v>1798</v>
      </c>
      <c r="C1796" s="3" t="s">
        <v>10</v>
      </c>
      <c r="D1796" s="3" t="s">
        <v>9</v>
      </c>
      <c r="E1796" s="3">
        <v>18</v>
      </c>
      <c r="F1796" s="3">
        <v>0</v>
      </c>
      <c r="G1796" s="3">
        <v>0</v>
      </c>
      <c r="H1796" s="3">
        <v>18</v>
      </c>
      <c r="I1796" s="3">
        <v>22</v>
      </c>
      <c r="J1796" s="3">
        <v>0</v>
      </c>
      <c r="K1796" s="3">
        <v>28</v>
      </c>
      <c r="L1796" s="3">
        <v>0</v>
      </c>
      <c r="M1796" s="3">
        <v>30</v>
      </c>
      <c r="N1796" s="3">
        <v>30</v>
      </c>
      <c r="O1796" s="3"/>
      <c r="P1796" s="3"/>
      <c r="Q1796" s="3"/>
    </row>
    <row r="1797" spans="1:17" ht="15" x14ac:dyDescent="0.25">
      <c r="A1797" s="3">
        <f>1790</f>
        <v>1790</v>
      </c>
      <c r="B1797" s="3" t="s">
        <v>1799</v>
      </c>
      <c r="C1797" s="3" t="s">
        <v>10</v>
      </c>
      <c r="D1797" s="3" t="s">
        <v>9</v>
      </c>
      <c r="E1797" s="3">
        <v>18</v>
      </c>
      <c r="F1797" s="3">
        <v>0</v>
      </c>
      <c r="G1797" s="3">
        <v>0</v>
      </c>
      <c r="H1797" s="3">
        <v>18</v>
      </c>
      <c r="I1797" s="3">
        <v>22</v>
      </c>
      <c r="J1797" s="3">
        <v>0</v>
      </c>
      <c r="K1797" s="3">
        <v>28</v>
      </c>
      <c r="L1797" s="3">
        <v>0</v>
      </c>
      <c r="M1797" s="3">
        <v>30</v>
      </c>
      <c r="N1797" s="3">
        <v>30</v>
      </c>
      <c r="O1797" s="3"/>
      <c r="P1797" s="3"/>
      <c r="Q1797" s="3"/>
    </row>
    <row r="1798" spans="1:17" ht="15" x14ac:dyDescent="0.25">
      <c r="A1798" s="3">
        <f>1791</f>
        <v>1791</v>
      </c>
      <c r="B1798" s="3" t="s">
        <v>1800</v>
      </c>
      <c r="C1798" s="3" t="s">
        <v>10</v>
      </c>
      <c r="D1798" s="3" t="s">
        <v>9</v>
      </c>
      <c r="E1798" s="3">
        <v>18</v>
      </c>
      <c r="F1798" s="3">
        <v>0</v>
      </c>
      <c r="G1798" s="3">
        <v>0</v>
      </c>
      <c r="H1798" s="3">
        <v>18</v>
      </c>
      <c r="I1798" s="3">
        <v>22</v>
      </c>
      <c r="J1798" s="3">
        <v>0</v>
      </c>
      <c r="K1798" s="3">
        <v>28</v>
      </c>
      <c r="L1798" s="3">
        <v>0</v>
      </c>
      <c r="M1798" s="3">
        <v>30</v>
      </c>
      <c r="N1798" s="3">
        <v>30</v>
      </c>
      <c r="O1798" s="3"/>
      <c r="P1798" s="3"/>
      <c r="Q1798" s="3"/>
    </row>
    <row r="1799" spans="1:17" ht="15" x14ac:dyDescent="0.25">
      <c r="A1799" s="3">
        <f>1792</f>
        <v>1792</v>
      </c>
      <c r="B1799" s="3" t="s">
        <v>1801</v>
      </c>
      <c r="C1799" s="3" t="s">
        <v>10</v>
      </c>
      <c r="D1799" s="3" t="s">
        <v>9</v>
      </c>
      <c r="E1799" s="3">
        <v>18</v>
      </c>
      <c r="F1799" s="3">
        <v>0</v>
      </c>
      <c r="G1799" s="3">
        <v>0</v>
      </c>
      <c r="H1799" s="3">
        <v>18</v>
      </c>
      <c r="I1799" s="3">
        <v>22</v>
      </c>
      <c r="J1799" s="3">
        <v>0</v>
      </c>
      <c r="K1799" s="3">
        <v>28</v>
      </c>
      <c r="L1799" s="3">
        <v>0</v>
      </c>
      <c r="M1799" s="3">
        <v>30</v>
      </c>
      <c r="N1799" s="3">
        <v>30</v>
      </c>
      <c r="O1799" s="3"/>
      <c r="P1799" s="3"/>
      <c r="Q1799" s="3"/>
    </row>
    <row r="1800" spans="1:17" ht="15" x14ac:dyDescent="0.25">
      <c r="A1800" s="3">
        <f>1793</f>
        <v>1793</v>
      </c>
      <c r="B1800" s="3" t="s">
        <v>1802</v>
      </c>
      <c r="C1800" s="3" t="s">
        <v>10</v>
      </c>
      <c r="D1800" s="3" t="s">
        <v>9</v>
      </c>
      <c r="E1800" s="3">
        <v>18</v>
      </c>
      <c r="F1800" s="3">
        <v>0</v>
      </c>
      <c r="G1800" s="3">
        <v>0</v>
      </c>
      <c r="H1800" s="3">
        <v>18</v>
      </c>
      <c r="I1800" s="3">
        <v>22</v>
      </c>
      <c r="J1800" s="3">
        <v>0</v>
      </c>
      <c r="K1800" s="3">
        <v>28</v>
      </c>
      <c r="L1800" s="3">
        <v>0</v>
      </c>
      <c r="M1800" s="3">
        <v>30</v>
      </c>
      <c r="N1800" s="3">
        <v>30</v>
      </c>
      <c r="O1800" s="3"/>
      <c r="P1800" s="3"/>
      <c r="Q1800" s="3"/>
    </row>
    <row r="1801" spans="1:17" ht="15" x14ac:dyDescent="0.25">
      <c r="A1801" s="3">
        <f>1794</f>
        <v>1794</v>
      </c>
      <c r="B1801" s="3" t="s">
        <v>1803</v>
      </c>
      <c r="C1801" s="3" t="s">
        <v>10</v>
      </c>
      <c r="D1801" s="3" t="s">
        <v>9</v>
      </c>
      <c r="E1801" s="3">
        <v>18</v>
      </c>
      <c r="F1801" s="3">
        <v>0</v>
      </c>
      <c r="G1801" s="3">
        <v>0</v>
      </c>
      <c r="H1801" s="3">
        <v>18</v>
      </c>
      <c r="I1801" s="3">
        <v>22</v>
      </c>
      <c r="J1801" s="3">
        <v>0</v>
      </c>
      <c r="K1801" s="3">
        <v>28</v>
      </c>
      <c r="L1801" s="3">
        <v>0</v>
      </c>
      <c r="M1801" s="3">
        <v>30</v>
      </c>
      <c r="N1801" s="3">
        <v>30</v>
      </c>
      <c r="O1801" s="3"/>
      <c r="P1801" s="3"/>
      <c r="Q1801" s="3"/>
    </row>
    <row r="1802" spans="1:17" ht="15" x14ac:dyDescent="0.25">
      <c r="A1802" s="3">
        <f>1795</f>
        <v>1795</v>
      </c>
      <c r="B1802" s="3" t="s">
        <v>1804</v>
      </c>
      <c r="C1802" s="3" t="s">
        <v>10</v>
      </c>
      <c r="D1802" s="3" t="s">
        <v>9</v>
      </c>
      <c r="E1802" s="3">
        <v>18</v>
      </c>
      <c r="F1802" s="3">
        <v>0</v>
      </c>
      <c r="G1802" s="3">
        <v>0</v>
      </c>
      <c r="H1802" s="3">
        <v>18</v>
      </c>
      <c r="I1802" s="3">
        <v>22</v>
      </c>
      <c r="J1802" s="3">
        <v>0</v>
      </c>
      <c r="K1802" s="3">
        <v>28</v>
      </c>
      <c r="L1802" s="3">
        <v>0</v>
      </c>
      <c r="M1802" s="3">
        <v>30</v>
      </c>
      <c r="N1802" s="3">
        <v>30</v>
      </c>
      <c r="O1802" s="3"/>
      <c r="P1802" s="3"/>
      <c r="Q1802" s="3"/>
    </row>
    <row r="1803" spans="1:17" ht="15" x14ac:dyDescent="0.25">
      <c r="A1803" s="3">
        <f>1796</f>
        <v>1796</v>
      </c>
      <c r="B1803" s="3" t="s">
        <v>1805</v>
      </c>
      <c r="C1803" s="3" t="s">
        <v>10</v>
      </c>
      <c r="D1803" s="3" t="s">
        <v>9</v>
      </c>
      <c r="E1803" s="3">
        <v>18</v>
      </c>
      <c r="F1803" s="3">
        <v>0</v>
      </c>
      <c r="G1803" s="3">
        <v>0</v>
      </c>
      <c r="H1803" s="3">
        <v>18</v>
      </c>
      <c r="I1803" s="3">
        <v>22</v>
      </c>
      <c r="J1803" s="3">
        <v>0</v>
      </c>
      <c r="K1803" s="3">
        <v>28</v>
      </c>
      <c r="L1803" s="3">
        <v>0</v>
      </c>
      <c r="M1803" s="3">
        <v>30</v>
      </c>
      <c r="N1803" s="3">
        <v>30</v>
      </c>
      <c r="O1803" s="3"/>
      <c r="P1803" s="3"/>
      <c r="Q1803" s="3"/>
    </row>
    <row r="1804" spans="1:17" ht="15" x14ac:dyDescent="0.25">
      <c r="A1804" s="3">
        <f>1797</f>
        <v>1797</v>
      </c>
      <c r="B1804" s="3" t="s">
        <v>1806</v>
      </c>
      <c r="C1804" s="3" t="s">
        <v>10</v>
      </c>
      <c r="D1804" s="3" t="s">
        <v>9</v>
      </c>
      <c r="E1804" s="3">
        <v>18</v>
      </c>
      <c r="F1804" s="3">
        <v>0</v>
      </c>
      <c r="G1804" s="3">
        <v>0</v>
      </c>
      <c r="H1804" s="3">
        <v>18</v>
      </c>
      <c r="I1804" s="3">
        <v>22</v>
      </c>
      <c r="J1804" s="3">
        <v>0</v>
      </c>
      <c r="K1804" s="3">
        <v>28</v>
      </c>
      <c r="L1804" s="3">
        <v>0</v>
      </c>
      <c r="M1804" s="3">
        <v>30</v>
      </c>
      <c r="N1804" s="3">
        <v>30</v>
      </c>
      <c r="O1804" s="3"/>
      <c r="P1804" s="3"/>
      <c r="Q1804" s="3"/>
    </row>
    <row r="1805" spans="1:17" ht="15" x14ac:dyDescent="0.25">
      <c r="A1805" s="3">
        <f>1798</f>
        <v>1798</v>
      </c>
      <c r="B1805" s="3" t="s">
        <v>1807</v>
      </c>
      <c r="C1805" s="3" t="s">
        <v>10</v>
      </c>
      <c r="D1805" s="3" t="s">
        <v>9</v>
      </c>
      <c r="E1805" s="3">
        <v>18</v>
      </c>
      <c r="F1805" s="3">
        <v>0</v>
      </c>
      <c r="G1805" s="3">
        <v>0</v>
      </c>
      <c r="H1805" s="3">
        <v>18</v>
      </c>
      <c r="I1805" s="3">
        <v>22</v>
      </c>
      <c r="J1805" s="3">
        <v>0</v>
      </c>
      <c r="K1805" s="3">
        <v>28</v>
      </c>
      <c r="L1805" s="3">
        <v>0</v>
      </c>
      <c r="M1805" s="3">
        <v>30</v>
      </c>
      <c r="N1805" s="3">
        <v>30</v>
      </c>
      <c r="O1805" s="3"/>
      <c r="P1805" s="3"/>
      <c r="Q1805" s="3"/>
    </row>
    <row r="1806" spans="1:17" ht="15" x14ac:dyDescent="0.25">
      <c r="A1806" s="3">
        <f>1799</f>
        <v>1799</v>
      </c>
      <c r="B1806" s="3" t="s">
        <v>1808</v>
      </c>
      <c r="C1806" s="3" t="s">
        <v>10</v>
      </c>
      <c r="D1806" s="3" t="s">
        <v>9</v>
      </c>
      <c r="E1806" s="3">
        <v>18</v>
      </c>
      <c r="F1806" s="3">
        <v>0</v>
      </c>
      <c r="G1806" s="3">
        <v>0</v>
      </c>
      <c r="H1806" s="3">
        <v>18</v>
      </c>
      <c r="I1806" s="3">
        <v>22</v>
      </c>
      <c r="J1806" s="3">
        <v>0</v>
      </c>
      <c r="K1806" s="3">
        <v>28</v>
      </c>
      <c r="L1806" s="3">
        <v>0</v>
      </c>
      <c r="M1806" s="3">
        <v>30</v>
      </c>
      <c r="N1806" s="3">
        <v>30</v>
      </c>
      <c r="O1806" s="3"/>
      <c r="P1806" s="3"/>
      <c r="Q1806" s="3"/>
    </row>
    <row r="1807" spans="1:17" ht="15" x14ac:dyDescent="0.25">
      <c r="A1807" s="3">
        <f>1800</f>
        <v>1800</v>
      </c>
      <c r="B1807" s="3" t="s">
        <v>1809</v>
      </c>
      <c r="C1807" s="3" t="s">
        <v>10</v>
      </c>
      <c r="D1807" s="3" t="s">
        <v>9</v>
      </c>
      <c r="E1807" s="3">
        <v>18</v>
      </c>
      <c r="F1807" s="3">
        <v>0</v>
      </c>
      <c r="G1807" s="3">
        <v>0</v>
      </c>
      <c r="H1807" s="3">
        <v>18</v>
      </c>
      <c r="I1807" s="3">
        <v>22</v>
      </c>
      <c r="J1807" s="3">
        <v>0</v>
      </c>
      <c r="K1807" s="3">
        <v>28</v>
      </c>
      <c r="L1807" s="3">
        <v>0</v>
      </c>
      <c r="M1807" s="3">
        <v>30</v>
      </c>
      <c r="N1807" s="3">
        <v>30</v>
      </c>
      <c r="O1807" s="3"/>
      <c r="P1807" s="3"/>
      <c r="Q1807" s="3"/>
    </row>
    <row r="1808" spans="1:17" ht="15" x14ac:dyDescent="0.25">
      <c r="A1808" s="3">
        <f>1801</f>
        <v>1801</v>
      </c>
      <c r="B1808" s="3" t="s">
        <v>1810</v>
      </c>
      <c r="C1808" s="3" t="s">
        <v>10</v>
      </c>
      <c r="D1808" s="3" t="s">
        <v>9</v>
      </c>
      <c r="E1808" s="3">
        <v>18</v>
      </c>
      <c r="F1808" s="3">
        <v>0</v>
      </c>
      <c r="G1808" s="3">
        <v>0</v>
      </c>
      <c r="H1808" s="3">
        <v>18</v>
      </c>
      <c r="I1808" s="3">
        <v>22</v>
      </c>
      <c r="J1808" s="3">
        <v>0</v>
      </c>
      <c r="K1808" s="3">
        <v>28</v>
      </c>
      <c r="L1808" s="3">
        <v>0</v>
      </c>
      <c r="M1808" s="3">
        <v>30</v>
      </c>
      <c r="N1808" s="3">
        <v>30</v>
      </c>
      <c r="O1808" s="3"/>
      <c r="P1808" s="3"/>
      <c r="Q1808" s="3"/>
    </row>
    <row r="1809" spans="1:17" ht="15" x14ac:dyDescent="0.25">
      <c r="A1809" s="3">
        <f>1802</f>
        <v>1802</v>
      </c>
      <c r="B1809" s="3" t="s">
        <v>1811</v>
      </c>
      <c r="C1809" s="3" t="s">
        <v>10</v>
      </c>
      <c r="D1809" s="3" t="s">
        <v>9</v>
      </c>
      <c r="E1809" s="3">
        <v>18</v>
      </c>
      <c r="F1809" s="3">
        <v>0</v>
      </c>
      <c r="G1809" s="3">
        <v>0</v>
      </c>
      <c r="H1809" s="3">
        <v>18</v>
      </c>
      <c r="I1809" s="3">
        <v>22</v>
      </c>
      <c r="J1809" s="3">
        <v>0</v>
      </c>
      <c r="K1809" s="3">
        <v>28</v>
      </c>
      <c r="L1809" s="3">
        <v>0</v>
      </c>
      <c r="M1809" s="3">
        <v>30</v>
      </c>
      <c r="N1809" s="3">
        <v>30</v>
      </c>
      <c r="O1809" s="3"/>
      <c r="P1809" s="3"/>
      <c r="Q1809" s="3"/>
    </row>
    <row r="1810" spans="1:17" ht="15" x14ac:dyDescent="0.25">
      <c r="A1810" s="3">
        <f>1803</f>
        <v>1803</v>
      </c>
      <c r="B1810" s="3" t="s">
        <v>1812</v>
      </c>
      <c r="C1810" s="3" t="s">
        <v>10</v>
      </c>
      <c r="D1810" s="3" t="s">
        <v>9</v>
      </c>
      <c r="E1810" s="3">
        <v>18</v>
      </c>
      <c r="F1810" s="3">
        <v>0</v>
      </c>
      <c r="G1810" s="3">
        <v>0</v>
      </c>
      <c r="H1810" s="3">
        <v>18</v>
      </c>
      <c r="I1810" s="3">
        <v>22</v>
      </c>
      <c r="J1810" s="3">
        <v>0</v>
      </c>
      <c r="K1810" s="3">
        <v>28</v>
      </c>
      <c r="L1810" s="3">
        <v>0</v>
      </c>
      <c r="M1810" s="3">
        <v>30</v>
      </c>
      <c r="N1810" s="3">
        <v>30</v>
      </c>
      <c r="O1810" s="3"/>
      <c r="P1810" s="3"/>
      <c r="Q1810" s="3"/>
    </row>
    <row r="1811" spans="1:17" ht="15" x14ac:dyDescent="0.25">
      <c r="A1811" s="3">
        <f>1804</f>
        <v>1804</v>
      </c>
      <c r="B1811" s="3" t="s">
        <v>1813</v>
      </c>
      <c r="C1811" s="3" t="s">
        <v>10</v>
      </c>
      <c r="D1811" s="3" t="s">
        <v>9</v>
      </c>
      <c r="E1811" s="3">
        <v>18</v>
      </c>
      <c r="F1811" s="3">
        <v>0</v>
      </c>
      <c r="G1811" s="3">
        <v>0</v>
      </c>
      <c r="H1811" s="3">
        <v>18</v>
      </c>
      <c r="I1811" s="3">
        <v>22</v>
      </c>
      <c r="J1811" s="3">
        <v>0</v>
      </c>
      <c r="K1811" s="3">
        <v>28</v>
      </c>
      <c r="L1811" s="3">
        <v>0</v>
      </c>
      <c r="M1811" s="3">
        <v>30</v>
      </c>
      <c r="N1811" s="3">
        <v>30</v>
      </c>
      <c r="O1811" s="3"/>
      <c r="P1811" s="3"/>
      <c r="Q1811" s="3"/>
    </row>
    <row r="1812" spans="1:17" ht="15" x14ac:dyDescent="0.25">
      <c r="A1812" s="3">
        <f>1805</f>
        <v>1805</v>
      </c>
      <c r="B1812" s="3" t="s">
        <v>1814</v>
      </c>
      <c r="C1812" s="3" t="s">
        <v>10</v>
      </c>
      <c r="D1812" s="3" t="s">
        <v>9</v>
      </c>
      <c r="E1812" s="3">
        <v>18</v>
      </c>
      <c r="F1812" s="3">
        <v>0</v>
      </c>
      <c r="G1812" s="3">
        <v>0</v>
      </c>
      <c r="H1812" s="3">
        <v>18</v>
      </c>
      <c r="I1812" s="3">
        <v>22</v>
      </c>
      <c r="J1812" s="3">
        <v>0</v>
      </c>
      <c r="K1812" s="3">
        <v>28</v>
      </c>
      <c r="L1812" s="3">
        <v>0</v>
      </c>
      <c r="M1812" s="3">
        <v>30</v>
      </c>
      <c r="N1812" s="3">
        <v>30</v>
      </c>
      <c r="O1812" s="3"/>
      <c r="P1812" s="3"/>
      <c r="Q1812" s="3"/>
    </row>
    <row r="1813" spans="1:17" ht="15" x14ac:dyDescent="0.25">
      <c r="A1813" s="3">
        <f>1806</f>
        <v>1806</v>
      </c>
      <c r="B1813" s="3" t="s">
        <v>1815</v>
      </c>
      <c r="C1813" s="3" t="s">
        <v>10</v>
      </c>
      <c r="D1813" s="3" t="s">
        <v>9</v>
      </c>
      <c r="E1813" s="3">
        <v>18</v>
      </c>
      <c r="F1813" s="3">
        <v>0</v>
      </c>
      <c r="G1813" s="3">
        <v>0</v>
      </c>
      <c r="H1813" s="3">
        <v>18</v>
      </c>
      <c r="I1813" s="3">
        <v>22</v>
      </c>
      <c r="J1813" s="3">
        <v>0</v>
      </c>
      <c r="K1813" s="3">
        <v>28</v>
      </c>
      <c r="L1813" s="3">
        <v>0</v>
      </c>
      <c r="M1813" s="3">
        <v>30</v>
      </c>
      <c r="N1813" s="3">
        <v>30</v>
      </c>
      <c r="O1813" s="3"/>
      <c r="P1813" s="3"/>
      <c r="Q1813" s="3"/>
    </row>
    <row r="1814" spans="1:17" ht="15" x14ac:dyDescent="0.25">
      <c r="A1814" s="3">
        <f>1807</f>
        <v>1807</v>
      </c>
      <c r="B1814" s="3" t="s">
        <v>1816</v>
      </c>
      <c r="C1814" s="3" t="s">
        <v>10</v>
      </c>
      <c r="D1814" s="3" t="s">
        <v>9</v>
      </c>
      <c r="E1814" s="3">
        <v>18</v>
      </c>
      <c r="F1814" s="3">
        <v>0</v>
      </c>
      <c r="G1814" s="3">
        <v>0</v>
      </c>
      <c r="H1814" s="3">
        <v>18</v>
      </c>
      <c r="I1814" s="3">
        <v>22</v>
      </c>
      <c r="J1814" s="3">
        <v>0</v>
      </c>
      <c r="K1814" s="3">
        <v>28</v>
      </c>
      <c r="L1814" s="3">
        <v>0</v>
      </c>
      <c r="M1814" s="3">
        <v>30</v>
      </c>
      <c r="N1814" s="3">
        <v>30</v>
      </c>
      <c r="O1814" s="3"/>
      <c r="P1814" s="3"/>
      <c r="Q1814" s="3"/>
    </row>
    <row r="1815" spans="1:17" ht="15" x14ac:dyDescent="0.25">
      <c r="A1815" s="3">
        <f>1808</f>
        <v>1808</v>
      </c>
      <c r="B1815" s="3" t="s">
        <v>1817</v>
      </c>
      <c r="C1815" s="3" t="s">
        <v>10</v>
      </c>
      <c r="D1815" s="3" t="s">
        <v>9</v>
      </c>
      <c r="E1815" s="3">
        <v>18</v>
      </c>
      <c r="F1815" s="3">
        <v>0</v>
      </c>
      <c r="G1815" s="3">
        <v>0</v>
      </c>
      <c r="H1815" s="3">
        <v>18</v>
      </c>
      <c r="I1815" s="3">
        <v>22</v>
      </c>
      <c r="J1815" s="3">
        <v>0</v>
      </c>
      <c r="K1815" s="3">
        <v>28</v>
      </c>
      <c r="L1815" s="3">
        <v>0</v>
      </c>
      <c r="M1815" s="3">
        <v>30</v>
      </c>
      <c r="N1815" s="3">
        <v>30</v>
      </c>
      <c r="O1815" s="3"/>
      <c r="P1815" s="3"/>
      <c r="Q1815" s="3"/>
    </row>
    <row r="1816" spans="1:17" ht="15" x14ac:dyDescent="0.25">
      <c r="A1816" s="3">
        <f>1809</f>
        <v>1809</v>
      </c>
      <c r="B1816" s="3" t="s">
        <v>1818</v>
      </c>
      <c r="C1816" s="3" t="s">
        <v>10</v>
      </c>
      <c r="D1816" s="3" t="s">
        <v>9</v>
      </c>
      <c r="E1816" s="3">
        <v>18</v>
      </c>
      <c r="F1816" s="3">
        <v>0</v>
      </c>
      <c r="G1816" s="3">
        <v>0</v>
      </c>
      <c r="H1816" s="3">
        <v>18</v>
      </c>
      <c r="I1816" s="3">
        <v>22</v>
      </c>
      <c r="J1816" s="3">
        <v>0</v>
      </c>
      <c r="K1816" s="3">
        <v>28</v>
      </c>
      <c r="L1816" s="3">
        <v>0</v>
      </c>
      <c r="M1816" s="3">
        <v>30</v>
      </c>
      <c r="N1816" s="3">
        <v>30</v>
      </c>
      <c r="O1816" s="3"/>
      <c r="P1816" s="3"/>
      <c r="Q1816" s="3"/>
    </row>
    <row r="1817" spans="1:17" ht="15" x14ac:dyDescent="0.25">
      <c r="A1817" s="3">
        <f>1810</f>
        <v>1810</v>
      </c>
      <c r="B1817" s="3" t="s">
        <v>1819</v>
      </c>
      <c r="C1817" s="3" t="s">
        <v>10</v>
      </c>
      <c r="D1817" s="3" t="s">
        <v>9</v>
      </c>
      <c r="E1817" s="3">
        <v>18</v>
      </c>
      <c r="F1817" s="3">
        <v>0</v>
      </c>
      <c r="G1817" s="3">
        <v>0</v>
      </c>
      <c r="H1817" s="3">
        <v>18</v>
      </c>
      <c r="I1817" s="3">
        <v>22</v>
      </c>
      <c r="J1817" s="3">
        <v>0</v>
      </c>
      <c r="K1817" s="3">
        <v>28</v>
      </c>
      <c r="L1817" s="3">
        <v>0</v>
      </c>
      <c r="M1817" s="3">
        <v>30</v>
      </c>
      <c r="N1817" s="3">
        <v>30</v>
      </c>
      <c r="O1817" s="3"/>
      <c r="P1817" s="3"/>
      <c r="Q1817" s="3"/>
    </row>
    <row r="1818" spans="1:17" ht="15" x14ac:dyDescent="0.25">
      <c r="A1818" s="3">
        <f>1811</f>
        <v>1811</v>
      </c>
      <c r="B1818" s="3" t="s">
        <v>1820</v>
      </c>
      <c r="C1818" s="3" t="s">
        <v>10</v>
      </c>
      <c r="D1818" s="3" t="s">
        <v>9</v>
      </c>
      <c r="E1818" s="3">
        <v>18</v>
      </c>
      <c r="F1818" s="3">
        <v>0</v>
      </c>
      <c r="G1818" s="3">
        <v>0</v>
      </c>
      <c r="H1818" s="3">
        <v>18</v>
      </c>
      <c r="I1818" s="3">
        <v>22</v>
      </c>
      <c r="J1818" s="3">
        <v>0</v>
      </c>
      <c r="K1818" s="3">
        <v>28</v>
      </c>
      <c r="L1818" s="3">
        <v>0</v>
      </c>
      <c r="M1818" s="3">
        <v>30</v>
      </c>
      <c r="N1818" s="3">
        <v>30</v>
      </c>
      <c r="O1818" s="3"/>
      <c r="P1818" s="3"/>
      <c r="Q1818" s="3"/>
    </row>
    <row r="1819" spans="1:17" ht="15" x14ac:dyDescent="0.25">
      <c r="A1819" s="3">
        <f>1812</f>
        <v>1812</v>
      </c>
      <c r="B1819" s="3" t="s">
        <v>1821</v>
      </c>
      <c r="C1819" s="3" t="s">
        <v>10</v>
      </c>
      <c r="D1819" s="3" t="s">
        <v>9</v>
      </c>
      <c r="E1819" s="3">
        <v>18</v>
      </c>
      <c r="F1819" s="3">
        <v>0</v>
      </c>
      <c r="G1819" s="3">
        <v>0</v>
      </c>
      <c r="H1819" s="3">
        <v>18</v>
      </c>
      <c r="I1819" s="3">
        <v>22</v>
      </c>
      <c r="J1819" s="3">
        <v>0</v>
      </c>
      <c r="K1819" s="3">
        <v>28</v>
      </c>
      <c r="L1819" s="3">
        <v>0</v>
      </c>
      <c r="M1819" s="3">
        <v>30</v>
      </c>
      <c r="N1819" s="3">
        <v>30</v>
      </c>
      <c r="O1819" s="3"/>
      <c r="P1819" s="3"/>
      <c r="Q1819" s="3"/>
    </row>
    <row r="1820" spans="1:17" ht="15" x14ac:dyDescent="0.25">
      <c r="A1820" s="3">
        <f>1813</f>
        <v>1813</v>
      </c>
      <c r="B1820" s="3" t="s">
        <v>1822</v>
      </c>
      <c r="C1820" s="3" t="s">
        <v>10</v>
      </c>
      <c r="D1820" s="3" t="s">
        <v>9</v>
      </c>
      <c r="E1820" s="3">
        <v>18</v>
      </c>
      <c r="F1820" s="3">
        <v>0</v>
      </c>
      <c r="G1820" s="3">
        <v>0</v>
      </c>
      <c r="H1820" s="3">
        <v>18</v>
      </c>
      <c r="I1820" s="3">
        <v>22</v>
      </c>
      <c r="J1820" s="3">
        <v>0</v>
      </c>
      <c r="K1820" s="3">
        <v>28</v>
      </c>
      <c r="L1820" s="3">
        <v>0</v>
      </c>
      <c r="M1820" s="3">
        <v>30</v>
      </c>
      <c r="N1820" s="3">
        <v>30</v>
      </c>
      <c r="O1820" s="3"/>
      <c r="P1820" s="3"/>
      <c r="Q1820" s="3"/>
    </row>
    <row r="1821" spans="1:17" ht="15" x14ac:dyDescent="0.25">
      <c r="A1821" s="3">
        <f>1814</f>
        <v>1814</v>
      </c>
      <c r="B1821" s="3" t="s">
        <v>1823</v>
      </c>
      <c r="C1821" s="3" t="s">
        <v>10</v>
      </c>
      <c r="D1821" s="3" t="s">
        <v>9</v>
      </c>
      <c r="E1821" s="3">
        <v>18</v>
      </c>
      <c r="F1821" s="3">
        <v>0</v>
      </c>
      <c r="G1821" s="3">
        <v>0</v>
      </c>
      <c r="H1821" s="3">
        <v>18</v>
      </c>
      <c r="I1821" s="3">
        <v>22</v>
      </c>
      <c r="J1821" s="3">
        <v>0</v>
      </c>
      <c r="K1821" s="3">
        <v>28</v>
      </c>
      <c r="L1821" s="3">
        <v>0</v>
      </c>
      <c r="M1821" s="3">
        <v>30</v>
      </c>
      <c r="N1821" s="3">
        <v>30</v>
      </c>
      <c r="O1821" s="3"/>
      <c r="P1821" s="3"/>
      <c r="Q1821" s="3"/>
    </row>
    <row r="1822" spans="1:17" ht="15" x14ac:dyDescent="0.25">
      <c r="A1822" s="3">
        <f>1815</f>
        <v>1815</v>
      </c>
      <c r="B1822" s="3" t="s">
        <v>1824</v>
      </c>
      <c r="C1822" s="3" t="s">
        <v>10</v>
      </c>
      <c r="D1822" s="3" t="s">
        <v>9</v>
      </c>
      <c r="E1822" s="3">
        <v>18</v>
      </c>
      <c r="F1822" s="3">
        <v>0</v>
      </c>
      <c r="G1822" s="3">
        <v>0</v>
      </c>
      <c r="H1822" s="3">
        <v>18</v>
      </c>
      <c r="I1822" s="3">
        <v>22</v>
      </c>
      <c r="J1822" s="3">
        <v>0</v>
      </c>
      <c r="K1822" s="3">
        <v>28</v>
      </c>
      <c r="L1822" s="3">
        <v>0</v>
      </c>
      <c r="M1822" s="3">
        <v>30</v>
      </c>
      <c r="N1822" s="3">
        <v>30</v>
      </c>
      <c r="O1822" s="3"/>
      <c r="P1822" s="3"/>
      <c r="Q1822" s="3"/>
    </row>
    <row r="1823" spans="1:17" ht="15" x14ac:dyDescent="0.25">
      <c r="A1823" s="3">
        <f>1816</f>
        <v>1816</v>
      </c>
      <c r="B1823" s="3" t="s">
        <v>1825</v>
      </c>
      <c r="C1823" s="3" t="s">
        <v>10</v>
      </c>
      <c r="D1823" s="3" t="s">
        <v>9</v>
      </c>
      <c r="E1823" s="3">
        <v>18</v>
      </c>
      <c r="F1823" s="3">
        <v>0</v>
      </c>
      <c r="G1823" s="3">
        <v>0</v>
      </c>
      <c r="H1823" s="3">
        <v>18</v>
      </c>
      <c r="I1823" s="3">
        <v>22</v>
      </c>
      <c r="J1823" s="3">
        <v>0</v>
      </c>
      <c r="K1823" s="3">
        <v>28</v>
      </c>
      <c r="L1823" s="3">
        <v>0</v>
      </c>
      <c r="M1823" s="3">
        <v>30</v>
      </c>
      <c r="N1823" s="3">
        <v>30</v>
      </c>
      <c r="O1823" s="3"/>
      <c r="P1823" s="3"/>
      <c r="Q1823" s="3"/>
    </row>
    <row r="1824" spans="1:17" ht="15" x14ac:dyDescent="0.25">
      <c r="A1824" s="3">
        <f>1817</f>
        <v>1817</v>
      </c>
      <c r="B1824" s="3" t="s">
        <v>1826</v>
      </c>
      <c r="C1824" s="3" t="s">
        <v>10</v>
      </c>
      <c r="D1824" s="3" t="s">
        <v>9</v>
      </c>
      <c r="E1824" s="3">
        <v>18</v>
      </c>
      <c r="F1824" s="3">
        <v>0</v>
      </c>
      <c r="G1824" s="3">
        <v>0</v>
      </c>
      <c r="H1824" s="3">
        <v>18</v>
      </c>
      <c r="I1824" s="3">
        <v>22</v>
      </c>
      <c r="J1824" s="3">
        <v>0</v>
      </c>
      <c r="K1824" s="3">
        <v>28</v>
      </c>
      <c r="L1824" s="3">
        <v>0</v>
      </c>
      <c r="M1824" s="3">
        <v>30</v>
      </c>
      <c r="N1824" s="3">
        <v>30</v>
      </c>
      <c r="O1824" s="3"/>
      <c r="P1824" s="3"/>
      <c r="Q1824" s="3"/>
    </row>
    <row r="1825" spans="1:17" ht="15" x14ac:dyDescent="0.25">
      <c r="A1825" s="3">
        <f>1818</f>
        <v>1818</v>
      </c>
      <c r="B1825" s="3" t="s">
        <v>1827</v>
      </c>
      <c r="C1825" s="3" t="s">
        <v>10</v>
      </c>
      <c r="D1825" s="3" t="s">
        <v>9</v>
      </c>
      <c r="E1825" s="3">
        <v>18</v>
      </c>
      <c r="F1825" s="3">
        <v>0</v>
      </c>
      <c r="G1825" s="3">
        <v>0</v>
      </c>
      <c r="H1825" s="3">
        <v>18</v>
      </c>
      <c r="I1825" s="3">
        <v>22</v>
      </c>
      <c r="J1825" s="3">
        <v>0</v>
      </c>
      <c r="K1825" s="3">
        <v>28</v>
      </c>
      <c r="L1825" s="3">
        <v>0</v>
      </c>
      <c r="M1825" s="3">
        <v>30</v>
      </c>
      <c r="N1825" s="3">
        <v>30</v>
      </c>
      <c r="O1825" s="3"/>
      <c r="P1825" s="3"/>
      <c r="Q1825" s="3"/>
    </row>
    <row r="1826" spans="1:17" ht="15" x14ac:dyDescent="0.25">
      <c r="A1826" s="3">
        <f>1819</f>
        <v>1819</v>
      </c>
      <c r="B1826" s="3" t="s">
        <v>1828</v>
      </c>
      <c r="C1826" s="3" t="s">
        <v>10</v>
      </c>
      <c r="D1826" s="3" t="s">
        <v>9</v>
      </c>
      <c r="E1826" s="3">
        <v>18</v>
      </c>
      <c r="F1826" s="3">
        <v>0</v>
      </c>
      <c r="G1826" s="3">
        <v>0</v>
      </c>
      <c r="H1826" s="3">
        <v>18</v>
      </c>
      <c r="I1826" s="3">
        <v>22</v>
      </c>
      <c r="J1826" s="3">
        <v>0</v>
      </c>
      <c r="K1826" s="3">
        <v>28</v>
      </c>
      <c r="L1826" s="3">
        <v>0</v>
      </c>
      <c r="M1826" s="3">
        <v>30</v>
      </c>
      <c r="N1826" s="3">
        <v>30</v>
      </c>
      <c r="O1826" s="3"/>
      <c r="P1826" s="3"/>
      <c r="Q1826" s="3"/>
    </row>
    <row r="1827" spans="1:17" ht="15" x14ac:dyDescent="0.25">
      <c r="A1827" s="3">
        <f>1820</f>
        <v>1820</v>
      </c>
      <c r="B1827" s="3" t="s">
        <v>1829</v>
      </c>
      <c r="C1827" s="3" t="s">
        <v>10</v>
      </c>
      <c r="D1827" s="3" t="s">
        <v>9</v>
      </c>
      <c r="E1827" s="3">
        <v>18</v>
      </c>
      <c r="F1827" s="3">
        <v>0</v>
      </c>
      <c r="G1827" s="3">
        <v>0</v>
      </c>
      <c r="H1827" s="3">
        <v>18</v>
      </c>
      <c r="I1827" s="3">
        <v>22</v>
      </c>
      <c r="J1827" s="3">
        <v>0</v>
      </c>
      <c r="K1827" s="3">
        <v>28</v>
      </c>
      <c r="L1827" s="3">
        <v>0</v>
      </c>
      <c r="M1827" s="3">
        <v>30</v>
      </c>
      <c r="N1827" s="3">
        <v>30</v>
      </c>
      <c r="O1827" s="3"/>
      <c r="P1827" s="3"/>
      <c r="Q1827" s="3"/>
    </row>
    <row r="1828" spans="1:17" ht="15" x14ac:dyDescent="0.25">
      <c r="A1828" s="3">
        <f>1821</f>
        <v>1821</v>
      </c>
      <c r="B1828" s="3" t="s">
        <v>1830</v>
      </c>
      <c r="C1828" s="3" t="s">
        <v>10</v>
      </c>
      <c r="D1828" s="3" t="s">
        <v>9</v>
      </c>
      <c r="E1828" s="3">
        <v>18</v>
      </c>
      <c r="F1828" s="3">
        <v>0</v>
      </c>
      <c r="G1828" s="3">
        <v>0</v>
      </c>
      <c r="H1828" s="3">
        <v>18</v>
      </c>
      <c r="I1828" s="3">
        <v>22</v>
      </c>
      <c r="J1828" s="3">
        <v>0</v>
      </c>
      <c r="K1828" s="3">
        <v>28</v>
      </c>
      <c r="L1828" s="3">
        <v>0</v>
      </c>
      <c r="M1828" s="3">
        <v>30</v>
      </c>
      <c r="N1828" s="3">
        <v>30</v>
      </c>
      <c r="O1828" s="3"/>
      <c r="P1828" s="3"/>
      <c r="Q1828" s="3"/>
    </row>
    <row r="1829" spans="1:17" ht="15" x14ac:dyDescent="0.25">
      <c r="A1829" s="3">
        <f>1822</f>
        <v>1822</v>
      </c>
      <c r="B1829" s="3" t="s">
        <v>1831</v>
      </c>
      <c r="C1829" s="3" t="s">
        <v>10</v>
      </c>
      <c r="D1829" s="3" t="s">
        <v>9</v>
      </c>
      <c r="E1829" s="3">
        <v>18</v>
      </c>
      <c r="F1829" s="3">
        <v>0</v>
      </c>
      <c r="G1829" s="3">
        <v>0</v>
      </c>
      <c r="H1829" s="3">
        <v>18</v>
      </c>
      <c r="I1829" s="3">
        <v>22</v>
      </c>
      <c r="J1829" s="3">
        <v>0</v>
      </c>
      <c r="K1829" s="3">
        <v>28</v>
      </c>
      <c r="L1829" s="3">
        <v>0</v>
      </c>
      <c r="M1829" s="3">
        <v>30</v>
      </c>
      <c r="N1829" s="3">
        <v>30</v>
      </c>
      <c r="O1829" s="3"/>
      <c r="P1829" s="3"/>
      <c r="Q1829" s="3"/>
    </row>
    <row r="1830" spans="1:17" ht="15" x14ac:dyDescent="0.25">
      <c r="A1830" s="3">
        <f>1823</f>
        <v>1823</v>
      </c>
      <c r="B1830" s="3" t="s">
        <v>1832</v>
      </c>
      <c r="C1830" s="3" t="s">
        <v>10</v>
      </c>
      <c r="D1830" s="3" t="s">
        <v>9</v>
      </c>
      <c r="E1830" s="3">
        <v>18</v>
      </c>
      <c r="F1830" s="3">
        <v>0</v>
      </c>
      <c r="G1830" s="3">
        <v>0</v>
      </c>
      <c r="H1830" s="3">
        <v>18</v>
      </c>
      <c r="I1830" s="3">
        <v>22</v>
      </c>
      <c r="J1830" s="3">
        <v>0</v>
      </c>
      <c r="K1830" s="3">
        <v>28</v>
      </c>
      <c r="L1830" s="3">
        <v>0</v>
      </c>
      <c r="M1830" s="3">
        <v>30</v>
      </c>
      <c r="N1830" s="3">
        <v>30</v>
      </c>
      <c r="O1830" s="3"/>
      <c r="P1830" s="3"/>
      <c r="Q1830" s="3"/>
    </row>
    <row r="1831" spans="1:17" ht="15" x14ac:dyDescent="0.25">
      <c r="A1831" s="3">
        <f>1824</f>
        <v>1824</v>
      </c>
      <c r="B1831" s="3" t="s">
        <v>1833</v>
      </c>
      <c r="C1831" s="3" t="s">
        <v>10</v>
      </c>
      <c r="D1831" s="3" t="s">
        <v>9</v>
      </c>
      <c r="E1831" s="3">
        <v>18</v>
      </c>
      <c r="F1831" s="3">
        <v>0</v>
      </c>
      <c r="G1831" s="3">
        <v>0</v>
      </c>
      <c r="H1831" s="3">
        <v>18</v>
      </c>
      <c r="I1831" s="3">
        <v>22</v>
      </c>
      <c r="J1831" s="3">
        <v>0</v>
      </c>
      <c r="K1831" s="3">
        <v>28</v>
      </c>
      <c r="L1831" s="3">
        <v>0</v>
      </c>
      <c r="M1831" s="3">
        <v>30</v>
      </c>
      <c r="N1831" s="3">
        <v>30</v>
      </c>
      <c r="O1831" s="3"/>
      <c r="P1831" s="3"/>
      <c r="Q1831" s="3"/>
    </row>
    <row r="1832" spans="1:17" ht="15" x14ac:dyDescent="0.25">
      <c r="A1832" s="3">
        <f>1825</f>
        <v>1825</v>
      </c>
      <c r="B1832" s="3" t="s">
        <v>1834</v>
      </c>
      <c r="C1832" s="3" t="s">
        <v>10</v>
      </c>
      <c r="D1832" s="3" t="s">
        <v>9</v>
      </c>
      <c r="E1832" s="3">
        <v>22</v>
      </c>
      <c r="F1832" s="3">
        <v>0</v>
      </c>
      <c r="G1832" s="3">
        <v>0</v>
      </c>
      <c r="H1832" s="3">
        <v>18</v>
      </c>
      <c r="I1832" s="3">
        <v>28</v>
      </c>
      <c r="J1832" s="3">
        <v>0</v>
      </c>
      <c r="K1832" s="3">
        <v>15</v>
      </c>
      <c r="L1832" s="3">
        <v>0</v>
      </c>
      <c r="M1832" s="3">
        <v>30</v>
      </c>
      <c r="N1832" s="3">
        <v>17</v>
      </c>
      <c r="O1832" s="3"/>
      <c r="P1832" s="3"/>
      <c r="Q1832" s="3"/>
    </row>
    <row r="1833" spans="1:17" ht="15" x14ac:dyDescent="0.25">
      <c r="A1833" s="3">
        <f>1826</f>
        <v>1826</v>
      </c>
      <c r="B1833" s="3" t="s">
        <v>1835</v>
      </c>
      <c r="C1833" s="3" t="s">
        <v>10</v>
      </c>
      <c r="D1833" s="3" t="s">
        <v>9</v>
      </c>
      <c r="E1833" s="3">
        <v>22</v>
      </c>
      <c r="F1833" s="3">
        <v>0</v>
      </c>
      <c r="G1833" s="3">
        <v>0</v>
      </c>
      <c r="H1833" s="3">
        <v>18</v>
      </c>
      <c r="I1833" s="3">
        <v>28</v>
      </c>
      <c r="J1833" s="3">
        <v>0</v>
      </c>
      <c r="K1833" s="3">
        <v>15</v>
      </c>
      <c r="L1833" s="3">
        <v>0</v>
      </c>
      <c r="M1833" s="3">
        <v>30</v>
      </c>
      <c r="N1833" s="3">
        <v>17</v>
      </c>
      <c r="O1833" s="3"/>
      <c r="P1833" s="3"/>
      <c r="Q1833" s="3"/>
    </row>
    <row r="1834" spans="1:17" ht="15" x14ac:dyDescent="0.25">
      <c r="A1834" s="3">
        <f>1827</f>
        <v>1827</v>
      </c>
      <c r="B1834" s="3" t="s">
        <v>1836</v>
      </c>
      <c r="C1834" s="3" t="s">
        <v>10</v>
      </c>
      <c r="D1834" s="3" t="s">
        <v>9</v>
      </c>
      <c r="E1834" s="3">
        <v>22</v>
      </c>
      <c r="F1834" s="3">
        <v>0</v>
      </c>
      <c r="G1834" s="3">
        <v>0</v>
      </c>
      <c r="H1834" s="3">
        <v>18</v>
      </c>
      <c r="I1834" s="3">
        <v>28</v>
      </c>
      <c r="J1834" s="3">
        <v>0</v>
      </c>
      <c r="K1834" s="3">
        <v>15</v>
      </c>
      <c r="L1834" s="3">
        <v>0</v>
      </c>
      <c r="M1834" s="3">
        <v>30</v>
      </c>
      <c r="N1834" s="3">
        <v>17</v>
      </c>
      <c r="O1834" s="3"/>
      <c r="P1834" s="3"/>
      <c r="Q1834" s="3"/>
    </row>
    <row r="1835" spans="1:17" ht="15" x14ac:dyDescent="0.25">
      <c r="A1835" s="3">
        <f>1828</f>
        <v>1828</v>
      </c>
      <c r="B1835" s="3" t="s">
        <v>1837</v>
      </c>
      <c r="C1835" s="3" t="s">
        <v>10</v>
      </c>
      <c r="D1835" s="3" t="s">
        <v>9</v>
      </c>
      <c r="E1835" s="3">
        <v>22</v>
      </c>
      <c r="F1835" s="3">
        <v>0</v>
      </c>
      <c r="G1835" s="3">
        <v>0</v>
      </c>
      <c r="H1835" s="3">
        <v>18</v>
      </c>
      <c r="I1835" s="3">
        <v>28</v>
      </c>
      <c r="J1835" s="3">
        <v>0</v>
      </c>
      <c r="K1835" s="3">
        <v>15</v>
      </c>
      <c r="L1835" s="3">
        <v>0</v>
      </c>
      <c r="M1835" s="3">
        <v>30</v>
      </c>
      <c r="N1835" s="3">
        <v>17</v>
      </c>
      <c r="O1835" s="3"/>
      <c r="P1835" s="3"/>
      <c r="Q1835" s="3"/>
    </row>
    <row r="1836" spans="1:17" ht="15" x14ac:dyDescent="0.25">
      <c r="A1836" s="3">
        <f>1829</f>
        <v>1829</v>
      </c>
      <c r="B1836" s="3" t="s">
        <v>1838</v>
      </c>
      <c r="C1836" s="3" t="s">
        <v>10</v>
      </c>
      <c r="D1836" s="3" t="s">
        <v>9</v>
      </c>
      <c r="E1836" s="3">
        <v>22</v>
      </c>
      <c r="F1836" s="3">
        <v>0</v>
      </c>
      <c r="G1836" s="3">
        <v>0</v>
      </c>
      <c r="H1836" s="3">
        <v>18</v>
      </c>
      <c r="I1836" s="3">
        <v>28</v>
      </c>
      <c r="J1836" s="3">
        <v>0</v>
      </c>
      <c r="K1836" s="3">
        <v>15</v>
      </c>
      <c r="L1836" s="3">
        <v>0</v>
      </c>
      <c r="M1836" s="3">
        <v>30</v>
      </c>
      <c r="N1836" s="3">
        <v>17</v>
      </c>
      <c r="O1836" s="3"/>
      <c r="P1836" s="3"/>
      <c r="Q1836" s="3"/>
    </row>
    <row r="1837" spans="1:17" ht="15" x14ac:dyDescent="0.25">
      <c r="A1837" s="3">
        <f>1830</f>
        <v>1830</v>
      </c>
      <c r="B1837" s="3" t="s">
        <v>1839</v>
      </c>
      <c r="C1837" s="3" t="s">
        <v>10</v>
      </c>
      <c r="D1837" s="3" t="s">
        <v>9</v>
      </c>
      <c r="E1837" s="3">
        <v>22</v>
      </c>
      <c r="F1837" s="3">
        <v>0</v>
      </c>
      <c r="G1837" s="3">
        <v>0</v>
      </c>
      <c r="H1837" s="3">
        <v>18</v>
      </c>
      <c r="I1837" s="3">
        <v>28</v>
      </c>
      <c r="J1837" s="3">
        <v>0</v>
      </c>
      <c r="K1837" s="3">
        <v>15</v>
      </c>
      <c r="L1837" s="3">
        <v>0</v>
      </c>
      <c r="M1837" s="3">
        <v>30</v>
      </c>
      <c r="N1837" s="3">
        <v>17</v>
      </c>
      <c r="O1837" s="3"/>
      <c r="P1837" s="3"/>
      <c r="Q1837" s="3"/>
    </row>
    <row r="1838" spans="1:17" ht="15" x14ac:dyDescent="0.25">
      <c r="A1838" s="3">
        <f>1831</f>
        <v>1831</v>
      </c>
      <c r="B1838" s="3" t="s">
        <v>1840</v>
      </c>
      <c r="C1838" s="3" t="s">
        <v>10</v>
      </c>
      <c r="D1838" s="3" t="s">
        <v>9</v>
      </c>
      <c r="E1838" s="3">
        <v>22</v>
      </c>
      <c r="F1838" s="3">
        <v>0</v>
      </c>
      <c r="G1838" s="3">
        <v>0</v>
      </c>
      <c r="H1838" s="3">
        <v>18</v>
      </c>
      <c r="I1838" s="3">
        <v>28</v>
      </c>
      <c r="J1838" s="3">
        <v>0</v>
      </c>
      <c r="K1838" s="3">
        <v>15</v>
      </c>
      <c r="L1838" s="3">
        <v>0</v>
      </c>
      <c r="M1838" s="3">
        <v>30</v>
      </c>
      <c r="N1838" s="3">
        <v>17</v>
      </c>
      <c r="O1838" s="3"/>
      <c r="P1838" s="3"/>
      <c r="Q1838" s="3"/>
    </row>
    <row r="1839" spans="1:17" ht="15" x14ac:dyDescent="0.25">
      <c r="A1839" s="3">
        <f>1832</f>
        <v>1832</v>
      </c>
      <c r="B1839" s="3" t="s">
        <v>1841</v>
      </c>
      <c r="C1839" s="3" t="s">
        <v>10</v>
      </c>
      <c r="D1839" s="3" t="s">
        <v>9</v>
      </c>
      <c r="E1839" s="3">
        <v>22</v>
      </c>
      <c r="F1839" s="3">
        <v>0</v>
      </c>
      <c r="G1839" s="3">
        <v>0</v>
      </c>
      <c r="H1839" s="3">
        <v>18</v>
      </c>
      <c r="I1839" s="3">
        <v>28</v>
      </c>
      <c r="J1839" s="3">
        <v>0</v>
      </c>
      <c r="K1839" s="3">
        <v>15</v>
      </c>
      <c r="L1839" s="3">
        <v>0</v>
      </c>
      <c r="M1839" s="3">
        <v>30</v>
      </c>
      <c r="N1839" s="3">
        <v>17</v>
      </c>
      <c r="O1839" s="3"/>
      <c r="P1839" s="3"/>
      <c r="Q1839" s="3"/>
    </row>
    <row r="1840" spans="1:17" ht="15" x14ac:dyDescent="0.25">
      <c r="A1840" s="3">
        <f>1833</f>
        <v>1833</v>
      </c>
      <c r="B1840" s="3" t="s">
        <v>1842</v>
      </c>
      <c r="C1840" s="3" t="s">
        <v>10</v>
      </c>
      <c r="D1840" s="3" t="s">
        <v>9</v>
      </c>
      <c r="E1840" s="3">
        <v>22</v>
      </c>
      <c r="F1840" s="3">
        <v>0</v>
      </c>
      <c r="G1840" s="3">
        <v>0</v>
      </c>
      <c r="H1840" s="3">
        <v>18</v>
      </c>
      <c r="I1840" s="3">
        <v>28</v>
      </c>
      <c r="J1840" s="3">
        <v>0</v>
      </c>
      <c r="K1840" s="3">
        <v>15</v>
      </c>
      <c r="L1840" s="3">
        <v>0</v>
      </c>
      <c r="M1840" s="3">
        <v>30</v>
      </c>
      <c r="N1840" s="3">
        <v>17</v>
      </c>
      <c r="O1840" s="3"/>
      <c r="P1840" s="3"/>
      <c r="Q1840" s="3"/>
    </row>
    <row r="1841" spans="1:17" ht="15" x14ac:dyDescent="0.25">
      <c r="A1841" s="3">
        <f>1834</f>
        <v>1834</v>
      </c>
      <c r="B1841" s="3" t="s">
        <v>1843</v>
      </c>
      <c r="C1841" s="3" t="s">
        <v>10</v>
      </c>
      <c r="D1841" s="3" t="s">
        <v>9</v>
      </c>
      <c r="E1841" s="3">
        <v>22</v>
      </c>
      <c r="F1841" s="3">
        <v>0</v>
      </c>
      <c r="G1841" s="3">
        <v>0</v>
      </c>
      <c r="H1841" s="3">
        <v>18</v>
      </c>
      <c r="I1841" s="3">
        <v>28</v>
      </c>
      <c r="J1841" s="3">
        <v>0</v>
      </c>
      <c r="K1841" s="3">
        <v>15</v>
      </c>
      <c r="L1841" s="3">
        <v>0</v>
      </c>
      <c r="M1841" s="3">
        <v>30</v>
      </c>
      <c r="N1841" s="3">
        <v>17</v>
      </c>
      <c r="O1841" s="3"/>
      <c r="P1841" s="3"/>
      <c r="Q1841" s="3"/>
    </row>
    <row r="1842" spans="1:17" ht="15" x14ac:dyDescent="0.25">
      <c r="A1842" s="3">
        <f>1835</f>
        <v>1835</v>
      </c>
      <c r="B1842" s="3" t="s">
        <v>1844</v>
      </c>
      <c r="C1842" s="3" t="s">
        <v>10</v>
      </c>
      <c r="D1842" s="3" t="s">
        <v>9</v>
      </c>
      <c r="E1842" s="3">
        <v>22</v>
      </c>
      <c r="F1842" s="3">
        <v>0</v>
      </c>
      <c r="G1842" s="3">
        <v>0</v>
      </c>
      <c r="H1842" s="3">
        <v>18</v>
      </c>
      <c r="I1842" s="3">
        <v>28</v>
      </c>
      <c r="J1842" s="3">
        <v>0</v>
      </c>
      <c r="K1842" s="3">
        <v>15</v>
      </c>
      <c r="L1842" s="3">
        <v>0</v>
      </c>
      <c r="M1842" s="3">
        <v>30</v>
      </c>
      <c r="N1842" s="3">
        <v>17</v>
      </c>
      <c r="O1842" s="3"/>
      <c r="P1842" s="3"/>
      <c r="Q1842" s="3"/>
    </row>
    <row r="1843" spans="1:17" ht="15" x14ac:dyDescent="0.25">
      <c r="A1843" s="3">
        <f>1836</f>
        <v>1836</v>
      </c>
      <c r="B1843" s="3" t="s">
        <v>1845</v>
      </c>
      <c r="C1843" s="3" t="s">
        <v>10</v>
      </c>
      <c r="D1843" s="3" t="s">
        <v>9</v>
      </c>
      <c r="E1843" s="3">
        <v>22</v>
      </c>
      <c r="F1843" s="3">
        <v>0</v>
      </c>
      <c r="G1843" s="3">
        <v>0</v>
      </c>
      <c r="H1843" s="3">
        <v>18</v>
      </c>
      <c r="I1843" s="3">
        <v>28</v>
      </c>
      <c r="J1843" s="3">
        <v>0</v>
      </c>
      <c r="K1843" s="3">
        <v>15</v>
      </c>
      <c r="L1843" s="3">
        <v>0</v>
      </c>
      <c r="M1843" s="3">
        <v>30</v>
      </c>
      <c r="N1843" s="3">
        <v>17</v>
      </c>
      <c r="O1843" s="3"/>
      <c r="P1843" s="3"/>
      <c r="Q1843" s="3"/>
    </row>
    <row r="1844" spans="1:17" ht="15" x14ac:dyDescent="0.25">
      <c r="A1844" s="3">
        <f>1837</f>
        <v>1837</v>
      </c>
      <c r="B1844" s="3" t="s">
        <v>1846</v>
      </c>
      <c r="C1844" s="3" t="s">
        <v>10</v>
      </c>
      <c r="D1844" s="3" t="s">
        <v>9</v>
      </c>
      <c r="E1844" s="3">
        <v>22</v>
      </c>
      <c r="F1844" s="3">
        <v>0</v>
      </c>
      <c r="G1844" s="3">
        <v>0</v>
      </c>
      <c r="H1844" s="3">
        <v>18</v>
      </c>
      <c r="I1844" s="3">
        <v>28</v>
      </c>
      <c r="J1844" s="3">
        <v>0</v>
      </c>
      <c r="K1844" s="3">
        <v>15</v>
      </c>
      <c r="L1844" s="3">
        <v>0</v>
      </c>
      <c r="M1844" s="3">
        <v>30</v>
      </c>
      <c r="N1844" s="3">
        <v>17</v>
      </c>
      <c r="O1844" s="3"/>
      <c r="P1844" s="3"/>
      <c r="Q1844" s="3"/>
    </row>
    <row r="1845" spans="1:17" ht="15" x14ac:dyDescent="0.25">
      <c r="A1845" s="3">
        <f>1838</f>
        <v>1838</v>
      </c>
      <c r="B1845" s="3" t="s">
        <v>1847</v>
      </c>
      <c r="C1845" s="3" t="s">
        <v>10</v>
      </c>
      <c r="D1845" s="3" t="s">
        <v>9</v>
      </c>
      <c r="E1845" s="3">
        <v>22</v>
      </c>
      <c r="F1845" s="3">
        <v>0</v>
      </c>
      <c r="G1845" s="3">
        <v>0</v>
      </c>
      <c r="H1845" s="3">
        <v>18</v>
      </c>
      <c r="I1845" s="3">
        <v>28</v>
      </c>
      <c r="J1845" s="3">
        <v>0</v>
      </c>
      <c r="K1845" s="3">
        <v>15</v>
      </c>
      <c r="L1845" s="3">
        <v>0</v>
      </c>
      <c r="M1845" s="3">
        <v>30</v>
      </c>
      <c r="N1845" s="3">
        <v>17</v>
      </c>
      <c r="O1845" s="3"/>
      <c r="P1845" s="3"/>
      <c r="Q1845" s="3"/>
    </row>
    <row r="1846" spans="1:17" ht="15" x14ac:dyDescent="0.25">
      <c r="A1846" s="3">
        <f>1839</f>
        <v>1839</v>
      </c>
      <c r="B1846" s="3" t="s">
        <v>1848</v>
      </c>
      <c r="C1846" s="3" t="s">
        <v>10</v>
      </c>
      <c r="D1846" s="3" t="s">
        <v>9</v>
      </c>
      <c r="E1846" s="3">
        <v>22</v>
      </c>
      <c r="F1846" s="3">
        <v>0</v>
      </c>
      <c r="G1846" s="3">
        <v>0</v>
      </c>
      <c r="H1846" s="3">
        <v>18</v>
      </c>
      <c r="I1846" s="3">
        <v>28</v>
      </c>
      <c r="J1846" s="3">
        <v>0</v>
      </c>
      <c r="K1846" s="3">
        <v>15</v>
      </c>
      <c r="L1846" s="3">
        <v>0</v>
      </c>
      <c r="M1846" s="3">
        <v>30</v>
      </c>
      <c r="N1846" s="3">
        <v>17</v>
      </c>
      <c r="O1846" s="3"/>
      <c r="P1846" s="3"/>
      <c r="Q1846" s="3"/>
    </row>
    <row r="1847" spans="1:17" ht="15" x14ac:dyDescent="0.25">
      <c r="A1847" s="3">
        <f>1840</f>
        <v>1840</v>
      </c>
      <c r="B1847" s="3" t="s">
        <v>1849</v>
      </c>
      <c r="C1847" s="3" t="s">
        <v>10</v>
      </c>
      <c r="D1847" s="3" t="s">
        <v>9</v>
      </c>
      <c r="E1847" s="3">
        <v>22</v>
      </c>
      <c r="F1847" s="3">
        <v>0</v>
      </c>
      <c r="G1847" s="3">
        <v>0</v>
      </c>
      <c r="H1847" s="3">
        <v>18</v>
      </c>
      <c r="I1847" s="3">
        <v>28</v>
      </c>
      <c r="J1847" s="3">
        <v>0</v>
      </c>
      <c r="K1847" s="3">
        <v>15</v>
      </c>
      <c r="L1847" s="3">
        <v>0</v>
      </c>
      <c r="M1847" s="3">
        <v>30</v>
      </c>
      <c r="N1847" s="3">
        <v>17</v>
      </c>
      <c r="O1847" s="3"/>
      <c r="P1847" s="3"/>
      <c r="Q1847" s="3"/>
    </row>
    <row r="1848" spans="1:17" ht="15" x14ac:dyDescent="0.25">
      <c r="A1848" s="3">
        <f>1841</f>
        <v>1841</v>
      </c>
      <c r="B1848" s="3" t="s">
        <v>1850</v>
      </c>
      <c r="C1848" s="3" t="s">
        <v>10</v>
      </c>
      <c r="D1848" s="3" t="s">
        <v>9</v>
      </c>
      <c r="E1848" s="3">
        <v>22</v>
      </c>
      <c r="F1848" s="3">
        <v>0</v>
      </c>
      <c r="G1848" s="3">
        <v>0</v>
      </c>
      <c r="H1848" s="3">
        <v>18</v>
      </c>
      <c r="I1848" s="3">
        <v>28</v>
      </c>
      <c r="J1848" s="3">
        <v>0</v>
      </c>
      <c r="K1848" s="3">
        <v>15</v>
      </c>
      <c r="L1848" s="3">
        <v>0</v>
      </c>
      <c r="M1848" s="3">
        <v>30</v>
      </c>
      <c r="N1848" s="3">
        <v>17</v>
      </c>
      <c r="O1848" s="3"/>
      <c r="P1848" s="3"/>
      <c r="Q1848" s="3"/>
    </row>
    <row r="1849" spans="1:17" ht="15" x14ac:dyDescent="0.25">
      <c r="A1849" s="3">
        <f>1842</f>
        <v>1842</v>
      </c>
      <c r="B1849" s="3" t="s">
        <v>1851</v>
      </c>
      <c r="C1849" s="3" t="s">
        <v>10</v>
      </c>
      <c r="D1849" s="3" t="s">
        <v>9</v>
      </c>
      <c r="E1849" s="3">
        <v>22</v>
      </c>
      <c r="F1849" s="3">
        <v>0</v>
      </c>
      <c r="G1849" s="3">
        <v>0</v>
      </c>
      <c r="H1849" s="3">
        <v>18</v>
      </c>
      <c r="I1849" s="3">
        <v>28</v>
      </c>
      <c r="J1849" s="3">
        <v>0</v>
      </c>
      <c r="K1849" s="3">
        <v>15</v>
      </c>
      <c r="L1849" s="3">
        <v>0</v>
      </c>
      <c r="M1849" s="3">
        <v>30</v>
      </c>
      <c r="N1849" s="3">
        <v>17</v>
      </c>
      <c r="O1849" s="3"/>
      <c r="P1849" s="3"/>
      <c r="Q1849" s="3"/>
    </row>
    <row r="1850" spans="1:17" ht="15" x14ac:dyDescent="0.25">
      <c r="A1850" s="3">
        <f>1843</f>
        <v>1843</v>
      </c>
      <c r="B1850" s="3" t="s">
        <v>1852</v>
      </c>
      <c r="C1850" s="3" t="s">
        <v>10</v>
      </c>
      <c r="D1850" s="3" t="s">
        <v>9</v>
      </c>
      <c r="E1850" s="3">
        <v>22</v>
      </c>
      <c r="F1850" s="3">
        <v>0</v>
      </c>
      <c r="G1850" s="3">
        <v>0</v>
      </c>
      <c r="H1850" s="3">
        <v>18</v>
      </c>
      <c r="I1850" s="3">
        <v>28</v>
      </c>
      <c r="J1850" s="3">
        <v>0</v>
      </c>
      <c r="K1850" s="3">
        <v>15</v>
      </c>
      <c r="L1850" s="3">
        <v>0</v>
      </c>
      <c r="M1850" s="3">
        <v>30</v>
      </c>
      <c r="N1850" s="3">
        <v>17</v>
      </c>
      <c r="O1850" s="3"/>
      <c r="P1850" s="3"/>
      <c r="Q1850" s="3"/>
    </row>
    <row r="1851" spans="1:17" ht="15" x14ac:dyDescent="0.25">
      <c r="A1851" s="3">
        <f>1844</f>
        <v>1844</v>
      </c>
      <c r="B1851" s="3" t="s">
        <v>1853</v>
      </c>
      <c r="C1851" s="3" t="s">
        <v>10</v>
      </c>
      <c r="D1851" s="3" t="s">
        <v>9</v>
      </c>
      <c r="E1851" s="3">
        <v>22</v>
      </c>
      <c r="F1851" s="3">
        <v>0</v>
      </c>
      <c r="G1851" s="3">
        <v>0</v>
      </c>
      <c r="H1851" s="3">
        <v>18</v>
      </c>
      <c r="I1851" s="3">
        <v>28</v>
      </c>
      <c r="J1851" s="3">
        <v>0</v>
      </c>
      <c r="K1851" s="3">
        <v>15</v>
      </c>
      <c r="L1851" s="3">
        <v>0</v>
      </c>
      <c r="M1851" s="3">
        <v>30</v>
      </c>
      <c r="N1851" s="3">
        <v>17</v>
      </c>
      <c r="O1851" s="3"/>
      <c r="P1851" s="3"/>
      <c r="Q1851" s="3"/>
    </row>
    <row r="1852" spans="1:17" ht="15" x14ac:dyDescent="0.25">
      <c r="A1852" s="3">
        <f>1845</f>
        <v>1845</v>
      </c>
      <c r="B1852" s="3" t="s">
        <v>1854</v>
      </c>
      <c r="C1852" s="3" t="s">
        <v>10</v>
      </c>
      <c r="D1852" s="3" t="s">
        <v>9</v>
      </c>
      <c r="E1852" s="3">
        <v>22</v>
      </c>
      <c r="F1852" s="3">
        <v>0</v>
      </c>
      <c r="G1852" s="3">
        <v>0</v>
      </c>
      <c r="H1852" s="3">
        <v>18</v>
      </c>
      <c r="I1852" s="3">
        <v>28</v>
      </c>
      <c r="J1852" s="3">
        <v>0</v>
      </c>
      <c r="K1852" s="3">
        <v>15</v>
      </c>
      <c r="L1852" s="3">
        <v>0</v>
      </c>
      <c r="M1852" s="3">
        <v>30</v>
      </c>
      <c r="N1852" s="3">
        <v>17</v>
      </c>
      <c r="O1852" s="3"/>
      <c r="P1852" s="3"/>
      <c r="Q1852" s="3"/>
    </row>
    <row r="1853" spans="1:17" ht="15" x14ac:dyDescent="0.25">
      <c r="A1853" s="3">
        <f>1846</f>
        <v>1846</v>
      </c>
      <c r="B1853" s="3" t="s">
        <v>1855</v>
      </c>
      <c r="C1853" s="3" t="s">
        <v>10</v>
      </c>
      <c r="D1853" s="3" t="s">
        <v>9</v>
      </c>
      <c r="E1853" s="3">
        <v>22</v>
      </c>
      <c r="F1853" s="3">
        <v>0</v>
      </c>
      <c r="G1853" s="3">
        <v>0</v>
      </c>
      <c r="H1853" s="3">
        <v>18</v>
      </c>
      <c r="I1853" s="3">
        <v>28</v>
      </c>
      <c r="J1853" s="3">
        <v>0</v>
      </c>
      <c r="K1853" s="3">
        <v>15</v>
      </c>
      <c r="L1853" s="3">
        <v>0</v>
      </c>
      <c r="M1853" s="3">
        <v>30</v>
      </c>
      <c r="N1853" s="3">
        <v>17</v>
      </c>
      <c r="O1853" s="3"/>
      <c r="P1853" s="3"/>
      <c r="Q1853" s="3"/>
    </row>
    <row r="1854" spans="1:17" ht="15" x14ac:dyDescent="0.25">
      <c r="A1854" s="3">
        <f>1847</f>
        <v>1847</v>
      </c>
      <c r="B1854" s="3" t="s">
        <v>1856</v>
      </c>
      <c r="C1854" s="3" t="s">
        <v>10</v>
      </c>
      <c r="D1854" s="3" t="s">
        <v>9</v>
      </c>
      <c r="E1854" s="3">
        <v>22</v>
      </c>
      <c r="F1854" s="3">
        <v>0</v>
      </c>
      <c r="G1854" s="3">
        <v>0</v>
      </c>
      <c r="H1854" s="3">
        <v>18</v>
      </c>
      <c r="I1854" s="3">
        <v>28</v>
      </c>
      <c r="J1854" s="3">
        <v>0</v>
      </c>
      <c r="K1854" s="3">
        <v>15</v>
      </c>
      <c r="L1854" s="3">
        <v>0</v>
      </c>
      <c r="M1854" s="3">
        <v>30</v>
      </c>
      <c r="N1854" s="3">
        <v>17</v>
      </c>
      <c r="O1854" s="3"/>
      <c r="P1854" s="3"/>
      <c r="Q1854" s="3"/>
    </row>
    <row r="1855" spans="1:17" ht="15" x14ac:dyDescent="0.25">
      <c r="A1855" s="3">
        <f>1848</f>
        <v>1848</v>
      </c>
      <c r="B1855" s="3" t="s">
        <v>1857</v>
      </c>
      <c r="C1855" s="3" t="s">
        <v>10</v>
      </c>
      <c r="D1855" s="3" t="s">
        <v>9</v>
      </c>
      <c r="E1855" s="3">
        <v>22</v>
      </c>
      <c r="F1855" s="3">
        <v>0</v>
      </c>
      <c r="G1855" s="3">
        <v>0</v>
      </c>
      <c r="H1855" s="3">
        <v>18</v>
      </c>
      <c r="I1855" s="3">
        <v>28</v>
      </c>
      <c r="J1855" s="3">
        <v>0</v>
      </c>
      <c r="K1855" s="3">
        <v>15</v>
      </c>
      <c r="L1855" s="3">
        <v>0</v>
      </c>
      <c r="M1855" s="3">
        <v>30</v>
      </c>
      <c r="N1855" s="3">
        <v>17</v>
      </c>
      <c r="O1855" s="3"/>
      <c r="P1855" s="3"/>
      <c r="Q1855" s="3"/>
    </row>
    <row r="1856" spans="1:17" ht="15" x14ac:dyDescent="0.25">
      <c r="A1856" s="3">
        <f>1849</f>
        <v>1849</v>
      </c>
      <c r="B1856" s="3" t="s">
        <v>1858</v>
      </c>
      <c r="C1856" s="3" t="s">
        <v>10</v>
      </c>
      <c r="D1856" s="3" t="s">
        <v>9</v>
      </c>
      <c r="E1856" s="3">
        <v>22</v>
      </c>
      <c r="F1856" s="3">
        <v>0</v>
      </c>
      <c r="G1856" s="3">
        <v>0</v>
      </c>
      <c r="H1856" s="3">
        <v>18</v>
      </c>
      <c r="I1856" s="3">
        <v>28</v>
      </c>
      <c r="J1856" s="3">
        <v>0</v>
      </c>
      <c r="K1856" s="3">
        <v>15</v>
      </c>
      <c r="L1856" s="3">
        <v>0</v>
      </c>
      <c r="M1856" s="3">
        <v>30</v>
      </c>
      <c r="N1856" s="3">
        <v>17</v>
      </c>
      <c r="O1856" s="3"/>
      <c r="P1856" s="3"/>
      <c r="Q1856" s="3"/>
    </row>
    <row r="1857" spans="1:17" ht="15" x14ac:dyDescent="0.25">
      <c r="A1857" s="3">
        <f>1850</f>
        <v>1850</v>
      </c>
      <c r="B1857" s="3" t="s">
        <v>1859</v>
      </c>
      <c r="C1857" s="3" t="s">
        <v>10</v>
      </c>
      <c r="D1857" s="3" t="s">
        <v>9</v>
      </c>
      <c r="E1857" s="3">
        <v>22</v>
      </c>
      <c r="F1857" s="3">
        <v>0</v>
      </c>
      <c r="G1857" s="3">
        <v>0</v>
      </c>
      <c r="H1857" s="3">
        <v>18</v>
      </c>
      <c r="I1857" s="3">
        <v>28</v>
      </c>
      <c r="J1857" s="3">
        <v>0</v>
      </c>
      <c r="K1857" s="3">
        <v>15</v>
      </c>
      <c r="L1857" s="3">
        <v>0</v>
      </c>
      <c r="M1857" s="3">
        <v>30</v>
      </c>
      <c r="N1857" s="3">
        <v>17</v>
      </c>
      <c r="O1857" s="3"/>
      <c r="P1857" s="3"/>
      <c r="Q1857" s="3"/>
    </row>
    <row r="1858" spans="1:17" ht="15" x14ac:dyDescent="0.25">
      <c r="A1858" s="3">
        <f>1851</f>
        <v>1851</v>
      </c>
      <c r="B1858" s="3" t="s">
        <v>1860</v>
      </c>
      <c r="C1858" s="3" t="s">
        <v>10</v>
      </c>
      <c r="D1858" s="3" t="s">
        <v>9</v>
      </c>
      <c r="E1858" s="3">
        <v>22</v>
      </c>
      <c r="F1858" s="3">
        <v>0</v>
      </c>
      <c r="G1858" s="3">
        <v>0</v>
      </c>
      <c r="H1858" s="3">
        <v>18</v>
      </c>
      <c r="I1858" s="3">
        <v>28</v>
      </c>
      <c r="J1858" s="3">
        <v>0</v>
      </c>
      <c r="K1858" s="3">
        <v>15</v>
      </c>
      <c r="L1858" s="3">
        <v>0</v>
      </c>
      <c r="M1858" s="3">
        <v>30</v>
      </c>
      <c r="N1858" s="3">
        <v>17</v>
      </c>
      <c r="O1858" s="3"/>
      <c r="P1858" s="3"/>
      <c r="Q1858" s="3"/>
    </row>
    <row r="1859" spans="1:17" ht="15" x14ac:dyDescent="0.25">
      <c r="A1859" s="3">
        <f>1852</f>
        <v>1852</v>
      </c>
      <c r="B1859" s="3" t="s">
        <v>1861</v>
      </c>
      <c r="C1859" s="3" t="s">
        <v>10</v>
      </c>
      <c r="D1859" s="3" t="s">
        <v>9</v>
      </c>
      <c r="E1859" s="3">
        <v>22</v>
      </c>
      <c r="F1859" s="3">
        <v>0</v>
      </c>
      <c r="G1859" s="3">
        <v>0</v>
      </c>
      <c r="H1859" s="3">
        <v>18</v>
      </c>
      <c r="I1859" s="3">
        <v>28</v>
      </c>
      <c r="J1859" s="3">
        <v>0</v>
      </c>
      <c r="K1859" s="3">
        <v>15</v>
      </c>
      <c r="L1859" s="3">
        <v>0</v>
      </c>
      <c r="M1859" s="3">
        <v>30</v>
      </c>
      <c r="N1859" s="3">
        <v>17</v>
      </c>
      <c r="O1859" s="3"/>
      <c r="P1859" s="3"/>
      <c r="Q1859" s="3"/>
    </row>
    <row r="1860" spans="1:17" ht="15" x14ac:dyDescent="0.25">
      <c r="A1860" s="3">
        <f>1853</f>
        <v>1853</v>
      </c>
      <c r="B1860" s="3" t="s">
        <v>1862</v>
      </c>
      <c r="C1860" s="3" t="s">
        <v>10</v>
      </c>
      <c r="D1860" s="3" t="s">
        <v>9</v>
      </c>
      <c r="E1860" s="3">
        <v>22</v>
      </c>
      <c r="F1860" s="3">
        <v>0</v>
      </c>
      <c r="G1860" s="3">
        <v>0</v>
      </c>
      <c r="H1860" s="3">
        <v>18</v>
      </c>
      <c r="I1860" s="3">
        <v>28</v>
      </c>
      <c r="J1860" s="3">
        <v>0</v>
      </c>
      <c r="K1860" s="3">
        <v>15</v>
      </c>
      <c r="L1860" s="3">
        <v>0</v>
      </c>
      <c r="M1860" s="3">
        <v>30</v>
      </c>
      <c r="N1860" s="3">
        <v>17</v>
      </c>
      <c r="O1860" s="3"/>
      <c r="P1860" s="3"/>
      <c r="Q1860" s="3"/>
    </row>
    <row r="1861" spans="1:17" ht="15" x14ac:dyDescent="0.25">
      <c r="A1861" s="3">
        <f>1854</f>
        <v>1854</v>
      </c>
      <c r="B1861" s="3" t="s">
        <v>1863</v>
      </c>
      <c r="C1861" s="3" t="s">
        <v>10</v>
      </c>
      <c r="D1861" s="3" t="s">
        <v>9</v>
      </c>
      <c r="E1861" s="3">
        <v>22</v>
      </c>
      <c r="F1861" s="3">
        <v>0</v>
      </c>
      <c r="G1861" s="3">
        <v>0</v>
      </c>
      <c r="H1861" s="3">
        <v>18</v>
      </c>
      <c r="I1861" s="3">
        <v>28</v>
      </c>
      <c r="J1861" s="3">
        <v>0</v>
      </c>
      <c r="K1861" s="3">
        <v>15</v>
      </c>
      <c r="L1861" s="3">
        <v>0</v>
      </c>
      <c r="M1861" s="3">
        <v>30</v>
      </c>
      <c r="N1861" s="3">
        <v>17</v>
      </c>
      <c r="O1861" s="3"/>
      <c r="P1861" s="3"/>
      <c r="Q1861" s="3"/>
    </row>
    <row r="1862" spans="1:17" ht="15" x14ac:dyDescent="0.25">
      <c r="A1862" s="3">
        <f>1855</f>
        <v>1855</v>
      </c>
      <c r="B1862" s="3" t="s">
        <v>1864</v>
      </c>
      <c r="C1862" s="3" t="s">
        <v>10</v>
      </c>
      <c r="D1862" s="3" t="s">
        <v>9</v>
      </c>
      <c r="E1862" s="3">
        <v>22</v>
      </c>
      <c r="F1862" s="3">
        <v>0</v>
      </c>
      <c r="G1862" s="3">
        <v>0</v>
      </c>
      <c r="H1862" s="3">
        <v>18</v>
      </c>
      <c r="I1862" s="3">
        <v>28</v>
      </c>
      <c r="J1862" s="3">
        <v>0</v>
      </c>
      <c r="K1862" s="3">
        <v>15</v>
      </c>
      <c r="L1862" s="3">
        <v>0</v>
      </c>
      <c r="M1862" s="3">
        <v>30</v>
      </c>
      <c r="N1862" s="3">
        <v>17</v>
      </c>
      <c r="O1862" s="3"/>
      <c r="P1862" s="3"/>
      <c r="Q1862" s="3"/>
    </row>
    <row r="1863" spans="1:17" ht="15" x14ac:dyDescent="0.25">
      <c r="A1863" s="3">
        <f>1856</f>
        <v>1856</v>
      </c>
      <c r="B1863" s="3" t="s">
        <v>1865</v>
      </c>
      <c r="C1863" s="3" t="s">
        <v>10</v>
      </c>
      <c r="D1863" s="3" t="s">
        <v>9</v>
      </c>
      <c r="E1863" s="3">
        <v>22</v>
      </c>
      <c r="F1863" s="3">
        <v>0</v>
      </c>
      <c r="G1863" s="3">
        <v>0</v>
      </c>
      <c r="H1863" s="3">
        <v>18</v>
      </c>
      <c r="I1863" s="3">
        <v>28</v>
      </c>
      <c r="J1863" s="3">
        <v>0</v>
      </c>
      <c r="K1863" s="3">
        <v>15</v>
      </c>
      <c r="L1863" s="3">
        <v>0</v>
      </c>
      <c r="M1863" s="3">
        <v>30</v>
      </c>
      <c r="N1863" s="3">
        <v>17</v>
      </c>
      <c r="O1863" s="3"/>
      <c r="P1863" s="3"/>
      <c r="Q1863" s="3"/>
    </row>
    <row r="1864" spans="1:17" ht="15" x14ac:dyDescent="0.25">
      <c r="A1864" s="3">
        <f>1857</f>
        <v>1857</v>
      </c>
      <c r="B1864" s="3" t="s">
        <v>1866</v>
      </c>
      <c r="C1864" s="3" t="s">
        <v>10</v>
      </c>
      <c r="D1864" s="3" t="s">
        <v>9</v>
      </c>
      <c r="E1864" s="3">
        <v>22</v>
      </c>
      <c r="F1864" s="3">
        <v>0</v>
      </c>
      <c r="G1864" s="3">
        <v>0</v>
      </c>
      <c r="H1864" s="3">
        <v>18</v>
      </c>
      <c r="I1864" s="3">
        <v>28</v>
      </c>
      <c r="J1864" s="3">
        <v>0</v>
      </c>
      <c r="K1864" s="3">
        <v>15</v>
      </c>
      <c r="L1864" s="3">
        <v>0</v>
      </c>
      <c r="M1864" s="3">
        <v>30</v>
      </c>
      <c r="N1864" s="3">
        <v>17</v>
      </c>
      <c r="O1864" s="3"/>
      <c r="P1864" s="3"/>
      <c r="Q1864" s="3"/>
    </row>
    <row r="1865" spans="1:17" ht="15" x14ac:dyDescent="0.25">
      <c r="A1865" s="3">
        <f>1858</f>
        <v>1858</v>
      </c>
      <c r="B1865" s="3" t="s">
        <v>1867</v>
      </c>
      <c r="C1865" s="3" t="s">
        <v>10</v>
      </c>
      <c r="D1865" s="3" t="s">
        <v>9</v>
      </c>
      <c r="E1865" s="3">
        <v>22</v>
      </c>
      <c r="F1865" s="3">
        <v>0</v>
      </c>
      <c r="G1865" s="3">
        <v>0</v>
      </c>
      <c r="H1865" s="3">
        <v>18</v>
      </c>
      <c r="I1865" s="3">
        <v>28</v>
      </c>
      <c r="J1865" s="3">
        <v>0</v>
      </c>
      <c r="K1865" s="3">
        <v>15</v>
      </c>
      <c r="L1865" s="3">
        <v>0</v>
      </c>
      <c r="M1865" s="3">
        <v>30</v>
      </c>
      <c r="N1865" s="3">
        <v>17</v>
      </c>
      <c r="O1865" s="3"/>
      <c r="P1865" s="3"/>
      <c r="Q1865" s="3"/>
    </row>
    <row r="1866" spans="1:17" ht="15" x14ac:dyDescent="0.25">
      <c r="A1866" s="3">
        <f>1859</f>
        <v>1859</v>
      </c>
      <c r="B1866" s="3" t="s">
        <v>1868</v>
      </c>
      <c r="C1866" s="3" t="s">
        <v>10</v>
      </c>
      <c r="D1866" s="3" t="s">
        <v>9</v>
      </c>
      <c r="E1866" s="3">
        <v>22</v>
      </c>
      <c r="F1866" s="3">
        <v>0</v>
      </c>
      <c r="G1866" s="3">
        <v>0</v>
      </c>
      <c r="H1866" s="3">
        <v>18</v>
      </c>
      <c r="I1866" s="3">
        <v>28</v>
      </c>
      <c r="J1866" s="3">
        <v>0</v>
      </c>
      <c r="K1866" s="3">
        <v>15</v>
      </c>
      <c r="L1866" s="3">
        <v>0</v>
      </c>
      <c r="M1866" s="3">
        <v>30</v>
      </c>
      <c r="N1866" s="3">
        <v>17</v>
      </c>
      <c r="O1866" s="3"/>
      <c r="P1866" s="3"/>
      <c r="Q1866" s="3"/>
    </row>
    <row r="1867" spans="1:17" ht="15" x14ac:dyDescent="0.25">
      <c r="A1867" s="3">
        <f>1860</f>
        <v>1860</v>
      </c>
      <c r="B1867" s="3" t="s">
        <v>1869</v>
      </c>
      <c r="C1867" s="3" t="s">
        <v>10</v>
      </c>
      <c r="D1867" s="3" t="s">
        <v>9</v>
      </c>
      <c r="E1867" s="3">
        <v>22</v>
      </c>
      <c r="F1867" s="3">
        <v>0</v>
      </c>
      <c r="G1867" s="3">
        <v>0</v>
      </c>
      <c r="H1867" s="3">
        <v>18</v>
      </c>
      <c r="I1867" s="3">
        <v>28</v>
      </c>
      <c r="J1867" s="3">
        <v>0</v>
      </c>
      <c r="K1867" s="3">
        <v>15</v>
      </c>
      <c r="L1867" s="3">
        <v>0</v>
      </c>
      <c r="M1867" s="3">
        <v>30</v>
      </c>
      <c r="N1867" s="3">
        <v>17</v>
      </c>
      <c r="O1867" s="3"/>
      <c r="P1867" s="3"/>
      <c r="Q1867" s="3"/>
    </row>
    <row r="1868" spans="1:17" ht="15" x14ac:dyDescent="0.25">
      <c r="A1868" s="3">
        <f>1861</f>
        <v>1861</v>
      </c>
      <c r="B1868" s="3" t="s">
        <v>1870</v>
      </c>
      <c r="C1868" s="3" t="s">
        <v>10</v>
      </c>
      <c r="D1868" s="3" t="s">
        <v>9</v>
      </c>
      <c r="E1868" s="3">
        <v>22</v>
      </c>
      <c r="F1868" s="3">
        <v>0</v>
      </c>
      <c r="G1868" s="3">
        <v>0</v>
      </c>
      <c r="H1868" s="3">
        <v>18</v>
      </c>
      <c r="I1868" s="3">
        <v>28</v>
      </c>
      <c r="J1868" s="3">
        <v>0</v>
      </c>
      <c r="K1868" s="3">
        <v>15</v>
      </c>
      <c r="L1868" s="3">
        <v>0</v>
      </c>
      <c r="M1868" s="3">
        <v>30</v>
      </c>
      <c r="N1868" s="3">
        <v>17</v>
      </c>
      <c r="O1868" s="3"/>
      <c r="P1868" s="3"/>
      <c r="Q1868" s="3"/>
    </row>
    <row r="1869" spans="1:17" ht="15" x14ac:dyDescent="0.25">
      <c r="A1869" s="3">
        <f>1862</f>
        <v>1862</v>
      </c>
      <c r="B1869" s="3" t="s">
        <v>1871</v>
      </c>
      <c r="C1869" s="3" t="s">
        <v>10</v>
      </c>
      <c r="D1869" s="3" t="s">
        <v>9</v>
      </c>
      <c r="E1869" s="3">
        <v>22</v>
      </c>
      <c r="F1869" s="3">
        <v>0</v>
      </c>
      <c r="G1869" s="3">
        <v>0</v>
      </c>
      <c r="H1869" s="3">
        <v>18</v>
      </c>
      <c r="I1869" s="3">
        <v>28</v>
      </c>
      <c r="J1869" s="3">
        <v>0</v>
      </c>
      <c r="K1869" s="3">
        <v>15</v>
      </c>
      <c r="L1869" s="3">
        <v>0</v>
      </c>
      <c r="M1869" s="3">
        <v>30</v>
      </c>
      <c r="N1869" s="3">
        <v>17</v>
      </c>
      <c r="O1869" s="3"/>
      <c r="P1869" s="3"/>
      <c r="Q1869" s="3"/>
    </row>
    <row r="1870" spans="1:17" ht="15" x14ac:dyDescent="0.25">
      <c r="A1870" s="3">
        <f>1863</f>
        <v>1863</v>
      </c>
      <c r="B1870" s="3" t="s">
        <v>1872</v>
      </c>
      <c r="C1870" s="3" t="s">
        <v>10</v>
      </c>
      <c r="D1870" s="3" t="s">
        <v>9</v>
      </c>
      <c r="E1870" s="3">
        <v>22</v>
      </c>
      <c r="F1870" s="3">
        <v>0</v>
      </c>
      <c r="G1870" s="3">
        <v>0</v>
      </c>
      <c r="H1870" s="3">
        <v>18</v>
      </c>
      <c r="I1870" s="3">
        <v>28</v>
      </c>
      <c r="J1870" s="3">
        <v>0</v>
      </c>
      <c r="K1870" s="3">
        <v>15</v>
      </c>
      <c r="L1870" s="3">
        <v>0</v>
      </c>
      <c r="M1870" s="3">
        <v>30</v>
      </c>
      <c r="N1870" s="3">
        <v>17</v>
      </c>
      <c r="O1870" s="3"/>
      <c r="P1870" s="3"/>
      <c r="Q1870" s="3"/>
    </row>
    <row r="1871" spans="1:17" ht="15" x14ac:dyDescent="0.25">
      <c r="A1871" s="3">
        <f>1864</f>
        <v>1864</v>
      </c>
      <c r="B1871" s="3" t="s">
        <v>1873</v>
      </c>
      <c r="C1871" s="3" t="s">
        <v>10</v>
      </c>
      <c r="D1871" s="3" t="s">
        <v>9</v>
      </c>
      <c r="E1871" s="3">
        <v>22</v>
      </c>
      <c r="F1871" s="3">
        <v>0</v>
      </c>
      <c r="G1871" s="3">
        <v>0</v>
      </c>
      <c r="H1871" s="3">
        <v>18</v>
      </c>
      <c r="I1871" s="3">
        <v>28</v>
      </c>
      <c r="J1871" s="3">
        <v>0</v>
      </c>
      <c r="K1871" s="3">
        <v>15</v>
      </c>
      <c r="L1871" s="3">
        <v>0</v>
      </c>
      <c r="M1871" s="3">
        <v>30</v>
      </c>
      <c r="N1871" s="3">
        <v>17</v>
      </c>
      <c r="O1871" s="3"/>
      <c r="P1871" s="3"/>
      <c r="Q1871" s="3"/>
    </row>
    <row r="1872" spans="1:17" ht="15" x14ac:dyDescent="0.25">
      <c r="A1872" s="3">
        <f>1865</f>
        <v>1865</v>
      </c>
      <c r="B1872" s="3" t="s">
        <v>1874</v>
      </c>
      <c r="C1872" s="3" t="s">
        <v>10</v>
      </c>
      <c r="D1872" s="3" t="s">
        <v>9</v>
      </c>
      <c r="E1872" s="3">
        <v>22</v>
      </c>
      <c r="F1872" s="3">
        <v>0</v>
      </c>
      <c r="G1872" s="3">
        <v>0</v>
      </c>
      <c r="H1872" s="3">
        <v>18</v>
      </c>
      <c r="I1872" s="3">
        <v>28</v>
      </c>
      <c r="J1872" s="3">
        <v>0</v>
      </c>
      <c r="K1872" s="3">
        <v>15</v>
      </c>
      <c r="L1872" s="3">
        <v>0</v>
      </c>
      <c r="M1872" s="3">
        <v>30</v>
      </c>
      <c r="N1872" s="3">
        <v>17</v>
      </c>
      <c r="O1872" s="3"/>
      <c r="P1872" s="3"/>
      <c r="Q1872" s="3"/>
    </row>
    <row r="1873" spans="1:17" ht="15" x14ac:dyDescent="0.25">
      <c r="A1873" s="3">
        <f>1866</f>
        <v>1866</v>
      </c>
      <c r="B1873" s="3" t="s">
        <v>1875</v>
      </c>
      <c r="C1873" s="3" t="s">
        <v>10</v>
      </c>
      <c r="D1873" s="3" t="s">
        <v>9</v>
      </c>
      <c r="E1873" s="3">
        <v>22</v>
      </c>
      <c r="F1873" s="3">
        <v>0</v>
      </c>
      <c r="G1873" s="3">
        <v>0</v>
      </c>
      <c r="H1873" s="3">
        <v>18</v>
      </c>
      <c r="I1873" s="3">
        <v>28</v>
      </c>
      <c r="J1873" s="3">
        <v>0</v>
      </c>
      <c r="K1873" s="3">
        <v>15</v>
      </c>
      <c r="L1873" s="3">
        <v>0</v>
      </c>
      <c r="M1873" s="3">
        <v>30</v>
      </c>
      <c r="N1873" s="3">
        <v>17</v>
      </c>
      <c r="O1873" s="3"/>
      <c r="P1873" s="3"/>
      <c r="Q1873" s="3"/>
    </row>
    <row r="1874" spans="1:17" ht="15" x14ac:dyDescent="0.25">
      <c r="A1874" s="3">
        <f>1867</f>
        <v>1867</v>
      </c>
      <c r="B1874" s="3" t="s">
        <v>1876</v>
      </c>
      <c r="C1874" s="3" t="s">
        <v>10</v>
      </c>
      <c r="D1874" s="3" t="s">
        <v>9</v>
      </c>
      <c r="E1874" s="3">
        <v>22</v>
      </c>
      <c r="F1874" s="3">
        <v>0</v>
      </c>
      <c r="G1874" s="3">
        <v>0</v>
      </c>
      <c r="H1874" s="3">
        <v>18</v>
      </c>
      <c r="I1874" s="3">
        <v>28</v>
      </c>
      <c r="J1874" s="3">
        <v>0</v>
      </c>
      <c r="K1874" s="3">
        <v>15</v>
      </c>
      <c r="L1874" s="3">
        <v>0</v>
      </c>
      <c r="M1874" s="3">
        <v>30</v>
      </c>
      <c r="N1874" s="3">
        <v>17</v>
      </c>
      <c r="O1874" s="3"/>
      <c r="P1874" s="3"/>
      <c r="Q1874" s="3"/>
    </row>
    <row r="1875" spans="1:17" ht="15" x14ac:dyDescent="0.25">
      <c r="A1875" s="3">
        <f>1868</f>
        <v>1868</v>
      </c>
      <c r="B1875" s="3" t="s">
        <v>1877</v>
      </c>
      <c r="C1875" s="3" t="s">
        <v>10</v>
      </c>
      <c r="D1875" s="3" t="s">
        <v>9</v>
      </c>
      <c r="E1875" s="3">
        <v>22</v>
      </c>
      <c r="F1875" s="3">
        <v>0</v>
      </c>
      <c r="G1875" s="3">
        <v>0</v>
      </c>
      <c r="H1875" s="3">
        <v>18</v>
      </c>
      <c r="I1875" s="3">
        <v>28</v>
      </c>
      <c r="J1875" s="3">
        <v>0</v>
      </c>
      <c r="K1875" s="3">
        <v>15</v>
      </c>
      <c r="L1875" s="3">
        <v>0</v>
      </c>
      <c r="M1875" s="3">
        <v>30</v>
      </c>
      <c r="N1875" s="3">
        <v>17</v>
      </c>
      <c r="O1875" s="3"/>
      <c r="P1875" s="3"/>
      <c r="Q1875" s="3"/>
    </row>
    <row r="1876" spans="1:17" ht="15" x14ac:dyDescent="0.25">
      <c r="A1876" s="3">
        <f>1869</f>
        <v>1869</v>
      </c>
      <c r="B1876" s="3" t="s">
        <v>1878</v>
      </c>
      <c r="C1876" s="3" t="s">
        <v>10</v>
      </c>
      <c r="D1876" s="3" t="s">
        <v>9</v>
      </c>
      <c r="E1876" s="3">
        <v>22</v>
      </c>
      <c r="F1876" s="3">
        <v>0</v>
      </c>
      <c r="G1876" s="3">
        <v>0</v>
      </c>
      <c r="H1876" s="3">
        <v>18</v>
      </c>
      <c r="I1876" s="3">
        <v>28</v>
      </c>
      <c r="J1876" s="3">
        <v>0</v>
      </c>
      <c r="K1876" s="3">
        <v>15</v>
      </c>
      <c r="L1876" s="3">
        <v>0</v>
      </c>
      <c r="M1876" s="3">
        <v>30</v>
      </c>
      <c r="N1876" s="3">
        <v>17</v>
      </c>
      <c r="O1876" s="3"/>
      <c r="P1876" s="3"/>
      <c r="Q1876" s="3"/>
    </row>
    <row r="1877" spans="1:17" ht="15" x14ac:dyDescent="0.25">
      <c r="A1877" s="3">
        <f>1870</f>
        <v>1870</v>
      </c>
      <c r="B1877" s="3" t="s">
        <v>1879</v>
      </c>
      <c r="C1877" s="3" t="s">
        <v>10</v>
      </c>
      <c r="D1877" s="3" t="s">
        <v>9</v>
      </c>
      <c r="E1877" s="3">
        <v>22</v>
      </c>
      <c r="F1877" s="3">
        <v>0</v>
      </c>
      <c r="G1877" s="3">
        <v>0</v>
      </c>
      <c r="H1877" s="3">
        <v>18</v>
      </c>
      <c r="I1877" s="3">
        <v>28</v>
      </c>
      <c r="J1877" s="3">
        <v>0</v>
      </c>
      <c r="K1877" s="3">
        <v>15</v>
      </c>
      <c r="L1877" s="3">
        <v>0</v>
      </c>
      <c r="M1877" s="3">
        <v>30</v>
      </c>
      <c r="N1877" s="3">
        <v>17</v>
      </c>
      <c r="O1877" s="3"/>
      <c r="P1877" s="3"/>
      <c r="Q1877" s="3"/>
    </row>
    <row r="1878" spans="1:17" ht="15" x14ac:dyDescent="0.25">
      <c r="A1878" s="3">
        <f>1871</f>
        <v>1871</v>
      </c>
      <c r="B1878" s="3" t="s">
        <v>1880</v>
      </c>
      <c r="C1878" s="3" t="s">
        <v>10</v>
      </c>
      <c r="D1878" s="3" t="s">
        <v>9</v>
      </c>
      <c r="E1878" s="3">
        <v>22</v>
      </c>
      <c r="F1878" s="3">
        <v>0</v>
      </c>
      <c r="G1878" s="3">
        <v>0</v>
      </c>
      <c r="H1878" s="3">
        <v>18</v>
      </c>
      <c r="I1878" s="3">
        <v>28</v>
      </c>
      <c r="J1878" s="3">
        <v>0</v>
      </c>
      <c r="K1878" s="3">
        <v>15</v>
      </c>
      <c r="L1878" s="3">
        <v>0</v>
      </c>
      <c r="M1878" s="3">
        <v>30</v>
      </c>
      <c r="N1878" s="3">
        <v>17</v>
      </c>
      <c r="O1878" s="3"/>
      <c r="P1878" s="3"/>
      <c r="Q1878" s="3"/>
    </row>
    <row r="1879" spans="1:17" ht="15" x14ac:dyDescent="0.25">
      <c r="A1879" s="3">
        <f>1872</f>
        <v>1872</v>
      </c>
      <c r="B1879" s="3" t="s">
        <v>1881</v>
      </c>
      <c r="C1879" s="3" t="s">
        <v>10</v>
      </c>
      <c r="D1879" s="3" t="s">
        <v>9</v>
      </c>
      <c r="E1879" s="3">
        <v>22</v>
      </c>
      <c r="F1879" s="3">
        <v>0</v>
      </c>
      <c r="G1879" s="3">
        <v>0</v>
      </c>
      <c r="H1879" s="3">
        <v>18</v>
      </c>
      <c r="I1879" s="3">
        <v>28</v>
      </c>
      <c r="J1879" s="3">
        <v>0</v>
      </c>
      <c r="K1879" s="3">
        <v>15</v>
      </c>
      <c r="L1879" s="3">
        <v>0</v>
      </c>
      <c r="M1879" s="3">
        <v>30</v>
      </c>
      <c r="N1879" s="3">
        <v>17</v>
      </c>
      <c r="O1879" s="3"/>
      <c r="P1879" s="3"/>
      <c r="Q1879" s="3"/>
    </row>
    <row r="1880" spans="1:17" ht="15" x14ac:dyDescent="0.25">
      <c r="A1880" s="3">
        <f>1873</f>
        <v>1873</v>
      </c>
      <c r="B1880" s="3" t="s">
        <v>1882</v>
      </c>
      <c r="C1880" s="3" t="s">
        <v>10</v>
      </c>
      <c r="D1880" s="3" t="s">
        <v>9</v>
      </c>
      <c r="E1880" s="3">
        <v>22</v>
      </c>
      <c r="F1880" s="3">
        <v>0</v>
      </c>
      <c r="G1880" s="3">
        <v>0</v>
      </c>
      <c r="H1880" s="3">
        <v>18</v>
      </c>
      <c r="I1880" s="3">
        <v>28</v>
      </c>
      <c r="J1880" s="3">
        <v>0</v>
      </c>
      <c r="K1880" s="3">
        <v>15</v>
      </c>
      <c r="L1880" s="3">
        <v>0</v>
      </c>
      <c r="M1880" s="3">
        <v>30</v>
      </c>
      <c r="N1880" s="3">
        <v>17</v>
      </c>
      <c r="O1880" s="3"/>
      <c r="P1880" s="3"/>
      <c r="Q1880" s="3"/>
    </row>
    <row r="1881" spans="1:17" ht="15" x14ac:dyDescent="0.25">
      <c r="A1881" s="3">
        <f>1874</f>
        <v>1874</v>
      </c>
      <c r="B1881" s="3" t="s">
        <v>1883</v>
      </c>
      <c r="C1881" s="3" t="s">
        <v>10</v>
      </c>
      <c r="D1881" s="3" t="s">
        <v>9</v>
      </c>
      <c r="E1881" s="3">
        <v>22</v>
      </c>
      <c r="F1881" s="3">
        <v>0</v>
      </c>
      <c r="G1881" s="3">
        <v>0</v>
      </c>
      <c r="H1881" s="3">
        <v>18</v>
      </c>
      <c r="I1881" s="3">
        <v>28</v>
      </c>
      <c r="J1881" s="3">
        <v>0</v>
      </c>
      <c r="K1881" s="3">
        <v>15</v>
      </c>
      <c r="L1881" s="3">
        <v>0</v>
      </c>
      <c r="M1881" s="3">
        <v>30</v>
      </c>
      <c r="N1881" s="3">
        <v>17</v>
      </c>
      <c r="O1881" s="3"/>
      <c r="P1881" s="3"/>
      <c r="Q1881" s="3"/>
    </row>
    <row r="1882" spans="1:17" ht="15" x14ac:dyDescent="0.25">
      <c r="A1882" s="3">
        <f>1875</f>
        <v>1875</v>
      </c>
      <c r="B1882" s="3" t="s">
        <v>1884</v>
      </c>
      <c r="C1882" s="3" t="s">
        <v>10</v>
      </c>
      <c r="D1882" s="3" t="s">
        <v>9</v>
      </c>
      <c r="E1882" s="3">
        <v>22</v>
      </c>
      <c r="F1882" s="3">
        <v>0</v>
      </c>
      <c r="G1882" s="3">
        <v>0</v>
      </c>
      <c r="H1882" s="3">
        <v>18</v>
      </c>
      <c r="I1882" s="3">
        <v>28</v>
      </c>
      <c r="J1882" s="3">
        <v>0</v>
      </c>
      <c r="K1882" s="3">
        <v>15</v>
      </c>
      <c r="L1882" s="3">
        <v>0</v>
      </c>
      <c r="M1882" s="3">
        <v>30</v>
      </c>
      <c r="N1882" s="3">
        <v>17</v>
      </c>
      <c r="O1882" s="3"/>
      <c r="P1882" s="3"/>
      <c r="Q1882" s="3"/>
    </row>
    <row r="1883" spans="1:17" ht="15" x14ac:dyDescent="0.25">
      <c r="A1883" s="3">
        <f>1876</f>
        <v>1876</v>
      </c>
      <c r="B1883" s="3" t="s">
        <v>1885</v>
      </c>
      <c r="C1883" s="3" t="s">
        <v>10</v>
      </c>
      <c r="D1883" s="3" t="s">
        <v>9</v>
      </c>
      <c r="E1883" s="3">
        <v>22</v>
      </c>
      <c r="F1883" s="3">
        <v>0</v>
      </c>
      <c r="G1883" s="3">
        <v>0</v>
      </c>
      <c r="H1883" s="3">
        <v>18</v>
      </c>
      <c r="I1883" s="3">
        <v>28</v>
      </c>
      <c r="J1883" s="3">
        <v>0</v>
      </c>
      <c r="K1883" s="3">
        <v>15</v>
      </c>
      <c r="L1883" s="3">
        <v>0</v>
      </c>
      <c r="M1883" s="3">
        <v>30</v>
      </c>
      <c r="N1883" s="3">
        <v>17</v>
      </c>
      <c r="O1883" s="3"/>
      <c r="P1883" s="3"/>
      <c r="Q1883" s="3"/>
    </row>
    <row r="1884" spans="1:17" ht="15" x14ac:dyDescent="0.25">
      <c r="A1884" s="3">
        <f>1877</f>
        <v>1877</v>
      </c>
      <c r="B1884" s="3" t="s">
        <v>1886</v>
      </c>
      <c r="C1884" s="3" t="s">
        <v>10</v>
      </c>
      <c r="D1884" s="3" t="s">
        <v>9</v>
      </c>
      <c r="E1884" s="3">
        <v>22</v>
      </c>
      <c r="F1884" s="3">
        <v>0</v>
      </c>
      <c r="G1884" s="3">
        <v>0</v>
      </c>
      <c r="H1884" s="3">
        <v>18</v>
      </c>
      <c r="I1884" s="3">
        <v>28</v>
      </c>
      <c r="J1884" s="3">
        <v>0</v>
      </c>
      <c r="K1884" s="3">
        <v>15</v>
      </c>
      <c r="L1884" s="3">
        <v>0</v>
      </c>
      <c r="M1884" s="3">
        <v>30</v>
      </c>
      <c r="N1884" s="3">
        <v>17</v>
      </c>
      <c r="O1884" s="3"/>
      <c r="P1884" s="3"/>
      <c r="Q1884" s="3"/>
    </row>
    <row r="1885" spans="1:17" ht="15" x14ac:dyDescent="0.25">
      <c r="A1885" s="3">
        <f>1878</f>
        <v>1878</v>
      </c>
      <c r="B1885" s="3" t="s">
        <v>1887</v>
      </c>
      <c r="C1885" s="3" t="s">
        <v>10</v>
      </c>
      <c r="D1885" s="3" t="s">
        <v>9</v>
      </c>
      <c r="E1885" s="3">
        <v>22</v>
      </c>
      <c r="F1885" s="3">
        <v>0</v>
      </c>
      <c r="G1885" s="3">
        <v>0</v>
      </c>
      <c r="H1885" s="3">
        <v>18</v>
      </c>
      <c r="I1885" s="3">
        <v>28</v>
      </c>
      <c r="J1885" s="3">
        <v>0</v>
      </c>
      <c r="K1885" s="3">
        <v>15</v>
      </c>
      <c r="L1885" s="3">
        <v>0</v>
      </c>
      <c r="M1885" s="3">
        <v>30</v>
      </c>
      <c r="N1885" s="3">
        <v>17</v>
      </c>
      <c r="O1885" s="3"/>
      <c r="P1885" s="3"/>
      <c r="Q1885" s="3"/>
    </row>
    <row r="1886" spans="1:17" ht="15" x14ac:dyDescent="0.25">
      <c r="A1886" s="3">
        <f>1879</f>
        <v>1879</v>
      </c>
      <c r="B1886" s="3" t="s">
        <v>1888</v>
      </c>
      <c r="C1886" s="3" t="s">
        <v>10</v>
      </c>
      <c r="D1886" s="3" t="s">
        <v>9</v>
      </c>
      <c r="E1886" s="3">
        <v>22</v>
      </c>
      <c r="F1886" s="3">
        <v>0</v>
      </c>
      <c r="G1886" s="3">
        <v>0</v>
      </c>
      <c r="H1886" s="3">
        <v>18</v>
      </c>
      <c r="I1886" s="3">
        <v>28</v>
      </c>
      <c r="J1886" s="3">
        <v>0</v>
      </c>
      <c r="K1886" s="3">
        <v>15</v>
      </c>
      <c r="L1886" s="3">
        <v>0</v>
      </c>
      <c r="M1886" s="3">
        <v>30</v>
      </c>
      <c r="N1886" s="3">
        <v>17</v>
      </c>
      <c r="O1886" s="3"/>
      <c r="P1886" s="3"/>
      <c r="Q1886" s="3"/>
    </row>
    <row r="1887" spans="1:17" ht="15" x14ac:dyDescent="0.25">
      <c r="A1887" s="3">
        <f>1880</f>
        <v>1880</v>
      </c>
      <c r="B1887" s="3" t="s">
        <v>1889</v>
      </c>
      <c r="C1887" s="3" t="s">
        <v>10</v>
      </c>
      <c r="D1887" s="3" t="s">
        <v>9</v>
      </c>
      <c r="E1887" s="3">
        <v>22</v>
      </c>
      <c r="F1887" s="3">
        <v>0</v>
      </c>
      <c r="G1887" s="3">
        <v>0</v>
      </c>
      <c r="H1887" s="3">
        <v>18</v>
      </c>
      <c r="I1887" s="3">
        <v>28</v>
      </c>
      <c r="J1887" s="3">
        <v>0</v>
      </c>
      <c r="K1887" s="3">
        <v>15</v>
      </c>
      <c r="L1887" s="3">
        <v>0</v>
      </c>
      <c r="M1887" s="3">
        <v>30</v>
      </c>
      <c r="N1887" s="3">
        <v>17</v>
      </c>
      <c r="O1887" s="3"/>
      <c r="P1887" s="3"/>
      <c r="Q1887" s="3"/>
    </row>
    <row r="1888" spans="1:17" ht="15" x14ac:dyDescent="0.25">
      <c r="A1888" s="3">
        <f>1881</f>
        <v>1881</v>
      </c>
      <c r="B1888" s="3" t="s">
        <v>1890</v>
      </c>
      <c r="C1888" s="3" t="s">
        <v>10</v>
      </c>
      <c r="D1888" s="3" t="s">
        <v>9</v>
      </c>
      <c r="E1888" s="3">
        <v>22</v>
      </c>
      <c r="F1888" s="3">
        <v>0</v>
      </c>
      <c r="G1888" s="3">
        <v>0</v>
      </c>
      <c r="H1888" s="3">
        <v>18</v>
      </c>
      <c r="I1888" s="3">
        <v>28</v>
      </c>
      <c r="J1888" s="3">
        <v>0</v>
      </c>
      <c r="K1888" s="3">
        <v>15</v>
      </c>
      <c r="L1888" s="3">
        <v>0</v>
      </c>
      <c r="M1888" s="3">
        <v>30</v>
      </c>
      <c r="N1888" s="3">
        <v>17</v>
      </c>
      <c r="O1888" s="3"/>
      <c r="P1888" s="3"/>
      <c r="Q1888" s="3"/>
    </row>
    <row r="1889" spans="1:17" ht="15" x14ac:dyDescent="0.25">
      <c r="A1889" s="3">
        <f>1882</f>
        <v>1882</v>
      </c>
      <c r="B1889" s="3" t="s">
        <v>1891</v>
      </c>
      <c r="C1889" s="3" t="s">
        <v>10</v>
      </c>
      <c r="D1889" s="3" t="s">
        <v>9</v>
      </c>
      <c r="E1889" s="3">
        <v>22</v>
      </c>
      <c r="F1889" s="3">
        <v>0</v>
      </c>
      <c r="G1889" s="3">
        <v>0</v>
      </c>
      <c r="H1889" s="3">
        <v>18</v>
      </c>
      <c r="I1889" s="3">
        <v>28</v>
      </c>
      <c r="J1889" s="3">
        <v>0</v>
      </c>
      <c r="K1889" s="3">
        <v>15</v>
      </c>
      <c r="L1889" s="3">
        <v>0</v>
      </c>
      <c r="M1889" s="3">
        <v>30</v>
      </c>
      <c r="N1889" s="3">
        <v>17</v>
      </c>
      <c r="O1889" s="3"/>
      <c r="P1889" s="3"/>
      <c r="Q1889" s="3"/>
    </row>
    <row r="1890" spans="1:17" ht="15" x14ac:dyDescent="0.25">
      <c r="A1890" s="3">
        <f>1883</f>
        <v>1883</v>
      </c>
      <c r="B1890" s="3" t="s">
        <v>1892</v>
      </c>
      <c r="C1890" s="3" t="s">
        <v>10</v>
      </c>
      <c r="D1890" s="3" t="s">
        <v>9</v>
      </c>
      <c r="E1890" s="3">
        <v>22</v>
      </c>
      <c r="F1890" s="3">
        <v>0</v>
      </c>
      <c r="G1890" s="3">
        <v>0</v>
      </c>
      <c r="H1890" s="3">
        <v>18</v>
      </c>
      <c r="I1890" s="3">
        <v>28</v>
      </c>
      <c r="J1890" s="3">
        <v>0</v>
      </c>
      <c r="K1890" s="3">
        <v>15</v>
      </c>
      <c r="L1890" s="3">
        <v>0</v>
      </c>
      <c r="M1890" s="3">
        <v>30</v>
      </c>
      <c r="N1890" s="3">
        <v>17</v>
      </c>
      <c r="O1890" s="3"/>
      <c r="P1890" s="3"/>
      <c r="Q1890" s="3"/>
    </row>
    <row r="1891" spans="1:17" ht="15" x14ac:dyDescent="0.25">
      <c r="A1891" s="3">
        <f>1884</f>
        <v>1884</v>
      </c>
      <c r="B1891" s="3" t="s">
        <v>1893</v>
      </c>
      <c r="C1891" s="3" t="s">
        <v>10</v>
      </c>
      <c r="D1891" s="3" t="s">
        <v>9</v>
      </c>
      <c r="E1891" s="3">
        <v>22</v>
      </c>
      <c r="F1891" s="3">
        <v>0</v>
      </c>
      <c r="G1891" s="3">
        <v>0</v>
      </c>
      <c r="H1891" s="3">
        <v>18</v>
      </c>
      <c r="I1891" s="3">
        <v>28</v>
      </c>
      <c r="J1891" s="3">
        <v>0</v>
      </c>
      <c r="K1891" s="3">
        <v>15</v>
      </c>
      <c r="L1891" s="3">
        <v>0</v>
      </c>
      <c r="M1891" s="3">
        <v>30</v>
      </c>
      <c r="N1891" s="3">
        <v>17</v>
      </c>
      <c r="O1891" s="3"/>
      <c r="P1891" s="3"/>
      <c r="Q1891" s="3"/>
    </row>
    <row r="1892" spans="1:17" ht="15" x14ac:dyDescent="0.25">
      <c r="A1892" s="3">
        <f>1885</f>
        <v>1885</v>
      </c>
      <c r="B1892" s="3" t="s">
        <v>1894</v>
      </c>
      <c r="C1892" s="3" t="s">
        <v>10</v>
      </c>
      <c r="D1892" s="3" t="s">
        <v>9</v>
      </c>
      <c r="E1892" s="3">
        <v>22</v>
      </c>
      <c r="F1892" s="3">
        <v>0</v>
      </c>
      <c r="G1892" s="3">
        <v>0</v>
      </c>
      <c r="H1892" s="3">
        <v>18</v>
      </c>
      <c r="I1892" s="3">
        <v>28</v>
      </c>
      <c r="J1892" s="3">
        <v>0</v>
      </c>
      <c r="K1892" s="3">
        <v>15</v>
      </c>
      <c r="L1892" s="3">
        <v>0</v>
      </c>
      <c r="M1892" s="3">
        <v>30</v>
      </c>
      <c r="N1892" s="3">
        <v>17</v>
      </c>
      <c r="O1892" s="3"/>
      <c r="P1892" s="3"/>
      <c r="Q1892" s="3"/>
    </row>
    <row r="1893" spans="1:17" ht="15" x14ac:dyDescent="0.25">
      <c r="A1893" s="3">
        <f>1886</f>
        <v>1886</v>
      </c>
      <c r="B1893" s="3" t="s">
        <v>1895</v>
      </c>
      <c r="C1893" s="3" t="s">
        <v>10</v>
      </c>
      <c r="D1893" s="3" t="s">
        <v>9</v>
      </c>
      <c r="E1893" s="3">
        <v>22</v>
      </c>
      <c r="F1893" s="3">
        <v>0</v>
      </c>
      <c r="G1893" s="3">
        <v>0</v>
      </c>
      <c r="H1893" s="3">
        <v>18</v>
      </c>
      <c r="I1893" s="3">
        <v>28</v>
      </c>
      <c r="J1893" s="3">
        <v>0</v>
      </c>
      <c r="K1893" s="3">
        <v>15</v>
      </c>
      <c r="L1893" s="3">
        <v>0</v>
      </c>
      <c r="M1893" s="3">
        <v>30</v>
      </c>
      <c r="N1893" s="3">
        <v>17</v>
      </c>
      <c r="O1893" s="3"/>
      <c r="P1893" s="3"/>
      <c r="Q1893" s="3"/>
    </row>
    <row r="1894" spans="1:17" ht="15" x14ac:dyDescent="0.25">
      <c r="A1894" s="3">
        <f>1887</f>
        <v>1887</v>
      </c>
      <c r="B1894" s="3" t="s">
        <v>1896</v>
      </c>
      <c r="C1894" s="3" t="s">
        <v>10</v>
      </c>
      <c r="D1894" s="3" t="s">
        <v>9</v>
      </c>
      <c r="E1894" s="3">
        <v>22</v>
      </c>
      <c r="F1894" s="3">
        <v>0</v>
      </c>
      <c r="G1894" s="3">
        <v>0</v>
      </c>
      <c r="H1894" s="3">
        <v>18</v>
      </c>
      <c r="I1894" s="3">
        <v>28</v>
      </c>
      <c r="J1894" s="3">
        <v>0</v>
      </c>
      <c r="K1894" s="3">
        <v>15</v>
      </c>
      <c r="L1894" s="3">
        <v>0</v>
      </c>
      <c r="M1894" s="3">
        <v>30</v>
      </c>
      <c r="N1894" s="3">
        <v>17</v>
      </c>
      <c r="O1894" s="3"/>
      <c r="P1894" s="3"/>
      <c r="Q1894" s="3"/>
    </row>
    <row r="1895" spans="1:17" ht="15" x14ac:dyDescent="0.25">
      <c r="A1895" s="3">
        <f>1888</f>
        <v>1888</v>
      </c>
      <c r="B1895" s="3" t="s">
        <v>1897</v>
      </c>
      <c r="C1895" s="3" t="s">
        <v>10</v>
      </c>
      <c r="D1895" s="3" t="s">
        <v>9</v>
      </c>
      <c r="E1895" s="3">
        <v>22</v>
      </c>
      <c r="F1895" s="3">
        <v>0</v>
      </c>
      <c r="G1895" s="3">
        <v>0</v>
      </c>
      <c r="H1895" s="3">
        <v>18</v>
      </c>
      <c r="I1895" s="3">
        <v>28</v>
      </c>
      <c r="J1895" s="3">
        <v>0</v>
      </c>
      <c r="K1895" s="3">
        <v>15</v>
      </c>
      <c r="L1895" s="3">
        <v>0</v>
      </c>
      <c r="M1895" s="3">
        <v>30</v>
      </c>
      <c r="N1895" s="3">
        <v>17</v>
      </c>
      <c r="O1895" s="3"/>
      <c r="P1895" s="3"/>
      <c r="Q1895" s="3"/>
    </row>
    <row r="1896" spans="1:17" ht="15" x14ac:dyDescent="0.25">
      <c r="A1896" s="3">
        <f>1889</f>
        <v>1889</v>
      </c>
      <c r="B1896" s="3" t="s">
        <v>1898</v>
      </c>
      <c r="C1896" s="3" t="s">
        <v>10</v>
      </c>
      <c r="D1896" s="3" t="s">
        <v>9</v>
      </c>
      <c r="E1896" s="3">
        <v>22</v>
      </c>
      <c r="F1896" s="3">
        <v>0</v>
      </c>
      <c r="G1896" s="3">
        <v>0</v>
      </c>
      <c r="H1896" s="3">
        <v>18</v>
      </c>
      <c r="I1896" s="3">
        <v>28</v>
      </c>
      <c r="J1896" s="3">
        <v>0</v>
      </c>
      <c r="K1896" s="3">
        <v>15</v>
      </c>
      <c r="L1896" s="3">
        <v>0</v>
      </c>
      <c r="M1896" s="3">
        <v>30</v>
      </c>
      <c r="N1896" s="3">
        <v>17</v>
      </c>
      <c r="O1896" s="3"/>
      <c r="P1896" s="3"/>
      <c r="Q1896" s="3"/>
    </row>
    <row r="1897" spans="1:17" ht="15" x14ac:dyDescent="0.25">
      <c r="A1897" s="3">
        <f>1890</f>
        <v>1890</v>
      </c>
      <c r="B1897" s="3" t="s">
        <v>1899</v>
      </c>
      <c r="C1897" s="3" t="s">
        <v>10</v>
      </c>
      <c r="D1897" s="3" t="s">
        <v>9</v>
      </c>
      <c r="E1897" s="3">
        <v>22</v>
      </c>
      <c r="F1897" s="3">
        <v>0</v>
      </c>
      <c r="G1897" s="3">
        <v>0</v>
      </c>
      <c r="H1897" s="3">
        <v>18</v>
      </c>
      <c r="I1897" s="3">
        <v>28</v>
      </c>
      <c r="J1897" s="3">
        <v>0</v>
      </c>
      <c r="K1897" s="3">
        <v>15</v>
      </c>
      <c r="L1897" s="3">
        <v>0</v>
      </c>
      <c r="M1897" s="3">
        <v>30</v>
      </c>
      <c r="N1897" s="3">
        <v>17</v>
      </c>
      <c r="O1897" s="3"/>
      <c r="P1897" s="3"/>
      <c r="Q1897" s="3"/>
    </row>
    <row r="1898" spans="1:17" ht="15" x14ac:dyDescent="0.25">
      <c r="A1898" s="3">
        <f>1891</f>
        <v>1891</v>
      </c>
      <c r="B1898" s="3" t="s">
        <v>1900</v>
      </c>
      <c r="C1898" s="3" t="s">
        <v>10</v>
      </c>
      <c r="D1898" s="3" t="s">
        <v>9</v>
      </c>
      <c r="E1898" s="3">
        <v>22</v>
      </c>
      <c r="F1898" s="3">
        <v>0</v>
      </c>
      <c r="G1898" s="3">
        <v>0</v>
      </c>
      <c r="H1898" s="3">
        <v>18</v>
      </c>
      <c r="I1898" s="3">
        <v>28</v>
      </c>
      <c r="J1898" s="3">
        <v>0</v>
      </c>
      <c r="K1898" s="3">
        <v>15</v>
      </c>
      <c r="L1898" s="3">
        <v>0</v>
      </c>
      <c r="M1898" s="3">
        <v>30</v>
      </c>
      <c r="N1898" s="3">
        <v>17</v>
      </c>
      <c r="O1898" s="3"/>
      <c r="P1898" s="3"/>
      <c r="Q1898" s="3"/>
    </row>
    <row r="1899" spans="1:17" ht="15" x14ac:dyDescent="0.25">
      <c r="A1899" s="3">
        <f>1892</f>
        <v>1892</v>
      </c>
      <c r="B1899" s="3" t="s">
        <v>1901</v>
      </c>
      <c r="C1899" s="3" t="s">
        <v>10</v>
      </c>
      <c r="D1899" s="3" t="s">
        <v>9</v>
      </c>
      <c r="E1899" s="3">
        <v>22</v>
      </c>
      <c r="F1899" s="3">
        <v>0</v>
      </c>
      <c r="G1899" s="3">
        <v>0</v>
      </c>
      <c r="H1899" s="3">
        <v>18</v>
      </c>
      <c r="I1899" s="3">
        <v>28</v>
      </c>
      <c r="J1899" s="3">
        <v>0</v>
      </c>
      <c r="K1899" s="3">
        <v>15</v>
      </c>
      <c r="L1899" s="3">
        <v>0</v>
      </c>
      <c r="M1899" s="3">
        <v>30</v>
      </c>
      <c r="N1899" s="3">
        <v>17</v>
      </c>
      <c r="O1899" s="3"/>
      <c r="P1899" s="3"/>
      <c r="Q1899" s="3"/>
    </row>
    <row r="1900" spans="1:17" ht="15" x14ac:dyDescent="0.25">
      <c r="A1900" s="3">
        <f>1893</f>
        <v>1893</v>
      </c>
      <c r="B1900" s="3" t="s">
        <v>1902</v>
      </c>
      <c r="C1900" s="3" t="s">
        <v>10</v>
      </c>
      <c r="D1900" s="3" t="s">
        <v>9</v>
      </c>
      <c r="E1900" s="3">
        <v>22</v>
      </c>
      <c r="F1900" s="3">
        <v>0</v>
      </c>
      <c r="G1900" s="3">
        <v>0</v>
      </c>
      <c r="H1900" s="3">
        <v>18</v>
      </c>
      <c r="I1900" s="3">
        <v>28</v>
      </c>
      <c r="J1900" s="3">
        <v>0</v>
      </c>
      <c r="K1900" s="3">
        <v>15</v>
      </c>
      <c r="L1900" s="3">
        <v>0</v>
      </c>
      <c r="M1900" s="3">
        <v>30</v>
      </c>
      <c r="N1900" s="3">
        <v>17</v>
      </c>
      <c r="O1900" s="3"/>
      <c r="P1900" s="3"/>
      <c r="Q1900" s="3"/>
    </row>
    <row r="1901" spans="1:17" ht="15" x14ac:dyDescent="0.25">
      <c r="A1901" s="3">
        <f>1894</f>
        <v>1894</v>
      </c>
      <c r="B1901" s="3" t="s">
        <v>1903</v>
      </c>
      <c r="C1901" s="3" t="s">
        <v>10</v>
      </c>
      <c r="D1901" s="3" t="s">
        <v>9</v>
      </c>
      <c r="E1901" s="3">
        <v>22</v>
      </c>
      <c r="F1901" s="3">
        <v>0</v>
      </c>
      <c r="G1901" s="3">
        <v>0</v>
      </c>
      <c r="H1901" s="3">
        <v>18</v>
      </c>
      <c r="I1901" s="3">
        <v>28</v>
      </c>
      <c r="J1901" s="3">
        <v>0</v>
      </c>
      <c r="K1901" s="3">
        <v>15</v>
      </c>
      <c r="L1901" s="3">
        <v>0</v>
      </c>
      <c r="M1901" s="3">
        <v>30</v>
      </c>
      <c r="N1901" s="3">
        <v>17</v>
      </c>
      <c r="O1901" s="3"/>
      <c r="P1901" s="3"/>
      <c r="Q1901" s="3"/>
    </row>
    <row r="1902" spans="1:17" ht="15" x14ac:dyDescent="0.25">
      <c r="A1902" s="3">
        <f>1895</f>
        <v>1895</v>
      </c>
      <c r="B1902" s="3" t="s">
        <v>1904</v>
      </c>
      <c r="C1902" s="3" t="s">
        <v>10</v>
      </c>
      <c r="D1902" s="3" t="s">
        <v>9</v>
      </c>
      <c r="E1902" s="3">
        <v>22</v>
      </c>
      <c r="F1902" s="3">
        <v>0</v>
      </c>
      <c r="G1902" s="3">
        <v>0</v>
      </c>
      <c r="H1902" s="3">
        <v>18</v>
      </c>
      <c r="I1902" s="3">
        <v>28</v>
      </c>
      <c r="J1902" s="3">
        <v>0</v>
      </c>
      <c r="K1902" s="3">
        <v>15</v>
      </c>
      <c r="L1902" s="3">
        <v>0</v>
      </c>
      <c r="M1902" s="3">
        <v>30</v>
      </c>
      <c r="N1902" s="3">
        <v>17</v>
      </c>
      <c r="O1902" s="3"/>
      <c r="P1902" s="3"/>
      <c r="Q1902" s="3"/>
    </row>
    <row r="1903" spans="1:17" ht="15" x14ac:dyDescent="0.25">
      <c r="A1903" s="3">
        <f>1896</f>
        <v>1896</v>
      </c>
      <c r="B1903" s="3" t="s">
        <v>1905</v>
      </c>
      <c r="C1903" s="3" t="s">
        <v>10</v>
      </c>
      <c r="D1903" s="3" t="s">
        <v>9</v>
      </c>
      <c r="E1903" s="3">
        <v>22</v>
      </c>
      <c r="F1903" s="3">
        <v>0</v>
      </c>
      <c r="G1903" s="3">
        <v>0</v>
      </c>
      <c r="H1903" s="3">
        <v>18</v>
      </c>
      <c r="I1903" s="3">
        <v>28</v>
      </c>
      <c r="J1903" s="3">
        <v>0</v>
      </c>
      <c r="K1903" s="3">
        <v>15</v>
      </c>
      <c r="L1903" s="3">
        <v>0</v>
      </c>
      <c r="M1903" s="3">
        <v>30</v>
      </c>
      <c r="N1903" s="3">
        <v>17</v>
      </c>
      <c r="O1903" s="3"/>
      <c r="P1903" s="3"/>
      <c r="Q1903" s="3"/>
    </row>
    <row r="1904" spans="1:17" ht="15" x14ac:dyDescent="0.25">
      <c r="A1904" s="3">
        <f>1897</f>
        <v>1897</v>
      </c>
      <c r="B1904" s="3" t="s">
        <v>1906</v>
      </c>
      <c r="C1904" s="3" t="s">
        <v>10</v>
      </c>
      <c r="D1904" s="3" t="s">
        <v>9</v>
      </c>
      <c r="E1904" s="3">
        <v>22</v>
      </c>
      <c r="F1904" s="3">
        <v>0</v>
      </c>
      <c r="G1904" s="3">
        <v>0</v>
      </c>
      <c r="H1904" s="3">
        <v>18</v>
      </c>
      <c r="I1904" s="3">
        <v>28</v>
      </c>
      <c r="J1904" s="3">
        <v>0</v>
      </c>
      <c r="K1904" s="3">
        <v>15</v>
      </c>
      <c r="L1904" s="3">
        <v>0</v>
      </c>
      <c r="M1904" s="3">
        <v>30</v>
      </c>
      <c r="N1904" s="3">
        <v>17</v>
      </c>
      <c r="O1904" s="3"/>
      <c r="P1904" s="3"/>
      <c r="Q1904" s="3"/>
    </row>
    <row r="1905" spans="1:17" ht="15" x14ac:dyDescent="0.25">
      <c r="A1905" s="3">
        <f>1898</f>
        <v>1898</v>
      </c>
      <c r="B1905" s="3" t="s">
        <v>1907</v>
      </c>
      <c r="C1905" s="3" t="s">
        <v>10</v>
      </c>
      <c r="D1905" s="3" t="s">
        <v>9</v>
      </c>
      <c r="E1905" s="3">
        <v>22</v>
      </c>
      <c r="F1905" s="3">
        <v>0</v>
      </c>
      <c r="G1905" s="3">
        <v>0</v>
      </c>
      <c r="H1905" s="3">
        <v>18</v>
      </c>
      <c r="I1905" s="3">
        <v>28</v>
      </c>
      <c r="J1905" s="3">
        <v>0</v>
      </c>
      <c r="K1905" s="3">
        <v>15</v>
      </c>
      <c r="L1905" s="3">
        <v>0</v>
      </c>
      <c r="M1905" s="3">
        <v>30</v>
      </c>
      <c r="N1905" s="3">
        <v>17</v>
      </c>
      <c r="O1905" s="3"/>
      <c r="P1905" s="3"/>
      <c r="Q1905" s="3"/>
    </row>
    <row r="1906" spans="1:17" ht="15" x14ac:dyDescent="0.25">
      <c r="A1906" s="3">
        <f>1899</f>
        <v>1899</v>
      </c>
      <c r="B1906" s="3" t="s">
        <v>1908</v>
      </c>
      <c r="C1906" s="3" t="s">
        <v>10</v>
      </c>
      <c r="D1906" s="3" t="s">
        <v>9</v>
      </c>
      <c r="E1906" s="3">
        <v>22</v>
      </c>
      <c r="F1906" s="3">
        <v>0</v>
      </c>
      <c r="G1906" s="3">
        <v>0</v>
      </c>
      <c r="H1906" s="3">
        <v>18</v>
      </c>
      <c r="I1906" s="3">
        <v>28</v>
      </c>
      <c r="J1906" s="3">
        <v>0</v>
      </c>
      <c r="K1906" s="3">
        <v>15</v>
      </c>
      <c r="L1906" s="3">
        <v>0</v>
      </c>
      <c r="M1906" s="3">
        <v>30</v>
      </c>
      <c r="N1906" s="3">
        <v>17</v>
      </c>
      <c r="O1906" s="3"/>
      <c r="P1906" s="3"/>
      <c r="Q1906" s="3"/>
    </row>
    <row r="1907" spans="1:17" ht="15" x14ac:dyDescent="0.25">
      <c r="A1907" s="3">
        <f>1900</f>
        <v>1900</v>
      </c>
      <c r="B1907" s="3" t="s">
        <v>1909</v>
      </c>
      <c r="C1907" s="3" t="s">
        <v>10</v>
      </c>
      <c r="D1907" s="3" t="s">
        <v>9</v>
      </c>
      <c r="E1907" s="3">
        <v>22</v>
      </c>
      <c r="F1907" s="3">
        <v>0</v>
      </c>
      <c r="G1907" s="3">
        <v>0</v>
      </c>
      <c r="H1907" s="3">
        <v>18</v>
      </c>
      <c r="I1907" s="3">
        <v>28</v>
      </c>
      <c r="J1907" s="3">
        <v>0</v>
      </c>
      <c r="K1907" s="3">
        <v>15</v>
      </c>
      <c r="L1907" s="3">
        <v>0</v>
      </c>
      <c r="M1907" s="3">
        <v>30</v>
      </c>
      <c r="N1907" s="3">
        <v>17</v>
      </c>
      <c r="O1907" s="3"/>
      <c r="P1907" s="3"/>
      <c r="Q1907" s="3"/>
    </row>
    <row r="1908" spans="1:17" ht="15" x14ac:dyDescent="0.25">
      <c r="A1908" s="3">
        <f>1901</f>
        <v>1901</v>
      </c>
      <c r="B1908" s="3" t="s">
        <v>1910</v>
      </c>
      <c r="C1908" s="3" t="s">
        <v>10</v>
      </c>
      <c r="D1908" s="3" t="s">
        <v>9</v>
      </c>
      <c r="E1908" s="3">
        <v>22</v>
      </c>
      <c r="F1908" s="3">
        <v>0</v>
      </c>
      <c r="G1908" s="3">
        <v>0</v>
      </c>
      <c r="H1908" s="3">
        <v>18</v>
      </c>
      <c r="I1908" s="3">
        <v>28</v>
      </c>
      <c r="J1908" s="3">
        <v>0</v>
      </c>
      <c r="K1908" s="3">
        <v>15</v>
      </c>
      <c r="L1908" s="3">
        <v>0</v>
      </c>
      <c r="M1908" s="3">
        <v>30</v>
      </c>
      <c r="N1908" s="3">
        <v>17</v>
      </c>
      <c r="O1908" s="3"/>
      <c r="P1908" s="3"/>
      <c r="Q1908" s="3"/>
    </row>
    <row r="1909" spans="1:17" ht="15" x14ac:dyDescent="0.25">
      <c r="A1909" s="3">
        <f>1902</f>
        <v>1902</v>
      </c>
      <c r="B1909" s="3" t="s">
        <v>1911</v>
      </c>
      <c r="C1909" s="3" t="s">
        <v>10</v>
      </c>
      <c r="D1909" s="3" t="s">
        <v>9</v>
      </c>
      <c r="E1909" s="3">
        <v>22</v>
      </c>
      <c r="F1909" s="3">
        <v>0</v>
      </c>
      <c r="G1909" s="3">
        <v>0</v>
      </c>
      <c r="H1909" s="3">
        <v>18</v>
      </c>
      <c r="I1909" s="3">
        <v>28</v>
      </c>
      <c r="J1909" s="3">
        <v>0</v>
      </c>
      <c r="K1909" s="3">
        <v>15</v>
      </c>
      <c r="L1909" s="3">
        <v>0</v>
      </c>
      <c r="M1909" s="3">
        <v>30</v>
      </c>
      <c r="N1909" s="3">
        <v>17</v>
      </c>
      <c r="O1909" s="3"/>
      <c r="P1909" s="3"/>
      <c r="Q1909" s="3"/>
    </row>
    <row r="1910" spans="1:17" ht="15" x14ac:dyDescent="0.25">
      <c r="A1910" s="3">
        <f>1903</f>
        <v>1903</v>
      </c>
      <c r="B1910" s="3" t="s">
        <v>1912</v>
      </c>
      <c r="C1910" s="3" t="s">
        <v>10</v>
      </c>
      <c r="D1910" s="3" t="s">
        <v>9</v>
      </c>
      <c r="E1910" s="3">
        <v>22</v>
      </c>
      <c r="F1910" s="3">
        <v>0</v>
      </c>
      <c r="G1910" s="3">
        <v>0</v>
      </c>
      <c r="H1910" s="3">
        <v>18</v>
      </c>
      <c r="I1910" s="3">
        <v>28</v>
      </c>
      <c r="J1910" s="3">
        <v>0</v>
      </c>
      <c r="K1910" s="3">
        <v>15</v>
      </c>
      <c r="L1910" s="3">
        <v>0</v>
      </c>
      <c r="M1910" s="3">
        <v>30</v>
      </c>
      <c r="N1910" s="3">
        <v>17</v>
      </c>
      <c r="O1910" s="3"/>
      <c r="P1910" s="3"/>
      <c r="Q1910" s="3"/>
    </row>
    <row r="1911" spans="1:17" ht="15" x14ac:dyDescent="0.25">
      <c r="A1911" s="3">
        <f>1904</f>
        <v>1904</v>
      </c>
      <c r="B1911" s="3" t="s">
        <v>1913</v>
      </c>
      <c r="C1911" s="3" t="s">
        <v>10</v>
      </c>
      <c r="D1911" s="3" t="s">
        <v>9</v>
      </c>
      <c r="E1911" s="3">
        <v>22</v>
      </c>
      <c r="F1911" s="3">
        <v>0</v>
      </c>
      <c r="G1911" s="3">
        <v>0</v>
      </c>
      <c r="H1911" s="3">
        <v>18</v>
      </c>
      <c r="I1911" s="3">
        <v>28</v>
      </c>
      <c r="J1911" s="3">
        <v>0</v>
      </c>
      <c r="K1911" s="3">
        <v>15</v>
      </c>
      <c r="L1911" s="3">
        <v>0</v>
      </c>
      <c r="M1911" s="3">
        <v>30</v>
      </c>
      <c r="N1911" s="3">
        <v>17</v>
      </c>
      <c r="O1911" s="3"/>
      <c r="P1911" s="3"/>
      <c r="Q1911" s="3"/>
    </row>
    <row r="1912" spans="1:17" ht="15" x14ac:dyDescent="0.25">
      <c r="A1912" s="3">
        <f>1905</f>
        <v>1905</v>
      </c>
      <c r="B1912" s="3" t="s">
        <v>1914</v>
      </c>
      <c r="C1912" s="3" t="s">
        <v>10</v>
      </c>
      <c r="D1912" s="3" t="s">
        <v>9</v>
      </c>
      <c r="E1912" s="3">
        <v>22</v>
      </c>
      <c r="F1912" s="3">
        <v>0</v>
      </c>
      <c r="G1912" s="3">
        <v>0</v>
      </c>
      <c r="H1912" s="3">
        <v>18</v>
      </c>
      <c r="I1912" s="3">
        <v>28</v>
      </c>
      <c r="J1912" s="3">
        <v>0</v>
      </c>
      <c r="K1912" s="3">
        <v>15</v>
      </c>
      <c r="L1912" s="3">
        <v>0</v>
      </c>
      <c r="M1912" s="3">
        <v>30</v>
      </c>
      <c r="N1912" s="3">
        <v>17</v>
      </c>
      <c r="O1912" s="3"/>
      <c r="P1912" s="3"/>
      <c r="Q1912" s="3"/>
    </row>
    <row r="1913" spans="1:17" ht="15" x14ac:dyDescent="0.25">
      <c r="A1913" s="3">
        <f>1906</f>
        <v>1906</v>
      </c>
      <c r="B1913" s="3" t="s">
        <v>1915</v>
      </c>
      <c r="C1913" s="3" t="s">
        <v>10</v>
      </c>
      <c r="D1913" s="3" t="s">
        <v>9</v>
      </c>
      <c r="E1913" s="3">
        <v>22</v>
      </c>
      <c r="F1913" s="3">
        <v>0</v>
      </c>
      <c r="G1913" s="3">
        <v>0</v>
      </c>
      <c r="H1913" s="3">
        <v>18</v>
      </c>
      <c r="I1913" s="3">
        <v>28</v>
      </c>
      <c r="J1913" s="3">
        <v>0</v>
      </c>
      <c r="K1913" s="3">
        <v>15</v>
      </c>
      <c r="L1913" s="3">
        <v>0</v>
      </c>
      <c r="M1913" s="3">
        <v>30</v>
      </c>
      <c r="N1913" s="3">
        <v>17</v>
      </c>
      <c r="O1913" s="3"/>
      <c r="P1913" s="3"/>
      <c r="Q1913" s="3"/>
    </row>
    <row r="1914" spans="1:17" ht="15" x14ac:dyDescent="0.25">
      <c r="A1914" s="3">
        <f>1907</f>
        <v>1907</v>
      </c>
      <c r="B1914" s="3" t="s">
        <v>1916</v>
      </c>
      <c r="C1914" s="3" t="s">
        <v>10</v>
      </c>
      <c r="D1914" s="3" t="s">
        <v>9</v>
      </c>
      <c r="E1914" s="3">
        <v>22</v>
      </c>
      <c r="F1914" s="3">
        <v>0</v>
      </c>
      <c r="G1914" s="3">
        <v>0</v>
      </c>
      <c r="H1914" s="3">
        <v>18</v>
      </c>
      <c r="I1914" s="3">
        <v>28</v>
      </c>
      <c r="J1914" s="3">
        <v>0</v>
      </c>
      <c r="K1914" s="3">
        <v>15</v>
      </c>
      <c r="L1914" s="3">
        <v>0</v>
      </c>
      <c r="M1914" s="3">
        <v>30</v>
      </c>
      <c r="N1914" s="3">
        <v>17</v>
      </c>
      <c r="O1914" s="3"/>
      <c r="P1914" s="3"/>
      <c r="Q1914" s="3"/>
    </row>
    <row r="1915" spans="1:17" ht="15" x14ac:dyDescent="0.25">
      <c r="A1915" s="3">
        <f>1908</f>
        <v>1908</v>
      </c>
      <c r="B1915" s="3" t="s">
        <v>1917</v>
      </c>
      <c r="C1915" s="3" t="s">
        <v>10</v>
      </c>
      <c r="D1915" s="3" t="s">
        <v>9</v>
      </c>
      <c r="E1915" s="3">
        <v>22</v>
      </c>
      <c r="F1915" s="3">
        <v>0</v>
      </c>
      <c r="G1915" s="3">
        <v>0</v>
      </c>
      <c r="H1915" s="3">
        <v>18</v>
      </c>
      <c r="I1915" s="3">
        <v>28</v>
      </c>
      <c r="J1915" s="3">
        <v>0</v>
      </c>
      <c r="K1915" s="3">
        <v>15</v>
      </c>
      <c r="L1915" s="3">
        <v>0</v>
      </c>
      <c r="M1915" s="3">
        <v>30</v>
      </c>
      <c r="N1915" s="3">
        <v>17</v>
      </c>
      <c r="O1915" s="3"/>
      <c r="P1915" s="3"/>
      <c r="Q1915" s="3"/>
    </row>
    <row r="1916" spans="1:17" ht="15" x14ac:dyDescent="0.25">
      <c r="A1916" s="3">
        <f>1909</f>
        <v>1909</v>
      </c>
      <c r="B1916" s="3" t="s">
        <v>1918</v>
      </c>
      <c r="C1916" s="3" t="s">
        <v>10</v>
      </c>
      <c r="D1916" s="3" t="s">
        <v>9</v>
      </c>
      <c r="E1916" s="3">
        <v>22</v>
      </c>
      <c r="F1916" s="3">
        <v>0</v>
      </c>
      <c r="G1916" s="3">
        <v>0</v>
      </c>
      <c r="H1916" s="3">
        <v>18</v>
      </c>
      <c r="I1916" s="3">
        <v>28</v>
      </c>
      <c r="J1916" s="3">
        <v>0</v>
      </c>
      <c r="K1916" s="3">
        <v>15</v>
      </c>
      <c r="L1916" s="3">
        <v>0</v>
      </c>
      <c r="M1916" s="3">
        <v>30</v>
      </c>
      <c r="N1916" s="3">
        <v>17</v>
      </c>
      <c r="O1916" s="3"/>
      <c r="P1916" s="3"/>
      <c r="Q1916" s="3"/>
    </row>
    <row r="1917" spans="1:17" ht="15" x14ac:dyDescent="0.25">
      <c r="A1917" s="3">
        <f>1910</f>
        <v>1910</v>
      </c>
      <c r="B1917" s="3" t="s">
        <v>1919</v>
      </c>
      <c r="C1917" s="3" t="s">
        <v>10</v>
      </c>
      <c r="D1917" s="3" t="s">
        <v>9</v>
      </c>
      <c r="E1917" s="3">
        <v>22</v>
      </c>
      <c r="F1917" s="3">
        <v>0</v>
      </c>
      <c r="G1917" s="3">
        <v>0</v>
      </c>
      <c r="H1917" s="3">
        <v>18</v>
      </c>
      <c r="I1917" s="3">
        <v>28</v>
      </c>
      <c r="J1917" s="3">
        <v>0</v>
      </c>
      <c r="K1917" s="3">
        <v>15</v>
      </c>
      <c r="L1917" s="3">
        <v>0</v>
      </c>
      <c r="M1917" s="3">
        <v>30</v>
      </c>
      <c r="N1917" s="3">
        <v>17</v>
      </c>
      <c r="O1917" s="3"/>
      <c r="P1917" s="3"/>
      <c r="Q1917" s="3"/>
    </row>
    <row r="1918" spans="1:17" ht="15" x14ac:dyDescent="0.25">
      <c r="A1918" s="3">
        <f>1911</f>
        <v>1911</v>
      </c>
      <c r="B1918" s="3" t="s">
        <v>1920</v>
      </c>
      <c r="C1918" s="3" t="s">
        <v>10</v>
      </c>
      <c r="D1918" s="3" t="s">
        <v>9</v>
      </c>
      <c r="E1918" s="3">
        <v>22</v>
      </c>
      <c r="F1918" s="3">
        <v>0</v>
      </c>
      <c r="G1918" s="3">
        <v>0</v>
      </c>
      <c r="H1918" s="3">
        <v>18</v>
      </c>
      <c r="I1918" s="3">
        <v>28</v>
      </c>
      <c r="J1918" s="3">
        <v>0</v>
      </c>
      <c r="K1918" s="3">
        <v>15</v>
      </c>
      <c r="L1918" s="3">
        <v>0</v>
      </c>
      <c r="M1918" s="3">
        <v>30</v>
      </c>
      <c r="N1918" s="3">
        <v>17</v>
      </c>
      <c r="O1918" s="3"/>
      <c r="P1918" s="3"/>
      <c r="Q1918" s="3"/>
    </row>
    <row r="1919" spans="1:17" ht="15" x14ac:dyDescent="0.25">
      <c r="A1919" s="3">
        <f>1912</f>
        <v>1912</v>
      </c>
      <c r="B1919" s="3" t="s">
        <v>1921</v>
      </c>
      <c r="C1919" s="3" t="s">
        <v>10</v>
      </c>
      <c r="D1919" s="3" t="s">
        <v>9</v>
      </c>
      <c r="E1919" s="3">
        <v>22</v>
      </c>
      <c r="F1919" s="3">
        <v>0</v>
      </c>
      <c r="G1919" s="3">
        <v>0</v>
      </c>
      <c r="H1919" s="3">
        <v>18</v>
      </c>
      <c r="I1919" s="3">
        <v>28</v>
      </c>
      <c r="J1919" s="3">
        <v>0</v>
      </c>
      <c r="K1919" s="3">
        <v>15</v>
      </c>
      <c r="L1919" s="3">
        <v>0</v>
      </c>
      <c r="M1919" s="3">
        <v>30</v>
      </c>
      <c r="N1919" s="3">
        <v>17</v>
      </c>
      <c r="O1919" s="3"/>
      <c r="P1919" s="3"/>
      <c r="Q1919" s="3"/>
    </row>
    <row r="1920" spans="1:17" ht="15" x14ac:dyDescent="0.25">
      <c r="A1920" s="3">
        <f>1913</f>
        <v>1913</v>
      </c>
      <c r="B1920" s="3" t="s">
        <v>1922</v>
      </c>
      <c r="C1920" s="3" t="s">
        <v>10</v>
      </c>
      <c r="D1920" s="3" t="s">
        <v>9</v>
      </c>
      <c r="E1920" s="3">
        <v>22</v>
      </c>
      <c r="F1920" s="3">
        <v>0</v>
      </c>
      <c r="G1920" s="3">
        <v>0</v>
      </c>
      <c r="H1920" s="3">
        <v>18</v>
      </c>
      <c r="I1920" s="3">
        <v>28</v>
      </c>
      <c r="J1920" s="3">
        <v>0</v>
      </c>
      <c r="K1920" s="3">
        <v>15</v>
      </c>
      <c r="L1920" s="3">
        <v>0</v>
      </c>
      <c r="M1920" s="3">
        <v>30</v>
      </c>
      <c r="N1920" s="3">
        <v>17</v>
      </c>
      <c r="O1920" s="3"/>
      <c r="P1920" s="3"/>
      <c r="Q1920" s="3"/>
    </row>
    <row r="1921" spans="1:17" ht="15" x14ac:dyDescent="0.25">
      <c r="A1921" s="3">
        <f>1914</f>
        <v>1914</v>
      </c>
      <c r="B1921" s="3" t="s">
        <v>1923</v>
      </c>
      <c r="C1921" s="3" t="s">
        <v>10</v>
      </c>
      <c r="D1921" s="3" t="s">
        <v>9</v>
      </c>
      <c r="E1921" s="3">
        <v>22</v>
      </c>
      <c r="F1921" s="3">
        <v>0</v>
      </c>
      <c r="G1921" s="3">
        <v>0</v>
      </c>
      <c r="H1921" s="3">
        <v>18</v>
      </c>
      <c r="I1921" s="3">
        <v>28</v>
      </c>
      <c r="J1921" s="3">
        <v>0</v>
      </c>
      <c r="K1921" s="3">
        <v>15</v>
      </c>
      <c r="L1921" s="3">
        <v>0</v>
      </c>
      <c r="M1921" s="3">
        <v>30</v>
      </c>
      <c r="N1921" s="3">
        <v>17</v>
      </c>
      <c r="O1921" s="3"/>
      <c r="P1921" s="3"/>
      <c r="Q1921" s="3"/>
    </row>
    <row r="1922" spans="1:17" ht="15" x14ac:dyDescent="0.25">
      <c r="A1922" s="3">
        <f>1915</f>
        <v>1915</v>
      </c>
      <c r="B1922" s="3" t="s">
        <v>1924</v>
      </c>
      <c r="C1922" s="3" t="s">
        <v>10</v>
      </c>
      <c r="D1922" s="3" t="s">
        <v>9</v>
      </c>
      <c r="E1922" s="3">
        <v>22</v>
      </c>
      <c r="F1922" s="3">
        <v>0</v>
      </c>
      <c r="G1922" s="3">
        <v>0</v>
      </c>
      <c r="H1922" s="3">
        <v>18</v>
      </c>
      <c r="I1922" s="3">
        <v>28</v>
      </c>
      <c r="J1922" s="3">
        <v>0</v>
      </c>
      <c r="K1922" s="3">
        <v>15</v>
      </c>
      <c r="L1922" s="3">
        <v>0</v>
      </c>
      <c r="M1922" s="3">
        <v>30</v>
      </c>
      <c r="N1922" s="3">
        <v>17</v>
      </c>
      <c r="O1922" s="3"/>
      <c r="P1922" s="3"/>
      <c r="Q1922" s="3"/>
    </row>
    <row r="1923" spans="1:17" ht="15" x14ac:dyDescent="0.25">
      <c r="A1923" s="3">
        <f>1916</f>
        <v>1916</v>
      </c>
      <c r="B1923" s="3" t="s">
        <v>1925</v>
      </c>
      <c r="C1923" s="3" t="s">
        <v>10</v>
      </c>
      <c r="D1923" s="3" t="s">
        <v>9</v>
      </c>
      <c r="E1923" s="3">
        <v>22</v>
      </c>
      <c r="F1923" s="3">
        <v>0</v>
      </c>
      <c r="G1923" s="3">
        <v>0</v>
      </c>
      <c r="H1923" s="3">
        <v>18</v>
      </c>
      <c r="I1923" s="3">
        <v>28</v>
      </c>
      <c r="J1923" s="3">
        <v>0</v>
      </c>
      <c r="K1923" s="3">
        <v>15</v>
      </c>
      <c r="L1923" s="3">
        <v>0</v>
      </c>
      <c r="M1923" s="3">
        <v>30</v>
      </c>
      <c r="N1923" s="3">
        <v>17</v>
      </c>
      <c r="O1923" s="3"/>
      <c r="P1923" s="3"/>
      <c r="Q1923" s="3"/>
    </row>
    <row r="1924" spans="1:17" ht="15" x14ac:dyDescent="0.25">
      <c r="A1924" s="3">
        <f>1917</f>
        <v>1917</v>
      </c>
      <c r="B1924" s="3" t="s">
        <v>1926</v>
      </c>
      <c r="C1924" s="3" t="s">
        <v>10</v>
      </c>
      <c r="D1924" s="3" t="s">
        <v>9</v>
      </c>
      <c r="E1924" s="3">
        <v>22</v>
      </c>
      <c r="F1924" s="3">
        <v>0</v>
      </c>
      <c r="G1924" s="3">
        <v>0</v>
      </c>
      <c r="H1924" s="3">
        <v>18</v>
      </c>
      <c r="I1924" s="3">
        <v>28</v>
      </c>
      <c r="J1924" s="3">
        <v>0</v>
      </c>
      <c r="K1924" s="3">
        <v>15</v>
      </c>
      <c r="L1924" s="3">
        <v>0</v>
      </c>
      <c r="M1924" s="3">
        <v>30</v>
      </c>
      <c r="N1924" s="3">
        <v>17</v>
      </c>
      <c r="O1924" s="3"/>
      <c r="P1924" s="3"/>
      <c r="Q1924" s="3"/>
    </row>
    <row r="1925" spans="1:17" ht="15" x14ac:dyDescent="0.25">
      <c r="A1925" s="3">
        <f>1918</f>
        <v>1918</v>
      </c>
      <c r="B1925" s="3" t="s">
        <v>1927</v>
      </c>
      <c r="C1925" s="3" t="s">
        <v>10</v>
      </c>
      <c r="D1925" s="3" t="s">
        <v>9</v>
      </c>
      <c r="E1925" s="3">
        <v>22</v>
      </c>
      <c r="F1925" s="3">
        <v>0</v>
      </c>
      <c r="G1925" s="3">
        <v>0</v>
      </c>
      <c r="H1925" s="3">
        <v>18</v>
      </c>
      <c r="I1925" s="3">
        <v>28</v>
      </c>
      <c r="J1925" s="3">
        <v>0</v>
      </c>
      <c r="K1925" s="3">
        <v>15</v>
      </c>
      <c r="L1925" s="3">
        <v>0</v>
      </c>
      <c r="M1925" s="3">
        <v>30</v>
      </c>
      <c r="N1925" s="3">
        <v>17</v>
      </c>
      <c r="O1925" s="3"/>
      <c r="P1925" s="3"/>
      <c r="Q1925" s="3"/>
    </row>
    <row r="1926" spans="1:17" ht="15" x14ac:dyDescent="0.25">
      <c r="A1926" s="3">
        <f>1919</f>
        <v>1919</v>
      </c>
      <c r="B1926" s="3" t="s">
        <v>1928</v>
      </c>
      <c r="C1926" s="3" t="s">
        <v>10</v>
      </c>
      <c r="D1926" s="3" t="s">
        <v>9</v>
      </c>
      <c r="E1926" s="3">
        <v>22</v>
      </c>
      <c r="F1926" s="3">
        <v>0</v>
      </c>
      <c r="G1926" s="3">
        <v>0</v>
      </c>
      <c r="H1926" s="3">
        <v>18</v>
      </c>
      <c r="I1926" s="3">
        <v>28</v>
      </c>
      <c r="J1926" s="3">
        <v>0</v>
      </c>
      <c r="K1926" s="3">
        <v>15</v>
      </c>
      <c r="L1926" s="3">
        <v>0</v>
      </c>
      <c r="M1926" s="3">
        <v>30</v>
      </c>
      <c r="N1926" s="3">
        <v>17</v>
      </c>
      <c r="O1926" s="3"/>
      <c r="P1926" s="3"/>
      <c r="Q1926" s="3"/>
    </row>
    <row r="1927" spans="1:17" ht="15" x14ac:dyDescent="0.25">
      <c r="A1927" s="3">
        <f>1920</f>
        <v>1920</v>
      </c>
      <c r="B1927" s="3" t="s">
        <v>1929</v>
      </c>
      <c r="C1927" s="3" t="s">
        <v>10</v>
      </c>
      <c r="D1927" s="3" t="s">
        <v>9</v>
      </c>
      <c r="E1927" s="3">
        <v>22</v>
      </c>
      <c r="F1927" s="3">
        <v>0</v>
      </c>
      <c r="G1927" s="3">
        <v>0</v>
      </c>
      <c r="H1927" s="3">
        <v>18</v>
      </c>
      <c r="I1927" s="3">
        <v>28</v>
      </c>
      <c r="J1927" s="3">
        <v>0</v>
      </c>
      <c r="K1927" s="3">
        <v>15</v>
      </c>
      <c r="L1927" s="3">
        <v>0</v>
      </c>
      <c r="M1927" s="3">
        <v>30</v>
      </c>
      <c r="N1927" s="3">
        <v>17</v>
      </c>
      <c r="O1927" s="3"/>
      <c r="P1927" s="3"/>
      <c r="Q1927" s="3"/>
    </row>
    <row r="1928" spans="1:17" ht="15" x14ac:dyDescent="0.25">
      <c r="A1928" s="3">
        <f>1921</f>
        <v>1921</v>
      </c>
      <c r="B1928" s="3" t="s">
        <v>1930</v>
      </c>
      <c r="C1928" s="3" t="s">
        <v>10</v>
      </c>
      <c r="D1928" s="3" t="s">
        <v>9</v>
      </c>
      <c r="E1928" s="3">
        <v>22</v>
      </c>
      <c r="F1928" s="3">
        <v>0</v>
      </c>
      <c r="G1928" s="3">
        <v>0</v>
      </c>
      <c r="H1928" s="3">
        <v>18</v>
      </c>
      <c r="I1928" s="3">
        <v>28</v>
      </c>
      <c r="J1928" s="3">
        <v>0</v>
      </c>
      <c r="K1928" s="3">
        <v>15</v>
      </c>
      <c r="L1928" s="3">
        <v>0</v>
      </c>
      <c r="M1928" s="3">
        <v>30</v>
      </c>
      <c r="N1928" s="3">
        <v>17</v>
      </c>
      <c r="O1928" s="3"/>
      <c r="P1928" s="3"/>
      <c r="Q1928" s="3"/>
    </row>
    <row r="1929" spans="1:17" ht="15" x14ac:dyDescent="0.25">
      <c r="A1929" s="3">
        <f>1922</f>
        <v>1922</v>
      </c>
      <c r="B1929" s="3" t="s">
        <v>1931</v>
      </c>
      <c r="C1929" s="3" t="s">
        <v>10</v>
      </c>
      <c r="D1929" s="3" t="s">
        <v>9</v>
      </c>
      <c r="E1929" s="3">
        <v>22</v>
      </c>
      <c r="F1929" s="3">
        <v>0</v>
      </c>
      <c r="G1929" s="3">
        <v>0</v>
      </c>
      <c r="H1929" s="3">
        <v>18</v>
      </c>
      <c r="I1929" s="3">
        <v>28</v>
      </c>
      <c r="J1929" s="3">
        <v>0</v>
      </c>
      <c r="K1929" s="3">
        <v>15</v>
      </c>
      <c r="L1929" s="3">
        <v>0</v>
      </c>
      <c r="M1929" s="3">
        <v>30</v>
      </c>
      <c r="N1929" s="3">
        <v>17</v>
      </c>
      <c r="O1929" s="3"/>
      <c r="P1929" s="3"/>
      <c r="Q1929" s="3"/>
    </row>
    <row r="1930" spans="1:17" ht="15" x14ac:dyDescent="0.25">
      <c r="A1930" s="3">
        <f>1923</f>
        <v>1923</v>
      </c>
      <c r="B1930" s="3" t="s">
        <v>1932</v>
      </c>
      <c r="C1930" s="3" t="s">
        <v>10</v>
      </c>
      <c r="D1930" s="3" t="s">
        <v>9</v>
      </c>
      <c r="E1930" s="3">
        <v>22</v>
      </c>
      <c r="F1930" s="3">
        <v>0</v>
      </c>
      <c r="G1930" s="3">
        <v>0</v>
      </c>
      <c r="H1930" s="3">
        <v>18</v>
      </c>
      <c r="I1930" s="3">
        <v>28</v>
      </c>
      <c r="J1930" s="3">
        <v>0</v>
      </c>
      <c r="K1930" s="3">
        <v>15</v>
      </c>
      <c r="L1930" s="3">
        <v>0</v>
      </c>
      <c r="M1930" s="3">
        <v>30</v>
      </c>
      <c r="N1930" s="3">
        <v>17</v>
      </c>
      <c r="O1930" s="3"/>
      <c r="P1930" s="3"/>
      <c r="Q1930" s="3"/>
    </row>
    <row r="1931" spans="1:17" ht="15" x14ac:dyDescent="0.25">
      <c r="A1931" s="3">
        <f>1924</f>
        <v>1924</v>
      </c>
      <c r="B1931" s="3" t="s">
        <v>1933</v>
      </c>
      <c r="C1931" s="3" t="s">
        <v>10</v>
      </c>
      <c r="D1931" s="3" t="s">
        <v>9</v>
      </c>
      <c r="E1931" s="3">
        <v>22</v>
      </c>
      <c r="F1931" s="3">
        <v>0</v>
      </c>
      <c r="G1931" s="3">
        <v>0</v>
      </c>
      <c r="H1931" s="3">
        <v>18</v>
      </c>
      <c r="I1931" s="3">
        <v>28</v>
      </c>
      <c r="J1931" s="3">
        <v>0</v>
      </c>
      <c r="K1931" s="3">
        <v>15</v>
      </c>
      <c r="L1931" s="3">
        <v>0</v>
      </c>
      <c r="M1931" s="3">
        <v>30</v>
      </c>
      <c r="N1931" s="3">
        <v>17</v>
      </c>
      <c r="O1931" s="3"/>
      <c r="P1931" s="3"/>
      <c r="Q1931" s="3"/>
    </row>
    <row r="1932" spans="1:17" ht="15" x14ac:dyDescent="0.25">
      <c r="A1932" s="3">
        <f>1925</f>
        <v>1925</v>
      </c>
      <c r="B1932" s="3" t="s">
        <v>1934</v>
      </c>
      <c r="C1932" s="3" t="s">
        <v>10</v>
      </c>
      <c r="D1932" s="3" t="s">
        <v>9</v>
      </c>
      <c r="E1932" s="3">
        <v>22</v>
      </c>
      <c r="F1932" s="3">
        <v>0</v>
      </c>
      <c r="G1932" s="3">
        <v>0</v>
      </c>
      <c r="H1932" s="3">
        <v>18</v>
      </c>
      <c r="I1932" s="3">
        <v>28</v>
      </c>
      <c r="J1932" s="3">
        <v>0</v>
      </c>
      <c r="K1932" s="3">
        <v>15</v>
      </c>
      <c r="L1932" s="3">
        <v>0</v>
      </c>
      <c r="M1932" s="3">
        <v>30</v>
      </c>
      <c r="N1932" s="3">
        <v>17</v>
      </c>
      <c r="O1932" s="3"/>
      <c r="P1932" s="3"/>
      <c r="Q1932" s="3"/>
    </row>
    <row r="1933" spans="1:17" ht="15" x14ac:dyDescent="0.25">
      <c r="A1933" s="3">
        <f>1926</f>
        <v>1926</v>
      </c>
      <c r="B1933" s="3" t="s">
        <v>1935</v>
      </c>
      <c r="C1933" s="3" t="s">
        <v>10</v>
      </c>
      <c r="D1933" s="3" t="s">
        <v>9</v>
      </c>
      <c r="E1933" s="3">
        <v>22</v>
      </c>
      <c r="F1933" s="3">
        <v>0</v>
      </c>
      <c r="G1933" s="3">
        <v>0</v>
      </c>
      <c r="H1933" s="3">
        <v>18</v>
      </c>
      <c r="I1933" s="3">
        <v>28</v>
      </c>
      <c r="J1933" s="3">
        <v>0</v>
      </c>
      <c r="K1933" s="3">
        <v>15</v>
      </c>
      <c r="L1933" s="3">
        <v>0</v>
      </c>
      <c r="M1933" s="3">
        <v>30</v>
      </c>
      <c r="N1933" s="3">
        <v>17</v>
      </c>
      <c r="O1933" s="3"/>
      <c r="P1933" s="3"/>
      <c r="Q1933" s="3"/>
    </row>
    <row r="1934" spans="1:17" ht="15" x14ac:dyDescent="0.25">
      <c r="A1934" s="3">
        <f>1927</f>
        <v>1927</v>
      </c>
      <c r="B1934" s="3" t="s">
        <v>1936</v>
      </c>
      <c r="C1934" s="3" t="s">
        <v>10</v>
      </c>
      <c r="D1934" s="3" t="s">
        <v>9</v>
      </c>
      <c r="E1934" s="3">
        <v>22</v>
      </c>
      <c r="F1934" s="3">
        <v>0</v>
      </c>
      <c r="G1934" s="3">
        <v>0</v>
      </c>
      <c r="H1934" s="3">
        <v>18</v>
      </c>
      <c r="I1934" s="3">
        <v>28</v>
      </c>
      <c r="J1934" s="3">
        <v>0</v>
      </c>
      <c r="K1934" s="3">
        <v>15</v>
      </c>
      <c r="L1934" s="3">
        <v>0</v>
      </c>
      <c r="M1934" s="3">
        <v>30</v>
      </c>
      <c r="N1934" s="3">
        <v>17</v>
      </c>
      <c r="O1934" s="3"/>
      <c r="P1934" s="3"/>
      <c r="Q1934" s="3"/>
    </row>
    <row r="1935" spans="1:17" ht="15" x14ac:dyDescent="0.25">
      <c r="A1935" s="3">
        <f>1928</f>
        <v>1928</v>
      </c>
      <c r="B1935" s="3" t="s">
        <v>1937</v>
      </c>
      <c r="C1935" s="3" t="s">
        <v>10</v>
      </c>
      <c r="D1935" s="3" t="s">
        <v>9</v>
      </c>
      <c r="E1935" s="3">
        <v>22</v>
      </c>
      <c r="F1935" s="3">
        <v>0</v>
      </c>
      <c r="G1935" s="3">
        <v>0</v>
      </c>
      <c r="H1935" s="3">
        <v>18</v>
      </c>
      <c r="I1935" s="3">
        <v>28</v>
      </c>
      <c r="J1935" s="3">
        <v>0</v>
      </c>
      <c r="K1935" s="3">
        <v>15</v>
      </c>
      <c r="L1935" s="3">
        <v>0</v>
      </c>
      <c r="M1935" s="3">
        <v>30</v>
      </c>
      <c r="N1935" s="3">
        <v>17</v>
      </c>
      <c r="O1935" s="3"/>
      <c r="P1935" s="3"/>
      <c r="Q1935" s="3"/>
    </row>
    <row r="1936" spans="1:17" ht="15" x14ac:dyDescent="0.25">
      <c r="A1936" s="3">
        <f>1929</f>
        <v>1929</v>
      </c>
      <c r="B1936" s="3" t="s">
        <v>1938</v>
      </c>
      <c r="C1936" s="3" t="s">
        <v>10</v>
      </c>
      <c r="D1936" s="3" t="s">
        <v>9</v>
      </c>
      <c r="E1936" s="3">
        <v>22</v>
      </c>
      <c r="F1936" s="3">
        <v>0</v>
      </c>
      <c r="G1936" s="3">
        <v>0</v>
      </c>
      <c r="H1936" s="3">
        <v>18</v>
      </c>
      <c r="I1936" s="3">
        <v>28</v>
      </c>
      <c r="J1936" s="3">
        <v>0</v>
      </c>
      <c r="K1936" s="3">
        <v>15</v>
      </c>
      <c r="L1936" s="3">
        <v>0</v>
      </c>
      <c r="M1936" s="3">
        <v>30</v>
      </c>
      <c r="N1936" s="3">
        <v>17</v>
      </c>
      <c r="O1936" s="3"/>
      <c r="P1936" s="3"/>
      <c r="Q1936" s="3"/>
    </row>
    <row r="1937" spans="1:17" ht="15" x14ac:dyDescent="0.25">
      <c r="A1937" s="3">
        <f>1930</f>
        <v>1930</v>
      </c>
      <c r="B1937" s="3" t="s">
        <v>1939</v>
      </c>
      <c r="C1937" s="3" t="s">
        <v>10</v>
      </c>
      <c r="D1937" s="3" t="s">
        <v>9</v>
      </c>
      <c r="E1937" s="3">
        <v>22</v>
      </c>
      <c r="F1937" s="3">
        <v>0</v>
      </c>
      <c r="G1937" s="3">
        <v>0</v>
      </c>
      <c r="H1937" s="3">
        <v>18</v>
      </c>
      <c r="I1937" s="3">
        <v>28</v>
      </c>
      <c r="J1937" s="3">
        <v>0</v>
      </c>
      <c r="K1937" s="3">
        <v>15</v>
      </c>
      <c r="L1937" s="3">
        <v>0</v>
      </c>
      <c r="M1937" s="3">
        <v>30</v>
      </c>
      <c r="N1937" s="3">
        <v>17</v>
      </c>
      <c r="O1937" s="3"/>
      <c r="P1937" s="3"/>
      <c r="Q1937" s="3"/>
    </row>
    <row r="1938" spans="1:17" ht="15" x14ac:dyDescent="0.25">
      <c r="A1938" s="3">
        <f>1931</f>
        <v>1931</v>
      </c>
      <c r="B1938" s="3" t="s">
        <v>1940</v>
      </c>
      <c r="C1938" s="3" t="s">
        <v>10</v>
      </c>
      <c r="D1938" s="3" t="s">
        <v>9</v>
      </c>
      <c r="E1938" s="3">
        <v>22</v>
      </c>
      <c r="F1938" s="3">
        <v>0</v>
      </c>
      <c r="G1938" s="3">
        <v>0</v>
      </c>
      <c r="H1938" s="3">
        <v>18</v>
      </c>
      <c r="I1938" s="3">
        <v>28</v>
      </c>
      <c r="J1938" s="3">
        <v>0</v>
      </c>
      <c r="K1938" s="3">
        <v>15</v>
      </c>
      <c r="L1938" s="3">
        <v>0</v>
      </c>
      <c r="M1938" s="3">
        <v>30</v>
      </c>
      <c r="N1938" s="3">
        <v>17</v>
      </c>
      <c r="O1938" s="3"/>
      <c r="P1938" s="3"/>
      <c r="Q1938" s="3"/>
    </row>
    <row r="1939" spans="1:17" ht="15" x14ac:dyDescent="0.25">
      <c r="A1939" s="3">
        <f>1932</f>
        <v>1932</v>
      </c>
      <c r="B1939" s="3" t="s">
        <v>1941</v>
      </c>
      <c r="C1939" s="3" t="s">
        <v>10</v>
      </c>
      <c r="D1939" s="3" t="s">
        <v>9</v>
      </c>
      <c r="E1939" s="3">
        <v>22</v>
      </c>
      <c r="F1939" s="3">
        <v>0</v>
      </c>
      <c r="G1939" s="3">
        <v>0</v>
      </c>
      <c r="H1939" s="3">
        <v>18</v>
      </c>
      <c r="I1939" s="3">
        <v>28</v>
      </c>
      <c r="J1939" s="3">
        <v>0</v>
      </c>
      <c r="K1939" s="3">
        <v>15</v>
      </c>
      <c r="L1939" s="3">
        <v>0</v>
      </c>
      <c r="M1939" s="3">
        <v>30</v>
      </c>
      <c r="N1939" s="3">
        <v>17</v>
      </c>
      <c r="O1939" s="3"/>
      <c r="P1939" s="3"/>
      <c r="Q1939" s="3"/>
    </row>
    <row r="1940" spans="1:17" ht="15" x14ac:dyDescent="0.25">
      <c r="A1940" s="3">
        <f>1933</f>
        <v>1933</v>
      </c>
      <c r="B1940" s="3" t="s">
        <v>1942</v>
      </c>
      <c r="C1940" s="3" t="s">
        <v>10</v>
      </c>
      <c r="D1940" s="3" t="s">
        <v>9</v>
      </c>
      <c r="E1940" s="3">
        <v>22</v>
      </c>
      <c r="F1940" s="3">
        <v>0</v>
      </c>
      <c r="G1940" s="3">
        <v>0</v>
      </c>
      <c r="H1940" s="3">
        <v>18</v>
      </c>
      <c r="I1940" s="3">
        <v>28</v>
      </c>
      <c r="J1940" s="3">
        <v>0</v>
      </c>
      <c r="K1940" s="3">
        <v>15</v>
      </c>
      <c r="L1940" s="3">
        <v>0</v>
      </c>
      <c r="M1940" s="3">
        <v>30</v>
      </c>
      <c r="N1940" s="3">
        <v>17</v>
      </c>
      <c r="O1940" s="3"/>
      <c r="P1940" s="3"/>
      <c r="Q1940" s="3"/>
    </row>
    <row r="1941" spans="1:17" ht="15" x14ac:dyDescent="0.25">
      <c r="A1941" s="3">
        <f>1934</f>
        <v>1934</v>
      </c>
      <c r="B1941" s="3" t="s">
        <v>1943</v>
      </c>
      <c r="C1941" s="3" t="s">
        <v>10</v>
      </c>
      <c r="D1941" s="3" t="s">
        <v>9</v>
      </c>
      <c r="E1941" s="3">
        <v>22</v>
      </c>
      <c r="F1941" s="3">
        <v>0</v>
      </c>
      <c r="G1941" s="3">
        <v>0</v>
      </c>
      <c r="H1941" s="3">
        <v>18</v>
      </c>
      <c r="I1941" s="3">
        <v>28</v>
      </c>
      <c r="J1941" s="3">
        <v>0</v>
      </c>
      <c r="K1941" s="3">
        <v>15</v>
      </c>
      <c r="L1941" s="3">
        <v>0</v>
      </c>
      <c r="M1941" s="3">
        <v>30</v>
      </c>
      <c r="N1941" s="3">
        <v>17</v>
      </c>
      <c r="O1941" s="3"/>
      <c r="P1941" s="3"/>
      <c r="Q1941" s="3"/>
    </row>
    <row r="1942" spans="1:17" ht="15" x14ac:dyDescent="0.25">
      <c r="A1942" s="3">
        <f>1935</f>
        <v>1935</v>
      </c>
      <c r="B1942" s="3" t="s">
        <v>1944</v>
      </c>
      <c r="C1942" s="3" t="s">
        <v>10</v>
      </c>
      <c r="D1942" s="3" t="s">
        <v>9</v>
      </c>
      <c r="E1942" s="3">
        <v>22</v>
      </c>
      <c r="F1942" s="3">
        <v>0</v>
      </c>
      <c r="G1942" s="3">
        <v>0</v>
      </c>
      <c r="H1942" s="3">
        <v>18</v>
      </c>
      <c r="I1942" s="3">
        <v>28</v>
      </c>
      <c r="J1942" s="3">
        <v>0</v>
      </c>
      <c r="K1942" s="3">
        <v>15</v>
      </c>
      <c r="L1942" s="3">
        <v>0</v>
      </c>
      <c r="M1942" s="3">
        <v>30</v>
      </c>
      <c r="N1942" s="3">
        <v>17</v>
      </c>
      <c r="O1942" s="3"/>
      <c r="P1942" s="3"/>
      <c r="Q1942" s="3"/>
    </row>
    <row r="1943" spans="1:17" ht="15" x14ac:dyDescent="0.25">
      <c r="A1943" s="3">
        <f>1936</f>
        <v>1936</v>
      </c>
      <c r="B1943" s="3" t="s">
        <v>1945</v>
      </c>
      <c r="C1943" s="3" t="s">
        <v>10</v>
      </c>
      <c r="D1943" s="3" t="s">
        <v>9</v>
      </c>
      <c r="E1943" s="3">
        <v>22</v>
      </c>
      <c r="F1943" s="3">
        <v>0</v>
      </c>
      <c r="G1943" s="3">
        <v>0</v>
      </c>
      <c r="H1943" s="3">
        <v>18</v>
      </c>
      <c r="I1943" s="3">
        <v>28</v>
      </c>
      <c r="J1943" s="3">
        <v>0</v>
      </c>
      <c r="K1943" s="3">
        <v>15</v>
      </c>
      <c r="L1943" s="3">
        <v>0</v>
      </c>
      <c r="M1943" s="3">
        <v>30</v>
      </c>
      <c r="N1943" s="3">
        <v>17</v>
      </c>
      <c r="O1943" s="3"/>
      <c r="P1943" s="3"/>
      <c r="Q1943" s="3"/>
    </row>
    <row r="1944" spans="1:17" ht="15" x14ac:dyDescent="0.25">
      <c r="A1944" s="3">
        <f>1937</f>
        <v>1937</v>
      </c>
      <c r="B1944" s="3" t="s">
        <v>1946</v>
      </c>
      <c r="C1944" s="3" t="s">
        <v>10</v>
      </c>
      <c r="D1944" s="3" t="s">
        <v>9</v>
      </c>
      <c r="E1944" s="3">
        <v>22</v>
      </c>
      <c r="F1944" s="3">
        <v>0</v>
      </c>
      <c r="G1944" s="3">
        <v>0</v>
      </c>
      <c r="H1944" s="3">
        <v>18</v>
      </c>
      <c r="I1944" s="3">
        <v>28</v>
      </c>
      <c r="J1944" s="3">
        <v>0</v>
      </c>
      <c r="K1944" s="3">
        <v>15</v>
      </c>
      <c r="L1944" s="3">
        <v>0</v>
      </c>
      <c r="M1944" s="3">
        <v>30</v>
      </c>
      <c r="N1944" s="3">
        <v>17</v>
      </c>
      <c r="O1944" s="3"/>
      <c r="P1944" s="3"/>
      <c r="Q1944" s="3"/>
    </row>
    <row r="1945" spans="1:17" ht="15" x14ac:dyDescent="0.25">
      <c r="A1945" s="3">
        <f>1938</f>
        <v>1938</v>
      </c>
      <c r="B1945" s="3" t="s">
        <v>1947</v>
      </c>
      <c r="C1945" s="3" t="s">
        <v>10</v>
      </c>
      <c r="D1945" s="3" t="s">
        <v>9</v>
      </c>
      <c r="E1945" s="3">
        <v>22</v>
      </c>
      <c r="F1945" s="3">
        <v>0</v>
      </c>
      <c r="G1945" s="3">
        <v>0</v>
      </c>
      <c r="H1945" s="3">
        <v>18</v>
      </c>
      <c r="I1945" s="3">
        <v>28</v>
      </c>
      <c r="J1945" s="3">
        <v>0</v>
      </c>
      <c r="K1945" s="3">
        <v>15</v>
      </c>
      <c r="L1945" s="3">
        <v>0</v>
      </c>
      <c r="M1945" s="3">
        <v>30</v>
      </c>
      <c r="N1945" s="3">
        <v>17</v>
      </c>
      <c r="O1945" s="3"/>
      <c r="P1945" s="3"/>
      <c r="Q1945" s="3"/>
    </row>
    <row r="1946" spans="1:17" ht="15" x14ac:dyDescent="0.25">
      <c r="A1946" s="3">
        <f>1939</f>
        <v>1939</v>
      </c>
      <c r="B1946" s="3" t="s">
        <v>1948</v>
      </c>
      <c r="C1946" s="3" t="s">
        <v>10</v>
      </c>
      <c r="D1946" s="3" t="s">
        <v>9</v>
      </c>
      <c r="E1946" s="3">
        <v>22</v>
      </c>
      <c r="F1946" s="3">
        <v>0</v>
      </c>
      <c r="G1946" s="3">
        <v>0</v>
      </c>
      <c r="H1946" s="3">
        <v>18</v>
      </c>
      <c r="I1946" s="3">
        <v>28</v>
      </c>
      <c r="J1946" s="3">
        <v>0</v>
      </c>
      <c r="K1946" s="3">
        <v>15</v>
      </c>
      <c r="L1946" s="3">
        <v>0</v>
      </c>
      <c r="M1946" s="3">
        <v>30</v>
      </c>
      <c r="N1946" s="3">
        <v>17</v>
      </c>
      <c r="O1946" s="3"/>
      <c r="P1946" s="3"/>
      <c r="Q1946" s="3"/>
    </row>
    <row r="1947" spans="1:17" ht="15" x14ac:dyDescent="0.25">
      <c r="A1947" s="3">
        <f>1940</f>
        <v>1940</v>
      </c>
      <c r="B1947" s="3" t="s">
        <v>1949</v>
      </c>
      <c r="C1947" s="3" t="s">
        <v>10</v>
      </c>
      <c r="D1947" s="3" t="s">
        <v>9</v>
      </c>
      <c r="E1947" s="3">
        <v>22</v>
      </c>
      <c r="F1947" s="3">
        <v>0</v>
      </c>
      <c r="G1947" s="3">
        <v>0</v>
      </c>
      <c r="H1947" s="3">
        <v>18</v>
      </c>
      <c r="I1947" s="3">
        <v>28</v>
      </c>
      <c r="J1947" s="3">
        <v>0</v>
      </c>
      <c r="K1947" s="3">
        <v>15</v>
      </c>
      <c r="L1947" s="3">
        <v>0</v>
      </c>
      <c r="M1947" s="3">
        <v>30</v>
      </c>
      <c r="N1947" s="3">
        <v>17</v>
      </c>
      <c r="O1947" s="3"/>
      <c r="P1947" s="3"/>
      <c r="Q1947" s="3"/>
    </row>
    <row r="1948" spans="1:17" ht="15" x14ac:dyDescent="0.25">
      <c r="A1948" s="3">
        <f>1941</f>
        <v>1941</v>
      </c>
      <c r="B1948" s="3" t="s">
        <v>1950</v>
      </c>
      <c r="C1948" s="3" t="s">
        <v>10</v>
      </c>
      <c r="D1948" s="3" t="s">
        <v>9</v>
      </c>
      <c r="E1948" s="3">
        <v>22</v>
      </c>
      <c r="F1948" s="3">
        <v>0</v>
      </c>
      <c r="G1948" s="3">
        <v>0</v>
      </c>
      <c r="H1948" s="3">
        <v>18</v>
      </c>
      <c r="I1948" s="3">
        <v>28</v>
      </c>
      <c r="J1948" s="3">
        <v>0</v>
      </c>
      <c r="K1948" s="3">
        <v>15</v>
      </c>
      <c r="L1948" s="3">
        <v>0</v>
      </c>
      <c r="M1948" s="3">
        <v>30</v>
      </c>
      <c r="N1948" s="3">
        <v>17</v>
      </c>
      <c r="O1948" s="3"/>
      <c r="P1948" s="3"/>
      <c r="Q1948" s="3"/>
    </row>
    <row r="1949" spans="1:17" ht="15" x14ac:dyDescent="0.25">
      <c r="A1949" s="3">
        <f>1942</f>
        <v>1942</v>
      </c>
      <c r="B1949" s="3" t="s">
        <v>1951</v>
      </c>
      <c r="C1949" s="3" t="s">
        <v>10</v>
      </c>
      <c r="D1949" s="3" t="s">
        <v>9</v>
      </c>
      <c r="E1949" s="3">
        <v>22</v>
      </c>
      <c r="F1949" s="3">
        <v>0</v>
      </c>
      <c r="G1949" s="3">
        <v>0</v>
      </c>
      <c r="H1949" s="3">
        <v>18</v>
      </c>
      <c r="I1949" s="3">
        <v>28</v>
      </c>
      <c r="J1949" s="3">
        <v>0</v>
      </c>
      <c r="K1949" s="3">
        <v>15</v>
      </c>
      <c r="L1949" s="3">
        <v>0</v>
      </c>
      <c r="M1949" s="3">
        <v>30</v>
      </c>
      <c r="N1949" s="3">
        <v>17</v>
      </c>
      <c r="O1949" s="3"/>
      <c r="P1949" s="3"/>
      <c r="Q1949" s="3"/>
    </row>
    <row r="1950" spans="1:17" ht="15" x14ac:dyDescent="0.25">
      <c r="A1950" s="3">
        <f>1943</f>
        <v>1943</v>
      </c>
      <c r="B1950" s="3" t="s">
        <v>1952</v>
      </c>
      <c r="C1950" s="3" t="s">
        <v>10</v>
      </c>
      <c r="D1950" s="3" t="s">
        <v>9</v>
      </c>
      <c r="E1950" s="3">
        <v>22</v>
      </c>
      <c r="F1950" s="3">
        <v>0</v>
      </c>
      <c r="G1950" s="3">
        <v>0</v>
      </c>
      <c r="H1950" s="3">
        <v>18</v>
      </c>
      <c r="I1950" s="3">
        <v>28</v>
      </c>
      <c r="J1950" s="3">
        <v>0</v>
      </c>
      <c r="K1950" s="3">
        <v>15</v>
      </c>
      <c r="L1950" s="3">
        <v>0</v>
      </c>
      <c r="M1950" s="3">
        <v>30</v>
      </c>
      <c r="N1950" s="3">
        <v>17</v>
      </c>
      <c r="O1950" s="3"/>
      <c r="P1950" s="3"/>
      <c r="Q1950" s="3"/>
    </row>
    <row r="1951" spans="1:17" ht="15" x14ac:dyDescent="0.25">
      <c r="A1951" s="3">
        <f>1944</f>
        <v>1944</v>
      </c>
      <c r="B1951" s="3" t="s">
        <v>1953</v>
      </c>
      <c r="C1951" s="3" t="s">
        <v>10</v>
      </c>
      <c r="D1951" s="3" t="s">
        <v>9</v>
      </c>
      <c r="E1951" s="3">
        <v>22</v>
      </c>
      <c r="F1951" s="3">
        <v>0</v>
      </c>
      <c r="G1951" s="3">
        <v>0</v>
      </c>
      <c r="H1951" s="3">
        <v>18</v>
      </c>
      <c r="I1951" s="3">
        <v>28</v>
      </c>
      <c r="J1951" s="3">
        <v>0</v>
      </c>
      <c r="K1951" s="3">
        <v>15</v>
      </c>
      <c r="L1951" s="3">
        <v>0</v>
      </c>
      <c r="M1951" s="3">
        <v>30</v>
      </c>
      <c r="N1951" s="3">
        <v>17</v>
      </c>
      <c r="O1951" s="3"/>
      <c r="P1951" s="3"/>
      <c r="Q1951" s="3"/>
    </row>
    <row r="1952" spans="1:17" ht="15" x14ac:dyDescent="0.25">
      <c r="A1952" s="3">
        <f>1945</f>
        <v>1945</v>
      </c>
      <c r="B1952" s="3" t="s">
        <v>1954</v>
      </c>
      <c r="C1952" s="3" t="s">
        <v>10</v>
      </c>
      <c r="D1952" s="3" t="s">
        <v>9</v>
      </c>
      <c r="E1952" s="3">
        <v>22</v>
      </c>
      <c r="F1952" s="3">
        <v>0</v>
      </c>
      <c r="G1952" s="3">
        <v>0</v>
      </c>
      <c r="H1952" s="3">
        <v>18</v>
      </c>
      <c r="I1952" s="3">
        <v>28</v>
      </c>
      <c r="J1952" s="3">
        <v>0</v>
      </c>
      <c r="K1952" s="3">
        <v>15</v>
      </c>
      <c r="L1952" s="3">
        <v>0</v>
      </c>
      <c r="M1952" s="3">
        <v>30</v>
      </c>
      <c r="N1952" s="3">
        <v>17</v>
      </c>
      <c r="O1952" s="3"/>
      <c r="P1952" s="3"/>
      <c r="Q1952" s="3"/>
    </row>
    <row r="1953" spans="1:17" ht="15" x14ac:dyDescent="0.25">
      <c r="A1953" s="3">
        <f>1946</f>
        <v>1946</v>
      </c>
      <c r="B1953" s="3" t="s">
        <v>1955</v>
      </c>
      <c r="C1953" s="3" t="s">
        <v>10</v>
      </c>
      <c r="D1953" s="3" t="s">
        <v>9</v>
      </c>
      <c r="E1953" s="3">
        <v>22</v>
      </c>
      <c r="F1953" s="3">
        <v>0</v>
      </c>
      <c r="G1953" s="3">
        <v>0</v>
      </c>
      <c r="H1953" s="3">
        <v>18</v>
      </c>
      <c r="I1953" s="3">
        <v>28</v>
      </c>
      <c r="J1953" s="3">
        <v>0</v>
      </c>
      <c r="K1953" s="3">
        <v>15</v>
      </c>
      <c r="L1953" s="3">
        <v>0</v>
      </c>
      <c r="M1953" s="3">
        <v>30</v>
      </c>
      <c r="N1953" s="3">
        <v>17</v>
      </c>
      <c r="O1953" s="3"/>
      <c r="P1953" s="3"/>
      <c r="Q1953" s="3"/>
    </row>
    <row r="1954" spans="1:17" ht="15" x14ac:dyDescent="0.25">
      <c r="A1954" s="3">
        <f>1947</f>
        <v>1947</v>
      </c>
      <c r="B1954" s="3" t="s">
        <v>1956</v>
      </c>
      <c r="C1954" s="3" t="s">
        <v>10</v>
      </c>
      <c r="D1954" s="3" t="s">
        <v>9</v>
      </c>
      <c r="E1954" s="3">
        <v>22</v>
      </c>
      <c r="F1954" s="3">
        <v>0</v>
      </c>
      <c r="G1954" s="3">
        <v>0</v>
      </c>
      <c r="H1954" s="3">
        <v>18</v>
      </c>
      <c r="I1954" s="3">
        <v>28</v>
      </c>
      <c r="J1954" s="3">
        <v>0</v>
      </c>
      <c r="K1954" s="3">
        <v>15</v>
      </c>
      <c r="L1954" s="3">
        <v>0</v>
      </c>
      <c r="M1954" s="3">
        <v>30</v>
      </c>
      <c r="N1954" s="3">
        <v>17</v>
      </c>
      <c r="O1954" s="3"/>
      <c r="P1954" s="3"/>
      <c r="Q1954" s="3"/>
    </row>
    <row r="1955" spans="1:17" ht="15" x14ac:dyDescent="0.25">
      <c r="A1955" s="3">
        <f>1948</f>
        <v>1948</v>
      </c>
      <c r="B1955" s="3" t="s">
        <v>1957</v>
      </c>
      <c r="C1955" s="3" t="s">
        <v>10</v>
      </c>
      <c r="D1955" s="3" t="s">
        <v>9</v>
      </c>
      <c r="E1955" s="3">
        <v>22</v>
      </c>
      <c r="F1955" s="3">
        <v>0</v>
      </c>
      <c r="G1955" s="3">
        <v>0</v>
      </c>
      <c r="H1955" s="3">
        <v>18</v>
      </c>
      <c r="I1955" s="3">
        <v>28</v>
      </c>
      <c r="J1955" s="3">
        <v>0</v>
      </c>
      <c r="K1955" s="3">
        <v>15</v>
      </c>
      <c r="L1955" s="3">
        <v>0</v>
      </c>
      <c r="M1955" s="3">
        <v>30</v>
      </c>
      <c r="N1955" s="3">
        <v>17</v>
      </c>
      <c r="O1955" s="3"/>
      <c r="P1955" s="3"/>
      <c r="Q1955" s="3"/>
    </row>
    <row r="1956" spans="1:17" ht="15" x14ac:dyDescent="0.25">
      <c r="A1956" s="3">
        <f>1949</f>
        <v>1949</v>
      </c>
      <c r="B1956" s="3" t="s">
        <v>1958</v>
      </c>
      <c r="C1956" s="3" t="s">
        <v>10</v>
      </c>
      <c r="D1956" s="3" t="s">
        <v>9</v>
      </c>
      <c r="E1956" s="3">
        <v>22</v>
      </c>
      <c r="F1956" s="3">
        <v>0</v>
      </c>
      <c r="G1956" s="3">
        <v>0</v>
      </c>
      <c r="H1956" s="3">
        <v>18</v>
      </c>
      <c r="I1956" s="3">
        <v>28</v>
      </c>
      <c r="J1956" s="3">
        <v>0</v>
      </c>
      <c r="K1956" s="3">
        <v>15</v>
      </c>
      <c r="L1956" s="3">
        <v>0</v>
      </c>
      <c r="M1956" s="3">
        <v>30</v>
      </c>
      <c r="N1956" s="3">
        <v>17</v>
      </c>
      <c r="O1956" s="3"/>
      <c r="P1956" s="3"/>
      <c r="Q1956" s="3"/>
    </row>
    <row r="1957" spans="1:17" ht="15" x14ac:dyDescent="0.25">
      <c r="A1957" s="3">
        <f>1950</f>
        <v>1950</v>
      </c>
      <c r="B1957" s="3" t="s">
        <v>1959</v>
      </c>
      <c r="C1957" s="3" t="s">
        <v>10</v>
      </c>
      <c r="D1957" s="3" t="s">
        <v>9</v>
      </c>
      <c r="E1957" s="3">
        <v>22</v>
      </c>
      <c r="F1957" s="3">
        <v>0</v>
      </c>
      <c r="G1957" s="3">
        <v>0</v>
      </c>
      <c r="H1957" s="3">
        <v>18</v>
      </c>
      <c r="I1957" s="3">
        <v>28</v>
      </c>
      <c r="J1957" s="3">
        <v>0</v>
      </c>
      <c r="K1957" s="3">
        <v>15</v>
      </c>
      <c r="L1957" s="3">
        <v>0</v>
      </c>
      <c r="M1957" s="3">
        <v>30</v>
      </c>
      <c r="N1957" s="3">
        <v>17</v>
      </c>
      <c r="O1957" s="3"/>
      <c r="P1957" s="3"/>
      <c r="Q1957" s="3"/>
    </row>
    <row r="1958" spans="1:17" ht="15" x14ac:dyDescent="0.25">
      <c r="A1958" s="3">
        <f>1951</f>
        <v>1951</v>
      </c>
      <c r="B1958" s="3" t="s">
        <v>1960</v>
      </c>
      <c r="C1958" s="3" t="s">
        <v>10</v>
      </c>
      <c r="D1958" s="3" t="s">
        <v>9</v>
      </c>
      <c r="E1958" s="3">
        <v>22</v>
      </c>
      <c r="F1958" s="3">
        <v>0</v>
      </c>
      <c r="G1958" s="3">
        <v>0</v>
      </c>
      <c r="H1958" s="3">
        <v>18</v>
      </c>
      <c r="I1958" s="3">
        <v>28</v>
      </c>
      <c r="J1958" s="3">
        <v>0</v>
      </c>
      <c r="K1958" s="3">
        <v>15</v>
      </c>
      <c r="L1958" s="3">
        <v>0</v>
      </c>
      <c r="M1958" s="3">
        <v>30</v>
      </c>
      <c r="N1958" s="3">
        <v>17</v>
      </c>
      <c r="O1958" s="3"/>
      <c r="P1958" s="3"/>
      <c r="Q1958" s="3"/>
    </row>
    <row r="1959" spans="1:17" ht="15" x14ac:dyDescent="0.25">
      <c r="A1959" s="3">
        <f>1952</f>
        <v>1952</v>
      </c>
      <c r="B1959" s="3" t="s">
        <v>1961</v>
      </c>
      <c r="C1959" s="3" t="s">
        <v>10</v>
      </c>
      <c r="D1959" s="3" t="s">
        <v>9</v>
      </c>
      <c r="E1959" s="3">
        <v>22</v>
      </c>
      <c r="F1959" s="3">
        <v>0</v>
      </c>
      <c r="G1959" s="3">
        <v>0</v>
      </c>
      <c r="H1959" s="3">
        <v>18</v>
      </c>
      <c r="I1959" s="3">
        <v>28</v>
      </c>
      <c r="J1959" s="3">
        <v>0</v>
      </c>
      <c r="K1959" s="3">
        <v>15</v>
      </c>
      <c r="L1959" s="3">
        <v>0</v>
      </c>
      <c r="M1959" s="3">
        <v>30</v>
      </c>
      <c r="N1959" s="3">
        <v>17</v>
      </c>
      <c r="O1959" s="3"/>
      <c r="P1959" s="3"/>
      <c r="Q1959" s="3"/>
    </row>
    <row r="1960" spans="1:17" ht="15" x14ac:dyDescent="0.25">
      <c r="A1960" s="3">
        <f>1953</f>
        <v>1953</v>
      </c>
      <c r="B1960" s="3" t="s">
        <v>1962</v>
      </c>
      <c r="C1960" s="3" t="s">
        <v>10</v>
      </c>
      <c r="D1960" s="3" t="s">
        <v>9</v>
      </c>
      <c r="E1960" s="3">
        <v>22</v>
      </c>
      <c r="F1960" s="3">
        <v>0</v>
      </c>
      <c r="G1960" s="3">
        <v>0</v>
      </c>
      <c r="H1960" s="3">
        <v>18</v>
      </c>
      <c r="I1960" s="3">
        <v>28</v>
      </c>
      <c r="J1960" s="3">
        <v>0</v>
      </c>
      <c r="K1960" s="3">
        <v>15</v>
      </c>
      <c r="L1960" s="3">
        <v>0</v>
      </c>
      <c r="M1960" s="3">
        <v>30</v>
      </c>
      <c r="N1960" s="3">
        <v>17</v>
      </c>
      <c r="O1960" s="3"/>
      <c r="P1960" s="3"/>
      <c r="Q1960" s="3"/>
    </row>
    <row r="1961" spans="1:17" ht="15" x14ac:dyDescent="0.25">
      <c r="A1961" s="3">
        <f>1954</f>
        <v>1954</v>
      </c>
      <c r="B1961" s="3" t="s">
        <v>1963</v>
      </c>
      <c r="C1961" s="3" t="s">
        <v>10</v>
      </c>
      <c r="D1961" s="3" t="s">
        <v>9</v>
      </c>
      <c r="E1961" s="3">
        <v>22</v>
      </c>
      <c r="F1961" s="3">
        <v>0</v>
      </c>
      <c r="G1961" s="3">
        <v>0</v>
      </c>
      <c r="H1961" s="3">
        <v>18</v>
      </c>
      <c r="I1961" s="3">
        <v>28</v>
      </c>
      <c r="J1961" s="3">
        <v>0</v>
      </c>
      <c r="K1961" s="3">
        <v>15</v>
      </c>
      <c r="L1961" s="3">
        <v>0</v>
      </c>
      <c r="M1961" s="3">
        <v>30</v>
      </c>
      <c r="N1961" s="3">
        <v>17</v>
      </c>
      <c r="O1961" s="3"/>
      <c r="P1961" s="3"/>
      <c r="Q1961" s="3"/>
    </row>
    <row r="1962" spans="1:17" ht="15" x14ac:dyDescent="0.25">
      <c r="A1962" s="3">
        <f>1955</f>
        <v>1955</v>
      </c>
      <c r="B1962" s="3" t="s">
        <v>1964</v>
      </c>
      <c r="C1962" s="3" t="s">
        <v>10</v>
      </c>
      <c r="D1962" s="3" t="s">
        <v>9</v>
      </c>
      <c r="E1962" s="3">
        <v>22</v>
      </c>
      <c r="F1962" s="3">
        <v>0</v>
      </c>
      <c r="G1962" s="3">
        <v>0</v>
      </c>
      <c r="H1962" s="3">
        <v>18</v>
      </c>
      <c r="I1962" s="3">
        <v>28</v>
      </c>
      <c r="J1962" s="3">
        <v>0</v>
      </c>
      <c r="K1962" s="3">
        <v>15</v>
      </c>
      <c r="L1962" s="3">
        <v>0</v>
      </c>
      <c r="M1962" s="3">
        <v>30</v>
      </c>
      <c r="N1962" s="3">
        <v>17</v>
      </c>
      <c r="O1962" s="3"/>
      <c r="P1962" s="3"/>
      <c r="Q1962" s="3"/>
    </row>
    <row r="1963" spans="1:17" ht="15" x14ac:dyDescent="0.25">
      <c r="A1963" s="3">
        <f>1956</f>
        <v>1956</v>
      </c>
      <c r="B1963" s="3" t="s">
        <v>1965</v>
      </c>
      <c r="C1963" s="3" t="s">
        <v>10</v>
      </c>
      <c r="D1963" s="3" t="s">
        <v>9</v>
      </c>
      <c r="E1963" s="3">
        <v>22</v>
      </c>
      <c r="F1963" s="3">
        <v>0</v>
      </c>
      <c r="G1963" s="3">
        <v>0</v>
      </c>
      <c r="H1963" s="3">
        <v>18</v>
      </c>
      <c r="I1963" s="3">
        <v>28</v>
      </c>
      <c r="J1963" s="3">
        <v>0</v>
      </c>
      <c r="K1963" s="3">
        <v>15</v>
      </c>
      <c r="L1963" s="3">
        <v>0</v>
      </c>
      <c r="M1963" s="3">
        <v>30</v>
      </c>
      <c r="N1963" s="3">
        <v>17</v>
      </c>
      <c r="O1963" s="3"/>
      <c r="P1963" s="3"/>
      <c r="Q1963" s="3"/>
    </row>
    <row r="1964" spans="1:17" ht="15" x14ac:dyDescent="0.25">
      <c r="A1964" s="3">
        <f>1957</f>
        <v>1957</v>
      </c>
      <c r="B1964" s="3" t="s">
        <v>1966</v>
      </c>
      <c r="C1964" s="3" t="s">
        <v>10</v>
      </c>
      <c r="D1964" s="3" t="s">
        <v>9</v>
      </c>
      <c r="E1964" s="3">
        <v>22</v>
      </c>
      <c r="F1964" s="3">
        <v>0</v>
      </c>
      <c r="G1964" s="3">
        <v>0</v>
      </c>
      <c r="H1964" s="3">
        <v>18</v>
      </c>
      <c r="I1964" s="3">
        <v>28</v>
      </c>
      <c r="J1964" s="3">
        <v>0</v>
      </c>
      <c r="K1964" s="3">
        <v>15</v>
      </c>
      <c r="L1964" s="3">
        <v>0</v>
      </c>
      <c r="M1964" s="3">
        <v>30</v>
      </c>
      <c r="N1964" s="3">
        <v>17</v>
      </c>
      <c r="O1964" s="3"/>
      <c r="P1964" s="3"/>
      <c r="Q1964" s="3"/>
    </row>
    <row r="1965" spans="1:17" ht="15" x14ac:dyDescent="0.25">
      <c r="A1965" s="3">
        <f>1958</f>
        <v>1958</v>
      </c>
      <c r="B1965" s="3" t="s">
        <v>1967</v>
      </c>
      <c r="C1965" s="3" t="s">
        <v>10</v>
      </c>
      <c r="D1965" s="3" t="s">
        <v>9</v>
      </c>
      <c r="E1965" s="3">
        <v>22</v>
      </c>
      <c r="F1965" s="3">
        <v>0</v>
      </c>
      <c r="G1965" s="3">
        <v>0</v>
      </c>
      <c r="H1965" s="3">
        <v>18</v>
      </c>
      <c r="I1965" s="3">
        <v>28</v>
      </c>
      <c r="J1965" s="3">
        <v>0</v>
      </c>
      <c r="K1965" s="3">
        <v>15</v>
      </c>
      <c r="L1965" s="3">
        <v>0</v>
      </c>
      <c r="M1965" s="3">
        <v>30</v>
      </c>
      <c r="N1965" s="3">
        <v>17</v>
      </c>
      <c r="O1965" s="3"/>
      <c r="P1965" s="3"/>
      <c r="Q1965" s="3"/>
    </row>
    <row r="1966" spans="1:17" ht="15" x14ac:dyDescent="0.25">
      <c r="A1966" s="3">
        <f>1959</f>
        <v>1959</v>
      </c>
      <c r="B1966" s="3" t="s">
        <v>1968</v>
      </c>
      <c r="C1966" s="3" t="s">
        <v>10</v>
      </c>
      <c r="D1966" s="3" t="s">
        <v>9</v>
      </c>
      <c r="E1966" s="3">
        <v>22</v>
      </c>
      <c r="F1966" s="3">
        <v>0</v>
      </c>
      <c r="G1966" s="3">
        <v>0</v>
      </c>
      <c r="H1966" s="3">
        <v>18</v>
      </c>
      <c r="I1966" s="3">
        <v>28</v>
      </c>
      <c r="J1966" s="3">
        <v>0</v>
      </c>
      <c r="K1966" s="3">
        <v>15</v>
      </c>
      <c r="L1966" s="3">
        <v>0</v>
      </c>
      <c r="M1966" s="3">
        <v>30</v>
      </c>
      <c r="N1966" s="3">
        <v>17</v>
      </c>
      <c r="O1966" s="3"/>
      <c r="P1966" s="3"/>
      <c r="Q1966" s="3"/>
    </row>
    <row r="1967" spans="1:17" ht="15" x14ac:dyDescent="0.25">
      <c r="A1967" s="3">
        <f>1960</f>
        <v>1960</v>
      </c>
      <c r="B1967" s="3" t="s">
        <v>1969</v>
      </c>
      <c r="C1967" s="3" t="s">
        <v>10</v>
      </c>
      <c r="D1967" s="3" t="s">
        <v>9</v>
      </c>
      <c r="E1967" s="3">
        <v>22</v>
      </c>
      <c r="F1967" s="3">
        <v>0</v>
      </c>
      <c r="G1967" s="3">
        <v>0</v>
      </c>
      <c r="H1967" s="3">
        <v>18</v>
      </c>
      <c r="I1967" s="3">
        <v>28</v>
      </c>
      <c r="J1967" s="3">
        <v>0</v>
      </c>
      <c r="K1967" s="3">
        <v>15</v>
      </c>
      <c r="L1967" s="3">
        <v>0</v>
      </c>
      <c r="M1967" s="3">
        <v>30</v>
      </c>
      <c r="N1967" s="3">
        <v>17</v>
      </c>
      <c r="O1967" s="3"/>
      <c r="P1967" s="3"/>
      <c r="Q1967" s="3"/>
    </row>
    <row r="1968" spans="1:17" ht="15" x14ac:dyDescent="0.25">
      <c r="A1968" s="3">
        <f>1961</f>
        <v>1961</v>
      </c>
      <c r="B1968" s="3" t="s">
        <v>1970</v>
      </c>
      <c r="C1968" s="3" t="s">
        <v>10</v>
      </c>
      <c r="D1968" s="3" t="s">
        <v>9</v>
      </c>
      <c r="E1968" s="3">
        <v>22</v>
      </c>
      <c r="F1968" s="3">
        <v>0</v>
      </c>
      <c r="G1968" s="3">
        <v>0</v>
      </c>
      <c r="H1968" s="3">
        <v>18</v>
      </c>
      <c r="I1968" s="3">
        <v>28</v>
      </c>
      <c r="J1968" s="3">
        <v>0</v>
      </c>
      <c r="K1968" s="3">
        <v>15</v>
      </c>
      <c r="L1968" s="3">
        <v>0</v>
      </c>
      <c r="M1968" s="3">
        <v>30</v>
      </c>
      <c r="N1968" s="3">
        <v>17</v>
      </c>
      <c r="O1968" s="3"/>
      <c r="P1968" s="3"/>
      <c r="Q1968" s="3"/>
    </row>
    <row r="1969" spans="1:17" ht="15" x14ac:dyDescent="0.25">
      <c r="A1969" s="3">
        <f>1962</f>
        <v>1962</v>
      </c>
      <c r="B1969" s="3" t="s">
        <v>1971</v>
      </c>
      <c r="C1969" s="3" t="s">
        <v>10</v>
      </c>
      <c r="D1969" s="3" t="s">
        <v>9</v>
      </c>
      <c r="E1969" s="3">
        <v>22</v>
      </c>
      <c r="F1969" s="3">
        <v>0</v>
      </c>
      <c r="G1969" s="3">
        <v>0</v>
      </c>
      <c r="H1969" s="3">
        <v>18</v>
      </c>
      <c r="I1969" s="3">
        <v>28</v>
      </c>
      <c r="J1969" s="3">
        <v>0</v>
      </c>
      <c r="K1969" s="3">
        <v>15</v>
      </c>
      <c r="L1969" s="3">
        <v>0</v>
      </c>
      <c r="M1969" s="3">
        <v>30</v>
      </c>
      <c r="N1969" s="3">
        <v>17</v>
      </c>
      <c r="O1969" s="3"/>
      <c r="P1969" s="3"/>
      <c r="Q1969" s="3"/>
    </row>
    <row r="1970" spans="1:17" ht="15" x14ac:dyDescent="0.25">
      <c r="A1970" s="3">
        <f>1963</f>
        <v>1963</v>
      </c>
      <c r="B1970" s="3" t="s">
        <v>1972</v>
      </c>
      <c r="C1970" s="3" t="s">
        <v>10</v>
      </c>
      <c r="D1970" s="3" t="s">
        <v>9</v>
      </c>
      <c r="E1970" s="3">
        <v>22</v>
      </c>
      <c r="F1970" s="3">
        <v>0</v>
      </c>
      <c r="G1970" s="3">
        <v>0</v>
      </c>
      <c r="H1970" s="3">
        <v>18</v>
      </c>
      <c r="I1970" s="3">
        <v>28</v>
      </c>
      <c r="J1970" s="3">
        <v>0</v>
      </c>
      <c r="K1970" s="3">
        <v>15</v>
      </c>
      <c r="L1970" s="3">
        <v>0</v>
      </c>
      <c r="M1970" s="3">
        <v>30</v>
      </c>
      <c r="N1970" s="3">
        <v>17</v>
      </c>
      <c r="O1970" s="3"/>
      <c r="P1970" s="3"/>
      <c r="Q1970" s="3"/>
    </row>
    <row r="1971" spans="1:17" ht="15" x14ac:dyDescent="0.25">
      <c r="A1971" s="3">
        <f>1964</f>
        <v>1964</v>
      </c>
      <c r="B1971" s="3" t="s">
        <v>1973</v>
      </c>
      <c r="C1971" s="3" t="s">
        <v>10</v>
      </c>
      <c r="D1971" s="3" t="s">
        <v>9</v>
      </c>
      <c r="E1971" s="3">
        <v>22</v>
      </c>
      <c r="F1971" s="3">
        <v>0</v>
      </c>
      <c r="G1971" s="3">
        <v>0</v>
      </c>
      <c r="H1971" s="3">
        <v>18</v>
      </c>
      <c r="I1971" s="3">
        <v>28</v>
      </c>
      <c r="J1971" s="3">
        <v>0</v>
      </c>
      <c r="K1971" s="3">
        <v>15</v>
      </c>
      <c r="L1971" s="3">
        <v>0</v>
      </c>
      <c r="M1971" s="3">
        <v>30</v>
      </c>
      <c r="N1971" s="3">
        <v>17</v>
      </c>
      <c r="O1971" s="3"/>
      <c r="P1971" s="3"/>
      <c r="Q1971" s="3"/>
    </row>
    <row r="1972" spans="1:17" ht="15" x14ac:dyDescent="0.25">
      <c r="A1972" s="3">
        <f>1965</f>
        <v>1965</v>
      </c>
      <c r="B1972" s="3" t="s">
        <v>1974</v>
      </c>
      <c r="C1972" s="3" t="s">
        <v>10</v>
      </c>
      <c r="D1972" s="3" t="s">
        <v>9</v>
      </c>
      <c r="E1972" s="3">
        <v>22</v>
      </c>
      <c r="F1972" s="3">
        <v>0</v>
      </c>
      <c r="G1972" s="3">
        <v>0</v>
      </c>
      <c r="H1972" s="3">
        <v>18</v>
      </c>
      <c r="I1972" s="3">
        <v>28</v>
      </c>
      <c r="J1972" s="3">
        <v>0</v>
      </c>
      <c r="K1972" s="3">
        <v>15</v>
      </c>
      <c r="L1972" s="3">
        <v>0</v>
      </c>
      <c r="M1972" s="3">
        <v>30</v>
      </c>
      <c r="N1972" s="3">
        <v>17</v>
      </c>
      <c r="O1972" s="3"/>
      <c r="P1972" s="3"/>
      <c r="Q1972" s="3"/>
    </row>
    <row r="1973" spans="1:17" ht="15" x14ac:dyDescent="0.25">
      <c r="A1973" s="3">
        <f>1966</f>
        <v>1966</v>
      </c>
      <c r="B1973" s="3" t="s">
        <v>1975</v>
      </c>
      <c r="C1973" s="3" t="s">
        <v>10</v>
      </c>
      <c r="D1973" s="3" t="s">
        <v>9</v>
      </c>
      <c r="E1973" s="3">
        <v>22</v>
      </c>
      <c r="F1973" s="3">
        <v>0</v>
      </c>
      <c r="G1973" s="3">
        <v>0</v>
      </c>
      <c r="H1973" s="3">
        <v>18</v>
      </c>
      <c r="I1973" s="3">
        <v>28</v>
      </c>
      <c r="J1973" s="3">
        <v>0</v>
      </c>
      <c r="K1973" s="3">
        <v>15</v>
      </c>
      <c r="L1973" s="3">
        <v>0</v>
      </c>
      <c r="M1973" s="3">
        <v>30</v>
      </c>
      <c r="N1973" s="3">
        <v>17</v>
      </c>
      <c r="O1973" s="3"/>
      <c r="P1973" s="3"/>
      <c r="Q1973" s="3"/>
    </row>
    <row r="1974" spans="1:17" ht="15" x14ac:dyDescent="0.25">
      <c r="A1974" s="3">
        <f>1967</f>
        <v>1967</v>
      </c>
      <c r="B1974" s="3" t="s">
        <v>1976</v>
      </c>
      <c r="C1974" s="3" t="s">
        <v>10</v>
      </c>
      <c r="D1974" s="3" t="s">
        <v>9</v>
      </c>
      <c r="E1974" s="3">
        <v>22</v>
      </c>
      <c r="F1974" s="3">
        <v>0</v>
      </c>
      <c r="G1974" s="3">
        <v>0</v>
      </c>
      <c r="H1974" s="3">
        <v>18</v>
      </c>
      <c r="I1974" s="3">
        <v>28</v>
      </c>
      <c r="J1974" s="3">
        <v>0</v>
      </c>
      <c r="K1974" s="3">
        <v>15</v>
      </c>
      <c r="L1974" s="3">
        <v>0</v>
      </c>
      <c r="M1974" s="3">
        <v>30</v>
      </c>
      <c r="N1974" s="3">
        <v>17</v>
      </c>
      <c r="O1974" s="3"/>
      <c r="P1974" s="3"/>
      <c r="Q1974" s="3"/>
    </row>
    <row r="1975" spans="1:17" ht="15" x14ac:dyDescent="0.25">
      <c r="A1975" s="3">
        <f>1968</f>
        <v>1968</v>
      </c>
      <c r="B1975" s="3" t="s">
        <v>1977</v>
      </c>
      <c r="C1975" s="3" t="s">
        <v>10</v>
      </c>
      <c r="D1975" s="3" t="s">
        <v>9</v>
      </c>
      <c r="E1975" s="3">
        <v>22</v>
      </c>
      <c r="F1975" s="3">
        <v>0</v>
      </c>
      <c r="G1975" s="3">
        <v>0</v>
      </c>
      <c r="H1975" s="3">
        <v>18</v>
      </c>
      <c r="I1975" s="3">
        <v>28</v>
      </c>
      <c r="J1975" s="3">
        <v>0</v>
      </c>
      <c r="K1975" s="3">
        <v>15</v>
      </c>
      <c r="L1975" s="3">
        <v>0</v>
      </c>
      <c r="M1975" s="3">
        <v>30</v>
      </c>
      <c r="N1975" s="3">
        <v>17</v>
      </c>
      <c r="O1975" s="3"/>
      <c r="P1975" s="3"/>
      <c r="Q1975" s="3"/>
    </row>
    <row r="1976" spans="1:17" ht="15" x14ac:dyDescent="0.25">
      <c r="A1976" s="3">
        <f>1969</f>
        <v>1969</v>
      </c>
      <c r="B1976" s="3" t="s">
        <v>1978</v>
      </c>
      <c r="C1976" s="3" t="s">
        <v>10</v>
      </c>
      <c r="D1976" s="3" t="s">
        <v>9</v>
      </c>
      <c r="E1976" s="3">
        <v>22</v>
      </c>
      <c r="F1976" s="3">
        <v>0</v>
      </c>
      <c r="G1976" s="3">
        <v>0</v>
      </c>
      <c r="H1976" s="3">
        <v>18</v>
      </c>
      <c r="I1976" s="3">
        <v>28</v>
      </c>
      <c r="J1976" s="3">
        <v>0</v>
      </c>
      <c r="K1976" s="3">
        <v>15</v>
      </c>
      <c r="L1976" s="3">
        <v>0</v>
      </c>
      <c r="M1976" s="3">
        <v>30</v>
      </c>
      <c r="N1976" s="3">
        <v>17</v>
      </c>
      <c r="O1976" s="3"/>
      <c r="P1976" s="3"/>
      <c r="Q1976" s="3"/>
    </row>
    <row r="1977" spans="1:17" ht="15" x14ac:dyDescent="0.25">
      <c r="A1977" s="3">
        <f>1970</f>
        <v>1970</v>
      </c>
      <c r="B1977" s="3" t="s">
        <v>1979</v>
      </c>
      <c r="C1977" s="3" t="s">
        <v>10</v>
      </c>
      <c r="D1977" s="3" t="s">
        <v>9</v>
      </c>
      <c r="E1977" s="3">
        <v>22</v>
      </c>
      <c r="F1977" s="3">
        <v>0</v>
      </c>
      <c r="G1977" s="3">
        <v>0</v>
      </c>
      <c r="H1977" s="3">
        <v>18</v>
      </c>
      <c r="I1977" s="3">
        <v>28</v>
      </c>
      <c r="J1977" s="3">
        <v>0</v>
      </c>
      <c r="K1977" s="3">
        <v>15</v>
      </c>
      <c r="L1977" s="3">
        <v>0</v>
      </c>
      <c r="M1977" s="3">
        <v>30</v>
      </c>
      <c r="N1977" s="3">
        <v>17</v>
      </c>
      <c r="O1977" s="3"/>
      <c r="P1977" s="3"/>
      <c r="Q1977" s="3"/>
    </row>
    <row r="1978" spans="1:17" ht="15" x14ac:dyDescent="0.25">
      <c r="A1978" s="3">
        <f>1971</f>
        <v>1971</v>
      </c>
      <c r="B1978" s="3" t="s">
        <v>1980</v>
      </c>
      <c r="C1978" s="3" t="s">
        <v>10</v>
      </c>
      <c r="D1978" s="3" t="s">
        <v>9</v>
      </c>
      <c r="E1978" s="3">
        <v>22</v>
      </c>
      <c r="F1978" s="3">
        <v>0</v>
      </c>
      <c r="G1978" s="3">
        <v>0</v>
      </c>
      <c r="H1978" s="3">
        <v>18</v>
      </c>
      <c r="I1978" s="3">
        <v>28</v>
      </c>
      <c r="J1978" s="3">
        <v>0</v>
      </c>
      <c r="K1978" s="3">
        <v>15</v>
      </c>
      <c r="L1978" s="3">
        <v>0</v>
      </c>
      <c r="M1978" s="3">
        <v>30</v>
      </c>
      <c r="N1978" s="3">
        <v>17</v>
      </c>
      <c r="O1978" s="3"/>
      <c r="P1978" s="3"/>
      <c r="Q1978" s="3"/>
    </row>
    <row r="1979" spans="1:17" ht="15" x14ac:dyDescent="0.25">
      <c r="A1979" s="3">
        <f>1972</f>
        <v>1972</v>
      </c>
      <c r="B1979" s="3" t="s">
        <v>1981</v>
      </c>
      <c r="C1979" s="3" t="s">
        <v>10</v>
      </c>
      <c r="D1979" s="3" t="s">
        <v>9</v>
      </c>
      <c r="E1979" s="3">
        <v>22</v>
      </c>
      <c r="F1979" s="3">
        <v>0</v>
      </c>
      <c r="G1979" s="3">
        <v>0</v>
      </c>
      <c r="H1979" s="3">
        <v>18</v>
      </c>
      <c r="I1979" s="3">
        <v>28</v>
      </c>
      <c r="J1979" s="3">
        <v>0</v>
      </c>
      <c r="K1979" s="3">
        <v>15</v>
      </c>
      <c r="L1979" s="3">
        <v>0</v>
      </c>
      <c r="M1979" s="3">
        <v>30</v>
      </c>
      <c r="N1979" s="3">
        <v>17</v>
      </c>
      <c r="O1979" s="3"/>
      <c r="P1979" s="3"/>
      <c r="Q1979" s="3"/>
    </row>
    <row r="1980" spans="1:17" ht="15" x14ac:dyDescent="0.25">
      <c r="A1980" s="3">
        <f>1973</f>
        <v>1973</v>
      </c>
      <c r="B1980" s="3" t="s">
        <v>1982</v>
      </c>
      <c r="C1980" s="3" t="s">
        <v>10</v>
      </c>
      <c r="D1980" s="3" t="s">
        <v>9</v>
      </c>
      <c r="E1980" s="3">
        <v>22</v>
      </c>
      <c r="F1980" s="3">
        <v>0</v>
      </c>
      <c r="G1980" s="3">
        <v>0</v>
      </c>
      <c r="H1980" s="3">
        <v>18</v>
      </c>
      <c r="I1980" s="3">
        <v>28</v>
      </c>
      <c r="J1980" s="3">
        <v>0</v>
      </c>
      <c r="K1980" s="3">
        <v>15</v>
      </c>
      <c r="L1980" s="3">
        <v>0</v>
      </c>
      <c r="M1980" s="3">
        <v>30</v>
      </c>
      <c r="N1980" s="3">
        <v>17</v>
      </c>
      <c r="O1980" s="3"/>
      <c r="P1980" s="3"/>
      <c r="Q1980" s="3"/>
    </row>
    <row r="1981" spans="1:17" ht="15" x14ac:dyDescent="0.25">
      <c r="A1981" s="3">
        <f>1974</f>
        <v>1974</v>
      </c>
      <c r="B1981" s="3" t="s">
        <v>1983</v>
      </c>
      <c r="C1981" s="3" t="s">
        <v>10</v>
      </c>
      <c r="D1981" s="3" t="s">
        <v>9</v>
      </c>
      <c r="E1981" s="3">
        <v>22</v>
      </c>
      <c r="F1981" s="3">
        <v>0</v>
      </c>
      <c r="G1981" s="3">
        <v>0</v>
      </c>
      <c r="H1981" s="3">
        <v>18</v>
      </c>
      <c r="I1981" s="3">
        <v>28</v>
      </c>
      <c r="J1981" s="3">
        <v>0</v>
      </c>
      <c r="K1981" s="3">
        <v>15</v>
      </c>
      <c r="L1981" s="3">
        <v>0</v>
      </c>
      <c r="M1981" s="3">
        <v>30</v>
      </c>
      <c r="N1981" s="3">
        <v>17</v>
      </c>
      <c r="O1981" s="3"/>
      <c r="P1981" s="3"/>
      <c r="Q1981" s="3"/>
    </row>
    <row r="1982" spans="1:17" ht="15" x14ac:dyDescent="0.25">
      <c r="A1982" s="3">
        <f>1975</f>
        <v>1975</v>
      </c>
      <c r="B1982" s="3" t="s">
        <v>1984</v>
      </c>
      <c r="C1982" s="3" t="s">
        <v>10</v>
      </c>
      <c r="D1982" s="3" t="s">
        <v>9</v>
      </c>
      <c r="E1982" s="3">
        <v>22</v>
      </c>
      <c r="F1982" s="3">
        <v>0</v>
      </c>
      <c r="G1982" s="3">
        <v>0</v>
      </c>
      <c r="H1982" s="3">
        <v>18</v>
      </c>
      <c r="I1982" s="3">
        <v>28</v>
      </c>
      <c r="J1982" s="3">
        <v>0</v>
      </c>
      <c r="K1982" s="3">
        <v>15</v>
      </c>
      <c r="L1982" s="3">
        <v>0</v>
      </c>
      <c r="M1982" s="3">
        <v>30</v>
      </c>
      <c r="N1982" s="3">
        <v>17</v>
      </c>
      <c r="O1982" s="3"/>
      <c r="P1982" s="3"/>
      <c r="Q1982" s="3"/>
    </row>
    <row r="1983" spans="1:17" ht="15" x14ac:dyDescent="0.25">
      <c r="A1983" s="3">
        <f>1976</f>
        <v>1976</v>
      </c>
      <c r="B1983" s="3" t="s">
        <v>1985</v>
      </c>
      <c r="C1983" s="3" t="s">
        <v>10</v>
      </c>
      <c r="D1983" s="3" t="s">
        <v>9</v>
      </c>
      <c r="E1983" s="3">
        <v>22</v>
      </c>
      <c r="F1983" s="3">
        <v>0</v>
      </c>
      <c r="G1983" s="3">
        <v>0</v>
      </c>
      <c r="H1983" s="3">
        <v>18</v>
      </c>
      <c r="I1983" s="3">
        <v>28</v>
      </c>
      <c r="J1983" s="3">
        <v>0</v>
      </c>
      <c r="K1983" s="3">
        <v>15</v>
      </c>
      <c r="L1983" s="3">
        <v>0</v>
      </c>
      <c r="M1983" s="3">
        <v>30</v>
      </c>
      <c r="N1983" s="3">
        <v>17</v>
      </c>
      <c r="O1983" s="3"/>
      <c r="P1983" s="3"/>
      <c r="Q1983" s="3"/>
    </row>
    <row r="1984" spans="1:17" ht="15" x14ac:dyDescent="0.25">
      <c r="A1984" s="3">
        <f>1977</f>
        <v>1977</v>
      </c>
      <c r="B1984" s="3" t="s">
        <v>1986</v>
      </c>
      <c r="C1984" s="3" t="s">
        <v>10</v>
      </c>
      <c r="D1984" s="3" t="s">
        <v>9</v>
      </c>
      <c r="E1984" s="3">
        <v>22</v>
      </c>
      <c r="F1984" s="3">
        <v>0</v>
      </c>
      <c r="G1984" s="3">
        <v>0</v>
      </c>
      <c r="H1984" s="3">
        <v>18</v>
      </c>
      <c r="I1984" s="3">
        <v>28</v>
      </c>
      <c r="J1984" s="3">
        <v>0</v>
      </c>
      <c r="K1984" s="3">
        <v>15</v>
      </c>
      <c r="L1984" s="3">
        <v>0</v>
      </c>
      <c r="M1984" s="3">
        <v>30</v>
      </c>
      <c r="N1984" s="3">
        <v>17</v>
      </c>
      <c r="O1984" s="3"/>
      <c r="P1984" s="3"/>
      <c r="Q1984" s="3"/>
    </row>
    <row r="1985" spans="1:17" ht="15" x14ac:dyDescent="0.25">
      <c r="A1985" s="3">
        <f>1978</f>
        <v>1978</v>
      </c>
      <c r="B1985" s="3" t="s">
        <v>1987</v>
      </c>
      <c r="C1985" s="3" t="s">
        <v>10</v>
      </c>
      <c r="D1985" s="3" t="s">
        <v>9</v>
      </c>
      <c r="E1985" s="3">
        <v>22</v>
      </c>
      <c r="F1985" s="3">
        <v>0</v>
      </c>
      <c r="G1985" s="3">
        <v>0</v>
      </c>
      <c r="H1985" s="3">
        <v>18</v>
      </c>
      <c r="I1985" s="3">
        <v>28</v>
      </c>
      <c r="J1985" s="3">
        <v>0</v>
      </c>
      <c r="K1985" s="3">
        <v>15</v>
      </c>
      <c r="L1985" s="3">
        <v>0</v>
      </c>
      <c r="M1985" s="3">
        <v>30</v>
      </c>
      <c r="N1985" s="3">
        <v>17</v>
      </c>
      <c r="O1985" s="3"/>
      <c r="P1985" s="3"/>
      <c r="Q1985" s="3"/>
    </row>
    <row r="1986" spans="1:17" ht="15" x14ac:dyDescent="0.25">
      <c r="A1986" s="3">
        <f>1979</f>
        <v>1979</v>
      </c>
      <c r="B1986" s="3" t="s">
        <v>1988</v>
      </c>
      <c r="C1986" s="3" t="s">
        <v>10</v>
      </c>
      <c r="D1986" s="3" t="s">
        <v>9</v>
      </c>
      <c r="E1986" s="3">
        <v>22</v>
      </c>
      <c r="F1986" s="3">
        <v>0</v>
      </c>
      <c r="G1986" s="3">
        <v>0</v>
      </c>
      <c r="H1986" s="3">
        <v>18</v>
      </c>
      <c r="I1986" s="3">
        <v>28</v>
      </c>
      <c r="J1986" s="3">
        <v>0</v>
      </c>
      <c r="K1986" s="3">
        <v>15</v>
      </c>
      <c r="L1986" s="3">
        <v>0</v>
      </c>
      <c r="M1986" s="3">
        <v>30</v>
      </c>
      <c r="N1986" s="3">
        <v>17</v>
      </c>
      <c r="O1986" s="3"/>
      <c r="P1986" s="3"/>
      <c r="Q1986" s="3"/>
    </row>
    <row r="1987" spans="1:17" ht="15" x14ac:dyDescent="0.25">
      <c r="A1987" s="3">
        <f>1980</f>
        <v>1980</v>
      </c>
      <c r="B1987" s="3" t="s">
        <v>1989</v>
      </c>
      <c r="C1987" s="3" t="s">
        <v>10</v>
      </c>
      <c r="D1987" s="3" t="s">
        <v>9</v>
      </c>
      <c r="E1987" s="3">
        <v>22</v>
      </c>
      <c r="F1987" s="3">
        <v>0</v>
      </c>
      <c r="G1987" s="3">
        <v>0</v>
      </c>
      <c r="H1987" s="3">
        <v>18</v>
      </c>
      <c r="I1987" s="3">
        <v>28</v>
      </c>
      <c r="J1987" s="3">
        <v>0</v>
      </c>
      <c r="K1987" s="3">
        <v>15</v>
      </c>
      <c r="L1987" s="3">
        <v>0</v>
      </c>
      <c r="M1987" s="3">
        <v>30</v>
      </c>
      <c r="N1987" s="3">
        <v>17</v>
      </c>
      <c r="O1987" s="3"/>
      <c r="P1987" s="3"/>
      <c r="Q1987" s="3"/>
    </row>
    <row r="1988" spans="1:17" ht="15" x14ac:dyDescent="0.25">
      <c r="A1988" s="3">
        <f>1981</f>
        <v>1981</v>
      </c>
      <c r="B1988" s="3" t="s">
        <v>1990</v>
      </c>
      <c r="C1988" s="3" t="s">
        <v>10</v>
      </c>
      <c r="D1988" s="3" t="s">
        <v>9</v>
      </c>
      <c r="E1988" s="3">
        <v>22</v>
      </c>
      <c r="F1988" s="3">
        <v>0</v>
      </c>
      <c r="G1988" s="3">
        <v>0</v>
      </c>
      <c r="H1988" s="3">
        <v>18</v>
      </c>
      <c r="I1988" s="3">
        <v>28</v>
      </c>
      <c r="J1988" s="3">
        <v>0</v>
      </c>
      <c r="K1988" s="3">
        <v>15</v>
      </c>
      <c r="L1988" s="3">
        <v>0</v>
      </c>
      <c r="M1988" s="3">
        <v>30</v>
      </c>
      <c r="N1988" s="3">
        <v>17</v>
      </c>
      <c r="O1988" s="3"/>
      <c r="P1988" s="3"/>
      <c r="Q1988" s="3"/>
    </row>
    <row r="1989" spans="1:17" ht="15" x14ac:dyDescent="0.25">
      <c r="A1989" s="3">
        <f>1982</f>
        <v>1982</v>
      </c>
      <c r="B1989" s="3" t="s">
        <v>1991</v>
      </c>
      <c r="C1989" s="3" t="s">
        <v>10</v>
      </c>
      <c r="D1989" s="3" t="s">
        <v>9</v>
      </c>
      <c r="E1989" s="3">
        <v>22</v>
      </c>
      <c r="F1989" s="3">
        <v>0</v>
      </c>
      <c r="G1989" s="3">
        <v>0</v>
      </c>
      <c r="H1989" s="3">
        <v>18</v>
      </c>
      <c r="I1989" s="3">
        <v>28</v>
      </c>
      <c r="J1989" s="3">
        <v>0</v>
      </c>
      <c r="K1989" s="3">
        <v>15</v>
      </c>
      <c r="L1989" s="3">
        <v>0</v>
      </c>
      <c r="M1989" s="3">
        <v>30</v>
      </c>
      <c r="N1989" s="3">
        <v>17</v>
      </c>
      <c r="O1989" s="3"/>
      <c r="P1989" s="3"/>
      <c r="Q1989" s="3"/>
    </row>
    <row r="1990" spans="1:17" ht="15" x14ac:dyDescent="0.25">
      <c r="A1990" s="3">
        <f>1983</f>
        <v>1983</v>
      </c>
      <c r="B1990" s="3" t="s">
        <v>1992</v>
      </c>
      <c r="C1990" s="3" t="s">
        <v>10</v>
      </c>
      <c r="D1990" s="3" t="s">
        <v>9</v>
      </c>
      <c r="E1990" s="3">
        <v>22</v>
      </c>
      <c r="F1990" s="3">
        <v>0</v>
      </c>
      <c r="G1990" s="3">
        <v>0</v>
      </c>
      <c r="H1990" s="3">
        <v>18</v>
      </c>
      <c r="I1990" s="3">
        <v>28</v>
      </c>
      <c r="J1990" s="3">
        <v>0</v>
      </c>
      <c r="K1990" s="3">
        <v>15</v>
      </c>
      <c r="L1990" s="3">
        <v>0</v>
      </c>
      <c r="M1990" s="3">
        <v>30</v>
      </c>
      <c r="N1990" s="3">
        <v>17</v>
      </c>
      <c r="O1990" s="3"/>
      <c r="P1990" s="3"/>
      <c r="Q1990" s="3"/>
    </row>
    <row r="1991" spans="1:17" ht="15" x14ac:dyDescent="0.25">
      <c r="A1991" s="3">
        <f>1984</f>
        <v>1984</v>
      </c>
      <c r="B1991" s="3" t="s">
        <v>1993</v>
      </c>
      <c r="C1991" s="3" t="s">
        <v>10</v>
      </c>
      <c r="D1991" s="3" t="s">
        <v>9</v>
      </c>
      <c r="E1991" s="3">
        <v>22</v>
      </c>
      <c r="F1991" s="3">
        <v>0</v>
      </c>
      <c r="G1991" s="3">
        <v>0</v>
      </c>
      <c r="H1991" s="3">
        <v>18</v>
      </c>
      <c r="I1991" s="3">
        <v>28</v>
      </c>
      <c r="J1991" s="3">
        <v>0</v>
      </c>
      <c r="K1991" s="3">
        <v>15</v>
      </c>
      <c r="L1991" s="3">
        <v>0</v>
      </c>
      <c r="M1991" s="3">
        <v>30</v>
      </c>
      <c r="N1991" s="3">
        <v>17</v>
      </c>
      <c r="O1991" s="3"/>
      <c r="P1991" s="3"/>
      <c r="Q1991" s="3"/>
    </row>
    <row r="1992" spans="1:17" ht="15" x14ac:dyDescent="0.25">
      <c r="A1992" s="3">
        <f>1985</f>
        <v>1985</v>
      </c>
      <c r="B1992" s="3" t="s">
        <v>1994</v>
      </c>
      <c r="C1992" s="3" t="s">
        <v>10</v>
      </c>
      <c r="D1992" s="3" t="s">
        <v>9</v>
      </c>
      <c r="E1992" s="3">
        <v>22</v>
      </c>
      <c r="F1992" s="3">
        <v>0</v>
      </c>
      <c r="G1992" s="3">
        <v>0</v>
      </c>
      <c r="H1992" s="3">
        <v>18</v>
      </c>
      <c r="I1992" s="3">
        <v>28</v>
      </c>
      <c r="J1992" s="3">
        <v>0</v>
      </c>
      <c r="K1992" s="3">
        <v>15</v>
      </c>
      <c r="L1992" s="3">
        <v>0</v>
      </c>
      <c r="M1992" s="3">
        <v>30</v>
      </c>
      <c r="N1992" s="3">
        <v>17</v>
      </c>
      <c r="O1992" s="3"/>
      <c r="P1992" s="3"/>
      <c r="Q1992" s="3"/>
    </row>
    <row r="1993" spans="1:17" ht="15" x14ac:dyDescent="0.25">
      <c r="A1993" s="3">
        <f>1986</f>
        <v>1986</v>
      </c>
      <c r="B1993" s="3" t="s">
        <v>1995</v>
      </c>
      <c r="C1993" s="3" t="s">
        <v>10</v>
      </c>
      <c r="D1993" s="3" t="s">
        <v>9</v>
      </c>
      <c r="E1993" s="3">
        <v>22</v>
      </c>
      <c r="F1993" s="3">
        <v>0</v>
      </c>
      <c r="G1993" s="3">
        <v>0</v>
      </c>
      <c r="H1993" s="3">
        <v>18</v>
      </c>
      <c r="I1993" s="3">
        <v>28</v>
      </c>
      <c r="J1993" s="3">
        <v>0</v>
      </c>
      <c r="K1993" s="3">
        <v>15</v>
      </c>
      <c r="L1993" s="3">
        <v>0</v>
      </c>
      <c r="M1993" s="3">
        <v>30</v>
      </c>
      <c r="N1993" s="3">
        <v>17</v>
      </c>
      <c r="O1993" s="3"/>
      <c r="P1993" s="3"/>
      <c r="Q1993" s="3"/>
    </row>
    <row r="1994" spans="1:17" ht="15" x14ac:dyDescent="0.25">
      <c r="A1994" s="3">
        <f>1987</f>
        <v>1987</v>
      </c>
      <c r="B1994" s="3" t="s">
        <v>1996</v>
      </c>
      <c r="C1994" s="3" t="s">
        <v>10</v>
      </c>
      <c r="D1994" s="3" t="s">
        <v>9</v>
      </c>
      <c r="E1994" s="3">
        <v>22</v>
      </c>
      <c r="F1994" s="3">
        <v>0</v>
      </c>
      <c r="G1994" s="3">
        <v>0</v>
      </c>
      <c r="H1994" s="3">
        <v>18</v>
      </c>
      <c r="I1994" s="3">
        <v>28</v>
      </c>
      <c r="J1994" s="3">
        <v>0</v>
      </c>
      <c r="K1994" s="3">
        <v>15</v>
      </c>
      <c r="L1994" s="3">
        <v>0</v>
      </c>
      <c r="M1994" s="3">
        <v>30</v>
      </c>
      <c r="N1994" s="3">
        <v>17</v>
      </c>
      <c r="O1994" s="3"/>
      <c r="P1994" s="3"/>
      <c r="Q1994" s="3"/>
    </row>
    <row r="1995" spans="1:17" ht="15" x14ac:dyDescent="0.25">
      <c r="A1995" s="3">
        <f>1988</f>
        <v>1988</v>
      </c>
      <c r="B1995" s="3" t="s">
        <v>1997</v>
      </c>
      <c r="C1995" s="3" t="s">
        <v>10</v>
      </c>
      <c r="D1995" s="3" t="s">
        <v>9</v>
      </c>
      <c r="E1995" s="3">
        <v>22</v>
      </c>
      <c r="F1995" s="3">
        <v>0</v>
      </c>
      <c r="G1995" s="3">
        <v>0</v>
      </c>
      <c r="H1995" s="3">
        <v>18</v>
      </c>
      <c r="I1995" s="3">
        <v>28</v>
      </c>
      <c r="J1995" s="3">
        <v>0</v>
      </c>
      <c r="K1995" s="3">
        <v>15</v>
      </c>
      <c r="L1995" s="3">
        <v>0</v>
      </c>
      <c r="M1995" s="3">
        <v>30</v>
      </c>
      <c r="N1995" s="3">
        <v>17</v>
      </c>
      <c r="O1995" s="3"/>
      <c r="P1995" s="3"/>
      <c r="Q1995" s="3"/>
    </row>
    <row r="1996" spans="1:17" ht="15" x14ac:dyDescent="0.25">
      <c r="A1996" s="3">
        <f>1989</f>
        <v>1989</v>
      </c>
      <c r="B1996" s="3" t="s">
        <v>1998</v>
      </c>
      <c r="C1996" s="3" t="s">
        <v>10</v>
      </c>
      <c r="D1996" s="3" t="s">
        <v>9</v>
      </c>
      <c r="E1996" s="3">
        <v>22</v>
      </c>
      <c r="F1996" s="3">
        <v>0</v>
      </c>
      <c r="G1996" s="3">
        <v>0</v>
      </c>
      <c r="H1996" s="3">
        <v>18</v>
      </c>
      <c r="I1996" s="3">
        <v>28</v>
      </c>
      <c r="J1996" s="3">
        <v>0</v>
      </c>
      <c r="K1996" s="3">
        <v>15</v>
      </c>
      <c r="L1996" s="3">
        <v>0</v>
      </c>
      <c r="M1996" s="3">
        <v>30</v>
      </c>
      <c r="N1996" s="3">
        <v>17</v>
      </c>
      <c r="O1996" s="3"/>
      <c r="P1996" s="3"/>
      <c r="Q1996" s="3"/>
    </row>
    <row r="1997" spans="1:17" ht="15" x14ac:dyDescent="0.25">
      <c r="A1997" s="3">
        <f>1990</f>
        <v>1990</v>
      </c>
      <c r="B1997" s="3" t="s">
        <v>1999</v>
      </c>
      <c r="C1997" s="3" t="s">
        <v>10</v>
      </c>
      <c r="D1997" s="3" t="s">
        <v>9</v>
      </c>
      <c r="E1997" s="3">
        <v>22</v>
      </c>
      <c r="F1997" s="3">
        <v>0</v>
      </c>
      <c r="G1997" s="3">
        <v>0</v>
      </c>
      <c r="H1997" s="3">
        <v>18</v>
      </c>
      <c r="I1997" s="3">
        <v>28</v>
      </c>
      <c r="J1997" s="3">
        <v>0</v>
      </c>
      <c r="K1997" s="3">
        <v>15</v>
      </c>
      <c r="L1997" s="3">
        <v>0</v>
      </c>
      <c r="M1997" s="3">
        <v>30</v>
      </c>
      <c r="N1997" s="3">
        <v>17</v>
      </c>
      <c r="O1997" s="3"/>
      <c r="P1997" s="3"/>
      <c r="Q1997" s="3"/>
    </row>
    <row r="1998" spans="1:17" ht="15" x14ac:dyDescent="0.25">
      <c r="A1998" s="3">
        <f>1991</f>
        <v>1991</v>
      </c>
      <c r="B1998" s="3" t="s">
        <v>2000</v>
      </c>
      <c r="C1998" s="3" t="s">
        <v>10</v>
      </c>
      <c r="D1998" s="3" t="s">
        <v>9</v>
      </c>
      <c r="E1998" s="3">
        <v>22</v>
      </c>
      <c r="F1998" s="3">
        <v>0</v>
      </c>
      <c r="G1998" s="3">
        <v>0</v>
      </c>
      <c r="H1998" s="3">
        <v>18</v>
      </c>
      <c r="I1998" s="3">
        <v>28</v>
      </c>
      <c r="J1998" s="3">
        <v>0</v>
      </c>
      <c r="K1998" s="3">
        <v>15</v>
      </c>
      <c r="L1998" s="3">
        <v>0</v>
      </c>
      <c r="M1998" s="3">
        <v>30</v>
      </c>
      <c r="N1998" s="3">
        <v>17</v>
      </c>
      <c r="O1998" s="3"/>
      <c r="P1998" s="3"/>
      <c r="Q1998" s="3"/>
    </row>
    <row r="1999" spans="1:17" ht="15" x14ac:dyDescent="0.25">
      <c r="A1999" s="3">
        <f>1992</f>
        <v>1992</v>
      </c>
      <c r="B1999" s="3" t="s">
        <v>2001</v>
      </c>
      <c r="C1999" s="3" t="s">
        <v>10</v>
      </c>
      <c r="D1999" s="3" t="s">
        <v>9</v>
      </c>
      <c r="E1999" s="3">
        <v>22</v>
      </c>
      <c r="F1999" s="3">
        <v>0</v>
      </c>
      <c r="G1999" s="3">
        <v>0</v>
      </c>
      <c r="H1999" s="3">
        <v>18</v>
      </c>
      <c r="I1999" s="3">
        <v>28</v>
      </c>
      <c r="J1999" s="3">
        <v>0</v>
      </c>
      <c r="K1999" s="3">
        <v>15</v>
      </c>
      <c r="L1999" s="3">
        <v>0</v>
      </c>
      <c r="M1999" s="3">
        <v>30</v>
      </c>
      <c r="N1999" s="3">
        <v>17</v>
      </c>
      <c r="O1999" s="3"/>
      <c r="P1999" s="3"/>
      <c r="Q1999" s="3"/>
    </row>
    <row r="2000" spans="1:17" ht="15" x14ac:dyDescent="0.25">
      <c r="A2000" s="3">
        <f>1993</f>
        <v>1993</v>
      </c>
      <c r="B2000" s="3" t="s">
        <v>2002</v>
      </c>
      <c r="C2000" s="3" t="s">
        <v>10</v>
      </c>
      <c r="D2000" s="3" t="s">
        <v>9</v>
      </c>
      <c r="E2000" s="3">
        <v>22</v>
      </c>
      <c r="F2000" s="3">
        <v>0</v>
      </c>
      <c r="G2000" s="3">
        <v>0</v>
      </c>
      <c r="H2000" s="3">
        <v>18</v>
      </c>
      <c r="I2000" s="3">
        <v>28</v>
      </c>
      <c r="J2000" s="3">
        <v>0</v>
      </c>
      <c r="K2000" s="3">
        <v>15</v>
      </c>
      <c r="L2000" s="3">
        <v>0</v>
      </c>
      <c r="M2000" s="3">
        <v>30</v>
      </c>
      <c r="N2000" s="3">
        <v>17</v>
      </c>
      <c r="O2000" s="3"/>
      <c r="P2000" s="3"/>
      <c r="Q2000" s="3"/>
    </row>
    <row r="2001" spans="1:17" ht="15" x14ac:dyDescent="0.25">
      <c r="A2001" s="3">
        <f>1994</f>
        <v>1994</v>
      </c>
      <c r="B2001" s="3" t="s">
        <v>2003</v>
      </c>
      <c r="C2001" s="3" t="s">
        <v>10</v>
      </c>
      <c r="D2001" s="3" t="s">
        <v>9</v>
      </c>
      <c r="E2001" s="3">
        <v>22</v>
      </c>
      <c r="F2001" s="3">
        <v>0</v>
      </c>
      <c r="G2001" s="3">
        <v>0</v>
      </c>
      <c r="H2001" s="3">
        <v>18</v>
      </c>
      <c r="I2001" s="3">
        <v>28</v>
      </c>
      <c r="J2001" s="3">
        <v>0</v>
      </c>
      <c r="K2001" s="3">
        <v>15</v>
      </c>
      <c r="L2001" s="3">
        <v>0</v>
      </c>
      <c r="M2001" s="3">
        <v>30</v>
      </c>
      <c r="N2001" s="3">
        <v>17</v>
      </c>
      <c r="O2001" s="3"/>
      <c r="P2001" s="3"/>
      <c r="Q2001" s="3"/>
    </row>
    <row r="2002" spans="1:17" ht="15" x14ac:dyDescent="0.25">
      <c r="A2002" s="3">
        <f>1995</f>
        <v>1995</v>
      </c>
      <c r="B2002" s="3" t="s">
        <v>2004</v>
      </c>
      <c r="C2002" s="3" t="s">
        <v>10</v>
      </c>
      <c r="D2002" s="3" t="s">
        <v>9</v>
      </c>
      <c r="E2002" s="3">
        <v>22</v>
      </c>
      <c r="F2002" s="3">
        <v>0</v>
      </c>
      <c r="G2002" s="3">
        <v>0</v>
      </c>
      <c r="H2002" s="3">
        <v>18</v>
      </c>
      <c r="I2002" s="3">
        <v>28</v>
      </c>
      <c r="J2002" s="3">
        <v>0</v>
      </c>
      <c r="K2002" s="3">
        <v>15</v>
      </c>
      <c r="L2002" s="3">
        <v>0</v>
      </c>
      <c r="M2002" s="3">
        <v>30</v>
      </c>
      <c r="N2002" s="3">
        <v>17</v>
      </c>
      <c r="O2002" s="3"/>
      <c r="P2002" s="3"/>
      <c r="Q2002" s="3"/>
    </row>
    <row r="2003" spans="1:17" ht="15" x14ac:dyDescent="0.25">
      <c r="A2003" s="3">
        <f>1996</f>
        <v>1996</v>
      </c>
      <c r="B2003" s="3" t="s">
        <v>2005</v>
      </c>
      <c r="C2003" s="3" t="s">
        <v>10</v>
      </c>
      <c r="D2003" s="3" t="s">
        <v>9</v>
      </c>
      <c r="E2003" s="3">
        <v>22</v>
      </c>
      <c r="F2003" s="3">
        <v>0</v>
      </c>
      <c r="G2003" s="3">
        <v>0</v>
      </c>
      <c r="H2003" s="3">
        <v>18</v>
      </c>
      <c r="I2003" s="3">
        <v>28</v>
      </c>
      <c r="J2003" s="3">
        <v>0</v>
      </c>
      <c r="K2003" s="3">
        <v>15</v>
      </c>
      <c r="L2003" s="3">
        <v>0</v>
      </c>
      <c r="M2003" s="3">
        <v>30</v>
      </c>
      <c r="N2003" s="3">
        <v>17</v>
      </c>
      <c r="O2003" s="3"/>
      <c r="P2003" s="3"/>
      <c r="Q2003" s="3"/>
    </row>
    <row r="2004" spans="1:17" ht="15" x14ac:dyDescent="0.25">
      <c r="A2004" s="3">
        <f>1997</f>
        <v>1997</v>
      </c>
      <c r="B2004" s="3" t="s">
        <v>2006</v>
      </c>
      <c r="C2004" s="3" t="s">
        <v>10</v>
      </c>
      <c r="D2004" s="3" t="s">
        <v>9</v>
      </c>
      <c r="E2004" s="3">
        <v>22</v>
      </c>
      <c r="F2004" s="3">
        <v>0</v>
      </c>
      <c r="G2004" s="3">
        <v>0</v>
      </c>
      <c r="H2004" s="3">
        <v>18</v>
      </c>
      <c r="I2004" s="3">
        <v>28</v>
      </c>
      <c r="J2004" s="3">
        <v>0</v>
      </c>
      <c r="K2004" s="3">
        <v>15</v>
      </c>
      <c r="L2004" s="3">
        <v>0</v>
      </c>
      <c r="M2004" s="3">
        <v>30</v>
      </c>
      <c r="N2004" s="3">
        <v>17</v>
      </c>
      <c r="O2004" s="3"/>
      <c r="P2004" s="3"/>
      <c r="Q2004" s="3"/>
    </row>
    <row r="2005" spans="1:17" ht="15" x14ac:dyDescent="0.25">
      <c r="A2005" s="3">
        <f>1998</f>
        <v>1998</v>
      </c>
      <c r="B2005" s="3" t="s">
        <v>2007</v>
      </c>
      <c r="C2005" s="3" t="s">
        <v>10</v>
      </c>
      <c r="D2005" s="3" t="s">
        <v>9</v>
      </c>
      <c r="E2005" s="3">
        <v>22</v>
      </c>
      <c r="F2005" s="3">
        <v>0</v>
      </c>
      <c r="G2005" s="3">
        <v>0</v>
      </c>
      <c r="H2005" s="3">
        <v>18</v>
      </c>
      <c r="I2005" s="3">
        <v>28</v>
      </c>
      <c r="J2005" s="3">
        <v>0</v>
      </c>
      <c r="K2005" s="3">
        <v>15</v>
      </c>
      <c r="L2005" s="3">
        <v>0</v>
      </c>
      <c r="M2005" s="3">
        <v>30</v>
      </c>
      <c r="N2005" s="3">
        <v>17</v>
      </c>
      <c r="O2005" s="3"/>
      <c r="P2005" s="3"/>
      <c r="Q2005" s="3"/>
    </row>
    <row r="2006" spans="1:17" ht="15" x14ac:dyDescent="0.25">
      <c r="A2006" s="3">
        <f>1999</f>
        <v>1999</v>
      </c>
      <c r="B2006" s="3" t="s">
        <v>2008</v>
      </c>
      <c r="C2006" s="3" t="s">
        <v>10</v>
      </c>
      <c r="D2006" s="3" t="s">
        <v>9</v>
      </c>
      <c r="E2006" s="3">
        <v>22</v>
      </c>
      <c r="F2006" s="3">
        <v>0</v>
      </c>
      <c r="G2006" s="3">
        <v>0</v>
      </c>
      <c r="H2006" s="3">
        <v>18</v>
      </c>
      <c r="I2006" s="3">
        <v>28</v>
      </c>
      <c r="J2006" s="3">
        <v>0</v>
      </c>
      <c r="K2006" s="3">
        <v>15</v>
      </c>
      <c r="L2006" s="3">
        <v>0</v>
      </c>
      <c r="M2006" s="3">
        <v>30</v>
      </c>
      <c r="N2006" s="3">
        <v>17</v>
      </c>
      <c r="O2006" s="3"/>
      <c r="P2006" s="3"/>
      <c r="Q2006" s="3"/>
    </row>
    <row r="2007" spans="1:17" ht="15" x14ac:dyDescent="0.25">
      <c r="A2007" s="3">
        <f>2000</f>
        <v>2000</v>
      </c>
      <c r="B2007" s="3" t="s">
        <v>2009</v>
      </c>
      <c r="C2007" s="3" t="s">
        <v>10</v>
      </c>
      <c r="D2007" s="3" t="s">
        <v>9</v>
      </c>
      <c r="E2007" s="3">
        <v>22</v>
      </c>
      <c r="F2007" s="3">
        <v>0</v>
      </c>
      <c r="G2007" s="3">
        <v>0</v>
      </c>
      <c r="H2007" s="3">
        <v>18</v>
      </c>
      <c r="I2007" s="3">
        <v>28</v>
      </c>
      <c r="J2007" s="3">
        <v>0</v>
      </c>
      <c r="K2007" s="3">
        <v>15</v>
      </c>
      <c r="L2007" s="3">
        <v>0</v>
      </c>
      <c r="M2007" s="3">
        <v>30</v>
      </c>
      <c r="N2007" s="3">
        <v>17</v>
      </c>
      <c r="O2007" s="3"/>
      <c r="P2007" s="3"/>
      <c r="Q2007" s="3"/>
    </row>
    <row r="2008" spans="1:17" ht="15" x14ac:dyDescent="0.25">
      <c r="A2008" s="3">
        <f>2001</f>
        <v>2001</v>
      </c>
      <c r="B2008" s="3" t="s">
        <v>2010</v>
      </c>
      <c r="C2008" s="3" t="s">
        <v>10</v>
      </c>
      <c r="D2008" s="3" t="s">
        <v>9</v>
      </c>
      <c r="E2008" s="3">
        <v>22</v>
      </c>
      <c r="F2008" s="3">
        <v>0</v>
      </c>
      <c r="G2008" s="3">
        <v>0</v>
      </c>
      <c r="H2008" s="3">
        <v>18</v>
      </c>
      <c r="I2008" s="3">
        <v>28</v>
      </c>
      <c r="J2008" s="3">
        <v>0</v>
      </c>
      <c r="K2008" s="3">
        <v>15</v>
      </c>
      <c r="L2008" s="3">
        <v>0</v>
      </c>
      <c r="M2008" s="3">
        <v>30</v>
      </c>
      <c r="N2008" s="3">
        <v>17</v>
      </c>
      <c r="O2008" s="3"/>
      <c r="P2008" s="3"/>
      <c r="Q2008" s="3"/>
    </row>
    <row r="2009" spans="1:17" ht="15" x14ac:dyDescent="0.25">
      <c r="A2009" s="3">
        <f>2002</f>
        <v>2002</v>
      </c>
      <c r="B2009" s="3" t="s">
        <v>2011</v>
      </c>
      <c r="C2009" s="3" t="s">
        <v>10</v>
      </c>
      <c r="D2009" s="3" t="s">
        <v>9</v>
      </c>
      <c r="E2009" s="3">
        <v>22</v>
      </c>
      <c r="F2009" s="3">
        <v>0</v>
      </c>
      <c r="G2009" s="3">
        <v>0</v>
      </c>
      <c r="H2009" s="3">
        <v>18</v>
      </c>
      <c r="I2009" s="3">
        <v>28</v>
      </c>
      <c r="J2009" s="3">
        <v>0</v>
      </c>
      <c r="K2009" s="3">
        <v>15</v>
      </c>
      <c r="L2009" s="3">
        <v>0</v>
      </c>
      <c r="M2009" s="3">
        <v>30</v>
      </c>
      <c r="N2009" s="3">
        <v>17</v>
      </c>
      <c r="O2009" s="3"/>
      <c r="P2009" s="3"/>
      <c r="Q2009" s="3"/>
    </row>
    <row r="2010" spans="1:17" ht="15" x14ac:dyDescent="0.25">
      <c r="A2010" s="3">
        <f>2003</f>
        <v>2003</v>
      </c>
      <c r="B2010" s="3" t="s">
        <v>2012</v>
      </c>
      <c r="C2010" s="3" t="s">
        <v>10</v>
      </c>
      <c r="D2010" s="3" t="s">
        <v>9</v>
      </c>
      <c r="E2010" s="3">
        <v>22</v>
      </c>
      <c r="F2010" s="3">
        <v>0</v>
      </c>
      <c r="G2010" s="3">
        <v>0</v>
      </c>
      <c r="H2010" s="3">
        <v>18</v>
      </c>
      <c r="I2010" s="3">
        <v>28</v>
      </c>
      <c r="J2010" s="3">
        <v>0</v>
      </c>
      <c r="K2010" s="3">
        <v>15</v>
      </c>
      <c r="L2010" s="3">
        <v>0</v>
      </c>
      <c r="M2010" s="3">
        <v>30</v>
      </c>
      <c r="N2010" s="3">
        <v>17</v>
      </c>
      <c r="O2010" s="3"/>
      <c r="P2010" s="3"/>
      <c r="Q2010" s="3"/>
    </row>
    <row r="2011" spans="1:17" ht="15" x14ac:dyDescent="0.25">
      <c r="A2011" s="3">
        <f>2004</f>
        <v>2004</v>
      </c>
      <c r="B2011" s="3" t="s">
        <v>2013</v>
      </c>
      <c r="C2011" s="3" t="s">
        <v>10</v>
      </c>
      <c r="D2011" s="3" t="s">
        <v>9</v>
      </c>
      <c r="E2011" s="3">
        <v>22</v>
      </c>
      <c r="F2011" s="3">
        <v>0</v>
      </c>
      <c r="G2011" s="3">
        <v>0</v>
      </c>
      <c r="H2011" s="3">
        <v>18</v>
      </c>
      <c r="I2011" s="3">
        <v>28</v>
      </c>
      <c r="J2011" s="3">
        <v>0</v>
      </c>
      <c r="K2011" s="3">
        <v>15</v>
      </c>
      <c r="L2011" s="3">
        <v>0</v>
      </c>
      <c r="M2011" s="3">
        <v>30</v>
      </c>
      <c r="N2011" s="3">
        <v>17</v>
      </c>
      <c r="O2011" s="3"/>
      <c r="P2011" s="3"/>
      <c r="Q2011" s="3"/>
    </row>
    <row r="2012" spans="1:17" ht="15" x14ac:dyDescent="0.25">
      <c r="A2012" s="3">
        <f>2005</f>
        <v>2005</v>
      </c>
      <c r="B2012" s="3" t="s">
        <v>2014</v>
      </c>
      <c r="C2012" s="3" t="s">
        <v>10</v>
      </c>
      <c r="D2012" s="3" t="s">
        <v>9</v>
      </c>
      <c r="E2012" s="3">
        <v>22</v>
      </c>
      <c r="F2012" s="3">
        <v>0</v>
      </c>
      <c r="G2012" s="3">
        <v>0</v>
      </c>
      <c r="H2012" s="3">
        <v>18</v>
      </c>
      <c r="I2012" s="3">
        <v>28</v>
      </c>
      <c r="J2012" s="3">
        <v>0</v>
      </c>
      <c r="K2012" s="3">
        <v>15</v>
      </c>
      <c r="L2012" s="3">
        <v>0</v>
      </c>
      <c r="M2012" s="3">
        <v>30</v>
      </c>
      <c r="N2012" s="3">
        <v>17</v>
      </c>
      <c r="O2012" s="3"/>
      <c r="P2012" s="3"/>
      <c r="Q2012" s="3"/>
    </row>
    <row r="2013" spans="1:17" ht="15" x14ac:dyDescent="0.25">
      <c r="A2013" s="3">
        <f>2006</f>
        <v>2006</v>
      </c>
      <c r="B2013" s="3" t="s">
        <v>2015</v>
      </c>
      <c r="C2013" s="3" t="s">
        <v>10</v>
      </c>
      <c r="D2013" s="3" t="s">
        <v>9</v>
      </c>
      <c r="E2013" s="3">
        <v>22</v>
      </c>
      <c r="F2013" s="3">
        <v>0</v>
      </c>
      <c r="G2013" s="3">
        <v>0</v>
      </c>
      <c r="H2013" s="3">
        <v>18</v>
      </c>
      <c r="I2013" s="3">
        <v>28</v>
      </c>
      <c r="J2013" s="3">
        <v>0</v>
      </c>
      <c r="K2013" s="3">
        <v>15</v>
      </c>
      <c r="L2013" s="3">
        <v>0</v>
      </c>
      <c r="M2013" s="3">
        <v>30</v>
      </c>
      <c r="N2013" s="3">
        <v>17</v>
      </c>
      <c r="O2013" s="3"/>
      <c r="P2013" s="3"/>
      <c r="Q2013" s="3"/>
    </row>
    <row r="2014" spans="1:17" ht="15" x14ac:dyDescent="0.25">
      <c r="A2014" s="3">
        <f>2007</f>
        <v>2007</v>
      </c>
      <c r="B2014" s="3" t="s">
        <v>2016</v>
      </c>
      <c r="C2014" s="3" t="s">
        <v>10</v>
      </c>
      <c r="D2014" s="3" t="s">
        <v>9</v>
      </c>
      <c r="E2014" s="3">
        <v>22</v>
      </c>
      <c r="F2014" s="3">
        <v>0</v>
      </c>
      <c r="G2014" s="3">
        <v>0</v>
      </c>
      <c r="H2014" s="3">
        <v>18</v>
      </c>
      <c r="I2014" s="3">
        <v>28</v>
      </c>
      <c r="J2014" s="3">
        <v>0</v>
      </c>
      <c r="K2014" s="3">
        <v>15</v>
      </c>
      <c r="L2014" s="3">
        <v>0</v>
      </c>
      <c r="M2014" s="3">
        <v>30</v>
      </c>
      <c r="N2014" s="3">
        <v>17</v>
      </c>
      <c r="O2014" s="3"/>
      <c r="P2014" s="3"/>
      <c r="Q2014" s="3"/>
    </row>
    <row r="2015" spans="1:17" ht="15" x14ac:dyDescent="0.25">
      <c r="A2015" s="3">
        <f>2008</f>
        <v>2008</v>
      </c>
      <c r="B2015" s="3" t="s">
        <v>2017</v>
      </c>
      <c r="C2015" s="3" t="s">
        <v>10</v>
      </c>
      <c r="D2015" s="3" t="s">
        <v>9</v>
      </c>
      <c r="E2015" s="3">
        <v>22</v>
      </c>
      <c r="F2015" s="3">
        <v>0</v>
      </c>
      <c r="G2015" s="3">
        <v>0</v>
      </c>
      <c r="H2015" s="3">
        <v>18</v>
      </c>
      <c r="I2015" s="3">
        <v>28</v>
      </c>
      <c r="J2015" s="3">
        <v>0</v>
      </c>
      <c r="K2015" s="3">
        <v>15</v>
      </c>
      <c r="L2015" s="3">
        <v>0</v>
      </c>
      <c r="M2015" s="3">
        <v>30</v>
      </c>
      <c r="N2015" s="3">
        <v>17</v>
      </c>
      <c r="O2015" s="3"/>
      <c r="P2015" s="3"/>
      <c r="Q2015" s="3"/>
    </row>
    <row r="2016" spans="1:17" ht="15" x14ac:dyDescent="0.25">
      <c r="A2016" s="3">
        <f>2009</f>
        <v>2009</v>
      </c>
      <c r="B2016" s="3" t="s">
        <v>2018</v>
      </c>
      <c r="C2016" s="3" t="s">
        <v>10</v>
      </c>
      <c r="D2016" s="3" t="s">
        <v>9</v>
      </c>
      <c r="E2016" s="3">
        <v>22</v>
      </c>
      <c r="F2016" s="3">
        <v>0</v>
      </c>
      <c r="G2016" s="3">
        <v>0</v>
      </c>
      <c r="H2016" s="3">
        <v>18</v>
      </c>
      <c r="I2016" s="3">
        <v>28</v>
      </c>
      <c r="J2016" s="3">
        <v>0</v>
      </c>
      <c r="K2016" s="3">
        <v>15</v>
      </c>
      <c r="L2016" s="3">
        <v>0</v>
      </c>
      <c r="M2016" s="3">
        <v>30</v>
      </c>
      <c r="N2016" s="3">
        <v>17</v>
      </c>
      <c r="O2016" s="3"/>
      <c r="P2016" s="3"/>
      <c r="Q2016" s="3"/>
    </row>
    <row r="2017" spans="1:17" ht="15" x14ac:dyDescent="0.25">
      <c r="A2017" s="3">
        <f>2010</f>
        <v>2010</v>
      </c>
      <c r="B2017" s="3" t="s">
        <v>2019</v>
      </c>
      <c r="C2017" s="3" t="s">
        <v>10</v>
      </c>
      <c r="D2017" s="3" t="s">
        <v>9</v>
      </c>
      <c r="E2017" s="3">
        <v>22</v>
      </c>
      <c r="F2017" s="3">
        <v>0</v>
      </c>
      <c r="G2017" s="3">
        <v>0</v>
      </c>
      <c r="H2017" s="3">
        <v>18</v>
      </c>
      <c r="I2017" s="3">
        <v>28</v>
      </c>
      <c r="J2017" s="3">
        <v>0</v>
      </c>
      <c r="K2017" s="3">
        <v>15</v>
      </c>
      <c r="L2017" s="3">
        <v>0</v>
      </c>
      <c r="M2017" s="3">
        <v>30</v>
      </c>
      <c r="N2017" s="3">
        <v>17</v>
      </c>
      <c r="O2017" s="3"/>
      <c r="P2017" s="3"/>
      <c r="Q2017" s="3"/>
    </row>
    <row r="2018" spans="1:17" ht="15" x14ac:dyDescent="0.25">
      <c r="A2018" s="3">
        <f>2011</f>
        <v>2011</v>
      </c>
      <c r="B2018" s="3" t="s">
        <v>2020</v>
      </c>
      <c r="C2018" s="3" t="s">
        <v>10</v>
      </c>
      <c r="D2018" s="3" t="s">
        <v>9</v>
      </c>
      <c r="E2018" s="3">
        <v>22</v>
      </c>
      <c r="F2018" s="3">
        <v>0</v>
      </c>
      <c r="G2018" s="3">
        <v>0</v>
      </c>
      <c r="H2018" s="3">
        <v>18</v>
      </c>
      <c r="I2018" s="3">
        <v>28</v>
      </c>
      <c r="J2018" s="3">
        <v>0</v>
      </c>
      <c r="K2018" s="3">
        <v>15</v>
      </c>
      <c r="L2018" s="3">
        <v>0</v>
      </c>
      <c r="M2018" s="3">
        <v>30</v>
      </c>
      <c r="N2018" s="3">
        <v>17</v>
      </c>
      <c r="O2018" s="3"/>
      <c r="P2018" s="3"/>
      <c r="Q2018" s="3"/>
    </row>
    <row r="2019" spans="1:17" ht="15" x14ac:dyDescent="0.25">
      <c r="A2019" s="3">
        <f>2012</f>
        <v>2012</v>
      </c>
      <c r="B2019" s="3" t="s">
        <v>2021</v>
      </c>
      <c r="C2019" s="3" t="s">
        <v>10</v>
      </c>
      <c r="D2019" s="3" t="s">
        <v>9</v>
      </c>
      <c r="E2019" s="3">
        <v>22</v>
      </c>
      <c r="F2019" s="3">
        <v>0</v>
      </c>
      <c r="G2019" s="3">
        <v>0</v>
      </c>
      <c r="H2019" s="3">
        <v>18</v>
      </c>
      <c r="I2019" s="3">
        <v>28</v>
      </c>
      <c r="J2019" s="3">
        <v>0</v>
      </c>
      <c r="K2019" s="3">
        <v>15</v>
      </c>
      <c r="L2019" s="3">
        <v>0</v>
      </c>
      <c r="M2019" s="3">
        <v>30</v>
      </c>
      <c r="N2019" s="3">
        <v>17</v>
      </c>
      <c r="O2019" s="3"/>
      <c r="P2019" s="3"/>
      <c r="Q2019" s="3"/>
    </row>
    <row r="2020" spans="1:17" ht="15" x14ac:dyDescent="0.25">
      <c r="A2020" s="3">
        <f>2013</f>
        <v>2013</v>
      </c>
      <c r="B2020" s="3" t="s">
        <v>2022</v>
      </c>
      <c r="C2020" s="3" t="s">
        <v>10</v>
      </c>
      <c r="D2020" s="3" t="s">
        <v>9</v>
      </c>
      <c r="E2020" s="3">
        <v>22</v>
      </c>
      <c r="F2020" s="3">
        <v>0</v>
      </c>
      <c r="G2020" s="3">
        <v>0</v>
      </c>
      <c r="H2020" s="3">
        <v>18</v>
      </c>
      <c r="I2020" s="3">
        <v>28</v>
      </c>
      <c r="J2020" s="3">
        <v>0</v>
      </c>
      <c r="K2020" s="3">
        <v>15</v>
      </c>
      <c r="L2020" s="3">
        <v>0</v>
      </c>
      <c r="M2020" s="3">
        <v>30</v>
      </c>
      <c r="N2020" s="3">
        <v>17</v>
      </c>
      <c r="O2020" s="3"/>
      <c r="P2020" s="3"/>
      <c r="Q2020" s="3"/>
    </row>
    <row r="2021" spans="1:17" ht="15" x14ac:dyDescent="0.25">
      <c r="A2021" s="3">
        <f>2014</f>
        <v>2014</v>
      </c>
      <c r="B2021" s="3" t="s">
        <v>2023</v>
      </c>
      <c r="C2021" s="3" t="s">
        <v>10</v>
      </c>
      <c r="D2021" s="3" t="s">
        <v>9</v>
      </c>
      <c r="E2021" s="3">
        <v>22</v>
      </c>
      <c r="F2021" s="3">
        <v>0</v>
      </c>
      <c r="G2021" s="3">
        <v>0</v>
      </c>
      <c r="H2021" s="3">
        <v>18</v>
      </c>
      <c r="I2021" s="3">
        <v>28</v>
      </c>
      <c r="J2021" s="3">
        <v>0</v>
      </c>
      <c r="K2021" s="3">
        <v>15</v>
      </c>
      <c r="L2021" s="3">
        <v>0</v>
      </c>
      <c r="M2021" s="3">
        <v>30</v>
      </c>
      <c r="N2021" s="3">
        <v>17</v>
      </c>
      <c r="O2021" s="3"/>
      <c r="P2021" s="3"/>
      <c r="Q2021" s="3"/>
    </row>
    <row r="2022" spans="1:17" ht="15" x14ac:dyDescent="0.25">
      <c r="A2022" s="3">
        <f>2015</f>
        <v>2015</v>
      </c>
      <c r="B2022" s="3" t="s">
        <v>2024</v>
      </c>
      <c r="C2022" s="3" t="s">
        <v>10</v>
      </c>
      <c r="D2022" s="3" t="s">
        <v>9</v>
      </c>
      <c r="E2022" s="3">
        <v>22</v>
      </c>
      <c r="F2022" s="3">
        <v>0</v>
      </c>
      <c r="G2022" s="3">
        <v>0</v>
      </c>
      <c r="H2022" s="3">
        <v>18</v>
      </c>
      <c r="I2022" s="3">
        <v>28</v>
      </c>
      <c r="J2022" s="3">
        <v>0</v>
      </c>
      <c r="K2022" s="3">
        <v>15</v>
      </c>
      <c r="L2022" s="3">
        <v>0</v>
      </c>
      <c r="M2022" s="3">
        <v>30</v>
      </c>
      <c r="N2022" s="3">
        <v>17</v>
      </c>
      <c r="O2022" s="3"/>
      <c r="P2022" s="3"/>
      <c r="Q2022" s="3"/>
    </row>
    <row r="2023" spans="1:17" ht="15" x14ac:dyDescent="0.25">
      <c r="A2023" s="3">
        <f>2016</f>
        <v>2016</v>
      </c>
      <c r="B2023" s="3" t="s">
        <v>2025</v>
      </c>
      <c r="C2023" s="3" t="s">
        <v>10</v>
      </c>
      <c r="D2023" s="3" t="s">
        <v>9</v>
      </c>
      <c r="E2023" s="3">
        <v>22</v>
      </c>
      <c r="F2023" s="3">
        <v>0</v>
      </c>
      <c r="G2023" s="3">
        <v>0</v>
      </c>
      <c r="H2023" s="3">
        <v>18</v>
      </c>
      <c r="I2023" s="3">
        <v>28</v>
      </c>
      <c r="J2023" s="3">
        <v>0</v>
      </c>
      <c r="K2023" s="3">
        <v>15</v>
      </c>
      <c r="L2023" s="3">
        <v>0</v>
      </c>
      <c r="M2023" s="3">
        <v>30</v>
      </c>
      <c r="N2023" s="3">
        <v>17</v>
      </c>
      <c r="O2023" s="3"/>
      <c r="P2023" s="3"/>
      <c r="Q2023" s="3"/>
    </row>
    <row r="2024" spans="1:17" ht="15" x14ac:dyDescent="0.25">
      <c r="A2024" s="3">
        <f>2017</f>
        <v>2017</v>
      </c>
      <c r="B2024" s="3" t="s">
        <v>2026</v>
      </c>
      <c r="C2024" s="3" t="s">
        <v>10</v>
      </c>
      <c r="D2024" s="3" t="s">
        <v>9</v>
      </c>
      <c r="E2024" s="3">
        <v>22</v>
      </c>
      <c r="F2024" s="3">
        <v>0</v>
      </c>
      <c r="G2024" s="3">
        <v>0</v>
      </c>
      <c r="H2024" s="3">
        <v>18</v>
      </c>
      <c r="I2024" s="3">
        <v>28</v>
      </c>
      <c r="J2024" s="3">
        <v>0</v>
      </c>
      <c r="K2024" s="3">
        <v>15</v>
      </c>
      <c r="L2024" s="3">
        <v>0</v>
      </c>
      <c r="M2024" s="3">
        <v>30</v>
      </c>
      <c r="N2024" s="3">
        <v>17</v>
      </c>
      <c r="O2024" s="3"/>
      <c r="P2024" s="3"/>
      <c r="Q2024" s="3"/>
    </row>
    <row r="2025" spans="1:17" ht="15" x14ac:dyDescent="0.25">
      <c r="A2025" s="3">
        <f>2018</f>
        <v>2018</v>
      </c>
      <c r="B2025" s="3" t="s">
        <v>2027</v>
      </c>
      <c r="C2025" s="3" t="s">
        <v>10</v>
      </c>
      <c r="D2025" s="3" t="s">
        <v>9</v>
      </c>
      <c r="E2025" s="3">
        <v>22</v>
      </c>
      <c r="F2025" s="3">
        <v>0</v>
      </c>
      <c r="G2025" s="3">
        <v>0</v>
      </c>
      <c r="H2025" s="3">
        <v>18</v>
      </c>
      <c r="I2025" s="3">
        <v>28</v>
      </c>
      <c r="J2025" s="3">
        <v>0</v>
      </c>
      <c r="K2025" s="3">
        <v>15</v>
      </c>
      <c r="L2025" s="3">
        <v>0</v>
      </c>
      <c r="M2025" s="3">
        <v>30</v>
      </c>
      <c r="N2025" s="3">
        <v>17</v>
      </c>
      <c r="O2025" s="3"/>
      <c r="P2025" s="3"/>
      <c r="Q2025" s="3"/>
    </row>
    <row r="2026" spans="1:17" ht="15" x14ac:dyDescent="0.25">
      <c r="A2026" s="3">
        <f>2019</f>
        <v>2019</v>
      </c>
      <c r="B2026" s="3" t="s">
        <v>2028</v>
      </c>
      <c r="C2026" s="3" t="s">
        <v>10</v>
      </c>
      <c r="D2026" s="3" t="s">
        <v>9</v>
      </c>
      <c r="E2026" s="3">
        <v>22</v>
      </c>
      <c r="F2026" s="3">
        <v>0</v>
      </c>
      <c r="G2026" s="3">
        <v>0</v>
      </c>
      <c r="H2026" s="3">
        <v>18</v>
      </c>
      <c r="I2026" s="3">
        <v>28</v>
      </c>
      <c r="J2026" s="3">
        <v>0</v>
      </c>
      <c r="K2026" s="3">
        <v>15</v>
      </c>
      <c r="L2026" s="3">
        <v>0</v>
      </c>
      <c r="M2026" s="3">
        <v>30</v>
      </c>
      <c r="N2026" s="3">
        <v>17</v>
      </c>
      <c r="O2026" s="3"/>
      <c r="P2026" s="3"/>
      <c r="Q2026" s="3"/>
    </row>
    <row r="2027" spans="1:17" ht="15" x14ac:dyDescent="0.25">
      <c r="A2027" s="3">
        <f>2020</f>
        <v>2020</v>
      </c>
      <c r="B2027" s="3" t="s">
        <v>2029</v>
      </c>
      <c r="C2027" s="3" t="s">
        <v>10</v>
      </c>
      <c r="D2027" s="3" t="s">
        <v>9</v>
      </c>
      <c r="E2027" s="3">
        <v>22</v>
      </c>
      <c r="F2027" s="3">
        <v>0</v>
      </c>
      <c r="G2027" s="3">
        <v>0</v>
      </c>
      <c r="H2027" s="3">
        <v>18</v>
      </c>
      <c r="I2027" s="3">
        <v>28</v>
      </c>
      <c r="J2027" s="3">
        <v>0</v>
      </c>
      <c r="K2027" s="3">
        <v>15</v>
      </c>
      <c r="L2027" s="3">
        <v>0</v>
      </c>
      <c r="M2027" s="3">
        <v>30</v>
      </c>
      <c r="N2027" s="3">
        <v>17</v>
      </c>
      <c r="O2027" s="3"/>
      <c r="P2027" s="3"/>
      <c r="Q2027" s="3"/>
    </row>
    <row r="2028" spans="1:17" ht="15" x14ac:dyDescent="0.25">
      <c r="A2028" s="3">
        <f>2021</f>
        <v>2021</v>
      </c>
      <c r="B2028" s="3" t="s">
        <v>2030</v>
      </c>
      <c r="C2028" s="3" t="s">
        <v>10</v>
      </c>
      <c r="D2028" s="3" t="s">
        <v>9</v>
      </c>
      <c r="E2028" s="3">
        <v>22</v>
      </c>
      <c r="F2028" s="3">
        <v>0</v>
      </c>
      <c r="G2028" s="3">
        <v>0</v>
      </c>
      <c r="H2028" s="3">
        <v>18</v>
      </c>
      <c r="I2028" s="3">
        <v>28</v>
      </c>
      <c r="J2028" s="3">
        <v>0</v>
      </c>
      <c r="K2028" s="3">
        <v>15</v>
      </c>
      <c r="L2028" s="3">
        <v>0</v>
      </c>
      <c r="M2028" s="3">
        <v>30</v>
      </c>
      <c r="N2028" s="3">
        <v>17</v>
      </c>
      <c r="O2028" s="3"/>
      <c r="P2028" s="3"/>
      <c r="Q2028" s="3"/>
    </row>
    <row r="2029" spans="1:17" ht="15" x14ac:dyDescent="0.25">
      <c r="A2029" s="3">
        <f>2022</f>
        <v>2022</v>
      </c>
      <c r="B2029" s="3" t="s">
        <v>2031</v>
      </c>
      <c r="C2029" s="3" t="s">
        <v>10</v>
      </c>
      <c r="D2029" s="3" t="s">
        <v>9</v>
      </c>
      <c r="E2029" s="3">
        <v>22</v>
      </c>
      <c r="F2029" s="3">
        <v>0</v>
      </c>
      <c r="G2029" s="3">
        <v>0</v>
      </c>
      <c r="H2029" s="3">
        <v>18</v>
      </c>
      <c r="I2029" s="3">
        <v>28</v>
      </c>
      <c r="J2029" s="3">
        <v>0</v>
      </c>
      <c r="K2029" s="3">
        <v>15</v>
      </c>
      <c r="L2029" s="3">
        <v>0</v>
      </c>
      <c r="M2029" s="3">
        <v>30</v>
      </c>
      <c r="N2029" s="3">
        <v>17</v>
      </c>
      <c r="O2029" s="3"/>
      <c r="P2029" s="3"/>
      <c r="Q2029" s="3"/>
    </row>
    <row r="2030" spans="1:17" ht="15" x14ac:dyDescent="0.25">
      <c r="A2030" s="3">
        <f>2023</f>
        <v>2023</v>
      </c>
      <c r="B2030" s="3" t="s">
        <v>2032</v>
      </c>
      <c r="C2030" s="3" t="s">
        <v>10</v>
      </c>
      <c r="D2030" s="3" t="s">
        <v>9</v>
      </c>
      <c r="E2030" s="3">
        <v>22</v>
      </c>
      <c r="F2030" s="3">
        <v>0</v>
      </c>
      <c r="G2030" s="3">
        <v>0</v>
      </c>
      <c r="H2030" s="3">
        <v>18</v>
      </c>
      <c r="I2030" s="3">
        <v>28</v>
      </c>
      <c r="J2030" s="3">
        <v>0</v>
      </c>
      <c r="K2030" s="3">
        <v>15</v>
      </c>
      <c r="L2030" s="3">
        <v>0</v>
      </c>
      <c r="M2030" s="3">
        <v>30</v>
      </c>
      <c r="N2030" s="3">
        <v>17</v>
      </c>
      <c r="O2030" s="3"/>
      <c r="P2030" s="3"/>
      <c r="Q2030" s="3"/>
    </row>
    <row r="2031" spans="1:17" ht="15" x14ac:dyDescent="0.25">
      <c r="A2031" s="3">
        <f>2024</f>
        <v>2024</v>
      </c>
      <c r="B2031" s="3" t="s">
        <v>2033</v>
      </c>
      <c r="C2031" s="3" t="s">
        <v>10</v>
      </c>
      <c r="D2031" s="3" t="s">
        <v>9</v>
      </c>
      <c r="E2031" s="3">
        <v>22</v>
      </c>
      <c r="F2031" s="3">
        <v>0</v>
      </c>
      <c r="G2031" s="3">
        <v>0</v>
      </c>
      <c r="H2031" s="3">
        <v>18</v>
      </c>
      <c r="I2031" s="3">
        <v>28</v>
      </c>
      <c r="J2031" s="3">
        <v>0</v>
      </c>
      <c r="K2031" s="3">
        <v>15</v>
      </c>
      <c r="L2031" s="3">
        <v>0</v>
      </c>
      <c r="M2031" s="3">
        <v>30</v>
      </c>
      <c r="N2031" s="3">
        <v>17</v>
      </c>
      <c r="O2031" s="3"/>
      <c r="P2031" s="3"/>
      <c r="Q2031" s="3"/>
    </row>
    <row r="2032" spans="1:17" ht="15" x14ac:dyDescent="0.25">
      <c r="A2032" s="3">
        <f>2025</f>
        <v>2025</v>
      </c>
      <c r="B2032" s="3" t="s">
        <v>2034</v>
      </c>
      <c r="C2032" s="3" t="s">
        <v>10</v>
      </c>
      <c r="D2032" s="3" t="s">
        <v>9</v>
      </c>
      <c r="E2032" s="3">
        <v>22</v>
      </c>
      <c r="F2032" s="3">
        <v>0</v>
      </c>
      <c r="G2032" s="3">
        <v>0</v>
      </c>
      <c r="H2032" s="3">
        <v>18</v>
      </c>
      <c r="I2032" s="3">
        <v>28</v>
      </c>
      <c r="J2032" s="3">
        <v>0</v>
      </c>
      <c r="K2032" s="3">
        <v>15</v>
      </c>
      <c r="L2032" s="3">
        <v>0</v>
      </c>
      <c r="M2032" s="3">
        <v>30</v>
      </c>
      <c r="N2032" s="3">
        <v>17</v>
      </c>
      <c r="O2032" s="3"/>
      <c r="P2032" s="3"/>
      <c r="Q2032" s="3"/>
    </row>
    <row r="2033" spans="1:17" ht="15" x14ac:dyDescent="0.25">
      <c r="A2033" s="3">
        <f>2026</f>
        <v>2026</v>
      </c>
      <c r="B2033" s="3" t="s">
        <v>2035</v>
      </c>
      <c r="C2033" s="3" t="s">
        <v>10</v>
      </c>
      <c r="D2033" s="3" t="s">
        <v>9</v>
      </c>
      <c r="E2033" s="3">
        <v>22</v>
      </c>
      <c r="F2033" s="3">
        <v>0</v>
      </c>
      <c r="G2033" s="3">
        <v>0</v>
      </c>
      <c r="H2033" s="3">
        <v>18</v>
      </c>
      <c r="I2033" s="3">
        <v>28</v>
      </c>
      <c r="J2033" s="3">
        <v>0</v>
      </c>
      <c r="K2033" s="3">
        <v>15</v>
      </c>
      <c r="L2033" s="3">
        <v>0</v>
      </c>
      <c r="M2033" s="3">
        <v>30</v>
      </c>
      <c r="N2033" s="3">
        <v>17</v>
      </c>
      <c r="O2033" s="3"/>
      <c r="P2033" s="3"/>
      <c r="Q2033" s="3"/>
    </row>
    <row r="2034" spans="1:17" ht="15" x14ac:dyDescent="0.25">
      <c r="A2034" s="3">
        <f>2027</f>
        <v>2027</v>
      </c>
      <c r="B2034" s="3" t="s">
        <v>2036</v>
      </c>
      <c r="C2034" s="3" t="s">
        <v>10</v>
      </c>
      <c r="D2034" s="3" t="s">
        <v>9</v>
      </c>
      <c r="E2034" s="3">
        <v>22</v>
      </c>
      <c r="F2034" s="3">
        <v>0</v>
      </c>
      <c r="G2034" s="3">
        <v>0</v>
      </c>
      <c r="H2034" s="3">
        <v>18</v>
      </c>
      <c r="I2034" s="3">
        <v>28</v>
      </c>
      <c r="J2034" s="3">
        <v>0</v>
      </c>
      <c r="K2034" s="3">
        <v>15</v>
      </c>
      <c r="L2034" s="3">
        <v>0</v>
      </c>
      <c r="M2034" s="3">
        <v>30</v>
      </c>
      <c r="N2034" s="3">
        <v>17</v>
      </c>
      <c r="O2034" s="3"/>
      <c r="P2034" s="3"/>
      <c r="Q2034" s="3"/>
    </row>
    <row r="2035" spans="1:17" ht="15" x14ac:dyDescent="0.25">
      <c r="A2035" s="3">
        <f>2028</f>
        <v>2028</v>
      </c>
      <c r="B2035" s="3" t="s">
        <v>2037</v>
      </c>
      <c r="C2035" s="3" t="s">
        <v>10</v>
      </c>
      <c r="D2035" s="3" t="s">
        <v>9</v>
      </c>
      <c r="E2035" s="3">
        <v>22</v>
      </c>
      <c r="F2035" s="3">
        <v>0</v>
      </c>
      <c r="G2035" s="3">
        <v>0</v>
      </c>
      <c r="H2035" s="3">
        <v>18</v>
      </c>
      <c r="I2035" s="3">
        <v>28</v>
      </c>
      <c r="J2035" s="3">
        <v>0</v>
      </c>
      <c r="K2035" s="3">
        <v>15</v>
      </c>
      <c r="L2035" s="3">
        <v>0</v>
      </c>
      <c r="M2035" s="3">
        <v>30</v>
      </c>
      <c r="N2035" s="3">
        <v>17</v>
      </c>
      <c r="O2035" s="3"/>
      <c r="P2035" s="3"/>
      <c r="Q2035" s="3"/>
    </row>
    <row r="2036" spans="1:17" ht="15" x14ac:dyDescent="0.25">
      <c r="A2036" s="3">
        <f>2029</f>
        <v>2029</v>
      </c>
      <c r="B2036" s="3" t="s">
        <v>2038</v>
      </c>
      <c r="C2036" s="3" t="s">
        <v>10</v>
      </c>
      <c r="D2036" s="3" t="s">
        <v>9</v>
      </c>
      <c r="E2036" s="3">
        <v>22</v>
      </c>
      <c r="F2036" s="3">
        <v>0</v>
      </c>
      <c r="G2036" s="3">
        <v>0</v>
      </c>
      <c r="H2036" s="3">
        <v>18</v>
      </c>
      <c r="I2036" s="3">
        <v>28</v>
      </c>
      <c r="J2036" s="3">
        <v>0</v>
      </c>
      <c r="K2036" s="3">
        <v>15</v>
      </c>
      <c r="L2036" s="3">
        <v>0</v>
      </c>
      <c r="M2036" s="3">
        <v>30</v>
      </c>
      <c r="N2036" s="3">
        <v>17</v>
      </c>
      <c r="O2036" s="3"/>
      <c r="P2036" s="3"/>
      <c r="Q2036" s="3"/>
    </row>
    <row r="2037" spans="1:17" ht="15" x14ac:dyDescent="0.25">
      <c r="A2037" s="3">
        <f>2030</f>
        <v>2030</v>
      </c>
      <c r="B2037" s="3" t="s">
        <v>2039</v>
      </c>
      <c r="C2037" s="3" t="s">
        <v>10</v>
      </c>
      <c r="D2037" s="3" t="s">
        <v>9</v>
      </c>
      <c r="E2037" s="3">
        <v>22</v>
      </c>
      <c r="F2037" s="3">
        <v>0</v>
      </c>
      <c r="G2037" s="3">
        <v>0</v>
      </c>
      <c r="H2037" s="3">
        <v>18</v>
      </c>
      <c r="I2037" s="3">
        <v>28</v>
      </c>
      <c r="J2037" s="3">
        <v>0</v>
      </c>
      <c r="K2037" s="3">
        <v>15</v>
      </c>
      <c r="L2037" s="3">
        <v>0</v>
      </c>
      <c r="M2037" s="3">
        <v>30</v>
      </c>
      <c r="N2037" s="3">
        <v>17</v>
      </c>
      <c r="O2037" s="3"/>
      <c r="P2037" s="3"/>
      <c r="Q2037" s="3"/>
    </row>
    <row r="2038" spans="1:17" ht="15" x14ac:dyDescent="0.25">
      <c r="A2038" s="3">
        <f>2031</f>
        <v>2031</v>
      </c>
      <c r="B2038" s="3" t="s">
        <v>2040</v>
      </c>
      <c r="C2038" s="3" t="s">
        <v>10</v>
      </c>
      <c r="D2038" s="3" t="s">
        <v>9</v>
      </c>
      <c r="E2038" s="3">
        <v>22</v>
      </c>
      <c r="F2038" s="3">
        <v>0</v>
      </c>
      <c r="G2038" s="3">
        <v>0</v>
      </c>
      <c r="H2038" s="3">
        <v>18</v>
      </c>
      <c r="I2038" s="3">
        <v>28</v>
      </c>
      <c r="J2038" s="3">
        <v>0</v>
      </c>
      <c r="K2038" s="3">
        <v>15</v>
      </c>
      <c r="L2038" s="3">
        <v>0</v>
      </c>
      <c r="M2038" s="3">
        <v>30</v>
      </c>
      <c r="N2038" s="3">
        <v>17</v>
      </c>
      <c r="O2038" s="3"/>
      <c r="P2038" s="3"/>
      <c r="Q2038" s="3"/>
    </row>
    <row r="2039" spans="1:17" ht="15" x14ac:dyDescent="0.25">
      <c r="A2039" s="3">
        <f>2032</f>
        <v>2032</v>
      </c>
      <c r="B2039" s="3" t="s">
        <v>2041</v>
      </c>
      <c r="C2039" s="3" t="s">
        <v>10</v>
      </c>
      <c r="D2039" s="3" t="s">
        <v>9</v>
      </c>
      <c r="E2039" s="3">
        <v>22</v>
      </c>
      <c r="F2039" s="3">
        <v>0</v>
      </c>
      <c r="G2039" s="3">
        <v>0</v>
      </c>
      <c r="H2039" s="3">
        <v>18</v>
      </c>
      <c r="I2039" s="3">
        <v>28</v>
      </c>
      <c r="J2039" s="3">
        <v>0</v>
      </c>
      <c r="K2039" s="3">
        <v>15</v>
      </c>
      <c r="L2039" s="3">
        <v>0</v>
      </c>
      <c r="M2039" s="3">
        <v>30</v>
      </c>
      <c r="N2039" s="3">
        <v>17</v>
      </c>
      <c r="O2039" s="3"/>
      <c r="P2039" s="3"/>
      <c r="Q2039" s="3"/>
    </row>
    <row r="2040" spans="1:17" ht="15" x14ac:dyDescent="0.25">
      <c r="A2040" s="3">
        <f>2033</f>
        <v>2033</v>
      </c>
      <c r="B2040" s="3" t="s">
        <v>2042</v>
      </c>
      <c r="C2040" s="3" t="s">
        <v>10</v>
      </c>
      <c r="D2040" s="3" t="s">
        <v>9</v>
      </c>
      <c r="E2040" s="3">
        <v>22</v>
      </c>
      <c r="F2040" s="3">
        <v>0</v>
      </c>
      <c r="G2040" s="3">
        <v>0</v>
      </c>
      <c r="H2040" s="3">
        <v>18</v>
      </c>
      <c r="I2040" s="3">
        <v>28</v>
      </c>
      <c r="J2040" s="3">
        <v>0</v>
      </c>
      <c r="K2040" s="3">
        <v>15</v>
      </c>
      <c r="L2040" s="3">
        <v>0</v>
      </c>
      <c r="M2040" s="3">
        <v>30</v>
      </c>
      <c r="N2040" s="3">
        <v>17</v>
      </c>
      <c r="O2040" s="3"/>
      <c r="P2040" s="3"/>
      <c r="Q2040" s="3"/>
    </row>
    <row r="2041" spans="1:17" ht="15" x14ac:dyDescent="0.25">
      <c r="A2041" s="3">
        <f>2034</f>
        <v>2034</v>
      </c>
      <c r="B2041" s="3" t="s">
        <v>2043</v>
      </c>
      <c r="C2041" s="3" t="s">
        <v>10</v>
      </c>
      <c r="D2041" s="3" t="s">
        <v>9</v>
      </c>
      <c r="E2041" s="3">
        <v>22</v>
      </c>
      <c r="F2041" s="3">
        <v>0</v>
      </c>
      <c r="G2041" s="3">
        <v>0</v>
      </c>
      <c r="H2041" s="3">
        <v>18</v>
      </c>
      <c r="I2041" s="3">
        <v>28</v>
      </c>
      <c r="J2041" s="3">
        <v>0</v>
      </c>
      <c r="K2041" s="3">
        <v>15</v>
      </c>
      <c r="L2041" s="3">
        <v>0</v>
      </c>
      <c r="M2041" s="3">
        <v>30</v>
      </c>
      <c r="N2041" s="3">
        <v>17</v>
      </c>
      <c r="O2041" s="3"/>
      <c r="P2041" s="3"/>
      <c r="Q2041" s="3"/>
    </row>
    <row r="2042" spans="1:17" ht="15" x14ac:dyDescent="0.25">
      <c r="A2042" s="3">
        <f>2035</f>
        <v>2035</v>
      </c>
      <c r="B2042" s="3" t="s">
        <v>2044</v>
      </c>
      <c r="C2042" s="3" t="s">
        <v>10</v>
      </c>
      <c r="D2042" s="3" t="s">
        <v>9</v>
      </c>
      <c r="E2042" s="3">
        <v>22</v>
      </c>
      <c r="F2042" s="3">
        <v>0</v>
      </c>
      <c r="G2042" s="3">
        <v>0</v>
      </c>
      <c r="H2042" s="3">
        <v>18</v>
      </c>
      <c r="I2042" s="3">
        <v>28</v>
      </c>
      <c r="J2042" s="3">
        <v>0</v>
      </c>
      <c r="K2042" s="3">
        <v>15</v>
      </c>
      <c r="L2042" s="3">
        <v>0</v>
      </c>
      <c r="M2042" s="3">
        <v>30</v>
      </c>
      <c r="N2042" s="3">
        <v>17</v>
      </c>
      <c r="O2042" s="3"/>
      <c r="P2042" s="3"/>
      <c r="Q2042" s="3"/>
    </row>
    <row r="2043" spans="1:17" ht="15" x14ac:dyDescent="0.25">
      <c r="A2043" s="3">
        <f>2036</f>
        <v>2036</v>
      </c>
      <c r="B2043" s="3" t="s">
        <v>2045</v>
      </c>
      <c r="C2043" s="3" t="s">
        <v>10</v>
      </c>
      <c r="D2043" s="3" t="s">
        <v>9</v>
      </c>
      <c r="E2043" s="3">
        <v>22</v>
      </c>
      <c r="F2043" s="3">
        <v>0</v>
      </c>
      <c r="G2043" s="3">
        <v>0</v>
      </c>
      <c r="H2043" s="3">
        <v>18</v>
      </c>
      <c r="I2043" s="3">
        <v>28</v>
      </c>
      <c r="J2043" s="3">
        <v>0</v>
      </c>
      <c r="K2043" s="3">
        <v>15</v>
      </c>
      <c r="L2043" s="3">
        <v>0</v>
      </c>
      <c r="M2043" s="3">
        <v>30</v>
      </c>
      <c r="N2043" s="3">
        <v>17</v>
      </c>
      <c r="O2043" s="3"/>
      <c r="P2043" s="3"/>
      <c r="Q2043" s="3"/>
    </row>
    <row r="2044" spans="1:17" ht="15" x14ac:dyDescent="0.25">
      <c r="A2044" s="3">
        <f>2037</f>
        <v>2037</v>
      </c>
      <c r="B2044" s="3" t="s">
        <v>2046</v>
      </c>
      <c r="C2044" s="3" t="s">
        <v>10</v>
      </c>
      <c r="D2044" s="3" t="s">
        <v>9</v>
      </c>
      <c r="E2044" s="3">
        <v>22</v>
      </c>
      <c r="F2044" s="3">
        <v>0</v>
      </c>
      <c r="G2044" s="3">
        <v>0</v>
      </c>
      <c r="H2044" s="3">
        <v>18</v>
      </c>
      <c r="I2044" s="3">
        <v>28</v>
      </c>
      <c r="J2044" s="3">
        <v>0</v>
      </c>
      <c r="K2044" s="3">
        <v>15</v>
      </c>
      <c r="L2044" s="3">
        <v>0</v>
      </c>
      <c r="M2044" s="3">
        <v>30</v>
      </c>
      <c r="N2044" s="3">
        <v>17</v>
      </c>
      <c r="O2044" s="3"/>
      <c r="P2044" s="3"/>
      <c r="Q2044" s="3"/>
    </row>
    <row r="2045" spans="1:17" ht="15" x14ac:dyDescent="0.25">
      <c r="A2045" s="3">
        <f>2038</f>
        <v>2038</v>
      </c>
      <c r="B2045" s="3" t="s">
        <v>2047</v>
      </c>
      <c r="C2045" s="3" t="s">
        <v>10</v>
      </c>
      <c r="D2045" s="3" t="s">
        <v>9</v>
      </c>
      <c r="E2045" s="3">
        <v>22</v>
      </c>
      <c r="F2045" s="3">
        <v>0</v>
      </c>
      <c r="G2045" s="3">
        <v>0</v>
      </c>
      <c r="H2045" s="3">
        <v>18</v>
      </c>
      <c r="I2045" s="3">
        <v>28</v>
      </c>
      <c r="J2045" s="3">
        <v>0</v>
      </c>
      <c r="K2045" s="3">
        <v>15</v>
      </c>
      <c r="L2045" s="3">
        <v>0</v>
      </c>
      <c r="M2045" s="3">
        <v>30</v>
      </c>
      <c r="N2045" s="3">
        <v>17</v>
      </c>
      <c r="O2045" s="3"/>
      <c r="P2045" s="3"/>
      <c r="Q2045" s="3"/>
    </row>
    <row r="2046" spans="1:17" ht="15" x14ac:dyDescent="0.25">
      <c r="A2046" s="3">
        <f>2039</f>
        <v>2039</v>
      </c>
      <c r="B2046" s="3" t="s">
        <v>2048</v>
      </c>
      <c r="C2046" s="3" t="s">
        <v>10</v>
      </c>
      <c r="D2046" s="3" t="s">
        <v>9</v>
      </c>
      <c r="E2046" s="3">
        <v>22</v>
      </c>
      <c r="F2046" s="3">
        <v>0</v>
      </c>
      <c r="G2046" s="3">
        <v>0</v>
      </c>
      <c r="H2046" s="3">
        <v>18</v>
      </c>
      <c r="I2046" s="3">
        <v>28</v>
      </c>
      <c r="J2046" s="3">
        <v>0</v>
      </c>
      <c r="K2046" s="3">
        <v>15</v>
      </c>
      <c r="L2046" s="3">
        <v>0</v>
      </c>
      <c r="M2046" s="3">
        <v>30</v>
      </c>
      <c r="N2046" s="3">
        <v>17</v>
      </c>
      <c r="O2046" s="3"/>
      <c r="P2046" s="3"/>
      <c r="Q2046" s="3"/>
    </row>
    <row r="2047" spans="1:17" ht="15" x14ac:dyDescent="0.25">
      <c r="A2047" s="3">
        <f>2040</f>
        <v>2040</v>
      </c>
      <c r="B2047" s="3" t="s">
        <v>2049</v>
      </c>
      <c r="C2047" s="3" t="s">
        <v>10</v>
      </c>
      <c r="D2047" s="3" t="s">
        <v>9</v>
      </c>
      <c r="E2047" s="3">
        <v>22</v>
      </c>
      <c r="F2047" s="3">
        <v>0</v>
      </c>
      <c r="G2047" s="3">
        <v>0</v>
      </c>
      <c r="H2047" s="3">
        <v>18</v>
      </c>
      <c r="I2047" s="3">
        <v>28</v>
      </c>
      <c r="J2047" s="3">
        <v>0</v>
      </c>
      <c r="K2047" s="3">
        <v>15</v>
      </c>
      <c r="L2047" s="3">
        <v>0</v>
      </c>
      <c r="M2047" s="3">
        <v>30</v>
      </c>
      <c r="N2047" s="3">
        <v>17</v>
      </c>
      <c r="O2047" s="3"/>
      <c r="P2047" s="3"/>
      <c r="Q2047" s="3"/>
    </row>
    <row r="2048" spans="1:17" ht="15" x14ac:dyDescent="0.25">
      <c r="A2048" s="3">
        <f>2041</f>
        <v>2041</v>
      </c>
      <c r="B2048" s="3" t="s">
        <v>2050</v>
      </c>
      <c r="C2048" s="3" t="s">
        <v>10</v>
      </c>
      <c r="D2048" s="3" t="s">
        <v>9</v>
      </c>
      <c r="E2048" s="3">
        <v>22</v>
      </c>
      <c r="F2048" s="3">
        <v>0</v>
      </c>
      <c r="G2048" s="3">
        <v>0</v>
      </c>
      <c r="H2048" s="3">
        <v>18</v>
      </c>
      <c r="I2048" s="3">
        <v>28</v>
      </c>
      <c r="J2048" s="3">
        <v>0</v>
      </c>
      <c r="K2048" s="3">
        <v>15</v>
      </c>
      <c r="L2048" s="3">
        <v>0</v>
      </c>
      <c r="M2048" s="3">
        <v>30</v>
      </c>
      <c r="N2048" s="3">
        <v>17</v>
      </c>
      <c r="O2048" s="3"/>
      <c r="P2048" s="3"/>
      <c r="Q2048" s="3"/>
    </row>
    <row r="2049" spans="1:17" ht="15" x14ac:dyDescent="0.25">
      <c r="A2049" s="3">
        <f>2042</f>
        <v>2042</v>
      </c>
      <c r="B2049" s="3" t="s">
        <v>2051</v>
      </c>
      <c r="C2049" s="3" t="s">
        <v>10</v>
      </c>
      <c r="D2049" s="3" t="s">
        <v>9</v>
      </c>
      <c r="E2049" s="3">
        <v>22</v>
      </c>
      <c r="F2049" s="3">
        <v>0</v>
      </c>
      <c r="G2049" s="3">
        <v>0</v>
      </c>
      <c r="H2049" s="3">
        <v>18</v>
      </c>
      <c r="I2049" s="3">
        <v>28</v>
      </c>
      <c r="J2049" s="3">
        <v>0</v>
      </c>
      <c r="K2049" s="3">
        <v>15</v>
      </c>
      <c r="L2049" s="3">
        <v>0</v>
      </c>
      <c r="M2049" s="3">
        <v>30</v>
      </c>
      <c r="N2049" s="3">
        <v>17</v>
      </c>
      <c r="O2049" s="3"/>
      <c r="P2049" s="3"/>
      <c r="Q2049" s="3"/>
    </row>
    <row r="2050" spans="1:17" ht="15" x14ac:dyDescent="0.25">
      <c r="A2050" s="3">
        <f>2043</f>
        <v>2043</v>
      </c>
      <c r="B2050" s="3" t="s">
        <v>2052</v>
      </c>
      <c r="C2050" s="3" t="s">
        <v>10</v>
      </c>
      <c r="D2050" s="3" t="s">
        <v>9</v>
      </c>
      <c r="E2050" s="3">
        <v>22</v>
      </c>
      <c r="F2050" s="3">
        <v>0</v>
      </c>
      <c r="G2050" s="3">
        <v>0</v>
      </c>
      <c r="H2050" s="3">
        <v>18</v>
      </c>
      <c r="I2050" s="3">
        <v>28</v>
      </c>
      <c r="J2050" s="3">
        <v>0</v>
      </c>
      <c r="K2050" s="3">
        <v>15</v>
      </c>
      <c r="L2050" s="3">
        <v>0</v>
      </c>
      <c r="M2050" s="3">
        <v>30</v>
      </c>
      <c r="N2050" s="3">
        <v>17</v>
      </c>
      <c r="O2050" s="3"/>
      <c r="P2050" s="3"/>
      <c r="Q2050" s="3"/>
    </row>
    <row r="2051" spans="1:17" ht="15" x14ac:dyDescent="0.25">
      <c r="A2051" s="3">
        <f>2044</f>
        <v>2044</v>
      </c>
      <c r="B2051" s="3" t="s">
        <v>2053</v>
      </c>
      <c r="C2051" s="3" t="s">
        <v>10</v>
      </c>
      <c r="D2051" s="3" t="s">
        <v>9</v>
      </c>
      <c r="E2051" s="3">
        <v>22</v>
      </c>
      <c r="F2051" s="3">
        <v>0</v>
      </c>
      <c r="G2051" s="3">
        <v>0</v>
      </c>
      <c r="H2051" s="3">
        <v>18</v>
      </c>
      <c r="I2051" s="3">
        <v>28</v>
      </c>
      <c r="J2051" s="3">
        <v>0</v>
      </c>
      <c r="K2051" s="3">
        <v>15</v>
      </c>
      <c r="L2051" s="3">
        <v>0</v>
      </c>
      <c r="M2051" s="3">
        <v>30</v>
      </c>
      <c r="N2051" s="3">
        <v>17</v>
      </c>
      <c r="O2051" s="3"/>
      <c r="P2051" s="3"/>
      <c r="Q2051" s="3"/>
    </row>
    <row r="2052" spans="1:17" ht="15" x14ac:dyDescent="0.25">
      <c r="A2052" s="3">
        <f>2045</f>
        <v>2045</v>
      </c>
      <c r="B2052" s="3" t="s">
        <v>2054</v>
      </c>
      <c r="C2052" s="3" t="s">
        <v>10</v>
      </c>
      <c r="D2052" s="3" t="s">
        <v>9</v>
      </c>
      <c r="E2052" s="3">
        <v>22</v>
      </c>
      <c r="F2052" s="3">
        <v>0</v>
      </c>
      <c r="G2052" s="3">
        <v>0</v>
      </c>
      <c r="H2052" s="3">
        <v>18</v>
      </c>
      <c r="I2052" s="3">
        <v>28</v>
      </c>
      <c r="J2052" s="3">
        <v>0</v>
      </c>
      <c r="K2052" s="3">
        <v>15</v>
      </c>
      <c r="L2052" s="3">
        <v>0</v>
      </c>
      <c r="M2052" s="3">
        <v>30</v>
      </c>
      <c r="N2052" s="3">
        <v>17</v>
      </c>
      <c r="O2052" s="3"/>
      <c r="P2052" s="3"/>
      <c r="Q2052" s="3"/>
    </row>
    <row r="2053" spans="1:17" ht="15" x14ac:dyDescent="0.25">
      <c r="A2053" s="3">
        <f>2046</f>
        <v>2046</v>
      </c>
      <c r="B2053" s="3" t="s">
        <v>2055</v>
      </c>
      <c r="C2053" s="3" t="s">
        <v>10</v>
      </c>
      <c r="D2053" s="3" t="s">
        <v>9</v>
      </c>
      <c r="E2053" s="3">
        <v>22</v>
      </c>
      <c r="F2053" s="3">
        <v>0</v>
      </c>
      <c r="G2053" s="3">
        <v>0</v>
      </c>
      <c r="H2053" s="3">
        <v>18</v>
      </c>
      <c r="I2053" s="3">
        <v>28</v>
      </c>
      <c r="J2053" s="3">
        <v>0</v>
      </c>
      <c r="K2053" s="3">
        <v>15</v>
      </c>
      <c r="L2053" s="3">
        <v>0</v>
      </c>
      <c r="M2053" s="3">
        <v>30</v>
      </c>
      <c r="N2053" s="3">
        <v>17</v>
      </c>
      <c r="O2053" s="3"/>
      <c r="P2053" s="3"/>
      <c r="Q2053" s="3"/>
    </row>
    <row r="2054" spans="1:17" ht="15" x14ac:dyDescent="0.25">
      <c r="A2054" s="3">
        <f>2047</f>
        <v>2047</v>
      </c>
      <c r="B2054" s="3" t="s">
        <v>2056</v>
      </c>
      <c r="C2054" s="3" t="s">
        <v>10</v>
      </c>
      <c r="D2054" s="3" t="s">
        <v>9</v>
      </c>
      <c r="E2054" s="3">
        <v>22</v>
      </c>
      <c r="F2054" s="3">
        <v>0</v>
      </c>
      <c r="G2054" s="3">
        <v>0</v>
      </c>
      <c r="H2054" s="3">
        <v>18</v>
      </c>
      <c r="I2054" s="3">
        <v>28</v>
      </c>
      <c r="J2054" s="3">
        <v>0</v>
      </c>
      <c r="K2054" s="3">
        <v>15</v>
      </c>
      <c r="L2054" s="3">
        <v>0</v>
      </c>
      <c r="M2054" s="3">
        <v>30</v>
      </c>
      <c r="N2054" s="3">
        <v>17</v>
      </c>
      <c r="O2054" s="3"/>
      <c r="P2054" s="3"/>
      <c r="Q2054" s="3"/>
    </row>
    <row r="2055" spans="1:17" ht="15" x14ac:dyDescent="0.25">
      <c r="A2055" s="3">
        <f>2048</f>
        <v>2048</v>
      </c>
      <c r="B2055" s="3" t="s">
        <v>2057</v>
      </c>
      <c r="C2055" s="3" t="s">
        <v>10</v>
      </c>
      <c r="D2055" s="3" t="s">
        <v>9</v>
      </c>
      <c r="E2055" s="3">
        <v>22</v>
      </c>
      <c r="F2055" s="3">
        <v>0</v>
      </c>
      <c r="G2055" s="3">
        <v>0</v>
      </c>
      <c r="H2055" s="3">
        <v>18</v>
      </c>
      <c r="I2055" s="3">
        <v>28</v>
      </c>
      <c r="J2055" s="3">
        <v>0</v>
      </c>
      <c r="K2055" s="3">
        <v>15</v>
      </c>
      <c r="L2055" s="3">
        <v>0</v>
      </c>
      <c r="M2055" s="3">
        <v>30</v>
      </c>
      <c r="N2055" s="3">
        <v>17</v>
      </c>
      <c r="O2055" s="3"/>
      <c r="P2055" s="3"/>
      <c r="Q2055" s="3"/>
    </row>
    <row r="2056" spans="1:17" ht="15" x14ac:dyDescent="0.25">
      <c r="A2056" s="3">
        <f>2049</f>
        <v>2049</v>
      </c>
      <c r="B2056" s="3" t="s">
        <v>2058</v>
      </c>
      <c r="C2056" s="3" t="s">
        <v>10</v>
      </c>
      <c r="D2056" s="3" t="s">
        <v>9</v>
      </c>
      <c r="E2056" s="3">
        <v>22</v>
      </c>
      <c r="F2056" s="3">
        <v>0</v>
      </c>
      <c r="G2056" s="3">
        <v>0</v>
      </c>
      <c r="H2056" s="3">
        <v>18</v>
      </c>
      <c r="I2056" s="3">
        <v>28</v>
      </c>
      <c r="J2056" s="3">
        <v>0</v>
      </c>
      <c r="K2056" s="3">
        <v>15</v>
      </c>
      <c r="L2056" s="3">
        <v>0</v>
      </c>
      <c r="M2056" s="3">
        <v>30</v>
      </c>
      <c r="N2056" s="3">
        <v>17</v>
      </c>
      <c r="O2056" s="3"/>
      <c r="P2056" s="3"/>
      <c r="Q2056" s="3"/>
    </row>
    <row r="2057" spans="1:17" ht="15" x14ac:dyDescent="0.25">
      <c r="A2057" s="3">
        <f>2050</f>
        <v>2050</v>
      </c>
      <c r="B2057" s="3" t="s">
        <v>2059</v>
      </c>
      <c r="C2057" s="3" t="s">
        <v>10</v>
      </c>
      <c r="D2057" s="3" t="s">
        <v>9</v>
      </c>
      <c r="E2057" s="3">
        <v>22</v>
      </c>
      <c r="F2057" s="3">
        <v>0</v>
      </c>
      <c r="G2057" s="3">
        <v>0</v>
      </c>
      <c r="H2057" s="3">
        <v>18</v>
      </c>
      <c r="I2057" s="3">
        <v>28</v>
      </c>
      <c r="J2057" s="3">
        <v>0</v>
      </c>
      <c r="K2057" s="3">
        <v>15</v>
      </c>
      <c r="L2057" s="3">
        <v>0</v>
      </c>
      <c r="M2057" s="3">
        <v>30</v>
      </c>
      <c r="N2057" s="3">
        <v>17</v>
      </c>
      <c r="O2057" s="3"/>
      <c r="P2057" s="3"/>
      <c r="Q2057" s="3"/>
    </row>
    <row r="2058" spans="1:17" ht="15" x14ac:dyDescent="0.25">
      <c r="A2058" s="3">
        <f>2051</f>
        <v>2051</v>
      </c>
      <c r="B2058" s="3" t="s">
        <v>2060</v>
      </c>
      <c r="C2058" s="3" t="s">
        <v>10</v>
      </c>
      <c r="D2058" s="3" t="s">
        <v>9</v>
      </c>
      <c r="E2058" s="3">
        <v>22</v>
      </c>
      <c r="F2058" s="3">
        <v>0</v>
      </c>
      <c r="G2058" s="3">
        <v>0</v>
      </c>
      <c r="H2058" s="3">
        <v>18</v>
      </c>
      <c r="I2058" s="3">
        <v>28</v>
      </c>
      <c r="J2058" s="3">
        <v>0</v>
      </c>
      <c r="K2058" s="3">
        <v>15</v>
      </c>
      <c r="L2058" s="3">
        <v>0</v>
      </c>
      <c r="M2058" s="3">
        <v>30</v>
      </c>
      <c r="N2058" s="3">
        <v>17</v>
      </c>
      <c r="O2058" s="3"/>
      <c r="P2058" s="3"/>
      <c r="Q2058" s="3"/>
    </row>
    <row r="2059" spans="1:17" ht="15" x14ac:dyDescent="0.25">
      <c r="A2059" s="3">
        <f>2052</f>
        <v>2052</v>
      </c>
      <c r="B2059" s="3" t="s">
        <v>2061</v>
      </c>
      <c r="C2059" s="3" t="s">
        <v>10</v>
      </c>
      <c r="D2059" s="3" t="s">
        <v>9</v>
      </c>
      <c r="E2059" s="3">
        <v>22</v>
      </c>
      <c r="F2059" s="3">
        <v>0</v>
      </c>
      <c r="G2059" s="3">
        <v>0</v>
      </c>
      <c r="H2059" s="3">
        <v>18</v>
      </c>
      <c r="I2059" s="3">
        <v>28</v>
      </c>
      <c r="J2059" s="3">
        <v>0</v>
      </c>
      <c r="K2059" s="3">
        <v>15</v>
      </c>
      <c r="L2059" s="3">
        <v>0</v>
      </c>
      <c r="M2059" s="3">
        <v>30</v>
      </c>
      <c r="N2059" s="3">
        <v>17</v>
      </c>
      <c r="O2059" s="3"/>
      <c r="P2059" s="3"/>
      <c r="Q2059" s="3"/>
    </row>
    <row r="2060" spans="1:17" ht="15" x14ac:dyDescent="0.25">
      <c r="A2060" s="3">
        <f>2053</f>
        <v>2053</v>
      </c>
      <c r="B2060" s="3" t="s">
        <v>2062</v>
      </c>
      <c r="C2060" s="3" t="s">
        <v>10</v>
      </c>
      <c r="D2060" s="3" t="s">
        <v>9</v>
      </c>
      <c r="E2060" s="3">
        <v>22</v>
      </c>
      <c r="F2060" s="3">
        <v>0</v>
      </c>
      <c r="G2060" s="3">
        <v>0</v>
      </c>
      <c r="H2060" s="3">
        <v>18</v>
      </c>
      <c r="I2060" s="3">
        <v>28</v>
      </c>
      <c r="J2060" s="3">
        <v>0</v>
      </c>
      <c r="K2060" s="3">
        <v>15</v>
      </c>
      <c r="L2060" s="3">
        <v>0</v>
      </c>
      <c r="M2060" s="3">
        <v>30</v>
      </c>
      <c r="N2060" s="3">
        <v>17</v>
      </c>
      <c r="O2060" s="3"/>
      <c r="P2060" s="3"/>
      <c r="Q2060" s="3"/>
    </row>
    <row r="2061" spans="1:17" ht="15" x14ac:dyDescent="0.25">
      <c r="A2061" s="3">
        <f>2054</f>
        <v>2054</v>
      </c>
      <c r="B2061" s="3" t="s">
        <v>2063</v>
      </c>
      <c r="C2061" s="3" t="s">
        <v>10</v>
      </c>
      <c r="D2061" s="3" t="s">
        <v>9</v>
      </c>
      <c r="E2061" s="3">
        <v>22</v>
      </c>
      <c r="F2061" s="3">
        <v>0</v>
      </c>
      <c r="G2061" s="3">
        <v>0</v>
      </c>
      <c r="H2061" s="3">
        <v>18</v>
      </c>
      <c r="I2061" s="3">
        <v>28</v>
      </c>
      <c r="J2061" s="3">
        <v>0</v>
      </c>
      <c r="K2061" s="3">
        <v>15</v>
      </c>
      <c r="L2061" s="3">
        <v>0</v>
      </c>
      <c r="M2061" s="3">
        <v>30</v>
      </c>
      <c r="N2061" s="3">
        <v>17</v>
      </c>
      <c r="O2061" s="3"/>
      <c r="P2061" s="3"/>
      <c r="Q2061" s="3"/>
    </row>
    <row r="2062" spans="1:17" ht="15" x14ac:dyDescent="0.25">
      <c r="A2062" s="3">
        <f>2055</f>
        <v>2055</v>
      </c>
      <c r="B2062" s="3" t="s">
        <v>2064</v>
      </c>
      <c r="C2062" s="3" t="s">
        <v>10</v>
      </c>
      <c r="D2062" s="3" t="s">
        <v>9</v>
      </c>
      <c r="E2062" s="3">
        <v>22</v>
      </c>
      <c r="F2062" s="3">
        <v>0</v>
      </c>
      <c r="G2062" s="3">
        <v>0</v>
      </c>
      <c r="H2062" s="3">
        <v>18</v>
      </c>
      <c r="I2062" s="3">
        <v>28</v>
      </c>
      <c r="J2062" s="3">
        <v>0</v>
      </c>
      <c r="K2062" s="3">
        <v>15</v>
      </c>
      <c r="L2062" s="3">
        <v>0</v>
      </c>
      <c r="M2062" s="3">
        <v>30</v>
      </c>
      <c r="N2062" s="3">
        <v>17</v>
      </c>
      <c r="O2062" s="3"/>
      <c r="P2062" s="3"/>
      <c r="Q2062" s="3"/>
    </row>
    <row r="2063" spans="1:17" ht="15" x14ac:dyDescent="0.25">
      <c r="A2063" s="3">
        <f>2056</f>
        <v>2056</v>
      </c>
      <c r="B2063" s="3" t="s">
        <v>2065</v>
      </c>
      <c r="C2063" s="3" t="s">
        <v>10</v>
      </c>
      <c r="D2063" s="3" t="s">
        <v>9</v>
      </c>
      <c r="E2063" s="3">
        <v>22</v>
      </c>
      <c r="F2063" s="3">
        <v>0</v>
      </c>
      <c r="G2063" s="3">
        <v>0</v>
      </c>
      <c r="H2063" s="3">
        <v>18</v>
      </c>
      <c r="I2063" s="3">
        <v>28</v>
      </c>
      <c r="J2063" s="3">
        <v>0</v>
      </c>
      <c r="K2063" s="3">
        <v>15</v>
      </c>
      <c r="L2063" s="3">
        <v>0</v>
      </c>
      <c r="M2063" s="3">
        <v>30</v>
      </c>
      <c r="N2063" s="3">
        <v>17</v>
      </c>
      <c r="O2063" s="3"/>
      <c r="P2063" s="3"/>
      <c r="Q2063" s="3"/>
    </row>
    <row r="2064" spans="1:17" ht="15" x14ac:dyDescent="0.25">
      <c r="A2064" s="3">
        <f>2057</f>
        <v>2057</v>
      </c>
      <c r="B2064" s="3" t="s">
        <v>2066</v>
      </c>
      <c r="C2064" s="3" t="s">
        <v>10</v>
      </c>
      <c r="D2064" s="3" t="s">
        <v>9</v>
      </c>
      <c r="E2064" s="3">
        <v>22</v>
      </c>
      <c r="F2064" s="3">
        <v>0</v>
      </c>
      <c r="G2064" s="3">
        <v>0</v>
      </c>
      <c r="H2064" s="3">
        <v>18</v>
      </c>
      <c r="I2064" s="3">
        <v>28</v>
      </c>
      <c r="J2064" s="3">
        <v>0</v>
      </c>
      <c r="K2064" s="3">
        <v>15</v>
      </c>
      <c r="L2064" s="3">
        <v>0</v>
      </c>
      <c r="M2064" s="3">
        <v>30</v>
      </c>
      <c r="N2064" s="3">
        <v>17</v>
      </c>
      <c r="O2064" s="3"/>
      <c r="P2064" s="3"/>
      <c r="Q2064" s="3"/>
    </row>
    <row r="2065" spans="1:17" ht="15" x14ac:dyDescent="0.25">
      <c r="A2065" s="3">
        <f>2058</f>
        <v>2058</v>
      </c>
      <c r="B2065" s="3" t="s">
        <v>2067</v>
      </c>
      <c r="C2065" s="3" t="s">
        <v>10</v>
      </c>
      <c r="D2065" s="3" t="s">
        <v>9</v>
      </c>
      <c r="E2065" s="3">
        <v>22</v>
      </c>
      <c r="F2065" s="3">
        <v>0</v>
      </c>
      <c r="G2065" s="3">
        <v>0</v>
      </c>
      <c r="H2065" s="3">
        <v>18</v>
      </c>
      <c r="I2065" s="3">
        <v>28</v>
      </c>
      <c r="J2065" s="3">
        <v>0</v>
      </c>
      <c r="K2065" s="3">
        <v>15</v>
      </c>
      <c r="L2065" s="3">
        <v>0</v>
      </c>
      <c r="M2065" s="3">
        <v>30</v>
      </c>
      <c r="N2065" s="3">
        <v>17</v>
      </c>
      <c r="O2065" s="3"/>
      <c r="P2065" s="3"/>
      <c r="Q2065" s="3"/>
    </row>
    <row r="2066" spans="1:17" ht="15" x14ac:dyDescent="0.25">
      <c r="A2066" s="3">
        <f>2059</f>
        <v>2059</v>
      </c>
      <c r="B2066" s="3" t="s">
        <v>2068</v>
      </c>
      <c r="C2066" s="3" t="s">
        <v>10</v>
      </c>
      <c r="D2066" s="3" t="s">
        <v>9</v>
      </c>
      <c r="E2066" s="3">
        <v>22</v>
      </c>
      <c r="F2066" s="3">
        <v>0</v>
      </c>
      <c r="G2066" s="3">
        <v>0</v>
      </c>
      <c r="H2066" s="3">
        <v>18</v>
      </c>
      <c r="I2066" s="3">
        <v>28</v>
      </c>
      <c r="J2066" s="3">
        <v>0</v>
      </c>
      <c r="K2066" s="3">
        <v>15</v>
      </c>
      <c r="L2066" s="3">
        <v>0</v>
      </c>
      <c r="M2066" s="3">
        <v>30</v>
      </c>
      <c r="N2066" s="3">
        <v>17</v>
      </c>
      <c r="O2066" s="3"/>
      <c r="P2066" s="3"/>
      <c r="Q2066" s="3"/>
    </row>
    <row r="2067" spans="1:17" ht="15" x14ac:dyDescent="0.25">
      <c r="A2067" s="3">
        <f>2060</f>
        <v>2060</v>
      </c>
      <c r="B2067" s="3" t="s">
        <v>2069</v>
      </c>
      <c r="C2067" s="3" t="s">
        <v>10</v>
      </c>
      <c r="D2067" s="3" t="s">
        <v>9</v>
      </c>
      <c r="E2067" s="3">
        <v>22</v>
      </c>
      <c r="F2067" s="3">
        <v>0</v>
      </c>
      <c r="G2067" s="3">
        <v>0</v>
      </c>
      <c r="H2067" s="3">
        <v>18</v>
      </c>
      <c r="I2067" s="3">
        <v>28</v>
      </c>
      <c r="J2067" s="3">
        <v>0</v>
      </c>
      <c r="K2067" s="3">
        <v>15</v>
      </c>
      <c r="L2067" s="3">
        <v>0</v>
      </c>
      <c r="M2067" s="3">
        <v>30</v>
      </c>
      <c r="N2067" s="3">
        <v>17</v>
      </c>
      <c r="O2067" s="3"/>
      <c r="P2067" s="3"/>
      <c r="Q2067" s="3"/>
    </row>
    <row r="2068" spans="1:17" ht="15" x14ac:dyDescent="0.25">
      <c r="A2068" s="3">
        <f>2061</f>
        <v>2061</v>
      </c>
      <c r="B2068" s="3" t="s">
        <v>2070</v>
      </c>
      <c r="C2068" s="3" t="s">
        <v>10</v>
      </c>
      <c r="D2068" s="3" t="s">
        <v>9</v>
      </c>
      <c r="E2068" s="3">
        <v>22</v>
      </c>
      <c r="F2068" s="3">
        <v>0</v>
      </c>
      <c r="G2068" s="3">
        <v>0</v>
      </c>
      <c r="H2068" s="3">
        <v>18</v>
      </c>
      <c r="I2068" s="3">
        <v>28</v>
      </c>
      <c r="J2068" s="3">
        <v>0</v>
      </c>
      <c r="K2068" s="3">
        <v>15</v>
      </c>
      <c r="L2068" s="3">
        <v>0</v>
      </c>
      <c r="M2068" s="3">
        <v>30</v>
      </c>
      <c r="N2068" s="3">
        <v>17</v>
      </c>
      <c r="O2068" s="3"/>
      <c r="P2068" s="3"/>
      <c r="Q2068" s="3"/>
    </row>
    <row r="2069" spans="1:17" ht="15" x14ac:dyDescent="0.25">
      <c r="A2069" s="3">
        <f>2062</f>
        <v>2062</v>
      </c>
      <c r="B2069" s="3" t="s">
        <v>2071</v>
      </c>
      <c r="C2069" s="3" t="s">
        <v>10</v>
      </c>
      <c r="D2069" s="3" t="s">
        <v>9</v>
      </c>
      <c r="E2069" s="3">
        <v>22</v>
      </c>
      <c r="F2069" s="3">
        <v>0</v>
      </c>
      <c r="G2069" s="3">
        <v>0</v>
      </c>
      <c r="H2069" s="3">
        <v>18</v>
      </c>
      <c r="I2069" s="3">
        <v>28</v>
      </c>
      <c r="J2069" s="3">
        <v>0</v>
      </c>
      <c r="K2069" s="3">
        <v>15</v>
      </c>
      <c r="L2069" s="3">
        <v>0</v>
      </c>
      <c r="M2069" s="3">
        <v>30</v>
      </c>
      <c r="N2069" s="3">
        <v>17</v>
      </c>
      <c r="O2069" s="3"/>
      <c r="P2069" s="3"/>
      <c r="Q2069" s="3"/>
    </row>
    <row r="2070" spans="1:17" ht="15" x14ac:dyDescent="0.25">
      <c r="A2070" s="3">
        <f>2063</f>
        <v>2063</v>
      </c>
      <c r="B2070" s="3" t="s">
        <v>2072</v>
      </c>
      <c r="C2070" s="3" t="s">
        <v>10</v>
      </c>
      <c r="D2070" s="3" t="s">
        <v>9</v>
      </c>
      <c r="E2070" s="3">
        <v>22</v>
      </c>
      <c r="F2070" s="3">
        <v>0</v>
      </c>
      <c r="G2070" s="3">
        <v>0</v>
      </c>
      <c r="H2070" s="3">
        <v>18</v>
      </c>
      <c r="I2070" s="3">
        <v>28</v>
      </c>
      <c r="J2070" s="3">
        <v>0</v>
      </c>
      <c r="K2070" s="3">
        <v>15</v>
      </c>
      <c r="L2070" s="3">
        <v>0</v>
      </c>
      <c r="M2070" s="3">
        <v>30</v>
      </c>
      <c r="N2070" s="3">
        <v>17</v>
      </c>
      <c r="O2070" s="3"/>
      <c r="P2070" s="3"/>
      <c r="Q2070" s="3"/>
    </row>
    <row r="2071" spans="1:17" ht="15" x14ac:dyDescent="0.25">
      <c r="A2071" s="3">
        <f>2064</f>
        <v>2064</v>
      </c>
      <c r="B2071" s="3" t="s">
        <v>2073</v>
      </c>
      <c r="C2071" s="3" t="s">
        <v>10</v>
      </c>
      <c r="D2071" s="3" t="s">
        <v>9</v>
      </c>
      <c r="E2071" s="3">
        <v>22</v>
      </c>
      <c r="F2071" s="3">
        <v>0</v>
      </c>
      <c r="G2071" s="3">
        <v>0</v>
      </c>
      <c r="H2071" s="3">
        <v>18</v>
      </c>
      <c r="I2071" s="3">
        <v>28</v>
      </c>
      <c r="J2071" s="3">
        <v>0</v>
      </c>
      <c r="K2071" s="3">
        <v>15</v>
      </c>
      <c r="L2071" s="3">
        <v>0</v>
      </c>
      <c r="M2071" s="3">
        <v>30</v>
      </c>
      <c r="N2071" s="3">
        <v>17</v>
      </c>
      <c r="O2071" s="3"/>
      <c r="P2071" s="3"/>
      <c r="Q2071" s="3"/>
    </row>
    <row r="2072" spans="1:17" ht="15" x14ac:dyDescent="0.25">
      <c r="A2072" s="3">
        <f>2065</f>
        <v>2065</v>
      </c>
      <c r="B2072" s="3" t="s">
        <v>2074</v>
      </c>
      <c r="C2072" s="3" t="s">
        <v>10</v>
      </c>
      <c r="D2072" s="3" t="s">
        <v>9</v>
      </c>
      <c r="E2072" s="3">
        <v>22</v>
      </c>
      <c r="F2072" s="3">
        <v>0</v>
      </c>
      <c r="G2072" s="3">
        <v>0</v>
      </c>
      <c r="H2072" s="3">
        <v>18</v>
      </c>
      <c r="I2072" s="3">
        <v>28</v>
      </c>
      <c r="J2072" s="3">
        <v>0</v>
      </c>
      <c r="K2072" s="3">
        <v>15</v>
      </c>
      <c r="L2072" s="3">
        <v>0</v>
      </c>
      <c r="M2072" s="3">
        <v>30</v>
      </c>
      <c r="N2072" s="3">
        <v>17</v>
      </c>
      <c r="O2072" s="3"/>
      <c r="P2072" s="3"/>
      <c r="Q2072" s="3"/>
    </row>
    <row r="2073" spans="1:17" ht="15" x14ac:dyDescent="0.25">
      <c r="A2073" s="3">
        <f>2066</f>
        <v>2066</v>
      </c>
      <c r="B2073" s="3" t="s">
        <v>2075</v>
      </c>
      <c r="C2073" s="3" t="s">
        <v>10</v>
      </c>
      <c r="D2073" s="3" t="s">
        <v>9</v>
      </c>
      <c r="E2073" s="3">
        <v>22</v>
      </c>
      <c r="F2073" s="3">
        <v>0</v>
      </c>
      <c r="G2073" s="3">
        <v>0</v>
      </c>
      <c r="H2073" s="3">
        <v>18</v>
      </c>
      <c r="I2073" s="3">
        <v>28</v>
      </c>
      <c r="J2073" s="3">
        <v>0</v>
      </c>
      <c r="K2073" s="3">
        <v>15</v>
      </c>
      <c r="L2073" s="3">
        <v>0</v>
      </c>
      <c r="M2073" s="3">
        <v>30</v>
      </c>
      <c r="N2073" s="3">
        <v>17</v>
      </c>
      <c r="O2073" s="3"/>
      <c r="P2073" s="3"/>
      <c r="Q2073" s="3"/>
    </row>
    <row r="2074" spans="1:17" ht="15" x14ac:dyDescent="0.25">
      <c r="A2074" s="3">
        <f>2067</f>
        <v>2067</v>
      </c>
      <c r="B2074" s="3" t="s">
        <v>2076</v>
      </c>
      <c r="C2074" s="3" t="s">
        <v>10</v>
      </c>
      <c r="D2074" s="3" t="s">
        <v>9</v>
      </c>
      <c r="E2074" s="3">
        <v>22</v>
      </c>
      <c r="F2074" s="3">
        <v>0</v>
      </c>
      <c r="G2074" s="3">
        <v>0</v>
      </c>
      <c r="H2074" s="3">
        <v>18</v>
      </c>
      <c r="I2074" s="3">
        <v>28</v>
      </c>
      <c r="J2074" s="3">
        <v>0</v>
      </c>
      <c r="K2074" s="3">
        <v>15</v>
      </c>
      <c r="L2074" s="3">
        <v>0</v>
      </c>
      <c r="M2074" s="3">
        <v>30</v>
      </c>
      <c r="N2074" s="3">
        <v>17</v>
      </c>
      <c r="O2074" s="3"/>
      <c r="P2074" s="3"/>
      <c r="Q2074" s="3"/>
    </row>
    <row r="2075" spans="1:17" ht="15" x14ac:dyDescent="0.25">
      <c r="A2075" s="3">
        <f>2068</f>
        <v>2068</v>
      </c>
      <c r="B2075" s="3" t="s">
        <v>2077</v>
      </c>
      <c r="C2075" s="3" t="s">
        <v>10</v>
      </c>
      <c r="D2075" s="3" t="s">
        <v>9</v>
      </c>
      <c r="E2075" s="3">
        <v>22</v>
      </c>
      <c r="F2075" s="3">
        <v>0</v>
      </c>
      <c r="G2075" s="3">
        <v>0</v>
      </c>
      <c r="H2075" s="3">
        <v>18</v>
      </c>
      <c r="I2075" s="3">
        <v>28</v>
      </c>
      <c r="J2075" s="3">
        <v>0</v>
      </c>
      <c r="K2075" s="3">
        <v>15</v>
      </c>
      <c r="L2075" s="3">
        <v>0</v>
      </c>
      <c r="M2075" s="3">
        <v>30</v>
      </c>
      <c r="N2075" s="3">
        <v>17</v>
      </c>
      <c r="O2075" s="3"/>
      <c r="P2075" s="3"/>
      <c r="Q2075" s="3"/>
    </row>
    <row r="2076" spans="1:17" ht="15" x14ac:dyDescent="0.25">
      <c r="A2076" s="3">
        <f>2069</f>
        <v>2069</v>
      </c>
      <c r="B2076" s="3" t="s">
        <v>2078</v>
      </c>
      <c r="C2076" s="3" t="s">
        <v>10</v>
      </c>
      <c r="D2076" s="3" t="s">
        <v>9</v>
      </c>
      <c r="E2076" s="3">
        <v>22</v>
      </c>
      <c r="F2076" s="3">
        <v>0</v>
      </c>
      <c r="G2076" s="3">
        <v>0</v>
      </c>
      <c r="H2076" s="3">
        <v>18</v>
      </c>
      <c r="I2076" s="3">
        <v>28</v>
      </c>
      <c r="J2076" s="3">
        <v>0</v>
      </c>
      <c r="K2076" s="3">
        <v>15</v>
      </c>
      <c r="L2076" s="3">
        <v>0</v>
      </c>
      <c r="M2076" s="3">
        <v>30</v>
      </c>
      <c r="N2076" s="3">
        <v>17</v>
      </c>
      <c r="O2076" s="3"/>
      <c r="P2076" s="3"/>
      <c r="Q2076" s="3"/>
    </row>
    <row r="2077" spans="1:17" ht="15" x14ac:dyDescent="0.25">
      <c r="A2077" s="3">
        <f>2070</f>
        <v>2070</v>
      </c>
      <c r="B2077" s="3" t="s">
        <v>2079</v>
      </c>
      <c r="C2077" s="3" t="s">
        <v>10</v>
      </c>
      <c r="D2077" s="3" t="s">
        <v>9</v>
      </c>
      <c r="E2077" s="3">
        <v>22</v>
      </c>
      <c r="F2077" s="3">
        <v>0</v>
      </c>
      <c r="G2077" s="3">
        <v>0</v>
      </c>
      <c r="H2077" s="3">
        <v>18</v>
      </c>
      <c r="I2077" s="3">
        <v>28</v>
      </c>
      <c r="J2077" s="3">
        <v>0</v>
      </c>
      <c r="K2077" s="3">
        <v>15</v>
      </c>
      <c r="L2077" s="3">
        <v>0</v>
      </c>
      <c r="M2077" s="3">
        <v>30</v>
      </c>
      <c r="N2077" s="3">
        <v>17</v>
      </c>
      <c r="O2077" s="3"/>
      <c r="P2077" s="3"/>
      <c r="Q2077" s="3"/>
    </row>
    <row r="2078" spans="1:17" ht="15" x14ac:dyDescent="0.25">
      <c r="A2078" s="3">
        <f>2071</f>
        <v>2071</v>
      </c>
      <c r="B2078" s="3" t="s">
        <v>2080</v>
      </c>
      <c r="C2078" s="3" t="s">
        <v>10</v>
      </c>
      <c r="D2078" s="3" t="s">
        <v>9</v>
      </c>
      <c r="E2078" s="3">
        <v>22</v>
      </c>
      <c r="F2078" s="3">
        <v>0</v>
      </c>
      <c r="G2078" s="3">
        <v>0</v>
      </c>
      <c r="H2078" s="3">
        <v>18</v>
      </c>
      <c r="I2078" s="3">
        <v>28</v>
      </c>
      <c r="J2078" s="3">
        <v>0</v>
      </c>
      <c r="K2078" s="3">
        <v>15</v>
      </c>
      <c r="L2078" s="3">
        <v>0</v>
      </c>
      <c r="M2078" s="3">
        <v>30</v>
      </c>
      <c r="N2078" s="3">
        <v>17</v>
      </c>
      <c r="O2078" s="3"/>
      <c r="P2078" s="3"/>
      <c r="Q2078" s="3"/>
    </row>
    <row r="2079" spans="1:17" ht="15" x14ac:dyDescent="0.25">
      <c r="A2079" s="3">
        <f>2072</f>
        <v>2072</v>
      </c>
      <c r="B2079" s="3" t="s">
        <v>2081</v>
      </c>
      <c r="C2079" s="3" t="s">
        <v>10</v>
      </c>
      <c r="D2079" s="3" t="s">
        <v>9</v>
      </c>
      <c r="E2079" s="3">
        <v>22</v>
      </c>
      <c r="F2079" s="3">
        <v>0</v>
      </c>
      <c r="G2079" s="3">
        <v>0</v>
      </c>
      <c r="H2079" s="3">
        <v>18</v>
      </c>
      <c r="I2079" s="3">
        <v>28</v>
      </c>
      <c r="J2079" s="3">
        <v>0</v>
      </c>
      <c r="K2079" s="3">
        <v>15</v>
      </c>
      <c r="L2079" s="3">
        <v>0</v>
      </c>
      <c r="M2079" s="3">
        <v>30</v>
      </c>
      <c r="N2079" s="3">
        <v>17</v>
      </c>
      <c r="O2079" s="3"/>
      <c r="P2079" s="3"/>
      <c r="Q2079" s="3"/>
    </row>
    <row r="2080" spans="1:17" ht="15" x14ac:dyDescent="0.25">
      <c r="A2080" s="3">
        <f>2073</f>
        <v>2073</v>
      </c>
      <c r="B2080" s="3" t="s">
        <v>2082</v>
      </c>
      <c r="C2080" s="3" t="s">
        <v>10</v>
      </c>
      <c r="D2080" s="3" t="s">
        <v>9</v>
      </c>
      <c r="E2080" s="3">
        <v>22</v>
      </c>
      <c r="F2080" s="3">
        <v>0</v>
      </c>
      <c r="G2080" s="3">
        <v>0</v>
      </c>
      <c r="H2080" s="3">
        <v>18</v>
      </c>
      <c r="I2080" s="3">
        <v>28</v>
      </c>
      <c r="J2080" s="3">
        <v>0</v>
      </c>
      <c r="K2080" s="3">
        <v>15</v>
      </c>
      <c r="L2080" s="3">
        <v>0</v>
      </c>
      <c r="M2080" s="3">
        <v>30</v>
      </c>
      <c r="N2080" s="3">
        <v>17</v>
      </c>
      <c r="O2080" s="3"/>
      <c r="P2080" s="3"/>
      <c r="Q2080" s="3"/>
    </row>
    <row r="2081" spans="1:17" ht="15" x14ac:dyDescent="0.25">
      <c r="A2081" s="3">
        <f>2074</f>
        <v>2074</v>
      </c>
      <c r="B2081" s="3" t="s">
        <v>2083</v>
      </c>
      <c r="C2081" s="3" t="s">
        <v>10</v>
      </c>
      <c r="D2081" s="3" t="s">
        <v>9</v>
      </c>
      <c r="E2081" s="3">
        <v>22</v>
      </c>
      <c r="F2081" s="3">
        <v>0</v>
      </c>
      <c r="G2081" s="3">
        <v>0</v>
      </c>
      <c r="H2081" s="3">
        <v>18</v>
      </c>
      <c r="I2081" s="3">
        <v>28</v>
      </c>
      <c r="J2081" s="3">
        <v>0</v>
      </c>
      <c r="K2081" s="3">
        <v>15</v>
      </c>
      <c r="L2081" s="3">
        <v>0</v>
      </c>
      <c r="M2081" s="3">
        <v>30</v>
      </c>
      <c r="N2081" s="3">
        <v>17</v>
      </c>
      <c r="O2081" s="3"/>
      <c r="P2081" s="3"/>
      <c r="Q2081" s="3"/>
    </row>
    <row r="2082" spans="1:17" ht="15" x14ac:dyDescent="0.25">
      <c r="A2082" s="3">
        <f>2075</f>
        <v>2075</v>
      </c>
      <c r="B2082" s="3" t="s">
        <v>2084</v>
      </c>
      <c r="C2082" s="3" t="s">
        <v>10</v>
      </c>
      <c r="D2082" s="3" t="s">
        <v>9</v>
      </c>
      <c r="E2082" s="3">
        <v>22</v>
      </c>
      <c r="F2082" s="3">
        <v>0</v>
      </c>
      <c r="G2082" s="3">
        <v>0</v>
      </c>
      <c r="H2082" s="3">
        <v>18</v>
      </c>
      <c r="I2082" s="3">
        <v>28</v>
      </c>
      <c r="J2082" s="3">
        <v>0</v>
      </c>
      <c r="K2082" s="3">
        <v>15</v>
      </c>
      <c r="L2082" s="3">
        <v>0</v>
      </c>
      <c r="M2082" s="3">
        <v>30</v>
      </c>
      <c r="N2082" s="3">
        <v>17</v>
      </c>
      <c r="O2082" s="3"/>
      <c r="P2082" s="3"/>
      <c r="Q2082" s="3"/>
    </row>
    <row r="2083" spans="1:17" ht="15" x14ac:dyDescent="0.25">
      <c r="A2083" s="3">
        <f>2076</f>
        <v>2076</v>
      </c>
      <c r="B2083" s="3" t="s">
        <v>2085</v>
      </c>
      <c r="C2083" s="3" t="s">
        <v>10</v>
      </c>
      <c r="D2083" s="3" t="s">
        <v>9</v>
      </c>
      <c r="E2083" s="3">
        <v>22</v>
      </c>
      <c r="F2083" s="3">
        <v>0</v>
      </c>
      <c r="G2083" s="3">
        <v>0</v>
      </c>
      <c r="H2083" s="3">
        <v>18</v>
      </c>
      <c r="I2083" s="3">
        <v>28</v>
      </c>
      <c r="J2083" s="3">
        <v>0</v>
      </c>
      <c r="K2083" s="3">
        <v>15</v>
      </c>
      <c r="L2083" s="3">
        <v>0</v>
      </c>
      <c r="M2083" s="3">
        <v>30</v>
      </c>
      <c r="N2083" s="3">
        <v>17</v>
      </c>
      <c r="O2083" s="3"/>
      <c r="P2083" s="3"/>
      <c r="Q2083" s="3"/>
    </row>
    <row r="2084" spans="1:17" ht="15" x14ac:dyDescent="0.25">
      <c r="A2084" s="3">
        <f>2077</f>
        <v>2077</v>
      </c>
      <c r="B2084" s="3" t="s">
        <v>2086</v>
      </c>
      <c r="C2084" s="3" t="s">
        <v>10</v>
      </c>
      <c r="D2084" s="3" t="s">
        <v>9</v>
      </c>
      <c r="E2084" s="3">
        <v>22</v>
      </c>
      <c r="F2084" s="3">
        <v>0</v>
      </c>
      <c r="G2084" s="3">
        <v>0</v>
      </c>
      <c r="H2084" s="3">
        <v>18</v>
      </c>
      <c r="I2084" s="3">
        <v>28</v>
      </c>
      <c r="J2084" s="3">
        <v>0</v>
      </c>
      <c r="K2084" s="3">
        <v>15</v>
      </c>
      <c r="L2084" s="3">
        <v>0</v>
      </c>
      <c r="M2084" s="3">
        <v>30</v>
      </c>
      <c r="N2084" s="3">
        <v>17</v>
      </c>
      <c r="O2084" s="3"/>
      <c r="P2084" s="3"/>
      <c r="Q2084" s="3"/>
    </row>
    <row r="2085" spans="1:17" ht="15" x14ac:dyDescent="0.25">
      <c r="A2085" s="3">
        <f>2078</f>
        <v>2078</v>
      </c>
      <c r="B2085" s="3" t="s">
        <v>2087</v>
      </c>
      <c r="C2085" s="3" t="s">
        <v>10</v>
      </c>
      <c r="D2085" s="3" t="s">
        <v>9</v>
      </c>
      <c r="E2085" s="3">
        <v>22</v>
      </c>
      <c r="F2085" s="3">
        <v>0</v>
      </c>
      <c r="G2085" s="3">
        <v>0</v>
      </c>
      <c r="H2085" s="3">
        <v>18</v>
      </c>
      <c r="I2085" s="3">
        <v>28</v>
      </c>
      <c r="J2085" s="3">
        <v>0</v>
      </c>
      <c r="K2085" s="3">
        <v>15</v>
      </c>
      <c r="L2085" s="3">
        <v>0</v>
      </c>
      <c r="M2085" s="3">
        <v>30</v>
      </c>
      <c r="N2085" s="3">
        <v>17</v>
      </c>
      <c r="O2085" s="3"/>
      <c r="P2085" s="3"/>
      <c r="Q2085" s="3"/>
    </row>
    <row r="2086" spans="1:17" ht="15" x14ac:dyDescent="0.25">
      <c r="A2086" s="3">
        <f>2079</f>
        <v>2079</v>
      </c>
      <c r="B2086" s="3" t="s">
        <v>2088</v>
      </c>
      <c r="C2086" s="3" t="s">
        <v>10</v>
      </c>
      <c r="D2086" s="3" t="s">
        <v>9</v>
      </c>
      <c r="E2086" s="3">
        <v>22</v>
      </c>
      <c r="F2086" s="3">
        <v>0</v>
      </c>
      <c r="G2086" s="3">
        <v>0</v>
      </c>
      <c r="H2086" s="3">
        <v>18</v>
      </c>
      <c r="I2086" s="3">
        <v>28</v>
      </c>
      <c r="J2086" s="3">
        <v>0</v>
      </c>
      <c r="K2086" s="3">
        <v>15</v>
      </c>
      <c r="L2086" s="3">
        <v>0</v>
      </c>
      <c r="M2086" s="3">
        <v>30</v>
      </c>
      <c r="N2086" s="3">
        <v>17</v>
      </c>
      <c r="O2086" s="3"/>
      <c r="P2086" s="3"/>
      <c r="Q2086" s="3"/>
    </row>
    <row r="2087" spans="1:17" ht="15" x14ac:dyDescent="0.25">
      <c r="A2087" s="3">
        <f>2080</f>
        <v>2080</v>
      </c>
      <c r="B2087" s="3" t="s">
        <v>2089</v>
      </c>
      <c r="C2087" s="3" t="s">
        <v>10</v>
      </c>
      <c r="D2087" s="3" t="s">
        <v>9</v>
      </c>
      <c r="E2087" s="3">
        <v>22</v>
      </c>
      <c r="F2087" s="3">
        <v>0</v>
      </c>
      <c r="G2087" s="3">
        <v>0</v>
      </c>
      <c r="H2087" s="3">
        <v>18</v>
      </c>
      <c r="I2087" s="3">
        <v>28</v>
      </c>
      <c r="J2087" s="3">
        <v>0</v>
      </c>
      <c r="K2087" s="3">
        <v>15</v>
      </c>
      <c r="L2087" s="3">
        <v>0</v>
      </c>
      <c r="M2087" s="3">
        <v>30</v>
      </c>
      <c r="N2087" s="3">
        <v>17</v>
      </c>
      <c r="O2087" s="3"/>
      <c r="P2087" s="3"/>
      <c r="Q2087" s="3"/>
    </row>
    <row r="2088" spans="1:17" ht="15" x14ac:dyDescent="0.25">
      <c r="A2088" s="3">
        <f>2081</f>
        <v>2081</v>
      </c>
      <c r="B2088" s="3" t="s">
        <v>2090</v>
      </c>
      <c r="C2088" s="3" t="s">
        <v>10</v>
      </c>
      <c r="D2088" s="3" t="s">
        <v>9</v>
      </c>
      <c r="E2088" s="3">
        <v>22</v>
      </c>
      <c r="F2088" s="3">
        <v>0</v>
      </c>
      <c r="G2088" s="3">
        <v>0</v>
      </c>
      <c r="H2088" s="3">
        <v>18</v>
      </c>
      <c r="I2088" s="3">
        <v>28</v>
      </c>
      <c r="J2088" s="3">
        <v>0</v>
      </c>
      <c r="K2088" s="3">
        <v>15</v>
      </c>
      <c r="L2088" s="3">
        <v>0</v>
      </c>
      <c r="M2088" s="3">
        <v>30</v>
      </c>
      <c r="N2088" s="3">
        <v>17</v>
      </c>
      <c r="O2088" s="3"/>
      <c r="P2088" s="3"/>
      <c r="Q2088" s="3"/>
    </row>
    <row r="2089" spans="1:17" ht="15" x14ac:dyDescent="0.25">
      <c r="A2089" s="3">
        <f>2082</f>
        <v>2082</v>
      </c>
      <c r="B2089" s="3" t="s">
        <v>2091</v>
      </c>
      <c r="C2089" s="3" t="s">
        <v>10</v>
      </c>
      <c r="D2089" s="3" t="s">
        <v>9</v>
      </c>
      <c r="E2089" s="3">
        <v>22</v>
      </c>
      <c r="F2089" s="3">
        <v>0</v>
      </c>
      <c r="G2089" s="3">
        <v>0</v>
      </c>
      <c r="H2089" s="3">
        <v>18</v>
      </c>
      <c r="I2089" s="3">
        <v>28</v>
      </c>
      <c r="J2089" s="3">
        <v>0</v>
      </c>
      <c r="K2089" s="3">
        <v>15</v>
      </c>
      <c r="L2089" s="3">
        <v>0</v>
      </c>
      <c r="M2089" s="3">
        <v>30</v>
      </c>
      <c r="N2089" s="3">
        <v>17</v>
      </c>
      <c r="O2089" s="3"/>
      <c r="P2089" s="3"/>
      <c r="Q2089" s="3"/>
    </row>
    <row r="2090" spans="1:17" ht="15" x14ac:dyDescent="0.25">
      <c r="A2090" s="3">
        <f>2083</f>
        <v>2083</v>
      </c>
      <c r="B2090" s="3" t="s">
        <v>2092</v>
      </c>
      <c r="C2090" s="3" t="s">
        <v>10</v>
      </c>
      <c r="D2090" s="3" t="s">
        <v>9</v>
      </c>
      <c r="E2090" s="3">
        <v>22</v>
      </c>
      <c r="F2090" s="3">
        <v>0</v>
      </c>
      <c r="G2090" s="3">
        <v>0</v>
      </c>
      <c r="H2090" s="3">
        <v>18</v>
      </c>
      <c r="I2090" s="3">
        <v>28</v>
      </c>
      <c r="J2090" s="3">
        <v>0</v>
      </c>
      <c r="K2090" s="3">
        <v>15</v>
      </c>
      <c r="L2090" s="3">
        <v>0</v>
      </c>
      <c r="M2090" s="3">
        <v>30</v>
      </c>
      <c r="N2090" s="3">
        <v>17</v>
      </c>
      <c r="O2090" s="3"/>
      <c r="P2090" s="3"/>
      <c r="Q2090" s="3"/>
    </row>
    <row r="2091" spans="1:17" ht="15" x14ac:dyDescent="0.25">
      <c r="A2091" s="3">
        <f>2084</f>
        <v>2084</v>
      </c>
      <c r="B2091" s="3" t="s">
        <v>2093</v>
      </c>
      <c r="C2091" s="3" t="s">
        <v>10</v>
      </c>
      <c r="D2091" s="3" t="s">
        <v>9</v>
      </c>
      <c r="E2091" s="3">
        <v>22</v>
      </c>
      <c r="F2091" s="3">
        <v>0</v>
      </c>
      <c r="G2091" s="3">
        <v>0</v>
      </c>
      <c r="H2091" s="3">
        <v>18</v>
      </c>
      <c r="I2091" s="3">
        <v>28</v>
      </c>
      <c r="J2091" s="3">
        <v>0</v>
      </c>
      <c r="K2091" s="3">
        <v>15</v>
      </c>
      <c r="L2091" s="3">
        <v>0</v>
      </c>
      <c r="M2091" s="3">
        <v>30</v>
      </c>
      <c r="N2091" s="3">
        <v>17</v>
      </c>
      <c r="O2091" s="3"/>
      <c r="P2091" s="3"/>
      <c r="Q2091" s="3"/>
    </row>
    <row r="2092" spans="1:17" ht="15" x14ac:dyDescent="0.25">
      <c r="A2092" s="3">
        <f>2085</f>
        <v>2085</v>
      </c>
      <c r="B2092" s="3" t="s">
        <v>2094</v>
      </c>
      <c r="C2092" s="3" t="s">
        <v>10</v>
      </c>
      <c r="D2092" s="3" t="s">
        <v>9</v>
      </c>
      <c r="E2092" s="3">
        <v>22</v>
      </c>
      <c r="F2092" s="3">
        <v>0</v>
      </c>
      <c r="G2092" s="3">
        <v>0</v>
      </c>
      <c r="H2092" s="3">
        <v>18</v>
      </c>
      <c r="I2092" s="3">
        <v>28</v>
      </c>
      <c r="J2092" s="3">
        <v>0</v>
      </c>
      <c r="K2092" s="3">
        <v>15</v>
      </c>
      <c r="L2092" s="3">
        <v>0</v>
      </c>
      <c r="M2092" s="3">
        <v>30</v>
      </c>
      <c r="N2092" s="3">
        <v>17</v>
      </c>
      <c r="O2092" s="3"/>
      <c r="P2092" s="3"/>
      <c r="Q2092" s="3"/>
    </row>
    <row r="2093" spans="1:17" ht="15" x14ac:dyDescent="0.25">
      <c r="A2093" s="3">
        <f>2086</f>
        <v>2086</v>
      </c>
      <c r="B2093" s="3" t="s">
        <v>2095</v>
      </c>
      <c r="C2093" s="3" t="s">
        <v>10</v>
      </c>
      <c r="D2093" s="3" t="s">
        <v>9</v>
      </c>
      <c r="E2093" s="3">
        <v>22</v>
      </c>
      <c r="F2093" s="3">
        <v>0</v>
      </c>
      <c r="G2093" s="3">
        <v>0</v>
      </c>
      <c r="H2093" s="3">
        <v>18</v>
      </c>
      <c r="I2093" s="3">
        <v>28</v>
      </c>
      <c r="J2093" s="3">
        <v>0</v>
      </c>
      <c r="K2093" s="3">
        <v>15</v>
      </c>
      <c r="L2093" s="3">
        <v>0</v>
      </c>
      <c r="M2093" s="3">
        <v>30</v>
      </c>
      <c r="N2093" s="3">
        <v>17</v>
      </c>
      <c r="O2093" s="3"/>
      <c r="P2093" s="3"/>
      <c r="Q2093" s="3"/>
    </row>
    <row r="2094" spans="1:17" ht="15" x14ac:dyDescent="0.25">
      <c r="A2094" s="3">
        <f>2087</f>
        <v>2087</v>
      </c>
      <c r="B2094" s="3" t="s">
        <v>2096</v>
      </c>
      <c r="C2094" s="3" t="s">
        <v>10</v>
      </c>
      <c r="D2094" s="3" t="s">
        <v>9</v>
      </c>
      <c r="E2094" s="3">
        <v>22</v>
      </c>
      <c r="F2094" s="3">
        <v>0</v>
      </c>
      <c r="G2094" s="3">
        <v>0</v>
      </c>
      <c r="H2094" s="3">
        <v>18</v>
      </c>
      <c r="I2094" s="3">
        <v>28</v>
      </c>
      <c r="J2094" s="3">
        <v>0</v>
      </c>
      <c r="K2094" s="3">
        <v>15</v>
      </c>
      <c r="L2094" s="3">
        <v>0</v>
      </c>
      <c r="M2094" s="3">
        <v>30</v>
      </c>
      <c r="N2094" s="3">
        <v>17</v>
      </c>
      <c r="O2094" s="3"/>
      <c r="P2094" s="3"/>
      <c r="Q2094" s="3"/>
    </row>
    <row r="2095" spans="1:17" ht="15" x14ac:dyDescent="0.25">
      <c r="A2095" s="3">
        <f>2088</f>
        <v>2088</v>
      </c>
      <c r="B2095" s="3" t="s">
        <v>2097</v>
      </c>
      <c r="C2095" s="3" t="s">
        <v>10</v>
      </c>
      <c r="D2095" s="3" t="s">
        <v>9</v>
      </c>
      <c r="E2095" s="3">
        <v>22</v>
      </c>
      <c r="F2095" s="3">
        <v>0</v>
      </c>
      <c r="G2095" s="3">
        <v>0</v>
      </c>
      <c r="H2095" s="3">
        <v>18</v>
      </c>
      <c r="I2095" s="3">
        <v>28</v>
      </c>
      <c r="J2095" s="3">
        <v>0</v>
      </c>
      <c r="K2095" s="3">
        <v>15</v>
      </c>
      <c r="L2095" s="3">
        <v>0</v>
      </c>
      <c r="M2095" s="3">
        <v>30</v>
      </c>
      <c r="N2095" s="3">
        <v>17</v>
      </c>
      <c r="O2095" s="3"/>
      <c r="P2095" s="3"/>
      <c r="Q2095" s="3"/>
    </row>
    <row r="2096" spans="1:17" ht="15" x14ac:dyDescent="0.25">
      <c r="A2096" s="3">
        <f>2089</f>
        <v>2089</v>
      </c>
      <c r="B2096" s="3" t="s">
        <v>2098</v>
      </c>
      <c r="C2096" s="3" t="s">
        <v>10</v>
      </c>
      <c r="D2096" s="3" t="s">
        <v>9</v>
      </c>
      <c r="E2096" s="3">
        <v>22</v>
      </c>
      <c r="F2096" s="3">
        <v>0</v>
      </c>
      <c r="G2096" s="3">
        <v>0</v>
      </c>
      <c r="H2096" s="3">
        <v>18</v>
      </c>
      <c r="I2096" s="3">
        <v>28</v>
      </c>
      <c r="J2096" s="3">
        <v>0</v>
      </c>
      <c r="K2096" s="3">
        <v>15</v>
      </c>
      <c r="L2096" s="3">
        <v>0</v>
      </c>
      <c r="M2096" s="3">
        <v>30</v>
      </c>
      <c r="N2096" s="3">
        <v>17</v>
      </c>
      <c r="O2096" s="3"/>
      <c r="P2096" s="3"/>
      <c r="Q2096" s="3"/>
    </row>
    <row r="2097" spans="1:17" ht="15" x14ac:dyDescent="0.25">
      <c r="A2097" s="3">
        <f>2090</f>
        <v>2090</v>
      </c>
      <c r="B2097" s="3" t="s">
        <v>2099</v>
      </c>
      <c r="C2097" s="3" t="s">
        <v>10</v>
      </c>
      <c r="D2097" s="3" t="s">
        <v>9</v>
      </c>
      <c r="E2097" s="3">
        <v>22</v>
      </c>
      <c r="F2097" s="3">
        <v>0</v>
      </c>
      <c r="G2097" s="3">
        <v>0</v>
      </c>
      <c r="H2097" s="3">
        <v>18</v>
      </c>
      <c r="I2097" s="3">
        <v>28</v>
      </c>
      <c r="J2097" s="3">
        <v>0</v>
      </c>
      <c r="K2097" s="3">
        <v>15</v>
      </c>
      <c r="L2097" s="3">
        <v>0</v>
      </c>
      <c r="M2097" s="3">
        <v>30</v>
      </c>
      <c r="N2097" s="3">
        <v>17</v>
      </c>
      <c r="O2097" s="3"/>
      <c r="P2097" s="3"/>
      <c r="Q2097" s="3"/>
    </row>
    <row r="2098" spans="1:17" ht="15" x14ac:dyDescent="0.25">
      <c r="A2098" s="3">
        <f>2091</f>
        <v>2091</v>
      </c>
      <c r="B2098" s="3" t="s">
        <v>2100</v>
      </c>
      <c r="C2098" s="3" t="s">
        <v>10</v>
      </c>
      <c r="D2098" s="3" t="s">
        <v>9</v>
      </c>
      <c r="E2098" s="3">
        <v>22</v>
      </c>
      <c r="F2098" s="3">
        <v>0</v>
      </c>
      <c r="G2098" s="3">
        <v>0</v>
      </c>
      <c r="H2098" s="3">
        <v>18</v>
      </c>
      <c r="I2098" s="3">
        <v>28</v>
      </c>
      <c r="J2098" s="3">
        <v>0</v>
      </c>
      <c r="K2098" s="3">
        <v>15</v>
      </c>
      <c r="L2098" s="3">
        <v>0</v>
      </c>
      <c r="M2098" s="3">
        <v>30</v>
      </c>
      <c r="N2098" s="3">
        <v>17</v>
      </c>
      <c r="O2098" s="3"/>
      <c r="P2098" s="3"/>
      <c r="Q2098" s="3"/>
    </row>
    <row r="2099" spans="1:17" ht="15" x14ac:dyDescent="0.25">
      <c r="A2099" s="3">
        <f>2092</f>
        <v>2092</v>
      </c>
      <c r="B2099" s="3" t="s">
        <v>2101</v>
      </c>
      <c r="C2099" s="3" t="s">
        <v>10</v>
      </c>
      <c r="D2099" s="3" t="s">
        <v>9</v>
      </c>
      <c r="E2099" s="3">
        <v>22</v>
      </c>
      <c r="F2099" s="3">
        <v>0</v>
      </c>
      <c r="G2099" s="3">
        <v>0</v>
      </c>
      <c r="H2099" s="3">
        <v>18</v>
      </c>
      <c r="I2099" s="3">
        <v>28</v>
      </c>
      <c r="J2099" s="3">
        <v>0</v>
      </c>
      <c r="K2099" s="3">
        <v>15</v>
      </c>
      <c r="L2099" s="3">
        <v>0</v>
      </c>
      <c r="M2099" s="3">
        <v>30</v>
      </c>
      <c r="N2099" s="3">
        <v>17</v>
      </c>
      <c r="O2099" s="3"/>
      <c r="P2099" s="3"/>
      <c r="Q2099" s="3"/>
    </row>
    <row r="2100" spans="1:17" ht="15" x14ac:dyDescent="0.25">
      <c r="A2100" s="3">
        <f>2093</f>
        <v>2093</v>
      </c>
      <c r="B2100" s="3" t="s">
        <v>2102</v>
      </c>
      <c r="C2100" s="3" t="s">
        <v>10</v>
      </c>
      <c r="D2100" s="3" t="s">
        <v>9</v>
      </c>
      <c r="E2100" s="3">
        <v>22</v>
      </c>
      <c r="F2100" s="3">
        <v>0</v>
      </c>
      <c r="G2100" s="3">
        <v>0</v>
      </c>
      <c r="H2100" s="3">
        <v>18</v>
      </c>
      <c r="I2100" s="3">
        <v>28</v>
      </c>
      <c r="J2100" s="3">
        <v>0</v>
      </c>
      <c r="K2100" s="3">
        <v>15</v>
      </c>
      <c r="L2100" s="3">
        <v>0</v>
      </c>
      <c r="M2100" s="3">
        <v>30</v>
      </c>
      <c r="N2100" s="3">
        <v>17</v>
      </c>
      <c r="O2100" s="3"/>
      <c r="P2100" s="3"/>
      <c r="Q2100" s="3"/>
    </row>
    <row r="2101" spans="1:17" ht="15" x14ac:dyDescent="0.25">
      <c r="A2101" s="3">
        <f>2094</f>
        <v>2094</v>
      </c>
      <c r="B2101" s="3" t="s">
        <v>2103</v>
      </c>
      <c r="C2101" s="3" t="s">
        <v>10</v>
      </c>
      <c r="D2101" s="3" t="s">
        <v>9</v>
      </c>
      <c r="E2101" s="3">
        <v>22</v>
      </c>
      <c r="F2101" s="3">
        <v>0</v>
      </c>
      <c r="G2101" s="3">
        <v>0</v>
      </c>
      <c r="H2101" s="3">
        <v>18</v>
      </c>
      <c r="I2101" s="3">
        <v>28</v>
      </c>
      <c r="J2101" s="3">
        <v>0</v>
      </c>
      <c r="K2101" s="3">
        <v>15</v>
      </c>
      <c r="L2101" s="3">
        <v>0</v>
      </c>
      <c r="M2101" s="3">
        <v>30</v>
      </c>
      <c r="N2101" s="3">
        <v>17</v>
      </c>
      <c r="O2101" s="3"/>
      <c r="P2101" s="3"/>
      <c r="Q2101" s="3"/>
    </row>
    <row r="2102" spans="1:17" ht="15" x14ac:dyDescent="0.25">
      <c r="A2102" s="3">
        <f>2095</f>
        <v>2095</v>
      </c>
      <c r="B2102" s="3" t="s">
        <v>2104</v>
      </c>
      <c r="C2102" s="3" t="s">
        <v>10</v>
      </c>
      <c r="D2102" s="3" t="s">
        <v>9</v>
      </c>
      <c r="E2102" s="3">
        <v>22</v>
      </c>
      <c r="F2102" s="3">
        <v>0</v>
      </c>
      <c r="G2102" s="3">
        <v>0</v>
      </c>
      <c r="H2102" s="3">
        <v>18</v>
      </c>
      <c r="I2102" s="3">
        <v>28</v>
      </c>
      <c r="J2102" s="3">
        <v>0</v>
      </c>
      <c r="K2102" s="3">
        <v>15</v>
      </c>
      <c r="L2102" s="3">
        <v>0</v>
      </c>
      <c r="M2102" s="3">
        <v>30</v>
      </c>
      <c r="N2102" s="3">
        <v>17</v>
      </c>
      <c r="O2102" s="3"/>
      <c r="P2102" s="3"/>
      <c r="Q2102" s="3"/>
    </row>
    <row r="2103" spans="1:17" ht="15" x14ac:dyDescent="0.25">
      <c r="A2103" s="3">
        <f>2096</f>
        <v>2096</v>
      </c>
      <c r="B2103" s="3" t="s">
        <v>2105</v>
      </c>
      <c r="C2103" s="3" t="s">
        <v>10</v>
      </c>
      <c r="D2103" s="3" t="s">
        <v>9</v>
      </c>
      <c r="E2103" s="3">
        <v>22</v>
      </c>
      <c r="F2103" s="3">
        <v>0</v>
      </c>
      <c r="G2103" s="3">
        <v>0</v>
      </c>
      <c r="H2103" s="3">
        <v>18</v>
      </c>
      <c r="I2103" s="3">
        <v>28</v>
      </c>
      <c r="J2103" s="3">
        <v>0</v>
      </c>
      <c r="K2103" s="3">
        <v>15</v>
      </c>
      <c r="L2103" s="3">
        <v>0</v>
      </c>
      <c r="M2103" s="3">
        <v>30</v>
      </c>
      <c r="N2103" s="3">
        <v>17</v>
      </c>
      <c r="O2103" s="3"/>
      <c r="P2103" s="3"/>
      <c r="Q2103" s="3"/>
    </row>
    <row r="2104" spans="1:17" ht="15" x14ac:dyDescent="0.25">
      <c r="A2104" s="3">
        <f>2097</f>
        <v>2097</v>
      </c>
      <c r="B2104" s="3" t="s">
        <v>2106</v>
      </c>
      <c r="C2104" s="3" t="s">
        <v>10</v>
      </c>
      <c r="D2104" s="3" t="s">
        <v>9</v>
      </c>
      <c r="E2104" s="3">
        <v>22</v>
      </c>
      <c r="F2104" s="3">
        <v>0</v>
      </c>
      <c r="G2104" s="3">
        <v>0</v>
      </c>
      <c r="H2104" s="3">
        <v>18</v>
      </c>
      <c r="I2104" s="3">
        <v>28</v>
      </c>
      <c r="J2104" s="3">
        <v>0</v>
      </c>
      <c r="K2104" s="3">
        <v>15</v>
      </c>
      <c r="L2104" s="3">
        <v>0</v>
      </c>
      <c r="M2104" s="3">
        <v>30</v>
      </c>
      <c r="N2104" s="3">
        <v>17</v>
      </c>
      <c r="O2104" s="3"/>
      <c r="P2104" s="3"/>
      <c r="Q2104" s="3"/>
    </row>
    <row r="2105" spans="1:17" ht="15" x14ac:dyDescent="0.25">
      <c r="A2105" s="3">
        <f>2098</f>
        <v>2098</v>
      </c>
      <c r="B2105" s="3" t="s">
        <v>2107</v>
      </c>
      <c r="C2105" s="3" t="s">
        <v>10</v>
      </c>
      <c r="D2105" s="3" t="s">
        <v>9</v>
      </c>
      <c r="E2105" s="3">
        <v>22</v>
      </c>
      <c r="F2105" s="3">
        <v>0</v>
      </c>
      <c r="G2105" s="3">
        <v>0</v>
      </c>
      <c r="H2105" s="3">
        <v>18</v>
      </c>
      <c r="I2105" s="3">
        <v>28</v>
      </c>
      <c r="J2105" s="3">
        <v>0</v>
      </c>
      <c r="K2105" s="3">
        <v>15</v>
      </c>
      <c r="L2105" s="3">
        <v>0</v>
      </c>
      <c r="M2105" s="3">
        <v>30</v>
      </c>
      <c r="N2105" s="3">
        <v>17</v>
      </c>
      <c r="O2105" s="3"/>
      <c r="P2105" s="3"/>
      <c r="Q2105" s="3"/>
    </row>
    <row r="2106" spans="1:17" ht="15" x14ac:dyDescent="0.25">
      <c r="A2106" s="3">
        <f>2099</f>
        <v>2099</v>
      </c>
      <c r="B2106" s="3" t="s">
        <v>2108</v>
      </c>
      <c r="C2106" s="3" t="s">
        <v>10</v>
      </c>
      <c r="D2106" s="3" t="s">
        <v>9</v>
      </c>
      <c r="E2106" s="3">
        <v>22</v>
      </c>
      <c r="F2106" s="3">
        <v>0</v>
      </c>
      <c r="G2106" s="3">
        <v>0</v>
      </c>
      <c r="H2106" s="3">
        <v>18</v>
      </c>
      <c r="I2106" s="3">
        <v>28</v>
      </c>
      <c r="J2106" s="3">
        <v>0</v>
      </c>
      <c r="K2106" s="3">
        <v>15</v>
      </c>
      <c r="L2106" s="3">
        <v>0</v>
      </c>
      <c r="M2106" s="3">
        <v>30</v>
      </c>
      <c r="N2106" s="3">
        <v>17</v>
      </c>
      <c r="O2106" s="3"/>
      <c r="P2106" s="3"/>
      <c r="Q2106" s="3"/>
    </row>
    <row r="2107" spans="1:17" ht="15" x14ac:dyDescent="0.25">
      <c r="A2107" s="3">
        <f>2100</f>
        <v>2100</v>
      </c>
      <c r="B2107" s="3" t="s">
        <v>2109</v>
      </c>
      <c r="C2107" s="3" t="s">
        <v>10</v>
      </c>
      <c r="D2107" s="3" t="s">
        <v>9</v>
      </c>
      <c r="E2107" s="3">
        <v>22</v>
      </c>
      <c r="F2107" s="3">
        <v>0</v>
      </c>
      <c r="G2107" s="3">
        <v>0</v>
      </c>
      <c r="H2107" s="3">
        <v>18</v>
      </c>
      <c r="I2107" s="3">
        <v>28</v>
      </c>
      <c r="J2107" s="3">
        <v>0</v>
      </c>
      <c r="K2107" s="3">
        <v>15</v>
      </c>
      <c r="L2107" s="3">
        <v>0</v>
      </c>
      <c r="M2107" s="3">
        <v>30</v>
      </c>
      <c r="N2107" s="3">
        <v>17</v>
      </c>
      <c r="O2107" s="3"/>
      <c r="P2107" s="3"/>
      <c r="Q2107" s="3"/>
    </row>
    <row r="2108" spans="1:17" ht="15" x14ac:dyDescent="0.25">
      <c r="A2108" s="3">
        <f>2101</f>
        <v>2101</v>
      </c>
      <c r="B2108" s="3" t="s">
        <v>2110</v>
      </c>
      <c r="C2108" s="3" t="s">
        <v>10</v>
      </c>
      <c r="D2108" s="3" t="s">
        <v>9</v>
      </c>
      <c r="E2108" s="3">
        <v>22</v>
      </c>
      <c r="F2108" s="3">
        <v>0</v>
      </c>
      <c r="G2108" s="3">
        <v>0</v>
      </c>
      <c r="H2108" s="3">
        <v>18</v>
      </c>
      <c r="I2108" s="3">
        <v>28</v>
      </c>
      <c r="J2108" s="3">
        <v>0</v>
      </c>
      <c r="K2108" s="3">
        <v>15</v>
      </c>
      <c r="L2108" s="3">
        <v>0</v>
      </c>
      <c r="M2108" s="3">
        <v>30</v>
      </c>
      <c r="N2108" s="3">
        <v>17</v>
      </c>
      <c r="O2108" s="3"/>
      <c r="P2108" s="3"/>
      <c r="Q2108" s="3"/>
    </row>
    <row r="2109" spans="1:17" ht="15" x14ac:dyDescent="0.25">
      <c r="A2109" s="3">
        <f>2102</f>
        <v>2102</v>
      </c>
      <c r="B2109" s="3" t="s">
        <v>2111</v>
      </c>
      <c r="C2109" s="3" t="s">
        <v>10</v>
      </c>
      <c r="D2109" s="3" t="s">
        <v>9</v>
      </c>
      <c r="E2109" s="3">
        <v>22</v>
      </c>
      <c r="F2109" s="3">
        <v>0</v>
      </c>
      <c r="G2109" s="3">
        <v>0</v>
      </c>
      <c r="H2109" s="3">
        <v>18</v>
      </c>
      <c r="I2109" s="3">
        <v>28</v>
      </c>
      <c r="J2109" s="3">
        <v>0</v>
      </c>
      <c r="K2109" s="3">
        <v>15</v>
      </c>
      <c r="L2109" s="3">
        <v>0</v>
      </c>
      <c r="M2109" s="3">
        <v>30</v>
      </c>
      <c r="N2109" s="3">
        <v>17</v>
      </c>
      <c r="O2109" s="3"/>
      <c r="P2109" s="3"/>
      <c r="Q2109" s="3"/>
    </row>
    <row r="2110" spans="1:17" ht="15" x14ac:dyDescent="0.25">
      <c r="A2110" s="3">
        <f>2103</f>
        <v>2103</v>
      </c>
      <c r="B2110" s="3" t="s">
        <v>2112</v>
      </c>
      <c r="C2110" s="3" t="s">
        <v>10</v>
      </c>
      <c r="D2110" s="3" t="s">
        <v>9</v>
      </c>
      <c r="E2110" s="3">
        <v>22</v>
      </c>
      <c r="F2110" s="3">
        <v>0</v>
      </c>
      <c r="G2110" s="3">
        <v>0</v>
      </c>
      <c r="H2110" s="3">
        <v>18</v>
      </c>
      <c r="I2110" s="3">
        <v>28</v>
      </c>
      <c r="J2110" s="3">
        <v>0</v>
      </c>
      <c r="K2110" s="3">
        <v>15</v>
      </c>
      <c r="L2110" s="3">
        <v>0</v>
      </c>
      <c r="M2110" s="3">
        <v>30</v>
      </c>
      <c r="N2110" s="3">
        <v>17</v>
      </c>
      <c r="O2110" s="3"/>
      <c r="P2110" s="3"/>
      <c r="Q2110" s="3"/>
    </row>
    <row r="2111" spans="1:17" ht="15" x14ac:dyDescent="0.25">
      <c r="A2111" s="3">
        <f>2104</f>
        <v>2104</v>
      </c>
      <c r="B2111" s="3" t="s">
        <v>2113</v>
      </c>
      <c r="C2111" s="3" t="s">
        <v>10</v>
      </c>
      <c r="D2111" s="3" t="s">
        <v>9</v>
      </c>
      <c r="E2111" s="3">
        <v>22</v>
      </c>
      <c r="F2111" s="3">
        <v>0</v>
      </c>
      <c r="G2111" s="3">
        <v>0</v>
      </c>
      <c r="H2111" s="3">
        <v>18</v>
      </c>
      <c r="I2111" s="3">
        <v>28</v>
      </c>
      <c r="J2111" s="3">
        <v>0</v>
      </c>
      <c r="K2111" s="3">
        <v>15</v>
      </c>
      <c r="L2111" s="3">
        <v>0</v>
      </c>
      <c r="M2111" s="3">
        <v>30</v>
      </c>
      <c r="N2111" s="3">
        <v>17</v>
      </c>
      <c r="O2111" s="3"/>
      <c r="P2111" s="3"/>
      <c r="Q2111" s="3"/>
    </row>
    <row r="2112" spans="1:17" ht="15" x14ac:dyDescent="0.25">
      <c r="A2112" s="3">
        <f>2105</f>
        <v>2105</v>
      </c>
      <c r="B2112" s="3" t="s">
        <v>2114</v>
      </c>
      <c r="C2112" s="3" t="s">
        <v>10</v>
      </c>
      <c r="D2112" s="3" t="s">
        <v>9</v>
      </c>
      <c r="E2112" s="3">
        <v>22</v>
      </c>
      <c r="F2112" s="3">
        <v>0</v>
      </c>
      <c r="G2112" s="3">
        <v>0</v>
      </c>
      <c r="H2112" s="3">
        <v>18</v>
      </c>
      <c r="I2112" s="3">
        <v>28</v>
      </c>
      <c r="J2112" s="3">
        <v>0</v>
      </c>
      <c r="K2112" s="3">
        <v>15</v>
      </c>
      <c r="L2112" s="3">
        <v>0</v>
      </c>
      <c r="M2112" s="3">
        <v>30</v>
      </c>
      <c r="N2112" s="3">
        <v>17</v>
      </c>
      <c r="O2112" s="3"/>
      <c r="P2112" s="3"/>
      <c r="Q2112" s="3"/>
    </row>
    <row r="2113" spans="1:17" ht="15" x14ac:dyDescent="0.25">
      <c r="A2113" s="3">
        <f>2106</f>
        <v>2106</v>
      </c>
      <c r="B2113" s="3" t="s">
        <v>2115</v>
      </c>
      <c r="C2113" s="3" t="s">
        <v>10</v>
      </c>
      <c r="D2113" s="3" t="s">
        <v>9</v>
      </c>
      <c r="E2113" s="3">
        <v>22</v>
      </c>
      <c r="F2113" s="3">
        <v>0</v>
      </c>
      <c r="G2113" s="3">
        <v>0</v>
      </c>
      <c r="H2113" s="3">
        <v>18</v>
      </c>
      <c r="I2113" s="3">
        <v>28</v>
      </c>
      <c r="J2113" s="3">
        <v>0</v>
      </c>
      <c r="K2113" s="3">
        <v>15</v>
      </c>
      <c r="L2113" s="3">
        <v>0</v>
      </c>
      <c r="M2113" s="3">
        <v>30</v>
      </c>
      <c r="N2113" s="3">
        <v>17</v>
      </c>
      <c r="O2113" s="3"/>
      <c r="P2113" s="3"/>
      <c r="Q2113" s="3"/>
    </row>
    <row r="2114" spans="1:17" ht="15" x14ac:dyDescent="0.25">
      <c r="A2114" s="3">
        <f>2107</f>
        <v>2107</v>
      </c>
      <c r="B2114" s="3" t="s">
        <v>2116</v>
      </c>
      <c r="C2114" s="3" t="s">
        <v>10</v>
      </c>
      <c r="D2114" s="3" t="s">
        <v>9</v>
      </c>
      <c r="E2114" s="3">
        <v>22</v>
      </c>
      <c r="F2114" s="3">
        <v>0</v>
      </c>
      <c r="G2114" s="3">
        <v>0</v>
      </c>
      <c r="H2114" s="3">
        <v>18</v>
      </c>
      <c r="I2114" s="3">
        <v>28</v>
      </c>
      <c r="J2114" s="3">
        <v>0</v>
      </c>
      <c r="K2114" s="3">
        <v>15</v>
      </c>
      <c r="L2114" s="3">
        <v>0</v>
      </c>
      <c r="M2114" s="3">
        <v>30</v>
      </c>
      <c r="N2114" s="3">
        <v>17</v>
      </c>
      <c r="O2114" s="3"/>
      <c r="P2114" s="3"/>
      <c r="Q2114" s="3"/>
    </row>
    <row r="2115" spans="1:17" ht="15" x14ac:dyDescent="0.25">
      <c r="A2115" s="3">
        <f>2108</f>
        <v>2108</v>
      </c>
      <c r="B2115" s="3" t="s">
        <v>2117</v>
      </c>
      <c r="C2115" s="3" t="s">
        <v>10</v>
      </c>
      <c r="D2115" s="3" t="s">
        <v>9</v>
      </c>
      <c r="E2115" s="3">
        <v>22</v>
      </c>
      <c r="F2115" s="3">
        <v>0</v>
      </c>
      <c r="G2115" s="3">
        <v>0</v>
      </c>
      <c r="H2115" s="3">
        <v>18</v>
      </c>
      <c r="I2115" s="3">
        <v>28</v>
      </c>
      <c r="J2115" s="3">
        <v>0</v>
      </c>
      <c r="K2115" s="3">
        <v>15</v>
      </c>
      <c r="L2115" s="3">
        <v>0</v>
      </c>
      <c r="M2115" s="3">
        <v>30</v>
      </c>
      <c r="N2115" s="3">
        <v>17</v>
      </c>
      <c r="O2115" s="3"/>
      <c r="P2115" s="3"/>
      <c r="Q2115" s="3"/>
    </row>
    <row r="2116" spans="1:17" ht="15" x14ac:dyDescent="0.25">
      <c r="A2116" s="3">
        <f>2109</f>
        <v>2109</v>
      </c>
      <c r="B2116" s="3" t="s">
        <v>2118</v>
      </c>
      <c r="C2116" s="3" t="s">
        <v>10</v>
      </c>
      <c r="D2116" s="3" t="s">
        <v>9</v>
      </c>
      <c r="E2116" s="3">
        <v>22</v>
      </c>
      <c r="F2116" s="3">
        <v>0</v>
      </c>
      <c r="G2116" s="3">
        <v>0</v>
      </c>
      <c r="H2116" s="3">
        <v>18</v>
      </c>
      <c r="I2116" s="3">
        <v>28</v>
      </c>
      <c r="J2116" s="3">
        <v>0</v>
      </c>
      <c r="K2116" s="3">
        <v>15</v>
      </c>
      <c r="L2116" s="3">
        <v>0</v>
      </c>
      <c r="M2116" s="3">
        <v>30</v>
      </c>
      <c r="N2116" s="3">
        <v>17</v>
      </c>
      <c r="O2116" s="3"/>
      <c r="P2116" s="3"/>
      <c r="Q2116" s="3"/>
    </row>
    <row r="2117" spans="1:17" ht="15" x14ac:dyDescent="0.25">
      <c r="A2117" s="3">
        <f>2110</f>
        <v>2110</v>
      </c>
      <c r="B2117" s="3" t="s">
        <v>2119</v>
      </c>
      <c r="C2117" s="3" t="s">
        <v>10</v>
      </c>
      <c r="D2117" s="3" t="s">
        <v>9</v>
      </c>
      <c r="E2117" s="3">
        <v>22</v>
      </c>
      <c r="F2117" s="3">
        <v>0</v>
      </c>
      <c r="G2117" s="3">
        <v>0</v>
      </c>
      <c r="H2117" s="3">
        <v>18</v>
      </c>
      <c r="I2117" s="3">
        <v>28</v>
      </c>
      <c r="J2117" s="3">
        <v>0</v>
      </c>
      <c r="K2117" s="3">
        <v>15</v>
      </c>
      <c r="L2117" s="3">
        <v>0</v>
      </c>
      <c r="M2117" s="3">
        <v>30</v>
      </c>
      <c r="N2117" s="3">
        <v>17</v>
      </c>
      <c r="O2117" s="3"/>
      <c r="P2117" s="3"/>
      <c r="Q2117" s="3"/>
    </row>
    <row r="2118" spans="1:17" ht="15" x14ac:dyDescent="0.25">
      <c r="A2118" s="3">
        <f>2111</f>
        <v>2111</v>
      </c>
      <c r="B2118" s="3" t="s">
        <v>2120</v>
      </c>
      <c r="C2118" s="3" t="s">
        <v>10</v>
      </c>
      <c r="D2118" s="3" t="s">
        <v>9</v>
      </c>
      <c r="E2118" s="3">
        <v>22</v>
      </c>
      <c r="F2118" s="3">
        <v>0</v>
      </c>
      <c r="G2118" s="3">
        <v>0</v>
      </c>
      <c r="H2118" s="3">
        <v>18</v>
      </c>
      <c r="I2118" s="3">
        <v>28</v>
      </c>
      <c r="J2118" s="3">
        <v>0</v>
      </c>
      <c r="K2118" s="3">
        <v>15</v>
      </c>
      <c r="L2118" s="3">
        <v>0</v>
      </c>
      <c r="M2118" s="3">
        <v>30</v>
      </c>
      <c r="N2118" s="3">
        <v>17</v>
      </c>
      <c r="O2118" s="3"/>
      <c r="P2118" s="3"/>
      <c r="Q2118" s="3"/>
    </row>
    <row r="2119" spans="1:17" ht="15" x14ac:dyDescent="0.25">
      <c r="A2119" s="3">
        <f>2112</f>
        <v>2112</v>
      </c>
      <c r="B2119" s="3" t="s">
        <v>2121</v>
      </c>
      <c r="C2119" s="3" t="s">
        <v>10</v>
      </c>
      <c r="D2119" s="3" t="s">
        <v>9</v>
      </c>
      <c r="E2119" s="3">
        <v>22</v>
      </c>
      <c r="F2119" s="3">
        <v>0</v>
      </c>
      <c r="G2119" s="3">
        <v>0</v>
      </c>
      <c r="H2119" s="3">
        <v>18</v>
      </c>
      <c r="I2119" s="3">
        <v>28</v>
      </c>
      <c r="J2119" s="3">
        <v>0</v>
      </c>
      <c r="K2119" s="3">
        <v>15</v>
      </c>
      <c r="L2119" s="3">
        <v>0</v>
      </c>
      <c r="M2119" s="3">
        <v>30</v>
      </c>
      <c r="N2119" s="3">
        <v>17</v>
      </c>
      <c r="O2119" s="3"/>
      <c r="P2119" s="3"/>
      <c r="Q2119" s="3"/>
    </row>
    <row r="2120" spans="1:17" ht="15" x14ac:dyDescent="0.25">
      <c r="A2120" s="3">
        <f>2113</f>
        <v>2113</v>
      </c>
      <c r="B2120" s="3" t="s">
        <v>2122</v>
      </c>
      <c r="C2120" s="3" t="s">
        <v>10</v>
      </c>
      <c r="D2120" s="3" t="s">
        <v>9</v>
      </c>
      <c r="E2120" s="3">
        <v>22</v>
      </c>
      <c r="F2120" s="3">
        <v>0</v>
      </c>
      <c r="G2120" s="3">
        <v>0</v>
      </c>
      <c r="H2120" s="3">
        <v>18</v>
      </c>
      <c r="I2120" s="3">
        <v>28</v>
      </c>
      <c r="J2120" s="3">
        <v>0</v>
      </c>
      <c r="K2120" s="3">
        <v>15</v>
      </c>
      <c r="L2120" s="3">
        <v>0</v>
      </c>
      <c r="M2120" s="3">
        <v>30</v>
      </c>
      <c r="N2120" s="3">
        <v>17</v>
      </c>
      <c r="O2120" s="3"/>
      <c r="P2120" s="3"/>
      <c r="Q2120" s="3"/>
    </row>
    <row r="2121" spans="1:17" ht="15" x14ac:dyDescent="0.25">
      <c r="A2121" s="3">
        <f>2114</f>
        <v>2114</v>
      </c>
      <c r="B2121" s="3" t="s">
        <v>2123</v>
      </c>
      <c r="C2121" s="3" t="s">
        <v>10</v>
      </c>
      <c r="D2121" s="3" t="s">
        <v>9</v>
      </c>
      <c r="E2121" s="3">
        <v>22</v>
      </c>
      <c r="F2121" s="3">
        <v>0</v>
      </c>
      <c r="G2121" s="3">
        <v>0</v>
      </c>
      <c r="H2121" s="3">
        <v>18</v>
      </c>
      <c r="I2121" s="3">
        <v>28</v>
      </c>
      <c r="J2121" s="3">
        <v>0</v>
      </c>
      <c r="K2121" s="3">
        <v>15</v>
      </c>
      <c r="L2121" s="3">
        <v>0</v>
      </c>
      <c r="M2121" s="3">
        <v>30</v>
      </c>
      <c r="N2121" s="3">
        <v>17</v>
      </c>
      <c r="O2121" s="3"/>
      <c r="P2121" s="3"/>
      <c r="Q2121" s="3"/>
    </row>
    <row r="2122" spans="1:17" ht="15" x14ac:dyDescent="0.25">
      <c r="A2122" s="3">
        <f>2115</f>
        <v>2115</v>
      </c>
      <c r="B2122" s="3" t="s">
        <v>2124</v>
      </c>
      <c r="C2122" s="3" t="s">
        <v>10</v>
      </c>
      <c r="D2122" s="3" t="s">
        <v>9</v>
      </c>
      <c r="E2122" s="3">
        <v>22</v>
      </c>
      <c r="F2122" s="3">
        <v>0</v>
      </c>
      <c r="G2122" s="3">
        <v>0</v>
      </c>
      <c r="H2122" s="3">
        <v>18</v>
      </c>
      <c r="I2122" s="3">
        <v>28</v>
      </c>
      <c r="J2122" s="3">
        <v>0</v>
      </c>
      <c r="K2122" s="3">
        <v>15</v>
      </c>
      <c r="L2122" s="3">
        <v>0</v>
      </c>
      <c r="M2122" s="3">
        <v>30</v>
      </c>
      <c r="N2122" s="3">
        <v>17</v>
      </c>
      <c r="O2122" s="3"/>
      <c r="P2122" s="3"/>
      <c r="Q2122" s="3"/>
    </row>
    <row r="2123" spans="1:17" ht="15" x14ac:dyDescent="0.25">
      <c r="A2123" s="3">
        <f>2116</f>
        <v>2116</v>
      </c>
      <c r="B2123" s="3" t="s">
        <v>2125</v>
      </c>
      <c r="C2123" s="3" t="s">
        <v>10</v>
      </c>
      <c r="D2123" s="3" t="s">
        <v>9</v>
      </c>
      <c r="E2123" s="3">
        <v>22</v>
      </c>
      <c r="F2123" s="3">
        <v>0</v>
      </c>
      <c r="G2123" s="3">
        <v>0</v>
      </c>
      <c r="H2123" s="3">
        <v>18</v>
      </c>
      <c r="I2123" s="3">
        <v>28</v>
      </c>
      <c r="J2123" s="3">
        <v>0</v>
      </c>
      <c r="K2123" s="3">
        <v>15</v>
      </c>
      <c r="L2123" s="3">
        <v>0</v>
      </c>
      <c r="M2123" s="3">
        <v>30</v>
      </c>
      <c r="N2123" s="3">
        <v>17</v>
      </c>
      <c r="O2123" s="3"/>
      <c r="P2123" s="3"/>
      <c r="Q2123" s="3"/>
    </row>
    <row r="2124" spans="1:17" ht="15" x14ac:dyDescent="0.25">
      <c r="A2124" s="3">
        <f>2117</f>
        <v>2117</v>
      </c>
      <c r="B2124" s="3" t="s">
        <v>2126</v>
      </c>
      <c r="C2124" s="3" t="s">
        <v>10</v>
      </c>
      <c r="D2124" s="3" t="s">
        <v>9</v>
      </c>
      <c r="E2124" s="3">
        <v>22</v>
      </c>
      <c r="F2124" s="3">
        <v>0</v>
      </c>
      <c r="G2124" s="3">
        <v>0</v>
      </c>
      <c r="H2124" s="3">
        <v>18</v>
      </c>
      <c r="I2124" s="3">
        <v>28</v>
      </c>
      <c r="J2124" s="3">
        <v>0</v>
      </c>
      <c r="K2124" s="3">
        <v>15</v>
      </c>
      <c r="L2124" s="3">
        <v>0</v>
      </c>
      <c r="M2124" s="3">
        <v>30</v>
      </c>
      <c r="N2124" s="3">
        <v>17</v>
      </c>
      <c r="O2124" s="3"/>
      <c r="P2124" s="3"/>
      <c r="Q2124" s="3"/>
    </row>
    <row r="2125" spans="1:17" ht="15" x14ac:dyDescent="0.25">
      <c r="A2125" s="3">
        <f>2118</f>
        <v>2118</v>
      </c>
      <c r="B2125" s="3" t="s">
        <v>2127</v>
      </c>
      <c r="C2125" s="3" t="s">
        <v>10</v>
      </c>
      <c r="D2125" s="3" t="s">
        <v>9</v>
      </c>
      <c r="E2125" s="3">
        <v>22</v>
      </c>
      <c r="F2125" s="3">
        <v>0</v>
      </c>
      <c r="G2125" s="3">
        <v>0</v>
      </c>
      <c r="H2125" s="3">
        <v>18</v>
      </c>
      <c r="I2125" s="3">
        <v>28</v>
      </c>
      <c r="J2125" s="3">
        <v>0</v>
      </c>
      <c r="K2125" s="3">
        <v>15</v>
      </c>
      <c r="L2125" s="3">
        <v>0</v>
      </c>
      <c r="M2125" s="3">
        <v>30</v>
      </c>
      <c r="N2125" s="3">
        <v>17</v>
      </c>
      <c r="O2125" s="3"/>
      <c r="P2125" s="3"/>
      <c r="Q2125" s="3"/>
    </row>
    <row r="2126" spans="1:17" ht="15" x14ac:dyDescent="0.25">
      <c r="A2126" s="3">
        <f>2119</f>
        <v>2119</v>
      </c>
      <c r="B2126" s="3" t="s">
        <v>2128</v>
      </c>
      <c r="C2126" s="3" t="s">
        <v>10</v>
      </c>
      <c r="D2126" s="3" t="s">
        <v>9</v>
      </c>
      <c r="E2126" s="3">
        <v>22</v>
      </c>
      <c r="F2126" s="3">
        <v>0</v>
      </c>
      <c r="G2126" s="3">
        <v>0</v>
      </c>
      <c r="H2126" s="3">
        <v>18</v>
      </c>
      <c r="I2126" s="3">
        <v>28</v>
      </c>
      <c r="J2126" s="3">
        <v>0</v>
      </c>
      <c r="K2126" s="3">
        <v>15</v>
      </c>
      <c r="L2126" s="3">
        <v>0</v>
      </c>
      <c r="M2126" s="3">
        <v>30</v>
      </c>
      <c r="N2126" s="3">
        <v>17</v>
      </c>
      <c r="O2126" s="3"/>
      <c r="P2126" s="3"/>
      <c r="Q2126" s="3"/>
    </row>
    <row r="2127" spans="1:17" ht="15" x14ac:dyDescent="0.25">
      <c r="A2127" s="3">
        <f>2120</f>
        <v>2120</v>
      </c>
      <c r="B2127" s="3" t="s">
        <v>2129</v>
      </c>
      <c r="C2127" s="3" t="s">
        <v>10</v>
      </c>
      <c r="D2127" s="3" t="s">
        <v>9</v>
      </c>
      <c r="E2127" s="3">
        <v>22</v>
      </c>
      <c r="F2127" s="3">
        <v>0</v>
      </c>
      <c r="G2127" s="3">
        <v>0</v>
      </c>
      <c r="H2127" s="3">
        <v>18</v>
      </c>
      <c r="I2127" s="3">
        <v>28</v>
      </c>
      <c r="J2127" s="3">
        <v>0</v>
      </c>
      <c r="K2127" s="3">
        <v>15</v>
      </c>
      <c r="L2127" s="3">
        <v>0</v>
      </c>
      <c r="M2127" s="3">
        <v>30</v>
      </c>
      <c r="N2127" s="3">
        <v>17</v>
      </c>
      <c r="O2127" s="3"/>
      <c r="P2127" s="3"/>
      <c r="Q2127" s="3"/>
    </row>
    <row r="2128" spans="1:17" ht="15" x14ac:dyDescent="0.25">
      <c r="A2128" s="3">
        <f>2121</f>
        <v>2121</v>
      </c>
      <c r="B2128" s="3" t="s">
        <v>2130</v>
      </c>
      <c r="C2128" s="3" t="s">
        <v>10</v>
      </c>
      <c r="D2128" s="3" t="s">
        <v>9</v>
      </c>
      <c r="E2128" s="3">
        <v>22</v>
      </c>
      <c r="F2128" s="3">
        <v>0</v>
      </c>
      <c r="G2128" s="3">
        <v>0</v>
      </c>
      <c r="H2128" s="3">
        <v>18</v>
      </c>
      <c r="I2128" s="3">
        <v>28</v>
      </c>
      <c r="J2128" s="3">
        <v>0</v>
      </c>
      <c r="K2128" s="3">
        <v>15</v>
      </c>
      <c r="L2128" s="3">
        <v>0</v>
      </c>
      <c r="M2128" s="3">
        <v>30</v>
      </c>
      <c r="N2128" s="3">
        <v>17</v>
      </c>
      <c r="O2128" s="3"/>
      <c r="P2128" s="3"/>
      <c r="Q2128" s="3"/>
    </row>
    <row r="2129" spans="1:17" ht="15" x14ac:dyDescent="0.25">
      <c r="A2129" s="3">
        <f>2122</f>
        <v>2122</v>
      </c>
      <c r="B2129" s="3" t="s">
        <v>2131</v>
      </c>
      <c r="C2129" s="3" t="s">
        <v>10</v>
      </c>
      <c r="D2129" s="3" t="s">
        <v>9</v>
      </c>
      <c r="E2129" s="3">
        <v>22</v>
      </c>
      <c r="F2129" s="3">
        <v>0</v>
      </c>
      <c r="G2129" s="3">
        <v>0</v>
      </c>
      <c r="H2129" s="3">
        <v>18</v>
      </c>
      <c r="I2129" s="3">
        <v>28</v>
      </c>
      <c r="J2129" s="3">
        <v>0</v>
      </c>
      <c r="K2129" s="3">
        <v>15</v>
      </c>
      <c r="L2129" s="3">
        <v>0</v>
      </c>
      <c r="M2129" s="3">
        <v>30</v>
      </c>
      <c r="N2129" s="3">
        <v>17</v>
      </c>
      <c r="O2129" s="3"/>
      <c r="P2129" s="3"/>
      <c r="Q2129" s="3"/>
    </row>
    <row r="2130" spans="1:17" ht="15" x14ac:dyDescent="0.25">
      <c r="A2130" s="3">
        <f>2123</f>
        <v>2123</v>
      </c>
      <c r="B2130" s="3" t="s">
        <v>2132</v>
      </c>
      <c r="C2130" s="3" t="s">
        <v>10</v>
      </c>
      <c r="D2130" s="3" t="s">
        <v>9</v>
      </c>
      <c r="E2130" s="3">
        <v>22</v>
      </c>
      <c r="F2130" s="3">
        <v>0</v>
      </c>
      <c r="G2130" s="3">
        <v>0</v>
      </c>
      <c r="H2130" s="3">
        <v>18</v>
      </c>
      <c r="I2130" s="3">
        <v>28</v>
      </c>
      <c r="J2130" s="3">
        <v>0</v>
      </c>
      <c r="K2130" s="3">
        <v>15</v>
      </c>
      <c r="L2130" s="3">
        <v>0</v>
      </c>
      <c r="M2130" s="3">
        <v>30</v>
      </c>
      <c r="N2130" s="3">
        <v>17</v>
      </c>
      <c r="O2130" s="3"/>
      <c r="P2130" s="3"/>
      <c r="Q2130" s="3"/>
    </row>
    <row r="2131" spans="1:17" ht="15" x14ac:dyDescent="0.25">
      <c r="A2131" s="3">
        <f>2124</f>
        <v>2124</v>
      </c>
      <c r="B2131" s="3" t="s">
        <v>2133</v>
      </c>
      <c r="C2131" s="3" t="s">
        <v>10</v>
      </c>
      <c r="D2131" s="3" t="s">
        <v>9</v>
      </c>
      <c r="E2131" s="3">
        <v>22</v>
      </c>
      <c r="F2131" s="3">
        <v>0</v>
      </c>
      <c r="G2131" s="3">
        <v>0</v>
      </c>
      <c r="H2131" s="3">
        <v>18</v>
      </c>
      <c r="I2131" s="3">
        <v>28</v>
      </c>
      <c r="J2131" s="3">
        <v>0</v>
      </c>
      <c r="K2131" s="3">
        <v>15</v>
      </c>
      <c r="L2131" s="3">
        <v>0</v>
      </c>
      <c r="M2131" s="3">
        <v>30</v>
      </c>
      <c r="N2131" s="3">
        <v>17</v>
      </c>
      <c r="O2131" s="3"/>
      <c r="P2131" s="3"/>
      <c r="Q2131" s="3"/>
    </row>
    <row r="2132" spans="1:17" ht="15" x14ac:dyDescent="0.25">
      <c r="A2132" s="3">
        <f>2125</f>
        <v>2125</v>
      </c>
      <c r="B2132" s="3" t="s">
        <v>2134</v>
      </c>
      <c r="C2132" s="3" t="s">
        <v>10</v>
      </c>
      <c r="D2132" s="3" t="s">
        <v>9</v>
      </c>
      <c r="E2132" s="3">
        <v>22</v>
      </c>
      <c r="F2132" s="3">
        <v>0</v>
      </c>
      <c r="G2132" s="3">
        <v>0</v>
      </c>
      <c r="H2132" s="3">
        <v>18</v>
      </c>
      <c r="I2132" s="3">
        <v>28</v>
      </c>
      <c r="J2132" s="3">
        <v>0</v>
      </c>
      <c r="K2132" s="3">
        <v>15</v>
      </c>
      <c r="L2132" s="3">
        <v>0</v>
      </c>
      <c r="M2132" s="3">
        <v>30</v>
      </c>
      <c r="N2132" s="3">
        <v>17</v>
      </c>
      <c r="O2132" s="3"/>
      <c r="P2132" s="3"/>
      <c r="Q2132" s="3"/>
    </row>
    <row r="2133" spans="1:17" ht="15" x14ac:dyDescent="0.25">
      <c r="A2133" s="3">
        <f>2126</f>
        <v>2126</v>
      </c>
      <c r="B2133" s="3" t="s">
        <v>2135</v>
      </c>
      <c r="C2133" s="3" t="s">
        <v>10</v>
      </c>
      <c r="D2133" s="3" t="s">
        <v>9</v>
      </c>
      <c r="E2133" s="3">
        <v>22</v>
      </c>
      <c r="F2133" s="3">
        <v>0</v>
      </c>
      <c r="G2133" s="3">
        <v>0</v>
      </c>
      <c r="H2133" s="3">
        <v>18</v>
      </c>
      <c r="I2133" s="3">
        <v>28</v>
      </c>
      <c r="J2133" s="3">
        <v>0</v>
      </c>
      <c r="K2133" s="3">
        <v>15</v>
      </c>
      <c r="L2133" s="3">
        <v>0</v>
      </c>
      <c r="M2133" s="3">
        <v>30</v>
      </c>
      <c r="N2133" s="3">
        <v>17</v>
      </c>
      <c r="O2133" s="3"/>
      <c r="P2133" s="3"/>
      <c r="Q2133" s="3"/>
    </row>
    <row r="2134" spans="1:17" ht="15" x14ac:dyDescent="0.25">
      <c r="A2134" s="3">
        <f>2127</f>
        <v>2127</v>
      </c>
      <c r="B2134" s="3" t="s">
        <v>2136</v>
      </c>
      <c r="C2134" s="3" t="s">
        <v>10</v>
      </c>
      <c r="D2134" s="3" t="s">
        <v>9</v>
      </c>
      <c r="E2134" s="3">
        <v>22</v>
      </c>
      <c r="F2134" s="3">
        <v>0</v>
      </c>
      <c r="G2134" s="3">
        <v>0</v>
      </c>
      <c r="H2134" s="3">
        <v>18</v>
      </c>
      <c r="I2134" s="3">
        <v>28</v>
      </c>
      <c r="J2134" s="3">
        <v>0</v>
      </c>
      <c r="K2134" s="3">
        <v>15</v>
      </c>
      <c r="L2134" s="3">
        <v>0</v>
      </c>
      <c r="M2134" s="3">
        <v>30</v>
      </c>
      <c r="N2134" s="3">
        <v>17</v>
      </c>
      <c r="O2134" s="3"/>
      <c r="P2134" s="3"/>
      <c r="Q2134" s="3"/>
    </row>
    <row r="2135" spans="1:17" ht="15" x14ac:dyDescent="0.25">
      <c r="A2135" s="3">
        <f>2128</f>
        <v>2128</v>
      </c>
      <c r="B2135" s="3" t="s">
        <v>2137</v>
      </c>
      <c r="C2135" s="3" t="s">
        <v>10</v>
      </c>
      <c r="D2135" s="3" t="s">
        <v>9</v>
      </c>
      <c r="E2135" s="3">
        <v>22</v>
      </c>
      <c r="F2135" s="3">
        <v>0</v>
      </c>
      <c r="G2135" s="3">
        <v>0</v>
      </c>
      <c r="H2135" s="3">
        <v>18</v>
      </c>
      <c r="I2135" s="3">
        <v>28</v>
      </c>
      <c r="J2135" s="3">
        <v>0</v>
      </c>
      <c r="K2135" s="3">
        <v>15</v>
      </c>
      <c r="L2135" s="3">
        <v>0</v>
      </c>
      <c r="M2135" s="3">
        <v>30</v>
      </c>
      <c r="N2135" s="3">
        <v>17</v>
      </c>
      <c r="O2135" s="3"/>
      <c r="P2135" s="3"/>
      <c r="Q2135" s="3"/>
    </row>
    <row r="2136" spans="1:17" ht="15" x14ac:dyDescent="0.25">
      <c r="A2136" s="3">
        <f>2129</f>
        <v>2129</v>
      </c>
      <c r="B2136" s="3" t="s">
        <v>2138</v>
      </c>
      <c r="C2136" s="3" t="s">
        <v>10</v>
      </c>
      <c r="D2136" s="3" t="s">
        <v>9</v>
      </c>
      <c r="E2136" s="3">
        <v>22</v>
      </c>
      <c r="F2136" s="3">
        <v>0</v>
      </c>
      <c r="G2136" s="3">
        <v>0</v>
      </c>
      <c r="H2136" s="3">
        <v>18</v>
      </c>
      <c r="I2136" s="3">
        <v>28</v>
      </c>
      <c r="J2136" s="3">
        <v>0</v>
      </c>
      <c r="K2136" s="3">
        <v>15</v>
      </c>
      <c r="L2136" s="3">
        <v>0</v>
      </c>
      <c r="M2136" s="3">
        <v>30</v>
      </c>
      <c r="N2136" s="3">
        <v>17</v>
      </c>
      <c r="O2136" s="3"/>
      <c r="P2136" s="3"/>
      <c r="Q2136" s="3"/>
    </row>
    <row r="2137" spans="1:17" ht="15" x14ac:dyDescent="0.25">
      <c r="A2137" s="3">
        <f>2130</f>
        <v>2130</v>
      </c>
      <c r="B2137" s="3" t="s">
        <v>2139</v>
      </c>
      <c r="C2137" s="3" t="s">
        <v>10</v>
      </c>
      <c r="D2137" s="3" t="s">
        <v>9</v>
      </c>
      <c r="E2137" s="3">
        <v>22</v>
      </c>
      <c r="F2137" s="3">
        <v>0</v>
      </c>
      <c r="G2137" s="3">
        <v>0</v>
      </c>
      <c r="H2137" s="3">
        <v>18</v>
      </c>
      <c r="I2137" s="3">
        <v>28</v>
      </c>
      <c r="J2137" s="3">
        <v>0</v>
      </c>
      <c r="K2137" s="3">
        <v>15</v>
      </c>
      <c r="L2137" s="3">
        <v>0</v>
      </c>
      <c r="M2137" s="3">
        <v>30</v>
      </c>
      <c r="N2137" s="3">
        <v>17</v>
      </c>
      <c r="O2137" s="3"/>
      <c r="P2137" s="3"/>
      <c r="Q2137" s="3"/>
    </row>
    <row r="2138" spans="1:17" ht="15" x14ac:dyDescent="0.25">
      <c r="A2138" s="3">
        <f>2131</f>
        <v>2131</v>
      </c>
      <c r="B2138" s="3" t="s">
        <v>2140</v>
      </c>
      <c r="C2138" s="3" t="s">
        <v>10</v>
      </c>
      <c r="D2138" s="3" t="s">
        <v>9</v>
      </c>
      <c r="E2138" s="3">
        <v>22</v>
      </c>
      <c r="F2138" s="3">
        <v>0</v>
      </c>
      <c r="G2138" s="3">
        <v>0</v>
      </c>
      <c r="H2138" s="3">
        <v>18</v>
      </c>
      <c r="I2138" s="3">
        <v>28</v>
      </c>
      <c r="J2138" s="3">
        <v>0</v>
      </c>
      <c r="K2138" s="3">
        <v>15</v>
      </c>
      <c r="L2138" s="3">
        <v>0</v>
      </c>
      <c r="M2138" s="3">
        <v>30</v>
      </c>
      <c r="N2138" s="3">
        <v>17</v>
      </c>
      <c r="O2138" s="3"/>
      <c r="P2138" s="3"/>
      <c r="Q2138" s="3"/>
    </row>
    <row r="2139" spans="1:17" ht="15" x14ac:dyDescent="0.25">
      <c r="A2139" s="3">
        <f>2132</f>
        <v>2132</v>
      </c>
      <c r="B2139" s="3" t="s">
        <v>2141</v>
      </c>
      <c r="C2139" s="3" t="s">
        <v>10</v>
      </c>
      <c r="D2139" s="3" t="s">
        <v>9</v>
      </c>
      <c r="E2139" s="3">
        <v>22</v>
      </c>
      <c r="F2139" s="3">
        <v>0</v>
      </c>
      <c r="G2139" s="3">
        <v>0</v>
      </c>
      <c r="H2139" s="3">
        <v>18</v>
      </c>
      <c r="I2139" s="3">
        <v>28</v>
      </c>
      <c r="J2139" s="3">
        <v>0</v>
      </c>
      <c r="K2139" s="3">
        <v>15</v>
      </c>
      <c r="L2139" s="3">
        <v>0</v>
      </c>
      <c r="M2139" s="3">
        <v>30</v>
      </c>
      <c r="N2139" s="3">
        <v>17</v>
      </c>
      <c r="O2139" s="3"/>
      <c r="P2139" s="3"/>
      <c r="Q2139" s="3"/>
    </row>
    <row r="2140" spans="1:17" ht="15" x14ac:dyDescent="0.25">
      <c r="A2140" s="3">
        <f>2133</f>
        <v>2133</v>
      </c>
      <c r="B2140" s="3" t="s">
        <v>2142</v>
      </c>
      <c r="C2140" s="3" t="s">
        <v>10</v>
      </c>
      <c r="D2140" s="3" t="s">
        <v>9</v>
      </c>
      <c r="E2140" s="3">
        <v>22</v>
      </c>
      <c r="F2140" s="3">
        <v>0</v>
      </c>
      <c r="G2140" s="3">
        <v>0</v>
      </c>
      <c r="H2140" s="3">
        <v>18</v>
      </c>
      <c r="I2140" s="3">
        <v>28</v>
      </c>
      <c r="J2140" s="3">
        <v>0</v>
      </c>
      <c r="K2140" s="3">
        <v>15</v>
      </c>
      <c r="L2140" s="3">
        <v>0</v>
      </c>
      <c r="M2140" s="3">
        <v>30</v>
      </c>
      <c r="N2140" s="3">
        <v>17</v>
      </c>
      <c r="O2140" s="3"/>
      <c r="P2140" s="3"/>
      <c r="Q2140" s="3"/>
    </row>
    <row r="2141" spans="1:17" ht="15" x14ac:dyDescent="0.25">
      <c r="A2141" s="3">
        <f>2134</f>
        <v>2134</v>
      </c>
      <c r="B2141" s="3" t="s">
        <v>2143</v>
      </c>
      <c r="C2141" s="3" t="s">
        <v>10</v>
      </c>
      <c r="D2141" s="3" t="s">
        <v>9</v>
      </c>
      <c r="E2141" s="3">
        <v>22</v>
      </c>
      <c r="F2141" s="3">
        <v>0</v>
      </c>
      <c r="G2141" s="3">
        <v>0</v>
      </c>
      <c r="H2141" s="3">
        <v>18</v>
      </c>
      <c r="I2141" s="3">
        <v>28</v>
      </c>
      <c r="J2141" s="3">
        <v>0</v>
      </c>
      <c r="K2141" s="3">
        <v>15</v>
      </c>
      <c r="L2141" s="3">
        <v>0</v>
      </c>
      <c r="M2141" s="3">
        <v>30</v>
      </c>
      <c r="N2141" s="3">
        <v>17</v>
      </c>
      <c r="O2141" s="3"/>
      <c r="P2141" s="3"/>
      <c r="Q2141" s="3"/>
    </row>
    <row r="2142" spans="1:17" ht="15" x14ac:dyDescent="0.25">
      <c r="A2142" s="3">
        <f>2135</f>
        <v>2135</v>
      </c>
      <c r="B2142" s="3" t="s">
        <v>2144</v>
      </c>
      <c r="C2142" s="3" t="s">
        <v>10</v>
      </c>
      <c r="D2142" s="3" t="s">
        <v>9</v>
      </c>
      <c r="E2142" s="3">
        <v>22</v>
      </c>
      <c r="F2142" s="3">
        <v>0</v>
      </c>
      <c r="G2142" s="3">
        <v>0</v>
      </c>
      <c r="H2142" s="3">
        <v>18</v>
      </c>
      <c r="I2142" s="3">
        <v>28</v>
      </c>
      <c r="J2142" s="3">
        <v>0</v>
      </c>
      <c r="K2142" s="3">
        <v>15</v>
      </c>
      <c r="L2142" s="3">
        <v>0</v>
      </c>
      <c r="M2142" s="3">
        <v>30</v>
      </c>
      <c r="N2142" s="3">
        <v>17</v>
      </c>
      <c r="O2142" s="3"/>
      <c r="P2142" s="3"/>
      <c r="Q2142" s="3"/>
    </row>
    <row r="2143" spans="1:17" ht="15" x14ac:dyDescent="0.25">
      <c r="A2143" s="3">
        <f>2136</f>
        <v>2136</v>
      </c>
      <c r="B2143" s="3" t="s">
        <v>2145</v>
      </c>
      <c r="C2143" s="3" t="s">
        <v>10</v>
      </c>
      <c r="D2143" s="3" t="s">
        <v>9</v>
      </c>
      <c r="E2143" s="3">
        <v>22</v>
      </c>
      <c r="F2143" s="3">
        <v>0</v>
      </c>
      <c r="G2143" s="3">
        <v>0</v>
      </c>
      <c r="H2143" s="3">
        <v>18</v>
      </c>
      <c r="I2143" s="3">
        <v>28</v>
      </c>
      <c r="J2143" s="3">
        <v>0</v>
      </c>
      <c r="K2143" s="3">
        <v>15</v>
      </c>
      <c r="L2143" s="3">
        <v>0</v>
      </c>
      <c r="M2143" s="3">
        <v>30</v>
      </c>
      <c r="N2143" s="3">
        <v>17</v>
      </c>
      <c r="O2143" s="3"/>
      <c r="P2143" s="3"/>
      <c r="Q2143" s="3"/>
    </row>
    <row r="2144" spans="1:17" ht="15" x14ac:dyDescent="0.25">
      <c r="A2144" s="3">
        <f>2137</f>
        <v>2137</v>
      </c>
      <c r="B2144" s="3" t="s">
        <v>2146</v>
      </c>
      <c r="C2144" s="3" t="s">
        <v>10</v>
      </c>
      <c r="D2144" s="3" t="s">
        <v>9</v>
      </c>
      <c r="E2144" s="3">
        <v>22</v>
      </c>
      <c r="F2144" s="3">
        <v>0</v>
      </c>
      <c r="G2144" s="3">
        <v>0</v>
      </c>
      <c r="H2144" s="3">
        <v>18</v>
      </c>
      <c r="I2144" s="3">
        <v>28</v>
      </c>
      <c r="J2144" s="3">
        <v>0</v>
      </c>
      <c r="K2144" s="3">
        <v>15</v>
      </c>
      <c r="L2144" s="3">
        <v>0</v>
      </c>
      <c r="M2144" s="3">
        <v>30</v>
      </c>
      <c r="N2144" s="3">
        <v>17</v>
      </c>
      <c r="O2144" s="3"/>
      <c r="P2144" s="3"/>
      <c r="Q2144" s="3"/>
    </row>
    <row r="2145" spans="1:17" ht="15" x14ac:dyDescent="0.25">
      <c r="A2145" s="3">
        <f>2138</f>
        <v>2138</v>
      </c>
      <c r="B2145" s="3" t="s">
        <v>2147</v>
      </c>
      <c r="C2145" s="3" t="s">
        <v>10</v>
      </c>
      <c r="D2145" s="3" t="s">
        <v>9</v>
      </c>
      <c r="E2145" s="3">
        <v>22</v>
      </c>
      <c r="F2145" s="3">
        <v>0</v>
      </c>
      <c r="G2145" s="3">
        <v>0</v>
      </c>
      <c r="H2145" s="3">
        <v>18</v>
      </c>
      <c r="I2145" s="3">
        <v>28</v>
      </c>
      <c r="J2145" s="3">
        <v>0</v>
      </c>
      <c r="K2145" s="3">
        <v>15</v>
      </c>
      <c r="L2145" s="3">
        <v>0</v>
      </c>
      <c r="M2145" s="3">
        <v>30</v>
      </c>
      <c r="N2145" s="3">
        <v>17</v>
      </c>
      <c r="O2145" s="3"/>
      <c r="P2145" s="3"/>
      <c r="Q2145" s="3"/>
    </row>
    <row r="2146" spans="1:17" ht="15" x14ac:dyDescent="0.25">
      <c r="A2146" s="3">
        <f>2139</f>
        <v>2139</v>
      </c>
      <c r="B2146" s="3" t="s">
        <v>2148</v>
      </c>
      <c r="C2146" s="3" t="s">
        <v>10</v>
      </c>
      <c r="D2146" s="3" t="s">
        <v>9</v>
      </c>
      <c r="E2146" s="3">
        <v>22</v>
      </c>
      <c r="F2146" s="3">
        <v>0</v>
      </c>
      <c r="G2146" s="3">
        <v>0</v>
      </c>
      <c r="H2146" s="3">
        <v>18</v>
      </c>
      <c r="I2146" s="3">
        <v>28</v>
      </c>
      <c r="J2146" s="3">
        <v>0</v>
      </c>
      <c r="K2146" s="3">
        <v>15</v>
      </c>
      <c r="L2146" s="3">
        <v>0</v>
      </c>
      <c r="M2146" s="3">
        <v>30</v>
      </c>
      <c r="N2146" s="3">
        <v>17</v>
      </c>
      <c r="O2146" s="3"/>
      <c r="P2146" s="3"/>
      <c r="Q2146" s="3"/>
    </row>
    <row r="2147" spans="1:17" ht="15" x14ac:dyDescent="0.25">
      <c r="A2147" s="3">
        <f>2140</f>
        <v>2140</v>
      </c>
      <c r="B2147" s="3" t="s">
        <v>2149</v>
      </c>
      <c r="C2147" s="3" t="s">
        <v>10</v>
      </c>
      <c r="D2147" s="3" t="s">
        <v>9</v>
      </c>
      <c r="E2147" s="3">
        <v>22</v>
      </c>
      <c r="F2147" s="3">
        <v>0</v>
      </c>
      <c r="G2147" s="3">
        <v>0</v>
      </c>
      <c r="H2147" s="3">
        <v>18</v>
      </c>
      <c r="I2147" s="3">
        <v>28</v>
      </c>
      <c r="J2147" s="3">
        <v>0</v>
      </c>
      <c r="K2147" s="3">
        <v>15</v>
      </c>
      <c r="L2147" s="3">
        <v>0</v>
      </c>
      <c r="M2147" s="3">
        <v>30</v>
      </c>
      <c r="N2147" s="3">
        <v>17</v>
      </c>
      <c r="O2147" s="3"/>
      <c r="P2147" s="3"/>
      <c r="Q2147" s="3"/>
    </row>
    <row r="2148" spans="1:17" ht="15" x14ac:dyDescent="0.25">
      <c r="A2148" s="3">
        <f>2141</f>
        <v>2141</v>
      </c>
      <c r="B2148" s="3" t="s">
        <v>2150</v>
      </c>
      <c r="C2148" s="3" t="s">
        <v>10</v>
      </c>
      <c r="D2148" s="3" t="s">
        <v>9</v>
      </c>
      <c r="E2148" s="3">
        <v>22</v>
      </c>
      <c r="F2148" s="3">
        <v>0</v>
      </c>
      <c r="G2148" s="3">
        <v>0</v>
      </c>
      <c r="H2148" s="3">
        <v>18</v>
      </c>
      <c r="I2148" s="3">
        <v>28</v>
      </c>
      <c r="J2148" s="3">
        <v>0</v>
      </c>
      <c r="K2148" s="3">
        <v>15</v>
      </c>
      <c r="L2148" s="3">
        <v>0</v>
      </c>
      <c r="M2148" s="3">
        <v>30</v>
      </c>
      <c r="N2148" s="3">
        <v>17</v>
      </c>
      <c r="O2148" s="3"/>
      <c r="P2148" s="3"/>
      <c r="Q2148" s="3"/>
    </row>
    <row r="2149" spans="1:17" ht="15" x14ac:dyDescent="0.25">
      <c r="A2149" s="3">
        <f>2142</f>
        <v>2142</v>
      </c>
      <c r="B2149" s="3" t="s">
        <v>2151</v>
      </c>
      <c r="C2149" s="3" t="s">
        <v>10</v>
      </c>
      <c r="D2149" s="3" t="s">
        <v>9</v>
      </c>
      <c r="E2149" s="3">
        <v>22</v>
      </c>
      <c r="F2149" s="3">
        <v>0</v>
      </c>
      <c r="G2149" s="3">
        <v>0</v>
      </c>
      <c r="H2149" s="3">
        <v>18</v>
      </c>
      <c r="I2149" s="3">
        <v>28</v>
      </c>
      <c r="J2149" s="3">
        <v>0</v>
      </c>
      <c r="K2149" s="3">
        <v>15</v>
      </c>
      <c r="L2149" s="3">
        <v>0</v>
      </c>
      <c r="M2149" s="3">
        <v>30</v>
      </c>
      <c r="N2149" s="3">
        <v>17</v>
      </c>
      <c r="O2149" s="3"/>
      <c r="P2149" s="3"/>
      <c r="Q2149" s="3"/>
    </row>
    <row r="2150" spans="1:17" ht="15" x14ac:dyDescent="0.25">
      <c r="A2150" s="3">
        <f>2143</f>
        <v>2143</v>
      </c>
      <c r="B2150" s="3" t="s">
        <v>2152</v>
      </c>
      <c r="C2150" s="3" t="s">
        <v>10</v>
      </c>
      <c r="D2150" s="3" t="s">
        <v>9</v>
      </c>
      <c r="E2150" s="3">
        <v>22</v>
      </c>
      <c r="F2150" s="3">
        <v>0</v>
      </c>
      <c r="G2150" s="3">
        <v>0</v>
      </c>
      <c r="H2150" s="3">
        <v>18</v>
      </c>
      <c r="I2150" s="3">
        <v>28</v>
      </c>
      <c r="J2150" s="3">
        <v>0</v>
      </c>
      <c r="K2150" s="3">
        <v>15</v>
      </c>
      <c r="L2150" s="3">
        <v>0</v>
      </c>
      <c r="M2150" s="3">
        <v>30</v>
      </c>
      <c r="N2150" s="3">
        <v>17</v>
      </c>
      <c r="O2150" s="3"/>
      <c r="P2150" s="3"/>
      <c r="Q2150" s="3"/>
    </row>
    <row r="2151" spans="1:17" ht="15" x14ac:dyDescent="0.25">
      <c r="A2151" s="3">
        <f>2144</f>
        <v>2144</v>
      </c>
      <c r="B2151" s="3" t="s">
        <v>2153</v>
      </c>
      <c r="C2151" s="3" t="s">
        <v>10</v>
      </c>
      <c r="D2151" s="3" t="s">
        <v>9</v>
      </c>
      <c r="E2151" s="3">
        <v>22</v>
      </c>
      <c r="F2151" s="3">
        <v>0</v>
      </c>
      <c r="G2151" s="3">
        <v>0</v>
      </c>
      <c r="H2151" s="3">
        <v>18</v>
      </c>
      <c r="I2151" s="3">
        <v>28</v>
      </c>
      <c r="J2151" s="3">
        <v>0</v>
      </c>
      <c r="K2151" s="3">
        <v>15</v>
      </c>
      <c r="L2151" s="3">
        <v>0</v>
      </c>
      <c r="M2151" s="3">
        <v>30</v>
      </c>
      <c r="N2151" s="3">
        <v>17</v>
      </c>
      <c r="O2151" s="3"/>
      <c r="P2151" s="3"/>
      <c r="Q2151" s="3"/>
    </row>
    <row r="2152" spans="1:17" ht="15" x14ac:dyDescent="0.25">
      <c r="A2152" s="3">
        <f>2145</f>
        <v>2145</v>
      </c>
      <c r="B2152" s="3" t="s">
        <v>2154</v>
      </c>
      <c r="C2152" s="3" t="s">
        <v>10</v>
      </c>
      <c r="D2152" s="3" t="s">
        <v>9</v>
      </c>
      <c r="E2152" s="3">
        <v>22</v>
      </c>
      <c r="F2152" s="3">
        <v>0</v>
      </c>
      <c r="G2152" s="3">
        <v>0</v>
      </c>
      <c r="H2152" s="3">
        <v>18</v>
      </c>
      <c r="I2152" s="3">
        <v>28</v>
      </c>
      <c r="J2152" s="3">
        <v>0</v>
      </c>
      <c r="K2152" s="3">
        <v>15</v>
      </c>
      <c r="L2152" s="3">
        <v>0</v>
      </c>
      <c r="M2152" s="3">
        <v>30</v>
      </c>
      <c r="N2152" s="3">
        <v>17</v>
      </c>
      <c r="O2152" s="3"/>
      <c r="P2152" s="3"/>
      <c r="Q2152" s="3"/>
    </row>
    <row r="2153" spans="1:17" ht="15" x14ac:dyDescent="0.25">
      <c r="A2153" s="3">
        <f>2146</f>
        <v>2146</v>
      </c>
      <c r="B2153" s="3" t="s">
        <v>2155</v>
      </c>
      <c r="C2153" s="3" t="s">
        <v>10</v>
      </c>
      <c r="D2153" s="3" t="s">
        <v>9</v>
      </c>
      <c r="E2153" s="3">
        <v>22</v>
      </c>
      <c r="F2153" s="3">
        <v>0</v>
      </c>
      <c r="G2153" s="3">
        <v>0</v>
      </c>
      <c r="H2153" s="3">
        <v>18</v>
      </c>
      <c r="I2153" s="3">
        <v>28</v>
      </c>
      <c r="J2153" s="3">
        <v>0</v>
      </c>
      <c r="K2153" s="3">
        <v>15</v>
      </c>
      <c r="L2153" s="3">
        <v>0</v>
      </c>
      <c r="M2153" s="3">
        <v>30</v>
      </c>
      <c r="N2153" s="3">
        <v>17</v>
      </c>
      <c r="O2153" s="3"/>
      <c r="P2153" s="3"/>
      <c r="Q2153" s="3"/>
    </row>
    <row r="2154" spans="1:17" ht="15" x14ac:dyDescent="0.25">
      <c r="A2154" s="3">
        <f>2147</f>
        <v>2147</v>
      </c>
      <c r="B2154" s="3" t="s">
        <v>2156</v>
      </c>
      <c r="C2154" s="3" t="s">
        <v>10</v>
      </c>
      <c r="D2154" s="3" t="s">
        <v>9</v>
      </c>
      <c r="E2154" s="3">
        <v>22</v>
      </c>
      <c r="F2154" s="3">
        <v>0</v>
      </c>
      <c r="G2154" s="3">
        <v>0</v>
      </c>
      <c r="H2154" s="3">
        <v>18</v>
      </c>
      <c r="I2154" s="3">
        <v>28</v>
      </c>
      <c r="J2154" s="3">
        <v>0</v>
      </c>
      <c r="K2154" s="3">
        <v>15</v>
      </c>
      <c r="L2154" s="3">
        <v>0</v>
      </c>
      <c r="M2154" s="3">
        <v>30</v>
      </c>
      <c r="N2154" s="3">
        <v>17</v>
      </c>
      <c r="O2154" s="3"/>
      <c r="P2154" s="3"/>
      <c r="Q2154" s="3"/>
    </row>
    <row r="2155" spans="1:17" ht="15" x14ac:dyDescent="0.25">
      <c r="A2155" s="3">
        <f>2148</f>
        <v>2148</v>
      </c>
      <c r="B2155" s="3" t="s">
        <v>2157</v>
      </c>
      <c r="C2155" s="3" t="s">
        <v>10</v>
      </c>
      <c r="D2155" s="3" t="s">
        <v>9</v>
      </c>
      <c r="E2155" s="3">
        <v>22</v>
      </c>
      <c r="F2155" s="3">
        <v>0</v>
      </c>
      <c r="G2155" s="3">
        <v>0</v>
      </c>
      <c r="H2155" s="3">
        <v>18</v>
      </c>
      <c r="I2155" s="3">
        <v>28</v>
      </c>
      <c r="J2155" s="3">
        <v>0</v>
      </c>
      <c r="K2155" s="3">
        <v>15</v>
      </c>
      <c r="L2155" s="3">
        <v>0</v>
      </c>
      <c r="M2155" s="3">
        <v>30</v>
      </c>
      <c r="N2155" s="3">
        <v>17</v>
      </c>
      <c r="O2155" s="3"/>
      <c r="P2155" s="3"/>
      <c r="Q2155" s="3"/>
    </row>
    <row r="2156" spans="1:17" ht="15" x14ac:dyDescent="0.25">
      <c r="A2156" s="3">
        <f>2149</f>
        <v>2149</v>
      </c>
      <c r="B2156" s="3" t="s">
        <v>2158</v>
      </c>
      <c r="C2156" s="3" t="s">
        <v>10</v>
      </c>
      <c r="D2156" s="3" t="s">
        <v>9</v>
      </c>
      <c r="E2156" s="3">
        <v>22</v>
      </c>
      <c r="F2156" s="3">
        <v>0</v>
      </c>
      <c r="G2156" s="3">
        <v>0</v>
      </c>
      <c r="H2156" s="3">
        <v>18</v>
      </c>
      <c r="I2156" s="3">
        <v>28</v>
      </c>
      <c r="J2156" s="3">
        <v>0</v>
      </c>
      <c r="K2156" s="3">
        <v>15</v>
      </c>
      <c r="L2156" s="3">
        <v>0</v>
      </c>
      <c r="M2156" s="3">
        <v>30</v>
      </c>
      <c r="N2156" s="3">
        <v>17</v>
      </c>
      <c r="O2156" s="3"/>
      <c r="P2156" s="3"/>
      <c r="Q2156" s="3"/>
    </row>
    <row r="2157" spans="1:17" ht="15" x14ac:dyDescent="0.25">
      <c r="A2157" s="3">
        <f>2150</f>
        <v>2150</v>
      </c>
      <c r="B2157" s="3" t="s">
        <v>2159</v>
      </c>
      <c r="C2157" s="3" t="s">
        <v>10</v>
      </c>
      <c r="D2157" s="3" t="s">
        <v>9</v>
      </c>
      <c r="E2157" s="3">
        <v>22</v>
      </c>
      <c r="F2157" s="3">
        <v>0</v>
      </c>
      <c r="G2157" s="3">
        <v>0</v>
      </c>
      <c r="H2157" s="3">
        <v>18</v>
      </c>
      <c r="I2157" s="3">
        <v>28</v>
      </c>
      <c r="J2157" s="3">
        <v>0</v>
      </c>
      <c r="K2157" s="3">
        <v>15</v>
      </c>
      <c r="L2157" s="3">
        <v>0</v>
      </c>
      <c r="M2157" s="3">
        <v>30</v>
      </c>
      <c r="N2157" s="3">
        <v>17</v>
      </c>
      <c r="O2157" s="3"/>
      <c r="P2157" s="3"/>
      <c r="Q2157" s="3"/>
    </row>
    <row r="2158" spans="1:17" ht="15" x14ac:dyDescent="0.25">
      <c r="A2158" s="3">
        <f>2151</f>
        <v>2151</v>
      </c>
      <c r="B2158" s="3" t="s">
        <v>2160</v>
      </c>
      <c r="C2158" s="3" t="s">
        <v>10</v>
      </c>
      <c r="D2158" s="3" t="s">
        <v>9</v>
      </c>
      <c r="E2158" s="3">
        <v>22</v>
      </c>
      <c r="F2158" s="3">
        <v>0</v>
      </c>
      <c r="G2158" s="3">
        <v>0</v>
      </c>
      <c r="H2158" s="3">
        <v>18</v>
      </c>
      <c r="I2158" s="3">
        <v>28</v>
      </c>
      <c r="J2158" s="3">
        <v>0</v>
      </c>
      <c r="K2158" s="3">
        <v>15</v>
      </c>
      <c r="L2158" s="3">
        <v>0</v>
      </c>
      <c r="M2158" s="3">
        <v>30</v>
      </c>
      <c r="N2158" s="3">
        <v>17</v>
      </c>
      <c r="O2158" s="3"/>
      <c r="P2158" s="3"/>
      <c r="Q2158" s="3"/>
    </row>
    <row r="2159" spans="1:17" ht="15" x14ac:dyDescent="0.25">
      <c r="A2159" s="3">
        <f>2152</f>
        <v>2152</v>
      </c>
      <c r="B2159" s="3" t="s">
        <v>2161</v>
      </c>
      <c r="C2159" s="3" t="s">
        <v>10</v>
      </c>
      <c r="D2159" s="3" t="s">
        <v>9</v>
      </c>
      <c r="E2159" s="3">
        <v>22</v>
      </c>
      <c r="F2159" s="3">
        <v>0</v>
      </c>
      <c r="G2159" s="3">
        <v>0</v>
      </c>
      <c r="H2159" s="3">
        <v>18</v>
      </c>
      <c r="I2159" s="3">
        <v>28</v>
      </c>
      <c r="J2159" s="3">
        <v>0</v>
      </c>
      <c r="K2159" s="3">
        <v>15</v>
      </c>
      <c r="L2159" s="3">
        <v>0</v>
      </c>
      <c r="M2159" s="3">
        <v>30</v>
      </c>
      <c r="N2159" s="3">
        <v>17</v>
      </c>
      <c r="O2159" s="3"/>
      <c r="P2159" s="3"/>
      <c r="Q2159" s="3"/>
    </row>
    <row r="2160" spans="1:17" ht="15" x14ac:dyDescent="0.25">
      <c r="A2160" s="3">
        <f>2153</f>
        <v>2153</v>
      </c>
      <c r="B2160" s="3" t="s">
        <v>2162</v>
      </c>
      <c r="C2160" s="3" t="s">
        <v>10</v>
      </c>
      <c r="D2160" s="3" t="s">
        <v>9</v>
      </c>
      <c r="E2160" s="3">
        <v>22</v>
      </c>
      <c r="F2160" s="3">
        <v>0</v>
      </c>
      <c r="G2160" s="3">
        <v>0</v>
      </c>
      <c r="H2160" s="3">
        <v>18</v>
      </c>
      <c r="I2160" s="3">
        <v>28</v>
      </c>
      <c r="J2160" s="3">
        <v>0</v>
      </c>
      <c r="K2160" s="3">
        <v>15</v>
      </c>
      <c r="L2160" s="3">
        <v>0</v>
      </c>
      <c r="M2160" s="3">
        <v>30</v>
      </c>
      <c r="N2160" s="3">
        <v>17</v>
      </c>
      <c r="O2160" s="3"/>
      <c r="P2160" s="3"/>
      <c r="Q2160" s="3"/>
    </row>
    <row r="2161" spans="1:17" ht="15" x14ac:dyDescent="0.25">
      <c r="A2161" s="3">
        <f>2154</f>
        <v>2154</v>
      </c>
      <c r="B2161" s="3" t="s">
        <v>2163</v>
      </c>
      <c r="C2161" s="3" t="s">
        <v>10</v>
      </c>
      <c r="D2161" s="3" t="s">
        <v>9</v>
      </c>
      <c r="E2161" s="3">
        <v>22</v>
      </c>
      <c r="F2161" s="3">
        <v>0</v>
      </c>
      <c r="G2161" s="3">
        <v>0</v>
      </c>
      <c r="H2161" s="3">
        <v>18</v>
      </c>
      <c r="I2161" s="3">
        <v>28</v>
      </c>
      <c r="J2161" s="3">
        <v>0</v>
      </c>
      <c r="K2161" s="3">
        <v>15</v>
      </c>
      <c r="L2161" s="3">
        <v>0</v>
      </c>
      <c r="M2161" s="3">
        <v>30</v>
      </c>
      <c r="N2161" s="3">
        <v>17</v>
      </c>
      <c r="O2161" s="3"/>
      <c r="P2161" s="3"/>
      <c r="Q2161" s="3"/>
    </row>
    <row r="2162" spans="1:17" ht="15" x14ac:dyDescent="0.25">
      <c r="A2162" s="3">
        <f>2155</f>
        <v>2155</v>
      </c>
      <c r="B2162" s="3" t="s">
        <v>2164</v>
      </c>
      <c r="C2162" s="3" t="s">
        <v>10</v>
      </c>
      <c r="D2162" s="3" t="s">
        <v>9</v>
      </c>
      <c r="E2162" s="3">
        <v>22</v>
      </c>
      <c r="F2162" s="3">
        <v>0</v>
      </c>
      <c r="G2162" s="3">
        <v>0</v>
      </c>
      <c r="H2162" s="3">
        <v>18</v>
      </c>
      <c r="I2162" s="3">
        <v>28</v>
      </c>
      <c r="J2162" s="3">
        <v>0</v>
      </c>
      <c r="K2162" s="3">
        <v>15</v>
      </c>
      <c r="L2162" s="3">
        <v>0</v>
      </c>
      <c r="M2162" s="3">
        <v>30</v>
      </c>
      <c r="N2162" s="3">
        <v>17</v>
      </c>
      <c r="O2162" s="3"/>
      <c r="P2162" s="3"/>
      <c r="Q2162" s="3"/>
    </row>
    <row r="2163" spans="1:17" ht="15" x14ac:dyDescent="0.25">
      <c r="A2163" s="3">
        <f>2156</f>
        <v>2156</v>
      </c>
      <c r="B2163" s="3" t="s">
        <v>2165</v>
      </c>
      <c r="C2163" s="3" t="s">
        <v>10</v>
      </c>
      <c r="D2163" s="3" t="s">
        <v>9</v>
      </c>
      <c r="E2163" s="3">
        <v>22</v>
      </c>
      <c r="F2163" s="3">
        <v>0</v>
      </c>
      <c r="G2163" s="3">
        <v>0</v>
      </c>
      <c r="H2163" s="3">
        <v>18</v>
      </c>
      <c r="I2163" s="3">
        <v>28</v>
      </c>
      <c r="J2163" s="3">
        <v>0</v>
      </c>
      <c r="K2163" s="3">
        <v>15</v>
      </c>
      <c r="L2163" s="3">
        <v>0</v>
      </c>
      <c r="M2163" s="3">
        <v>30</v>
      </c>
      <c r="N2163" s="3">
        <v>17</v>
      </c>
      <c r="O2163" s="3"/>
      <c r="P2163" s="3"/>
      <c r="Q2163" s="3"/>
    </row>
    <row r="2164" spans="1:17" ht="15" x14ac:dyDescent="0.25">
      <c r="A2164" s="3">
        <f>2157</f>
        <v>2157</v>
      </c>
      <c r="B2164" s="3" t="s">
        <v>2166</v>
      </c>
      <c r="C2164" s="3" t="s">
        <v>10</v>
      </c>
      <c r="D2164" s="3" t="s">
        <v>9</v>
      </c>
      <c r="E2164" s="3">
        <v>22</v>
      </c>
      <c r="F2164" s="3">
        <v>0</v>
      </c>
      <c r="G2164" s="3">
        <v>0</v>
      </c>
      <c r="H2164" s="3">
        <v>18</v>
      </c>
      <c r="I2164" s="3">
        <v>28</v>
      </c>
      <c r="J2164" s="3">
        <v>0</v>
      </c>
      <c r="K2164" s="3">
        <v>15</v>
      </c>
      <c r="L2164" s="3">
        <v>0</v>
      </c>
      <c r="M2164" s="3">
        <v>30</v>
      </c>
      <c r="N2164" s="3">
        <v>17</v>
      </c>
      <c r="O2164" s="3"/>
      <c r="P2164" s="3"/>
      <c r="Q2164" s="3"/>
    </row>
    <row r="2165" spans="1:17" ht="15" x14ac:dyDescent="0.25">
      <c r="A2165" s="3">
        <f>2158</f>
        <v>2158</v>
      </c>
      <c r="B2165" s="3" t="s">
        <v>2167</v>
      </c>
      <c r="C2165" s="3" t="s">
        <v>10</v>
      </c>
      <c r="D2165" s="3" t="s">
        <v>9</v>
      </c>
      <c r="E2165" s="3">
        <v>22</v>
      </c>
      <c r="F2165" s="3">
        <v>0</v>
      </c>
      <c r="G2165" s="3">
        <v>0</v>
      </c>
      <c r="H2165" s="3">
        <v>18</v>
      </c>
      <c r="I2165" s="3">
        <v>28</v>
      </c>
      <c r="J2165" s="3">
        <v>0</v>
      </c>
      <c r="K2165" s="3">
        <v>15</v>
      </c>
      <c r="L2165" s="3">
        <v>0</v>
      </c>
      <c r="M2165" s="3">
        <v>30</v>
      </c>
      <c r="N2165" s="3">
        <v>17</v>
      </c>
      <c r="O2165" s="3"/>
      <c r="P2165" s="3"/>
      <c r="Q2165" s="3"/>
    </row>
    <row r="2166" spans="1:17" ht="15" x14ac:dyDescent="0.25">
      <c r="A2166" s="3">
        <f>2159</f>
        <v>2159</v>
      </c>
      <c r="B2166" s="3" t="s">
        <v>2168</v>
      </c>
      <c r="C2166" s="3" t="s">
        <v>10</v>
      </c>
      <c r="D2166" s="3" t="s">
        <v>9</v>
      </c>
      <c r="E2166" s="3">
        <v>22</v>
      </c>
      <c r="F2166" s="3">
        <v>0</v>
      </c>
      <c r="G2166" s="3">
        <v>0</v>
      </c>
      <c r="H2166" s="3">
        <v>18</v>
      </c>
      <c r="I2166" s="3">
        <v>28</v>
      </c>
      <c r="J2166" s="3">
        <v>0</v>
      </c>
      <c r="K2166" s="3">
        <v>15</v>
      </c>
      <c r="L2166" s="3">
        <v>0</v>
      </c>
      <c r="M2166" s="3">
        <v>30</v>
      </c>
      <c r="N2166" s="3">
        <v>17</v>
      </c>
      <c r="O2166" s="3"/>
      <c r="P2166" s="3"/>
      <c r="Q2166" s="3"/>
    </row>
    <row r="2167" spans="1:17" ht="15" x14ac:dyDescent="0.25">
      <c r="A2167" s="3">
        <f>2160</f>
        <v>2160</v>
      </c>
      <c r="B2167" s="3" t="s">
        <v>2169</v>
      </c>
      <c r="C2167" s="3" t="s">
        <v>10</v>
      </c>
      <c r="D2167" s="3" t="s">
        <v>9</v>
      </c>
      <c r="E2167" s="3">
        <v>22</v>
      </c>
      <c r="F2167" s="3">
        <v>0</v>
      </c>
      <c r="G2167" s="3">
        <v>0</v>
      </c>
      <c r="H2167" s="3">
        <v>18</v>
      </c>
      <c r="I2167" s="3">
        <v>28</v>
      </c>
      <c r="J2167" s="3">
        <v>0</v>
      </c>
      <c r="K2167" s="3">
        <v>15</v>
      </c>
      <c r="L2167" s="3">
        <v>0</v>
      </c>
      <c r="M2167" s="3">
        <v>30</v>
      </c>
      <c r="N2167" s="3">
        <v>17</v>
      </c>
      <c r="O2167" s="3"/>
      <c r="P2167" s="3"/>
      <c r="Q2167" s="3"/>
    </row>
    <row r="2168" spans="1:17" ht="15" x14ac:dyDescent="0.25">
      <c r="A2168" s="3">
        <f>2161</f>
        <v>2161</v>
      </c>
      <c r="B2168" s="3" t="s">
        <v>2170</v>
      </c>
      <c r="C2168" s="3" t="s">
        <v>10</v>
      </c>
      <c r="D2168" s="3" t="s">
        <v>9</v>
      </c>
      <c r="E2168" s="3">
        <v>22</v>
      </c>
      <c r="F2168" s="3">
        <v>0</v>
      </c>
      <c r="G2168" s="3">
        <v>0</v>
      </c>
      <c r="H2168" s="3">
        <v>18</v>
      </c>
      <c r="I2168" s="3">
        <v>28</v>
      </c>
      <c r="J2168" s="3">
        <v>0</v>
      </c>
      <c r="K2168" s="3">
        <v>15</v>
      </c>
      <c r="L2168" s="3">
        <v>0</v>
      </c>
      <c r="M2168" s="3">
        <v>30</v>
      </c>
      <c r="N2168" s="3">
        <v>17</v>
      </c>
      <c r="O2168" s="3"/>
      <c r="P2168" s="3"/>
      <c r="Q2168" s="3"/>
    </row>
    <row r="2169" spans="1:17" ht="15" x14ac:dyDescent="0.25">
      <c r="A2169" s="3">
        <f>2162</f>
        <v>2162</v>
      </c>
      <c r="B2169" s="3" t="s">
        <v>2171</v>
      </c>
      <c r="C2169" s="3" t="s">
        <v>10</v>
      </c>
      <c r="D2169" s="3" t="s">
        <v>9</v>
      </c>
      <c r="E2169" s="3">
        <v>22</v>
      </c>
      <c r="F2169" s="3">
        <v>0</v>
      </c>
      <c r="G2169" s="3">
        <v>0</v>
      </c>
      <c r="H2169" s="3">
        <v>18</v>
      </c>
      <c r="I2169" s="3">
        <v>28</v>
      </c>
      <c r="J2169" s="3">
        <v>0</v>
      </c>
      <c r="K2169" s="3">
        <v>15</v>
      </c>
      <c r="L2169" s="3">
        <v>0</v>
      </c>
      <c r="M2169" s="3">
        <v>30</v>
      </c>
      <c r="N2169" s="3">
        <v>17</v>
      </c>
      <c r="O2169" s="3"/>
      <c r="P2169" s="3"/>
      <c r="Q2169" s="3"/>
    </row>
    <row r="2170" spans="1:17" ht="15" x14ac:dyDescent="0.25">
      <c r="A2170" s="3">
        <f>2163</f>
        <v>2163</v>
      </c>
      <c r="B2170" s="3" t="s">
        <v>2172</v>
      </c>
      <c r="C2170" s="3" t="s">
        <v>10</v>
      </c>
      <c r="D2170" s="3" t="s">
        <v>9</v>
      </c>
      <c r="E2170" s="3">
        <v>22</v>
      </c>
      <c r="F2170" s="3">
        <v>0</v>
      </c>
      <c r="G2170" s="3">
        <v>0</v>
      </c>
      <c r="H2170" s="3">
        <v>18</v>
      </c>
      <c r="I2170" s="3">
        <v>28</v>
      </c>
      <c r="J2170" s="3">
        <v>0</v>
      </c>
      <c r="K2170" s="3">
        <v>15</v>
      </c>
      <c r="L2170" s="3">
        <v>0</v>
      </c>
      <c r="M2170" s="3">
        <v>30</v>
      </c>
      <c r="N2170" s="3">
        <v>17</v>
      </c>
      <c r="O2170" s="3"/>
      <c r="P2170" s="3"/>
      <c r="Q2170" s="3"/>
    </row>
    <row r="2171" spans="1:17" ht="15" x14ac:dyDescent="0.25">
      <c r="A2171" s="3">
        <f>2164</f>
        <v>2164</v>
      </c>
      <c r="B2171" s="3" t="s">
        <v>2173</v>
      </c>
      <c r="C2171" s="3" t="s">
        <v>10</v>
      </c>
      <c r="D2171" s="3" t="s">
        <v>9</v>
      </c>
      <c r="E2171" s="3">
        <v>22</v>
      </c>
      <c r="F2171" s="3">
        <v>0</v>
      </c>
      <c r="G2171" s="3">
        <v>0</v>
      </c>
      <c r="H2171" s="3">
        <v>18</v>
      </c>
      <c r="I2171" s="3">
        <v>28</v>
      </c>
      <c r="J2171" s="3">
        <v>0</v>
      </c>
      <c r="K2171" s="3">
        <v>15</v>
      </c>
      <c r="L2171" s="3">
        <v>0</v>
      </c>
      <c r="M2171" s="3">
        <v>30</v>
      </c>
      <c r="N2171" s="3">
        <v>17</v>
      </c>
      <c r="O2171" s="3"/>
      <c r="P2171" s="3"/>
      <c r="Q2171" s="3"/>
    </row>
    <row r="2172" spans="1:17" ht="15" x14ac:dyDescent="0.25">
      <c r="A2172" s="3">
        <f>2165</f>
        <v>2165</v>
      </c>
      <c r="B2172" s="3" t="s">
        <v>2174</v>
      </c>
      <c r="C2172" s="3" t="s">
        <v>10</v>
      </c>
      <c r="D2172" s="3" t="s">
        <v>9</v>
      </c>
      <c r="E2172" s="3">
        <v>22</v>
      </c>
      <c r="F2172" s="3">
        <v>0</v>
      </c>
      <c r="G2172" s="3">
        <v>0</v>
      </c>
      <c r="H2172" s="3">
        <v>18</v>
      </c>
      <c r="I2172" s="3">
        <v>28</v>
      </c>
      <c r="J2172" s="3">
        <v>0</v>
      </c>
      <c r="K2172" s="3">
        <v>15</v>
      </c>
      <c r="L2172" s="3">
        <v>0</v>
      </c>
      <c r="M2172" s="3">
        <v>30</v>
      </c>
      <c r="N2172" s="3">
        <v>17</v>
      </c>
      <c r="O2172" s="3"/>
      <c r="P2172" s="3"/>
      <c r="Q2172" s="3"/>
    </row>
    <row r="2173" spans="1:17" ht="15" x14ac:dyDescent="0.25">
      <c r="A2173" s="3">
        <f>2166</f>
        <v>2166</v>
      </c>
      <c r="B2173" s="3" t="s">
        <v>2175</v>
      </c>
      <c r="C2173" s="3" t="s">
        <v>10</v>
      </c>
      <c r="D2173" s="3" t="s">
        <v>9</v>
      </c>
      <c r="E2173" s="3">
        <v>22</v>
      </c>
      <c r="F2173" s="3">
        <v>0</v>
      </c>
      <c r="G2173" s="3">
        <v>0</v>
      </c>
      <c r="H2173" s="3">
        <v>18</v>
      </c>
      <c r="I2173" s="3">
        <v>28</v>
      </c>
      <c r="J2173" s="3">
        <v>0</v>
      </c>
      <c r="K2173" s="3">
        <v>15</v>
      </c>
      <c r="L2173" s="3">
        <v>0</v>
      </c>
      <c r="M2173" s="3">
        <v>30</v>
      </c>
      <c r="N2173" s="3">
        <v>17</v>
      </c>
      <c r="O2173" s="3"/>
      <c r="P2173" s="3"/>
      <c r="Q2173" s="3"/>
    </row>
    <row r="2174" spans="1:17" ht="15" x14ac:dyDescent="0.25">
      <c r="A2174" s="3">
        <f>2167</f>
        <v>2167</v>
      </c>
      <c r="B2174" s="3" t="s">
        <v>2176</v>
      </c>
      <c r="C2174" s="3" t="s">
        <v>10</v>
      </c>
      <c r="D2174" s="3" t="s">
        <v>9</v>
      </c>
      <c r="E2174" s="3">
        <v>22</v>
      </c>
      <c r="F2174" s="3">
        <v>0</v>
      </c>
      <c r="G2174" s="3">
        <v>0</v>
      </c>
      <c r="H2174" s="3">
        <v>18</v>
      </c>
      <c r="I2174" s="3">
        <v>28</v>
      </c>
      <c r="J2174" s="3">
        <v>0</v>
      </c>
      <c r="K2174" s="3">
        <v>15</v>
      </c>
      <c r="L2174" s="3">
        <v>0</v>
      </c>
      <c r="M2174" s="3">
        <v>30</v>
      </c>
      <c r="N2174" s="3">
        <v>17</v>
      </c>
      <c r="O2174" s="3"/>
      <c r="P2174" s="3"/>
      <c r="Q2174" s="3"/>
    </row>
    <row r="2175" spans="1:17" ht="15" x14ac:dyDescent="0.25">
      <c r="A2175" s="3">
        <f>2168</f>
        <v>2168</v>
      </c>
      <c r="B2175" s="3" t="s">
        <v>2177</v>
      </c>
      <c r="C2175" s="3" t="s">
        <v>10</v>
      </c>
      <c r="D2175" s="3" t="s">
        <v>9</v>
      </c>
      <c r="E2175" s="3">
        <v>22</v>
      </c>
      <c r="F2175" s="3">
        <v>0</v>
      </c>
      <c r="G2175" s="3">
        <v>0</v>
      </c>
      <c r="H2175" s="3">
        <v>18</v>
      </c>
      <c r="I2175" s="3">
        <v>28</v>
      </c>
      <c r="J2175" s="3">
        <v>0</v>
      </c>
      <c r="K2175" s="3">
        <v>15</v>
      </c>
      <c r="L2175" s="3">
        <v>0</v>
      </c>
      <c r="M2175" s="3">
        <v>30</v>
      </c>
      <c r="N2175" s="3">
        <v>17</v>
      </c>
      <c r="O2175" s="3"/>
      <c r="P2175" s="3"/>
      <c r="Q2175" s="3"/>
    </row>
    <row r="2176" spans="1:17" ht="15" x14ac:dyDescent="0.25">
      <c r="A2176" s="3">
        <f>2169</f>
        <v>2169</v>
      </c>
      <c r="B2176" s="3" t="s">
        <v>2178</v>
      </c>
      <c r="C2176" s="3" t="s">
        <v>10</v>
      </c>
      <c r="D2176" s="3" t="s">
        <v>9</v>
      </c>
      <c r="E2176" s="3">
        <v>22</v>
      </c>
      <c r="F2176" s="3">
        <v>0</v>
      </c>
      <c r="G2176" s="3">
        <v>0</v>
      </c>
      <c r="H2176" s="3">
        <v>18</v>
      </c>
      <c r="I2176" s="3">
        <v>28</v>
      </c>
      <c r="J2176" s="3">
        <v>0</v>
      </c>
      <c r="K2176" s="3">
        <v>15</v>
      </c>
      <c r="L2176" s="3">
        <v>0</v>
      </c>
      <c r="M2176" s="3">
        <v>30</v>
      </c>
      <c r="N2176" s="3">
        <v>17</v>
      </c>
      <c r="O2176" s="3"/>
      <c r="P2176" s="3"/>
      <c r="Q2176" s="3"/>
    </row>
    <row r="2177" spans="1:17" ht="15" x14ac:dyDescent="0.25">
      <c r="A2177" s="3">
        <f>2170</f>
        <v>2170</v>
      </c>
      <c r="B2177" s="3" t="s">
        <v>2179</v>
      </c>
      <c r="C2177" s="3" t="s">
        <v>10</v>
      </c>
      <c r="D2177" s="3" t="s">
        <v>9</v>
      </c>
      <c r="E2177" s="3">
        <v>22</v>
      </c>
      <c r="F2177" s="3">
        <v>0</v>
      </c>
      <c r="G2177" s="3">
        <v>0</v>
      </c>
      <c r="H2177" s="3">
        <v>18</v>
      </c>
      <c r="I2177" s="3">
        <v>28</v>
      </c>
      <c r="J2177" s="3">
        <v>0</v>
      </c>
      <c r="K2177" s="3">
        <v>15</v>
      </c>
      <c r="L2177" s="3">
        <v>0</v>
      </c>
      <c r="M2177" s="3">
        <v>30</v>
      </c>
      <c r="N2177" s="3">
        <v>17</v>
      </c>
      <c r="O2177" s="3"/>
      <c r="P2177" s="3"/>
      <c r="Q2177" s="3"/>
    </row>
    <row r="2178" spans="1:17" ht="15" x14ac:dyDescent="0.25">
      <c r="A2178" s="3">
        <f>2171</f>
        <v>2171</v>
      </c>
      <c r="B2178" s="3" t="s">
        <v>2180</v>
      </c>
      <c r="C2178" s="3" t="s">
        <v>10</v>
      </c>
      <c r="D2178" s="3" t="s">
        <v>9</v>
      </c>
      <c r="E2178" s="3">
        <v>22</v>
      </c>
      <c r="F2178" s="3">
        <v>0</v>
      </c>
      <c r="G2178" s="3">
        <v>0</v>
      </c>
      <c r="H2178" s="3">
        <v>18</v>
      </c>
      <c r="I2178" s="3">
        <v>28</v>
      </c>
      <c r="J2178" s="3">
        <v>0</v>
      </c>
      <c r="K2178" s="3">
        <v>15</v>
      </c>
      <c r="L2178" s="3">
        <v>0</v>
      </c>
      <c r="M2178" s="3">
        <v>30</v>
      </c>
      <c r="N2178" s="3">
        <v>17</v>
      </c>
      <c r="O2178" s="3"/>
      <c r="P2178" s="3"/>
      <c r="Q2178" s="3"/>
    </row>
    <row r="2179" spans="1:17" ht="15" x14ac:dyDescent="0.25">
      <c r="A2179" s="3">
        <f>2172</f>
        <v>2172</v>
      </c>
      <c r="B2179" s="3" t="s">
        <v>2181</v>
      </c>
      <c r="C2179" s="3" t="s">
        <v>10</v>
      </c>
      <c r="D2179" s="3" t="s">
        <v>9</v>
      </c>
      <c r="E2179" s="3">
        <v>22</v>
      </c>
      <c r="F2179" s="3">
        <v>0</v>
      </c>
      <c r="G2179" s="3">
        <v>0</v>
      </c>
      <c r="H2179" s="3">
        <v>18</v>
      </c>
      <c r="I2179" s="3">
        <v>28</v>
      </c>
      <c r="J2179" s="3">
        <v>0</v>
      </c>
      <c r="K2179" s="3">
        <v>15</v>
      </c>
      <c r="L2179" s="3">
        <v>0</v>
      </c>
      <c r="M2179" s="3">
        <v>30</v>
      </c>
      <c r="N2179" s="3">
        <v>17</v>
      </c>
      <c r="O2179" s="3"/>
      <c r="P2179" s="3"/>
      <c r="Q2179" s="3"/>
    </row>
    <row r="2180" spans="1:17" ht="15" x14ac:dyDescent="0.25">
      <c r="A2180" s="3">
        <f>2173</f>
        <v>2173</v>
      </c>
      <c r="B2180" s="3" t="s">
        <v>2182</v>
      </c>
      <c r="C2180" s="3" t="s">
        <v>10</v>
      </c>
      <c r="D2180" s="3" t="s">
        <v>9</v>
      </c>
      <c r="E2180" s="3">
        <v>22</v>
      </c>
      <c r="F2180" s="3">
        <v>0</v>
      </c>
      <c r="G2180" s="3">
        <v>0</v>
      </c>
      <c r="H2180" s="3">
        <v>18</v>
      </c>
      <c r="I2180" s="3">
        <v>28</v>
      </c>
      <c r="J2180" s="3">
        <v>0</v>
      </c>
      <c r="K2180" s="3">
        <v>15</v>
      </c>
      <c r="L2180" s="3">
        <v>0</v>
      </c>
      <c r="M2180" s="3">
        <v>30</v>
      </c>
      <c r="N2180" s="3">
        <v>17</v>
      </c>
      <c r="O2180" s="3"/>
      <c r="P2180" s="3"/>
      <c r="Q2180" s="3"/>
    </row>
    <row r="2181" spans="1:17" ht="15" x14ac:dyDescent="0.25">
      <c r="A2181" s="3">
        <f>2174</f>
        <v>2174</v>
      </c>
      <c r="B2181" s="3" t="s">
        <v>2183</v>
      </c>
      <c r="C2181" s="3" t="s">
        <v>10</v>
      </c>
      <c r="D2181" s="3" t="s">
        <v>9</v>
      </c>
      <c r="E2181" s="3">
        <v>22</v>
      </c>
      <c r="F2181" s="3">
        <v>0</v>
      </c>
      <c r="G2181" s="3">
        <v>0</v>
      </c>
      <c r="H2181" s="3">
        <v>18</v>
      </c>
      <c r="I2181" s="3">
        <v>28</v>
      </c>
      <c r="J2181" s="3">
        <v>0</v>
      </c>
      <c r="K2181" s="3">
        <v>15</v>
      </c>
      <c r="L2181" s="3">
        <v>0</v>
      </c>
      <c r="M2181" s="3">
        <v>30</v>
      </c>
      <c r="N2181" s="3">
        <v>17</v>
      </c>
      <c r="O2181" s="3"/>
      <c r="P2181" s="3"/>
      <c r="Q2181" s="3"/>
    </row>
    <row r="2182" spans="1:17" ht="15" x14ac:dyDescent="0.25">
      <c r="A2182" s="3">
        <f>2175</f>
        <v>2175</v>
      </c>
      <c r="B2182" s="3" t="s">
        <v>2184</v>
      </c>
      <c r="C2182" s="3" t="s">
        <v>10</v>
      </c>
      <c r="D2182" s="3" t="s">
        <v>9</v>
      </c>
      <c r="E2182" s="3">
        <v>22</v>
      </c>
      <c r="F2182" s="3">
        <v>0</v>
      </c>
      <c r="G2182" s="3">
        <v>0</v>
      </c>
      <c r="H2182" s="3">
        <v>18</v>
      </c>
      <c r="I2182" s="3">
        <v>28</v>
      </c>
      <c r="J2182" s="3">
        <v>0</v>
      </c>
      <c r="K2182" s="3">
        <v>15</v>
      </c>
      <c r="L2182" s="3">
        <v>0</v>
      </c>
      <c r="M2182" s="3">
        <v>30</v>
      </c>
      <c r="N2182" s="3">
        <v>17</v>
      </c>
      <c r="O2182" s="3"/>
      <c r="P2182" s="3"/>
      <c r="Q2182" s="3"/>
    </row>
    <row r="2183" spans="1:17" ht="15" x14ac:dyDescent="0.25">
      <c r="A2183" s="3">
        <f>2176</f>
        <v>2176</v>
      </c>
      <c r="B2183" s="3" t="s">
        <v>2185</v>
      </c>
      <c r="C2183" s="3" t="s">
        <v>10</v>
      </c>
      <c r="D2183" s="3" t="s">
        <v>9</v>
      </c>
      <c r="E2183" s="3">
        <v>22</v>
      </c>
      <c r="F2183" s="3">
        <v>0</v>
      </c>
      <c r="G2183" s="3">
        <v>0</v>
      </c>
      <c r="H2183" s="3">
        <v>18</v>
      </c>
      <c r="I2183" s="3">
        <v>28</v>
      </c>
      <c r="J2183" s="3">
        <v>0</v>
      </c>
      <c r="K2183" s="3">
        <v>15</v>
      </c>
      <c r="L2183" s="3">
        <v>0</v>
      </c>
      <c r="M2183" s="3">
        <v>30</v>
      </c>
      <c r="N2183" s="3">
        <v>17</v>
      </c>
      <c r="O2183" s="3"/>
      <c r="P2183" s="3"/>
      <c r="Q2183" s="3"/>
    </row>
    <row r="2184" spans="1:17" ht="15" x14ac:dyDescent="0.25">
      <c r="A2184" s="3">
        <f>2177</f>
        <v>2177</v>
      </c>
      <c r="B2184" s="3" t="s">
        <v>2186</v>
      </c>
      <c r="C2184" s="3" t="s">
        <v>10</v>
      </c>
      <c r="D2184" s="3" t="s">
        <v>9</v>
      </c>
      <c r="E2184" s="3">
        <v>22</v>
      </c>
      <c r="F2184" s="3">
        <v>0</v>
      </c>
      <c r="G2184" s="3">
        <v>0</v>
      </c>
      <c r="H2184" s="3">
        <v>18</v>
      </c>
      <c r="I2184" s="3">
        <v>28</v>
      </c>
      <c r="J2184" s="3">
        <v>0</v>
      </c>
      <c r="K2184" s="3">
        <v>15</v>
      </c>
      <c r="L2184" s="3">
        <v>0</v>
      </c>
      <c r="M2184" s="3">
        <v>30</v>
      </c>
      <c r="N2184" s="3">
        <v>17</v>
      </c>
      <c r="O2184" s="3"/>
      <c r="P2184" s="3"/>
      <c r="Q2184" s="3"/>
    </row>
    <row r="2185" spans="1:17" ht="15" x14ac:dyDescent="0.25">
      <c r="A2185" s="3">
        <f>2178</f>
        <v>2178</v>
      </c>
      <c r="B2185" s="3" t="s">
        <v>2187</v>
      </c>
      <c r="C2185" s="3" t="s">
        <v>10</v>
      </c>
      <c r="D2185" s="3" t="s">
        <v>9</v>
      </c>
      <c r="E2185" s="3">
        <v>22</v>
      </c>
      <c r="F2185" s="3">
        <v>0</v>
      </c>
      <c r="G2185" s="3">
        <v>0</v>
      </c>
      <c r="H2185" s="3">
        <v>18</v>
      </c>
      <c r="I2185" s="3">
        <v>28</v>
      </c>
      <c r="J2185" s="3">
        <v>0</v>
      </c>
      <c r="K2185" s="3">
        <v>15</v>
      </c>
      <c r="L2185" s="3">
        <v>0</v>
      </c>
      <c r="M2185" s="3">
        <v>30</v>
      </c>
      <c r="N2185" s="3">
        <v>17</v>
      </c>
      <c r="O2185" s="3"/>
      <c r="P2185" s="3"/>
      <c r="Q2185" s="3"/>
    </row>
    <row r="2186" spans="1:17" ht="15" x14ac:dyDescent="0.25">
      <c r="A2186" s="3">
        <f>2179</f>
        <v>2179</v>
      </c>
      <c r="B2186" s="3" t="s">
        <v>2188</v>
      </c>
      <c r="C2186" s="3" t="s">
        <v>10</v>
      </c>
      <c r="D2186" s="3" t="s">
        <v>9</v>
      </c>
      <c r="E2186" s="3">
        <v>22</v>
      </c>
      <c r="F2186" s="3">
        <v>0</v>
      </c>
      <c r="G2186" s="3">
        <v>0</v>
      </c>
      <c r="H2186" s="3">
        <v>18</v>
      </c>
      <c r="I2186" s="3">
        <v>28</v>
      </c>
      <c r="J2186" s="3">
        <v>0</v>
      </c>
      <c r="K2186" s="3">
        <v>15</v>
      </c>
      <c r="L2186" s="3">
        <v>0</v>
      </c>
      <c r="M2186" s="3">
        <v>30</v>
      </c>
      <c r="N2186" s="3">
        <v>17</v>
      </c>
      <c r="O2186" s="3"/>
      <c r="P2186" s="3"/>
      <c r="Q2186" s="3"/>
    </row>
    <row r="2187" spans="1:17" ht="15" x14ac:dyDescent="0.25">
      <c r="A2187" s="3">
        <f>2180</f>
        <v>2180</v>
      </c>
      <c r="B2187" s="3" t="s">
        <v>2189</v>
      </c>
      <c r="C2187" s="3" t="s">
        <v>10</v>
      </c>
      <c r="D2187" s="3" t="s">
        <v>9</v>
      </c>
      <c r="E2187" s="3">
        <v>22</v>
      </c>
      <c r="F2187" s="3">
        <v>0</v>
      </c>
      <c r="G2187" s="3">
        <v>0</v>
      </c>
      <c r="H2187" s="3">
        <v>18</v>
      </c>
      <c r="I2187" s="3">
        <v>28</v>
      </c>
      <c r="J2187" s="3">
        <v>0</v>
      </c>
      <c r="K2187" s="3">
        <v>15</v>
      </c>
      <c r="L2187" s="3">
        <v>0</v>
      </c>
      <c r="M2187" s="3">
        <v>30</v>
      </c>
      <c r="N2187" s="3">
        <v>17</v>
      </c>
      <c r="O2187" s="3"/>
      <c r="P2187" s="3"/>
      <c r="Q2187" s="3"/>
    </row>
    <row r="2188" spans="1:17" ht="15" x14ac:dyDescent="0.25">
      <c r="A2188" s="3">
        <f>2181</f>
        <v>2181</v>
      </c>
      <c r="B2188" s="3" t="s">
        <v>2190</v>
      </c>
      <c r="C2188" s="3" t="s">
        <v>10</v>
      </c>
      <c r="D2188" s="3" t="s">
        <v>9</v>
      </c>
      <c r="E2188" s="3">
        <v>22</v>
      </c>
      <c r="F2188" s="3">
        <v>0</v>
      </c>
      <c r="G2188" s="3">
        <v>0</v>
      </c>
      <c r="H2188" s="3">
        <v>18</v>
      </c>
      <c r="I2188" s="3">
        <v>28</v>
      </c>
      <c r="J2188" s="3">
        <v>0</v>
      </c>
      <c r="K2188" s="3">
        <v>15</v>
      </c>
      <c r="L2188" s="3">
        <v>0</v>
      </c>
      <c r="M2188" s="3">
        <v>30</v>
      </c>
      <c r="N2188" s="3">
        <v>17</v>
      </c>
      <c r="O2188" s="3"/>
      <c r="P2188" s="3"/>
      <c r="Q2188" s="3"/>
    </row>
    <row r="2189" spans="1:17" ht="15" x14ac:dyDescent="0.25">
      <c r="A2189" s="3">
        <f>2182</f>
        <v>2182</v>
      </c>
      <c r="B2189" s="3" t="s">
        <v>2191</v>
      </c>
      <c r="C2189" s="3" t="s">
        <v>10</v>
      </c>
      <c r="D2189" s="3" t="s">
        <v>9</v>
      </c>
      <c r="E2189" s="3">
        <v>22</v>
      </c>
      <c r="F2189" s="3">
        <v>0</v>
      </c>
      <c r="G2189" s="3">
        <v>0</v>
      </c>
      <c r="H2189" s="3">
        <v>18</v>
      </c>
      <c r="I2189" s="3">
        <v>28</v>
      </c>
      <c r="J2189" s="3">
        <v>0</v>
      </c>
      <c r="K2189" s="3">
        <v>15</v>
      </c>
      <c r="L2189" s="3">
        <v>0</v>
      </c>
      <c r="M2189" s="3">
        <v>30</v>
      </c>
      <c r="N2189" s="3">
        <v>17</v>
      </c>
      <c r="O2189" s="3"/>
      <c r="P2189" s="3"/>
      <c r="Q2189" s="3"/>
    </row>
    <row r="2190" spans="1:17" ht="15" x14ac:dyDescent="0.25">
      <c r="A2190" s="3">
        <f>2183</f>
        <v>2183</v>
      </c>
      <c r="B2190" s="3" t="s">
        <v>2192</v>
      </c>
      <c r="C2190" s="3" t="s">
        <v>10</v>
      </c>
      <c r="D2190" s="3" t="s">
        <v>9</v>
      </c>
      <c r="E2190" s="3">
        <v>22</v>
      </c>
      <c r="F2190" s="3">
        <v>0</v>
      </c>
      <c r="G2190" s="3">
        <v>0</v>
      </c>
      <c r="H2190" s="3">
        <v>18</v>
      </c>
      <c r="I2190" s="3">
        <v>28</v>
      </c>
      <c r="J2190" s="3">
        <v>0</v>
      </c>
      <c r="K2190" s="3">
        <v>15</v>
      </c>
      <c r="L2190" s="3">
        <v>0</v>
      </c>
      <c r="M2190" s="3">
        <v>30</v>
      </c>
      <c r="N2190" s="3">
        <v>17</v>
      </c>
      <c r="O2190" s="3"/>
      <c r="P2190" s="3"/>
      <c r="Q2190" s="3"/>
    </row>
    <row r="2191" spans="1:17" ht="15" x14ac:dyDescent="0.25">
      <c r="A2191" s="3">
        <f>2184</f>
        <v>2184</v>
      </c>
      <c r="B2191" s="3" t="s">
        <v>2193</v>
      </c>
      <c r="C2191" s="3" t="s">
        <v>10</v>
      </c>
      <c r="D2191" s="3" t="s">
        <v>9</v>
      </c>
      <c r="E2191" s="3">
        <v>22</v>
      </c>
      <c r="F2191" s="3">
        <v>0</v>
      </c>
      <c r="G2191" s="3">
        <v>0</v>
      </c>
      <c r="H2191" s="3">
        <v>18</v>
      </c>
      <c r="I2191" s="3">
        <v>28</v>
      </c>
      <c r="J2191" s="3">
        <v>0</v>
      </c>
      <c r="K2191" s="3">
        <v>15</v>
      </c>
      <c r="L2191" s="3">
        <v>0</v>
      </c>
      <c r="M2191" s="3">
        <v>30</v>
      </c>
      <c r="N2191" s="3">
        <v>17</v>
      </c>
      <c r="O2191" s="3"/>
      <c r="P2191" s="3"/>
      <c r="Q2191" s="3"/>
    </row>
    <row r="2192" spans="1:17" ht="15" x14ac:dyDescent="0.25">
      <c r="A2192" s="3">
        <f>2185</f>
        <v>2185</v>
      </c>
      <c r="B2192" s="3" t="s">
        <v>2194</v>
      </c>
      <c r="C2192" s="3" t="s">
        <v>10</v>
      </c>
      <c r="D2192" s="3" t="s">
        <v>9</v>
      </c>
      <c r="E2192" s="3">
        <v>22</v>
      </c>
      <c r="F2192" s="3">
        <v>0</v>
      </c>
      <c r="G2192" s="3">
        <v>0</v>
      </c>
      <c r="H2192" s="3">
        <v>18</v>
      </c>
      <c r="I2192" s="3">
        <v>28</v>
      </c>
      <c r="J2192" s="3">
        <v>0</v>
      </c>
      <c r="K2192" s="3">
        <v>15</v>
      </c>
      <c r="L2192" s="3">
        <v>0</v>
      </c>
      <c r="M2192" s="3">
        <v>30</v>
      </c>
      <c r="N2192" s="3">
        <v>17</v>
      </c>
      <c r="O2192" s="3"/>
      <c r="P2192" s="3"/>
      <c r="Q2192" s="3"/>
    </row>
    <row r="2193" spans="1:17" ht="15" x14ac:dyDescent="0.25">
      <c r="A2193" s="3">
        <f>2186</f>
        <v>2186</v>
      </c>
      <c r="B2193" s="3" t="s">
        <v>2195</v>
      </c>
      <c r="C2193" s="3" t="s">
        <v>10</v>
      </c>
      <c r="D2193" s="3" t="s">
        <v>9</v>
      </c>
      <c r="E2193" s="3">
        <v>22</v>
      </c>
      <c r="F2193" s="3">
        <v>0</v>
      </c>
      <c r="G2193" s="3">
        <v>0</v>
      </c>
      <c r="H2193" s="3">
        <v>18</v>
      </c>
      <c r="I2193" s="3">
        <v>28</v>
      </c>
      <c r="J2193" s="3">
        <v>0</v>
      </c>
      <c r="K2193" s="3">
        <v>15</v>
      </c>
      <c r="L2193" s="3">
        <v>0</v>
      </c>
      <c r="M2193" s="3">
        <v>30</v>
      </c>
      <c r="N2193" s="3">
        <v>17</v>
      </c>
      <c r="O2193" s="3"/>
      <c r="P2193" s="3"/>
      <c r="Q2193" s="3"/>
    </row>
    <row r="2194" spans="1:17" ht="15" x14ac:dyDescent="0.25">
      <c r="A2194" s="3">
        <f>2187</f>
        <v>2187</v>
      </c>
      <c r="B2194" s="3" t="s">
        <v>2196</v>
      </c>
      <c r="C2194" s="3" t="s">
        <v>10</v>
      </c>
      <c r="D2194" s="3" t="s">
        <v>9</v>
      </c>
      <c r="E2194" s="3">
        <v>22</v>
      </c>
      <c r="F2194" s="3">
        <v>0</v>
      </c>
      <c r="G2194" s="3">
        <v>0</v>
      </c>
      <c r="H2194" s="3">
        <v>18</v>
      </c>
      <c r="I2194" s="3">
        <v>28</v>
      </c>
      <c r="J2194" s="3">
        <v>0</v>
      </c>
      <c r="K2194" s="3">
        <v>15</v>
      </c>
      <c r="L2194" s="3">
        <v>0</v>
      </c>
      <c r="M2194" s="3">
        <v>30</v>
      </c>
      <c r="N2194" s="3">
        <v>17</v>
      </c>
      <c r="O2194" s="3"/>
      <c r="P2194" s="3"/>
      <c r="Q2194" s="3"/>
    </row>
    <row r="2195" spans="1:17" ht="15" x14ac:dyDescent="0.25">
      <c r="A2195" s="3">
        <f>2188</f>
        <v>2188</v>
      </c>
      <c r="B2195" s="3" t="s">
        <v>2197</v>
      </c>
      <c r="C2195" s="3" t="s">
        <v>10</v>
      </c>
      <c r="D2195" s="3" t="s">
        <v>9</v>
      </c>
      <c r="E2195" s="3">
        <v>22</v>
      </c>
      <c r="F2195" s="3">
        <v>0</v>
      </c>
      <c r="G2195" s="3">
        <v>0</v>
      </c>
      <c r="H2195" s="3">
        <v>18</v>
      </c>
      <c r="I2195" s="3">
        <v>28</v>
      </c>
      <c r="J2195" s="3">
        <v>0</v>
      </c>
      <c r="K2195" s="3">
        <v>15</v>
      </c>
      <c r="L2195" s="3">
        <v>0</v>
      </c>
      <c r="M2195" s="3">
        <v>30</v>
      </c>
      <c r="N2195" s="3">
        <v>17</v>
      </c>
      <c r="O2195" s="3"/>
      <c r="P2195" s="3"/>
      <c r="Q2195" s="3"/>
    </row>
    <row r="2196" spans="1:17" ht="15" x14ac:dyDescent="0.25">
      <c r="A2196" s="3">
        <f>2189</f>
        <v>2189</v>
      </c>
      <c r="B2196" s="3" t="s">
        <v>2198</v>
      </c>
      <c r="C2196" s="3" t="s">
        <v>10</v>
      </c>
      <c r="D2196" s="3" t="s">
        <v>9</v>
      </c>
      <c r="E2196" s="3">
        <v>22</v>
      </c>
      <c r="F2196" s="3">
        <v>0</v>
      </c>
      <c r="G2196" s="3">
        <v>0</v>
      </c>
      <c r="H2196" s="3">
        <v>18</v>
      </c>
      <c r="I2196" s="3">
        <v>28</v>
      </c>
      <c r="J2196" s="3">
        <v>0</v>
      </c>
      <c r="K2196" s="3">
        <v>15</v>
      </c>
      <c r="L2196" s="3">
        <v>0</v>
      </c>
      <c r="M2196" s="3">
        <v>30</v>
      </c>
      <c r="N2196" s="3">
        <v>17</v>
      </c>
      <c r="O2196" s="3"/>
      <c r="P2196" s="3"/>
      <c r="Q2196" s="3"/>
    </row>
    <row r="2197" spans="1:17" ht="15" x14ac:dyDescent="0.25">
      <c r="A2197" s="3">
        <f>2190</f>
        <v>2190</v>
      </c>
      <c r="B2197" s="3" t="s">
        <v>2199</v>
      </c>
      <c r="C2197" s="3" t="s">
        <v>10</v>
      </c>
      <c r="D2197" s="3" t="s">
        <v>9</v>
      </c>
      <c r="E2197" s="3">
        <v>22</v>
      </c>
      <c r="F2197" s="3">
        <v>0</v>
      </c>
      <c r="G2197" s="3">
        <v>0</v>
      </c>
      <c r="H2197" s="3">
        <v>18</v>
      </c>
      <c r="I2197" s="3">
        <v>28</v>
      </c>
      <c r="J2197" s="3">
        <v>0</v>
      </c>
      <c r="K2197" s="3">
        <v>15</v>
      </c>
      <c r="L2197" s="3">
        <v>0</v>
      </c>
      <c r="M2197" s="3">
        <v>30</v>
      </c>
      <c r="N2197" s="3">
        <v>17</v>
      </c>
      <c r="O2197" s="3"/>
      <c r="P2197" s="3"/>
      <c r="Q2197" s="3"/>
    </row>
    <row r="2198" spans="1:17" ht="15" x14ac:dyDescent="0.25">
      <c r="A2198" s="3">
        <f>2191</f>
        <v>2191</v>
      </c>
      <c r="B2198" s="3" t="s">
        <v>2200</v>
      </c>
      <c r="C2198" s="3" t="s">
        <v>10</v>
      </c>
      <c r="D2198" s="3" t="s">
        <v>9</v>
      </c>
      <c r="E2198" s="3">
        <v>22</v>
      </c>
      <c r="F2198" s="3">
        <v>0</v>
      </c>
      <c r="G2198" s="3">
        <v>0</v>
      </c>
      <c r="H2198" s="3">
        <v>18</v>
      </c>
      <c r="I2198" s="3">
        <v>28</v>
      </c>
      <c r="J2198" s="3">
        <v>0</v>
      </c>
      <c r="K2198" s="3">
        <v>15</v>
      </c>
      <c r="L2198" s="3">
        <v>0</v>
      </c>
      <c r="M2198" s="3">
        <v>30</v>
      </c>
      <c r="N2198" s="3">
        <v>17</v>
      </c>
      <c r="O2198" s="3"/>
      <c r="P2198" s="3"/>
      <c r="Q2198" s="3"/>
    </row>
    <row r="2199" spans="1:17" ht="15" x14ac:dyDescent="0.25">
      <c r="A2199" s="3">
        <f>2192</f>
        <v>2192</v>
      </c>
      <c r="B2199" s="3" t="s">
        <v>2201</v>
      </c>
      <c r="C2199" s="3" t="s">
        <v>10</v>
      </c>
      <c r="D2199" s="3" t="s">
        <v>9</v>
      </c>
      <c r="E2199" s="3">
        <v>22</v>
      </c>
      <c r="F2199" s="3">
        <v>0</v>
      </c>
      <c r="G2199" s="3">
        <v>0</v>
      </c>
      <c r="H2199" s="3">
        <v>18</v>
      </c>
      <c r="I2199" s="3">
        <v>28</v>
      </c>
      <c r="J2199" s="3">
        <v>0</v>
      </c>
      <c r="K2199" s="3">
        <v>15</v>
      </c>
      <c r="L2199" s="3">
        <v>0</v>
      </c>
      <c r="M2199" s="3">
        <v>30</v>
      </c>
      <c r="N2199" s="3">
        <v>17</v>
      </c>
      <c r="O2199" s="3"/>
      <c r="P2199" s="3"/>
      <c r="Q2199" s="3"/>
    </row>
    <row r="2200" spans="1:17" ht="15" x14ac:dyDescent="0.25">
      <c r="A2200" s="3">
        <f>2193</f>
        <v>2193</v>
      </c>
      <c r="B2200" s="3" t="s">
        <v>2202</v>
      </c>
      <c r="C2200" s="3" t="s">
        <v>10</v>
      </c>
      <c r="D2200" s="3" t="s">
        <v>9</v>
      </c>
      <c r="E2200" s="3">
        <v>22</v>
      </c>
      <c r="F2200" s="3">
        <v>0</v>
      </c>
      <c r="G2200" s="3">
        <v>0</v>
      </c>
      <c r="H2200" s="3">
        <v>18</v>
      </c>
      <c r="I2200" s="3">
        <v>28</v>
      </c>
      <c r="J2200" s="3">
        <v>0</v>
      </c>
      <c r="K2200" s="3">
        <v>15</v>
      </c>
      <c r="L2200" s="3">
        <v>0</v>
      </c>
      <c r="M2200" s="3">
        <v>30</v>
      </c>
      <c r="N2200" s="3">
        <v>17</v>
      </c>
      <c r="O2200" s="3"/>
      <c r="P2200" s="3"/>
      <c r="Q2200" s="3"/>
    </row>
    <row r="2201" spans="1:17" ht="15" x14ac:dyDescent="0.25">
      <c r="A2201" s="3">
        <f>2194</f>
        <v>2194</v>
      </c>
      <c r="B2201" s="3" t="s">
        <v>2203</v>
      </c>
      <c r="C2201" s="3" t="s">
        <v>10</v>
      </c>
      <c r="D2201" s="3" t="s">
        <v>9</v>
      </c>
      <c r="E2201" s="3">
        <v>22</v>
      </c>
      <c r="F2201" s="3">
        <v>0</v>
      </c>
      <c r="G2201" s="3">
        <v>0</v>
      </c>
      <c r="H2201" s="3">
        <v>18</v>
      </c>
      <c r="I2201" s="3">
        <v>28</v>
      </c>
      <c r="J2201" s="3">
        <v>0</v>
      </c>
      <c r="K2201" s="3">
        <v>15</v>
      </c>
      <c r="L2201" s="3">
        <v>0</v>
      </c>
      <c r="M2201" s="3">
        <v>30</v>
      </c>
      <c r="N2201" s="3">
        <v>17</v>
      </c>
      <c r="O2201" s="3"/>
      <c r="P2201" s="3"/>
      <c r="Q2201" s="3"/>
    </row>
    <row r="2202" spans="1:17" ht="15" x14ac:dyDescent="0.25">
      <c r="A2202" s="3">
        <f>2195</f>
        <v>2195</v>
      </c>
      <c r="B2202" s="3" t="s">
        <v>2204</v>
      </c>
      <c r="C2202" s="3" t="s">
        <v>10</v>
      </c>
      <c r="D2202" s="3" t="s">
        <v>9</v>
      </c>
      <c r="E2202" s="3">
        <v>22</v>
      </c>
      <c r="F2202" s="3">
        <v>0</v>
      </c>
      <c r="G2202" s="3">
        <v>0</v>
      </c>
      <c r="H2202" s="3">
        <v>18</v>
      </c>
      <c r="I2202" s="3">
        <v>28</v>
      </c>
      <c r="J2202" s="3">
        <v>0</v>
      </c>
      <c r="K2202" s="3">
        <v>15</v>
      </c>
      <c r="L2202" s="3">
        <v>0</v>
      </c>
      <c r="M2202" s="3">
        <v>30</v>
      </c>
      <c r="N2202" s="3">
        <v>17</v>
      </c>
      <c r="O2202" s="3"/>
      <c r="P2202" s="3"/>
      <c r="Q2202" s="3"/>
    </row>
    <row r="2203" spans="1:17" ht="15" x14ac:dyDescent="0.25">
      <c r="A2203" s="3">
        <f>2196</f>
        <v>2196</v>
      </c>
      <c r="B2203" s="3" t="s">
        <v>2205</v>
      </c>
      <c r="C2203" s="3" t="s">
        <v>10</v>
      </c>
      <c r="D2203" s="3" t="s">
        <v>9</v>
      </c>
      <c r="E2203" s="3">
        <v>22</v>
      </c>
      <c r="F2203" s="3">
        <v>0</v>
      </c>
      <c r="G2203" s="3">
        <v>0</v>
      </c>
      <c r="H2203" s="3">
        <v>18</v>
      </c>
      <c r="I2203" s="3">
        <v>28</v>
      </c>
      <c r="J2203" s="3">
        <v>0</v>
      </c>
      <c r="K2203" s="3">
        <v>15</v>
      </c>
      <c r="L2203" s="3">
        <v>0</v>
      </c>
      <c r="M2203" s="3">
        <v>30</v>
      </c>
      <c r="N2203" s="3">
        <v>17</v>
      </c>
      <c r="O2203" s="3"/>
      <c r="P2203" s="3"/>
      <c r="Q2203" s="3"/>
    </row>
    <row r="2204" spans="1:17" ht="15" x14ac:dyDescent="0.25">
      <c r="A2204" s="3">
        <f>2197</f>
        <v>2197</v>
      </c>
      <c r="B2204" s="3" t="s">
        <v>2206</v>
      </c>
      <c r="C2204" s="3" t="s">
        <v>10</v>
      </c>
      <c r="D2204" s="3" t="s">
        <v>9</v>
      </c>
      <c r="E2204" s="3">
        <v>22</v>
      </c>
      <c r="F2204" s="3">
        <v>0</v>
      </c>
      <c r="G2204" s="3">
        <v>0</v>
      </c>
      <c r="H2204" s="3">
        <v>18</v>
      </c>
      <c r="I2204" s="3">
        <v>28</v>
      </c>
      <c r="J2204" s="3">
        <v>0</v>
      </c>
      <c r="K2204" s="3">
        <v>15</v>
      </c>
      <c r="L2204" s="3">
        <v>0</v>
      </c>
      <c r="M2204" s="3">
        <v>30</v>
      </c>
      <c r="N2204" s="3">
        <v>17</v>
      </c>
      <c r="O2204" s="3"/>
      <c r="P2204" s="3"/>
      <c r="Q2204" s="3"/>
    </row>
    <row r="2205" spans="1:17" ht="15" x14ac:dyDescent="0.25">
      <c r="A2205" s="3">
        <f>2198</f>
        <v>2198</v>
      </c>
      <c r="B2205" s="3" t="s">
        <v>2207</v>
      </c>
      <c r="C2205" s="3" t="s">
        <v>10</v>
      </c>
      <c r="D2205" s="3" t="s">
        <v>9</v>
      </c>
      <c r="E2205" s="3">
        <v>22</v>
      </c>
      <c r="F2205" s="3">
        <v>0</v>
      </c>
      <c r="G2205" s="3">
        <v>0</v>
      </c>
      <c r="H2205" s="3">
        <v>18</v>
      </c>
      <c r="I2205" s="3">
        <v>28</v>
      </c>
      <c r="J2205" s="3">
        <v>0</v>
      </c>
      <c r="K2205" s="3">
        <v>15</v>
      </c>
      <c r="L2205" s="3">
        <v>0</v>
      </c>
      <c r="M2205" s="3">
        <v>30</v>
      </c>
      <c r="N2205" s="3">
        <v>17</v>
      </c>
      <c r="O2205" s="3"/>
      <c r="P2205" s="3"/>
      <c r="Q2205" s="3"/>
    </row>
    <row r="2206" spans="1:17" ht="15" x14ac:dyDescent="0.25">
      <c r="A2206" s="3">
        <f>2199</f>
        <v>2199</v>
      </c>
      <c r="B2206" s="3" t="s">
        <v>2208</v>
      </c>
      <c r="C2206" s="3" t="s">
        <v>10</v>
      </c>
      <c r="D2206" s="3" t="s">
        <v>9</v>
      </c>
      <c r="E2206" s="3">
        <v>22</v>
      </c>
      <c r="F2206" s="3">
        <v>0</v>
      </c>
      <c r="G2206" s="3">
        <v>0</v>
      </c>
      <c r="H2206" s="3">
        <v>18</v>
      </c>
      <c r="I2206" s="3">
        <v>28</v>
      </c>
      <c r="J2206" s="3">
        <v>0</v>
      </c>
      <c r="K2206" s="3">
        <v>15</v>
      </c>
      <c r="L2206" s="3">
        <v>0</v>
      </c>
      <c r="M2206" s="3">
        <v>30</v>
      </c>
      <c r="N2206" s="3">
        <v>17</v>
      </c>
      <c r="O2206" s="3"/>
      <c r="P2206" s="3"/>
      <c r="Q2206" s="3"/>
    </row>
    <row r="2207" spans="1:17" ht="15" x14ac:dyDescent="0.25">
      <c r="A2207" s="3">
        <f>2200</f>
        <v>2200</v>
      </c>
      <c r="B2207" s="3" t="s">
        <v>2209</v>
      </c>
      <c r="C2207" s="3" t="s">
        <v>10</v>
      </c>
      <c r="D2207" s="3" t="s">
        <v>9</v>
      </c>
      <c r="E2207" s="3">
        <v>22</v>
      </c>
      <c r="F2207" s="3">
        <v>0</v>
      </c>
      <c r="G2207" s="3">
        <v>0</v>
      </c>
      <c r="H2207" s="3">
        <v>18</v>
      </c>
      <c r="I2207" s="3">
        <v>28</v>
      </c>
      <c r="J2207" s="3">
        <v>0</v>
      </c>
      <c r="K2207" s="3">
        <v>15</v>
      </c>
      <c r="L2207" s="3">
        <v>0</v>
      </c>
      <c r="M2207" s="3">
        <v>30</v>
      </c>
      <c r="N2207" s="3">
        <v>17</v>
      </c>
      <c r="O2207" s="3"/>
      <c r="P2207" s="3"/>
      <c r="Q2207" s="3"/>
    </row>
    <row r="2208" spans="1:17" ht="15" x14ac:dyDescent="0.25">
      <c r="A2208" s="3">
        <f>2201</f>
        <v>2201</v>
      </c>
      <c r="B2208" s="3" t="s">
        <v>2210</v>
      </c>
      <c r="C2208" s="3" t="s">
        <v>10</v>
      </c>
      <c r="D2208" s="3" t="s">
        <v>9</v>
      </c>
      <c r="E2208" s="3">
        <v>22</v>
      </c>
      <c r="F2208" s="3">
        <v>0</v>
      </c>
      <c r="G2208" s="3">
        <v>0</v>
      </c>
      <c r="H2208" s="3">
        <v>18</v>
      </c>
      <c r="I2208" s="3">
        <v>28</v>
      </c>
      <c r="J2208" s="3">
        <v>0</v>
      </c>
      <c r="K2208" s="3">
        <v>15</v>
      </c>
      <c r="L2208" s="3">
        <v>0</v>
      </c>
      <c r="M2208" s="3">
        <v>30</v>
      </c>
      <c r="N2208" s="3">
        <v>17</v>
      </c>
      <c r="O2208" s="3"/>
      <c r="P2208" s="3"/>
      <c r="Q2208" s="3"/>
    </row>
    <row r="2209" spans="1:17" ht="15" x14ac:dyDescent="0.25">
      <c r="A2209" s="3">
        <f>2202</f>
        <v>2202</v>
      </c>
      <c r="B2209" s="3" t="s">
        <v>2211</v>
      </c>
      <c r="C2209" s="3" t="s">
        <v>10</v>
      </c>
      <c r="D2209" s="3" t="s">
        <v>9</v>
      </c>
      <c r="E2209" s="3">
        <v>22</v>
      </c>
      <c r="F2209" s="3">
        <v>0</v>
      </c>
      <c r="G2209" s="3">
        <v>0</v>
      </c>
      <c r="H2209" s="3">
        <v>18</v>
      </c>
      <c r="I2209" s="3">
        <v>28</v>
      </c>
      <c r="J2209" s="3">
        <v>0</v>
      </c>
      <c r="K2209" s="3">
        <v>15</v>
      </c>
      <c r="L2209" s="3">
        <v>0</v>
      </c>
      <c r="M2209" s="3">
        <v>30</v>
      </c>
      <c r="N2209" s="3">
        <v>17</v>
      </c>
      <c r="O2209" s="3"/>
      <c r="P2209" s="3"/>
      <c r="Q2209" s="3"/>
    </row>
    <row r="2210" spans="1:17" ht="15" x14ac:dyDescent="0.25">
      <c r="A2210" s="3">
        <f>2203</f>
        <v>2203</v>
      </c>
      <c r="B2210" s="3" t="s">
        <v>2212</v>
      </c>
      <c r="C2210" s="3" t="s">
        <v>10</v>
      </c>
      <c r="D2210" s="3" t="s">
        <v>9</v>
      </c>
      <c r="E2210" s="3">
        <v>22</v>
      </c>
      <c r="F2210" s="3">
        <v>0</v>
      </c>
      <c r="G2210" s="3">
        <v>0</v>
      </c>
      <c r="H2210" s="3">
        <v>18</v>
      </c>
      <c r="I2210" s="3">
        <v>28</v>
      </c>
      <c r="J2210" s="3">
        <v>0</v>
      </c>
      <c r="K2210" s="3">
        <v>15</v>
      </c>
      <c r="L2210" s="3">
        <v>0</v>
      </c>
      <c r="M2210" s="3">
        <v>30</v>
      </c>
      <c r="N2210" s="3">
        <v>17</v>
      </c>
      <c r="O2210" s="3"/>
      <c r="P2210" s="3"/>
      <c r="Q2210" s="3"/>
    </row>
    <row r="2211" spans="1:17" ht="15" x14ac:dyDescent="0.25">
      <c r="A2211" s="3">
        <f>2204</f>
        <v>2204</v>
      </c>
      <c r="B2211" s="3" t="s">
        <v>2213</v>
      </c>
      <c r="C2211" s="3" t="s">
        <v>10</v>
      </c>
      <c r="D2211" s="3" t="s">
        <v>9</v>
      </c>
      <c r="E2211" s="3">
        <v>22</v>
      </c>
      <c r="F2211" s="3">
        <v>0</v>
      </c>
      <c r="G2211" s="3">
        <v>0</v>
      </c>
      <c r="H2211" s="3">
        <v>18</v>
      </c>
      <c r="I2211" s="3">
        <v>28</v>
      </c>
      <c r="J2211" s="3">
        <v>0</v>
      </c>
      <c r="K2211" s="3">
        <v>15</v>
      </c>
      <c r="L2211" s="3">
        <v>0</v>
      </c>
      <c r="M2211" s="3">
        <v>30</v>
      </c>
      <c r="N2211" s="3">
        <v>17</v>
      </c>
      <c r="O2211" s="3"/>
      <c r="P2211" s="3"/>
      <c r="Q2211" s="3"/>
    </row>
    <row r="2212" spans="1:17" ht="15" x14ac:dyDescent="0.25">
      <c r="A2212" s="3">
        <f>2205</f>
        <v>2205</v>
      </c>
      <c r="B2212" s="3" t="s">
        <v>2214</v>
      </c>
      <c r="C2212" s="3" t="s">
        <v>10</v>
      </c>
      <c r="D2212" s="3" t="s">
        <v>9</v>
      </c>
      <c r="E2212" s="3">
        <v>22</v>
      </c>
      <c r="F2212" s="3">
        <v>0</v>
      </c>
      <c r="G2212" s="3">
        <v>0</v>
      </c>
      <c r="H2212" s="3">
        <v>18</v>
      </c>
      <c r="I2212" s="3">
        <v>28</v>
      </c>
      <c r="J2212" s="3">
        <v>0</v>
      </c>
      <c r="K2212" s="3">
        <v>15</v>
      </c>
      <c r="L2212" s="3">
        <v>0</v>
      </c>
      <c r="M2212" s="3">
        <v>30</v>
      </c>
      <c r="N2212" s="3">
        <v>17</v>
      </c>
      <c r="O2212" s="3"/>
      <c r="P2212" s="3"/>
      <c r="Q2212" s="3"/>
    </row>
    <row r="2213" spans="1:17" ht="15" x14ac:dyDescent="0.25">
      <c r="A2213" s="3">
        <f>2206</f>
        <v>2206</v>
      </c>
      <c r="B2213" s="3" t="s">
        <v>2215</v>
      </c>
      <c r="C2213" s="3" t="s">
        <v>10</v>
      </c>
      <c r="D2213" s="3" t="s">
        <v>9</v>
      </c>
      <c r="E2213" s="3">
        <v>22</v>
      </c>
      <c r="F2213" s="3">
        <v>0</v>
      </c>
      <c r="G2213" s="3">
        <v>0</v>
      </c>
      <c r="H2213" s="3">
        <v>18</v>
      </c>
      <c r="I2213" s="3">
        <v>28</v>
      </c>
      <c r="J2213" s="3">
        <v>0</v>
      </c>
      <c r="K2213" s="3">
        <v>15</v>
      </c>
      <c r="L2213" s="3">
        <v>0</v>
      </c>
      <c r="M2213" s="3">
        <v>30</v>
      </c>
      <c r="N2213" s="3">
        <v>17</v>
      </c>
      <c r="O2213" s="3"/>
      <c r="P2213" s="3"/>
      <c r="Q2213" s="3"/>
    </row>
    <row r="2214" spans="1:17" ht="15" x14ac:dyDescent="0.25">
      <c r="A2214" s="3">
        <f>2207</f>
        <v>2207</v>
      </c>
      <c r="B2214" s="3" t="s">
        <v>2216</v>
      </c>
      <c r="C2214" s="3" t="s">
        <v>10</v>
      </c>
      <c r="D2214" s="3" t="s">
        <v>9</v>
      </c>
      <c r="E2214" s="3">
        <v>22</v>
      </c>
      <c r="F2214" s="3">
        <v>0</v>
      </c>
      <c r="G2214" s="3">
        <v>0</v>
      </c>
      <c r="H2214" s="3">
        <v>18</v>
      </c>
      <c r="I2214" s="3">
        <v>28</v>
      </c>
      <c r="J2214" s="3">
        <v>0</v>
      </c>
      <c r="K2214" s="3">
        <v>15</v>
      </c>
      <c r="L2214" s="3">
        <v>0</v>
      </c>
      <c r="M2214" s="3">
        <v>30</v>
      </c>
      <c r="N2214" s="3">
        <v>17</v>
      </c>
      <c r="O2214" s="3"/>
      <c r="P2214" s="3"/>
      <c r="Q2214" s="3"/>
    </row>
    <row r="2215" spans="1:17" ht="15" x14ac:dyDescent="0.25">
      <c r="A2215" s="3">
        <f>2208</f>
        <v>2208</v>
      </c>
      <c r="B2215" s="3" t="s">
        <v>2217</v>
      </c>
      <c r="C2215" s="3" t="s">
        <v>10</v>
      </c>
      <c r="D2215" s="3" t="s">
        <v>9</v>
      </c>
      <c r="E2215" s="3">
        <v>22</v>
      </c>
      <c r="F2215" s="3">
        <v>0</v>
      </c>
      <c r="G2215" s="3">
        <v>0</v>
      </c>
      <c r="H2215" s="3">
        <v>18</v>
      </c>
      <c r="I2215" s="3">
        <v>28</v>
      </c>
      <c r="J2215" s="3">
        <v>0</v>
      </c>
      <c r="K2215" s="3">
        <v>15</v>
      </c>
      <c r="L2215" s="3">
        <v>0</v>
      </c>
      <c r="M2215" s="3">
        <v>30</v>
      </c>
      <c r="N2215" s="3">
        <v>17</v>
      </c>
      <c r="O2215" s="3"/>
      <c r="P2215" s="3"/>
      <c r="Q2215" s="3"/>
    </row>
    <row r="2216" spans="1:17" ht="15" x14ac:dyDescent="0.25">
      <c r="A2216" s="3">
        <f>2209</f>
        <v>2209</v>
      </c>
      <c r="B2216" s="3" t="s">
        <v>2218</v>
      </c>
      <c r="C2216" s="3" t="s">
        <v>10</v>
      </c>
      <c r="D2216" s="3" t="s">
        <v>9</v>
      </c>
      <c r="E2216" s="3">
        <v>22</v>
      </c>
      <c r="F2216" s="3">
        <v>0</v>
      </c>
      <c r="G2216" s="3">
        <v>0</v>
      </c>
      <c r="H2216" s="3">
        <v>18</v>
      </c>
      <c r="I2216" s="3">
        <v>28</v>
      </c>
      <c r="J2216" s="3">
        <v>0</v>
      </c>
      <c r="K2216" s="3">
        <v>15</v>
      </c>
      <c r="L2216" s="3">
        <v>0</v>
      </c>
      <c r="M2216" s="3">
        <v>30</v>
      </c>
      <c r="N2216" s="3">
        <v>17</v>
      </c>
      <c r="O2216" s="3"/>
      <c r="P2216" s="3"/>
      <c r="Q2216" s="3"/>
    </row>
    <row r="2217" spans="1:17" ht="15" x14ac:dyDescent="0.25">
      <c r="A2217" s="3">
        <f>2210</f>
        <v>2210</v>
      </c>
      <c r="B2217" s="3" t="s">
        <v>2219</v>
      </c>
      <c r="C2217" s="3" t="s">
        <v>10</v>
      </c>
      <c r="D2217" s="3" t="s">
        <v>9</v>
      </c>
      <c r="E2217" s="3">
        <v>22</v>
      </c>
      <c r="F2217" s="3">
        <v>0</v>
      </c>
      <c r="G2217" s="3">
        <v>0</v>
      </c>
      <c r="H2217" s="3">
        <v>18</v>
      </c>
      <c r="I2217" s="3">
        <v>28</v>
      </c>
      <c r="J2217" s="3">
        <v>0</v>
      </c>
      <c r="K2217" s="3">
        <v>15</v>
      </c>
      <c r="L2217" s="3">
        <v>0</v>
      </c>
      <c r="M2217" s="3">
        <v>30</v>
      </c>
      <c r="N2217" s="3">
        <v>17</v>
      </c>
      <c r="O2217" s="3"/>
      <c r="P2217" s="3"/>
      <c r="Q2217" s="3"/>
    </row>
    <row r="2218" spans="1:17" ht="15" x14ac:dyDescent="0.25">
      <c r="A2218" s="3">
        <f>2211</f>
        <v>2211</v>
      </c>
      <c r="B2218" s="3" t="s">
        <v>2220</v>
      </c>
      <c r="C2218" s="3" t="s">
        <v>10</v>
      </c>
      <c r="D2218" s="3" t="s">
        <v>9</v>
      </c>
      <c r="E2218" s="3">
        <v>22</v>
      </c>
      <c r="F2218" s="3">
        <v>0</v>
      </c>
      <c r="G2218" s="3">
        <v>0</v>
      </c>
      <c r="H2218" s="3">
        <v>18</v>
      </c>
      <c r="I2218" s="3">
        <v>28</v>
      </c>
      <c r="J2218" s="3">
        <v>0</v>
      </c>
      <c r="K2218" s="3">
        <v>15</v>
      </c>
      <c r="L2218" s="3">
        <v>0</v>
      </c>
      <c r="M2218" s="3">
        <v>30</v>
      </c>
      <c r="N2218" s="3">
        <v>17</v>
      </c>
      <c r="O2218" s="3"/>
      <c r="P2218" s="3"/>
      <c r="Q2218" s="3"/>
    </row>
    <row r="2219" spans="1:17" ht="15" x14ac:dyDescent="0.25">
      <c r="A2219" s="3">
        <f>2212</f>
        <v>2212</v>
      </c>
      <c r="B2219" s="3" t="s">
        <v>2221</v>
      </c>
      <c r="C2219" s="3" t="s">
        <v>10</v>
      </c>
      <c r="D2219" s="3" t="s">
        <v>9</v>
      </c>
      <c r="E2219" s="3">
        <v>22</v>
      </c>
      <c r="F2219" s="3">
        <v>0</v>
      </c>
      <c r="G2219" s="3">
        <v>0</v>
      </c>
      <c r="H2219" s="3">
        <v>18</v>
      </c>
      <c r="I2219" s="3">
        <v>28</v>
      </c>
      <c r="J2219" s="3">
        <v>0</v>
      </c>
      <c r="K2219" s="3">
        <v>15</v>
      </c>
      <c r="L2219" s="3">
        <v>0</v>
      </c>
      <c r="M2219" s="3">
        <v>30</v>
      </c>
      <c r="N2219" s="3">
        <v>17</v>
      </c>
      <c r="O2219" s="3"/>
      <c r="P2219" s="3"/>
      <c r="Q2219" s="3"/>
    </row>
    <row r="2220" spans="1:17" ht="15" x14ac:dyDescent="0.25">
      <c r="A2220" s="3">
        <f>2213</f>
        <v>2213</v>
      </c>
      <c r="B2220" s="3" t="s">
        <v>2222</v>
      </c>
      <c r="C2220" s="3" t="s">
        <v>10</v>
      </c>
      <c r="D2220" s="3" t="s">
        <v>9</v>
      </c>
      <c r="E2220" s="3">
        <v>22</v>
      </c>
      <c r="F2220" s="3">
        <v>0</v>
      </c>
      <c r="G2220" s="3">
        <v>0</v>
      </c>
      <c r="H2220" s="3">
        <v>18</v>
      </c>
      <c r="I2220" s="3">
        <v>28</v>
      </c>
      <c r="J2220" s="3">
        <v>0</v>
      </c>
      <c r="K2220" s="3">
        <v>15</v>
      </c>
      <c r="L2220" s="3">
        <v>0</v>
      </c>
      <c r="M2220" s="3">
        <v>30</v>
      </c>
      <c r="N2220" s="3">
        <v>17</v>
      </c>
      <c r="O2220" s="3"/>
      <c r="P2220" s="3"/>
      <c r="Q2220" s="3"/>
    </row>
    <row r="2221" spans="1:17" ht="15" x14ac:dyDescent="0.25">
      <c r="A2221" s="3">
        <f>2214</f>
        <v>2214</v>
      </c>
      <c r="B2221" s="3" t="s">
        <v>2223</v>
      </c>
      <c r="C2221" s="3" t="s">
        <v>10</v>
      </c>
      <c r="D2221" s="3" t="s">
        <v>9</v>
      </c>
      <c r="E2221" s="3">
        <v>22</v>
      </c>
      <c r="F2221" s="3">
        <v>0</v>
      </c>
      <c r="G2221" s="3">
        <v>0</v>
      </c>
      <c r="H2221" s="3">
        <v>18</v>
      </c>
      <c r="I2221" s="3">
        <v>28</v>
      </c>
      <c r="J2221" s="3">
        <v>0</v>
      </c>
      <c r="K2221" s="3">
        <v>15</v>
      </c>
      <c r="L2221" s="3">
        <v>0</v>
      </c>
      <c r="M2221" s="3">
        <v>30</v>
      </c>
      <c r="N2221" s="3">
        <v>17</v>
      </c>
      <c r="O2221" s="3"/>
      <c r="P2221" s="3"/>
      <c r="Q2221" s="3"/>
    </row>
    <row r="2222" spans="1:17" ht="15" x14ac:dyDescent="0.25">
      <c r="A2222" s="3">
        <f>2215</f>
        <v>2215</v>
      </c>
      <c r="B2222" s="3" t="s">
        <v>2224</v>
      </c>
      <c r="C2222" s="3" t="s">
        <v>10</v>
      </c>
      <c r="D2222" s="3" t="s">
        <v>9</v>
      </c>
      <c r="E2222" s="3">
        <v>22</v>
      </c>
      <c r="F2222" s="3">
        <v>0</v>
      </c>
      <c r="G2222" s="3">
        <v>0</v>
      </c>
      <c r="H2222" s="3">
        <v>18</v>
      </c>
      <c r="I2222" s="3">
        <v>28</v>
      </c>
      <c r="J2222" s="3">
        <v>0</v>
      </c>
      <c r="K2222" s="3">
        <v>15</v>
      </c>
      <c r="L2222" s="3">
        <v>0</v>
      </c>
      <c r="M2222" s="3">
        <v>30</v>
      </c>
      <c r="N2222" s="3">
        <v>17</v>
      </c>
      <c r="O2222" s="3"/>
      <c r="P2222" s="3"/>
      <c r="Q2222" s="3"/>
    </row>
    <row r="2223" spans="1:17" ht="15" x14ac:dyDescent="0.25">
      <c r="A2223" s="3">
        <f>2216</f>
        <v>2216</v>
      </c>
      <c r="B2223" s="3" t="s">
        <v>2225</v>
      </c>
      <c r="C2223" s="3" t="s">
        <v>10</v>
      </c>
      <c r="D2223" s="3" t="s">
        <v>9</v>
      </c>
      <c r="E2223" s="3">
        <v>22</v>
      </c>
      <c r="F2223" s="3">
        <v>0</v>
      </c>
      <c r="G2223" s="3">
        <v>0</v>
      </c>
      <c r="H2223" s="3">
        <v>18</v>
      </c>
      <c r="I2223" s="3">
        <v>28</v>
      </c>
      <c r="J2223" s="3">
        <v>0</v>
      </c>
      <c r="K2223" s="3">
        <v>15</v>
      </c>
      <c r="L2223" s="3">
        <v>0</v>
      </c>
      <c r="M2223" s="3">
        <v>30</v>
      </c>
      <c r="N2223" s="3">
        <v>17</v>
      </c>
      <c r="O2223" s="3"/>
      <c r="P2223" s="3"/>
      <c r="Q2223" s="3"/>
    </row>
    <row r="2224" spans="1:17" ht="15" x14ac:dyDescent="0.25">
      <c r="A2224" s="3">
        <f>2217</f>
        <v>2217</v>
      </c>
      <c r="B2224" s="3" t="s">
        <v>2226</v>
      </c>
      <c r="C2224" s="3" t="s">
        <v>10</v>
      </c>
      <c r="D2224" s="3" t="s">
        <v>9</v>
      </c>
      <c r="E2224" s="3">
        <v>22</v>
      </c>
      <c r="F2224" s="3">
        <v>0</v>
      </c>
      <c r="G2224" s="3">
        <v>0</v>
      </c>
      <c r="H2224" s="3">
        <v>18</v>
      </c>
      <c r="I2224" s="3">
        <v>28</v>
      </c>
      <c r="J2224" s="3">
        <v>0</v>
      </c>
      <c r="K2224" s="3">
        <v>15</v>
      </c>
      <c r="L2224" s="3">
        <v>0</v>
      </c>
      <c r="M2224" s="3">
        <v>30</v>
      </c>
      <c r="N2224" s="3">
        <v>17</v>
      </c>
      <c r="O2224" s="3"/>
      <c r="P2224" s="3"/>
      <c r="Q2224" s="3"/>
    </row>
    <row r="2225" spans="1:17" ht="15" x14ac:dyDescent="0.25">
      <c r="A2225" s="3">
        <f>2218</f>
        <v>2218</v>
      </c>
      <c r="B2225" s="3" t="s">
        <v>2227</v>
      </c>
      <c r="C2225" s="3" t="s">
        <v>10</v>
      </c>
      <c r="D2225" s="3" t="s">
        <v>9</v>
      </c>
      <c r="E2225" s="3">
        <v>22</v>
      </c>
      <c r="F2225" s="3">
        <v>0</v>
      </c>
      <c r="G2225" s="3">
        <v>0</v>
      </c>
      <c r="H2225" s="3">
        <v>18</v>
      </c>
      <c r="I2225" s="3">
        <v>28</v>
      </c>
      <c r="J2225" s="3">
        <v>0</v>
      </c>
      <c r="K2225" s="3">
        <v>15</v>
      </c>
      <c r="L2225" s="3">
        <v>0</v>
      </c>
      <c r="M2225" s="3">
        <v>30</v>
      </c>
      <c r="N2225" s="3">
        <v>17</v>
      </c>
      <c r="O2225" s="3"/>
      <c r="P2225" s="3"/>
      <c r="Q2225" s="3"/>
    </row>
    <row r="2226" spans="1:17" ht="15" x14ac:dyDescent="0.25">
      <c r="A2226" s="3">
        <f>2219</f>
        <v>2219</v>
      </c>
      <c r="B2226" s="3" t="s">
        <v>2228</v>
      </c>
      <c r="C2226" s="3" t="s">
        <v>10</v>
      </c>
      <c r="D2226" s="3" t="s">
        <v>9</v>
      </c>
      <c r="E2226" s="3">
        <v>22</v>
      </c>
      <c r="F2226" s="3">
        <v>0</v>
      </c>
      <c r="G2226" s="3">
        <v>0</v>
      </c>
      <c r="H2226" s="3">
        <v>18</v>
      </c>
      <c r="I2226" s="3">
        <v>28</v>
      </c>
      <c r="J2226" s="3">
        <v>0</v>
      </c>
      <c r="K2226" s="3">
        <v>15</v>
      </c>
      <c r="L2226" s="3">
        <v>0</v>
      </c>
      <c r="M2226" s="3">
        <v>30</v>
      </c>
      <c r="N2226" s="3">
        <v>17</v>
      </c>
      <c r="O2226" s="3"/>
      <c r="P2226" s="3"/>
      <c r="Q2226" s="3"/>
    </row>
    <row r="2227" spans="1:17" ht="15" x14ac:dyDescent="0.25">
      <c r="A2227" s="3">
        <f>2220</f>
        <v>2220</v>
      </c>
      <c r="B2227" s="3" t="s">
        <v>2229</v>
      </c>
      <c r="C2227" s="3" t="s">
        <v>10</v>
      </c>
      <c r="D2227" s="3" t="s">
        <v>9</v>
      </c>
      <c r="E2227" s="3">
        <v>22</v>
      </c>
      <c r="F2227" s="3">
        <v>0</v>
      </c>
      <c r="G2227" s="3">
        <v>0</v>
      </c>
      <c r="H2227" s="3">
        <v>18</v>
      </c>
      <c r="I2227" s="3">
        <v>28</v>
      </c>
      <c r="J2227" s="3">
        <v>0</v>
      </c>
      <c r="K2227" s="3">
        <v>15</v>
      </c>
      <c r="L2227" s="3">
        <v>0</v>
      </c>
      <c r="M2227" s="3">
        <v>30</v>
      </c>
      <c r="N2227" s="3">
        <v>17</v>
      </c>
      <c r="O2227" s="3"/>
      <c r="P2227" s="3"/>
      <c r="Q2227" s="3"/>
    </row>
    <row r="2228" spans="1:17" ht="15" x14ac:dyDescent="0.25">
      <c r="A2228" s="3">
        <f>2221</f>
        <v>2221</v>
      </c>
      <c r="B2228" s="3" t="s">
        <v>2230</v>
      </c>
      <c r="C2228" s="3" t="s">
        <v>10</v>
      </c>
      <c r="D2228" s="3" t="s">
        <v>9</v>
      </c>
      <c r="E2228" s="3">
        <v>22</v>
      </c>
      <c r="F2228" s="3">
        <v>0</v>
      </c>
      <c r="G2228" s="3">
        <v>0</v>
      </c>
      <c r="H2228" s="3">
        <v>18</v>
      </c>
      <c r="I2228" s="3">
        <v>28</v>
      </c>
      <c r="J2228" s="3">
        <v>0</v>
      </c>
      <c r="K2228" s="3">
        <v>15</v>
      </c>
      <c r="L2228" s="3">
        <v>0</v>
      </c>
      <c r="M2228" s="3">
        <v>30</v>
      </c>
      <c r="N2228" s="3">
        <v>17</v>
      </c>
      <c r="O2228" s="3"/>
      <c r="P2228" s="3"/>
      <c r="Q2228" s="3"/>
    </row>
    <row r="2229" spans="1:17" ht="15" x14ac:dyDescent="0.25">
      <c r="A2229" s="3">
        <f>2222</f>
        <v>2222</v>
      </c>
      <c r="B2229" s="3" t="s">
        <v>2231</v>
      </c>
      <c r="C2229" s="3" t="s">
        <v>10</v>
      </c>
      <c r="D2229" s="3" t="s">
        <v>9</v>
      </c>
      <c r="E2229" s="3">
        <v>22</v>
      </c>
      <c r="F2229" s="3">
        <v>0</v>
      </c>
      <c r="G2229" s="3">
        <v>0</v>
      </c>
      <c r="H2229" s="3">
        <v>18</v>
      </c>
      <c r="I2229" s="3">
        <v>28</v>
      </c>
      <c r="J2229" s="3">
        <v>0</v>
      </c>
      <c r="K2229" s="3">
        <v>15</v>
      </c>
      <c r="L2229" s="3">
        <v>0</v>
      </c>
      <c r="M2229" s="3">
        <v>30</v>
      </c>
      <c r="N2229" s="3">
        <v>17</v>
      </c>
      <c r="O2229" s="3"/>
      <c r="P2229" s="3"/>
      <c r="Q2229" s="3"/>
    </row>
    <row r="2230" spans="1:17" ht="15" x14ac:dyDescent="0.25">
      <c r="A2230" s="3">
        <f>2223</f>
        <v>2223</v>
      </c>
      <c r="B2230" s="3" t="s">
        <v>2232</v>
      </c>
      <c r="C2230" s="3" t="s">
        <v>10</v>
      </c>
      <c r="D2230" s="3" t="s">
        <v>9</v>
      </c>
      <c r="E2230" s="3">
        <v>22</v>
      </c>
      <c r="F2230" s="3">
        <v>0</v>
      </c>
      <c r="G2230" s="3">
        <v>0</v>
      </c>
      <c r="H2230" s="3">
        <v>18</v>
      </c>
      <c r="I2230" s="3">
        <v>28</v>
      </c>
      <c r="J2230" s="3">
        <v>0</v>
      </c>
      <c r="K2230" s="3">
        <v>15</v>
      </c>
      <c r="L2230" s="3">
        <v>0</v>
      </c>
      <c r="M2230" s="3">
        <v>30</v>
      </c>
      <c r="N2230" s="3">
        <v>17</v>
      </c>
      <c r="O2230" s="3"/>
      <c r="P2230" s="3"/>
      <c r="Q2230" s="3"/>
    </row>
    <row r="2231" spans="1:17" ht="15" x14ac:dyDescent="0.25">
      <c r="A2231" s="3">
        <f>2224</f>
        <v>2224</v>
      </c>
      <c r="B2231" s="3" t="s">
        <v>2233</v>
      </c>
      <c r="C2231" s="3" t="s">
        <v>10</v>
      </c>
      <c r="D2231" s="3" t="s">
        <v>9</v>
      </c>
      <c r="E2231" s="3">
        <v>22</v>
      </c>
      <c r="F2231" s="3">
        <v>0</v>
      </c>
      <c r="G2231" s="3">
        <v>0</v>
      </c>
      <c r="H2231" s="3">
        <v>18</v>
      </c>
      <c r="I2231" s="3">
        <v>28</v>
      </c>
      <c r="J2231" s="3">
        <v>0</v>
      </c>
      <c r="K2231" s="3">
        <v>15</v>
      </c>
      <c r="L2231" s="3">
        <v>0</v>
      </c>
      <c r="M2231" s="3">
        <v>30</v>
      </c>
      <c r="N2231" s="3">
        <v>17</v>
      </c>
      <c r="O2231" s="3"/>
      <c r="P2231" s="3"/>
      <c r="Q2231" s="3"/>
    </row>
    <row r="2232" spans="1:17" ht="15" x14ac:dyDescent="0.25">
      <c r="A2232" s="3">
        <f>2225</f>
        <v>2225</v>
      </c>
      <c r="B2232" s="3" t="s">
        <v>2234</v>
      </c>
      <c r="C2232" s="3" t="s">
        <v>10</v>
      </c>
      <c r="D2232" s="3" t="s">
        <v>9</v>
      </c>
      <c r="E2232" s="3">
        <v>22</v>
      </c>
      <c r="F2232" s="3">
        <v>0</v>
      </c>
      <c r="G2232" s="3">
        <v>0</v>
      </c>
      <c r="H2232" s="3">
        <v>18</v>
      </c>
      <c r="I2232" s="3">
        <v>28</v>
      </c>
      <c r="J2232" s="3">
        <v>0</v>
      </c>
      <c r="K2232" s="3">
        <v>15</v>
      </c>
      <c r="L2232" s="3">
        <v>0</v>
      </c>
      <c r="M2232" s="3">
        <v>30</v>
      </c>
      <c r="N2232" s="3">
        <v>17</v>
      </c>
      <c r="O2232" s="3"/>
      <c r="P2232" s="3"/>
      <c r="Q2232" s="3"/>
    </row>
    <row r="2233" spans="1:17" ht="15" x14ac:dyDescent="0.25">
      <c r="A2233" s="3">
        <f>2226</f>
        <v>2226</v>
      </c>
      <c r="B2233" s="3" t="s">
        <v>2235</v>
      </c>
      <c r="C2233" s="3" t="s">
        <v>10</v>
      </c>
      <c r="D2233" s="3" t="s">
        <v>9</v>
      </c>
      <c r="E2233" s="3">
        <v>22</v>
      </c>
      <c r="F2233" s="3">
        <v>0</v>
      </c>
      <c r="G2233" s="3">
        <v>0</v>
      </c>
      <c r="H2233" s="3">
        <v>18</v>
      </c>
      <c r="I2233" s="3">
        <v>28</v>
      </c>
      <c r="J2233" s="3">
        <v>0</v>
      </c>
      <c r="K2233" s="3">
        <v>15</v>
      </c>
      <c r="L2233" s="3">
        <v>0</v>
      </c>
      <c r="M2233" s="3">
        <v>30</v>
      </c>
      <c r="N2233" s="3">
        <v>17</v>
      </c>
      <c r="O2233" s="3"/>
      <c r="P2233" s="3"/>
      <c r="Q2233" s="3"/>
    </row>
    <row r="2234" spans="1:17" ht="15" x14ac:dyDescent="0.25">
      <c r="A2234" s="3">
        <f>2227</f>
        <v>2227</v>
      </c>
      <c r="B2234" s="3" t="s">
        <v>2236</v>
      </c>
      <c r="C2234" s="3" t="s">
        <v>10</v>
      </c>
      <c r="D2234" s="3" t="s">
        <v>9</v>
      </c>
      <c r="E2234" s="3">
        <v>22</v>
      </c>
      <c r="F2234" s="3">
        <v>0</v>
      </c>
      <c r="G2234" s="3">
        <v>0</v>
      </c>
      <c r="H2234" s="3">
        <v>18</v>
      </c>
      <c r="I2234" s="3">
        <v>28</v>
      </c>
      <c r="J2234" s="3">
        <v>0</v>
      </c>
      <c r="K2234" s="3">
        <v>15</v>
      </c>
      <c r="L2234" s="3">
        <v>0</v>
      </c>
      <c r="M2234" s="3">
        <v>30</v>
      </c>
      <c r="N2234" s="3">
        <v>17</v>
      </c>
      <c r="O2234" s="3"/>
      <c r="P2234" s="3"/>
      <c r="Q2234" s="3"/>
    </row>
    <row r="2235" spans="1:17" ht="15" x14ac:dyDescent="0.25">
      <c r="A2235" s="3">
        <f>2228</f>
        <v>2228</v>
      </c>
      <c r="B2235" s="3" t="s">
        <v>2237</v>
      </c>
      <c r="C2235" s="3" t="s">
        <v>10</v>
      </c>
      <c r="D2235" s="3" t="s">
        <v>9</v>
      </c>
      <c r="E2235" s="3">
        <v>22</v>
      </c>
      <c r="F2235" s="3">
        <v>0</v>
      </c>
      <c r="G2235" s="3">
        <v>0</v>
      </c>
      <c r="H2235" s="3">
        <v>18</v>
      </c>
      <c r="I2235" s="3">
        <v>28</v>
      </c>
      <c r="J2235" s="3">
        <v>0</v>
      </c>
      <c r="K2235" s="3">
        <v>15</v>
      </c>
      <c r="L2235" s="3">
        <v>0</v>
      </c>
      <c r="M2235" s="3">
        <v>30</v>
      </c>
      <c r="N2235" s="3">
        <v>17</v>
      </c>
      <c r="O2235" s="3"/>
      <c r="P2235" s="3"/>
      <c r="Q2235" s="3"/>
    </row>
    <row r="2236" spans="1:17" ht="15" x14ac:dyDescent="0.25">
      <c r="A2236" s="3">
        <f>2229</f>
        <v>2229</v>
      </c>
      <c r="B2236" s="3" t="s">
        <v>2238</v>
      </c>
      <c r="C2236" s="3" t="s">
        <v>10</v>
      </c>
      <c r="D2236" s="3" t="s">
        <v>9</v>
      </c>
      <c r="E2236" s="3">
        <v>22</v>
      </c>
      <c r="F2236" s="3">
        <v>0</v>
      </c>
      <c r="G2236" s="3">
        <v>0</v>
      </c>
      <c r="H2236" s="3">
        <v>18</v>
      </c>
      <c r="I2236" s="3">
        <v>28</v>
      </c>
      <c r="J2236" s="3">
        <v>0</v>
      </c>
      <c r="K2236" s="3">
        <v>15</v>
      </c>
      <c r="L2236" s="3">
        <v>0</v>
      </c>
      <c r="M2236" s="3">
        <v>30</v>
      </c>
      <c r="N2236" s="3">
        <v>17</v>
      </c>
      <c r="O2236" s="3"/>
      <c r="P2236" s="3"/>
      <c r="Q2236" s="3"/>
    </row>
    <row r="2237" spans="1:17" ht="15" x14ac:dyDescent="0.25">
      <c r="A2237" s="3">
        <f>2230</f>
        <v>2230</v>
      </c>
      <c r="B2237" s="3" t="s">
        <v>2239</v>
      </c>
      <c r="C2237" s="3" t="s">
        <v>10</v>
      </c>
      <c r="D2237" s="3" t="s">
        <v>9</v>
      </c>
      <c r="E2237" s="3">
        <v>22</v>
      </c>
      <c r="F2237" s="3">
        <v>0</v>
      </c>
      <c r="G2237" s="3">
        <v>0</v>
      </c>
      <c r="H2237" s="3">
        <v>18</v>
      </c>
      <c r="I2237" s="3">
        <v>28</v>
      </c>
      <c r="J2237" s="3">
        <v>0</v>
      </c>
      <c r="K2237" s="3">
        <v>15</v>
      </c>
      <c r="L2237" s="3">
        <v>0</v>
      </c>
      <c r="M2237" s="3">
        <v>30</v>
      </c>
      <c r="N2237" s="3">
        <v>17</v>
      </c>
      <c r="O2237" s="3"/>
      <c r="P2237" s="3"/>
      <c r="Q2237" s="3"/>
    </row>
    <row r="2238" spans="1:17" ht="15" x14ac:dyDescent="0.25">
      <c r="A2238" s="3">
        <f>2231</f>
        <v>2231</v>
      </c>
      <c r="B2238" s="3" t="s">
        <v>2240</v>
      </c>
      <c r="C2238" s="3" t="s">
        <v>10</v>
      </c>
      <c r="D2238" s="3" t="s">
        <v>9</v>
      </c>
      <c r="E2238" s="3">
        <v>22</v>
      </c>
      <c r="F2238" s="3">
        <v>0</v>
      </c>
      <c r="G2238" s="3">
        <v>0</v>
      </c>
      <c r="H2238" s="3">
        <v>18</v>
      </c>
      <c r="I2238" s="3">
        <v>28</v>
      </c>
      <c r="J2238" s="3">
        <v>0</v>
      </c>
      <c r="K2238" s="3">
        <v>15</v>
      </c>
      <c r="L2238" s="3">
        <v>0</v>
      </c>
      <c r="M2238" s="3">
        <v>30</v>
      </c>
      <c r="N2238" s="3">
        <v>17</v>
      </c>
      <c r="O2238" s="3"/>
      <c r="P2238" s="3"/>
      <c r="Q2238" s="3"/>
    </row>
    <row r="2239" spans="1:17" ht="15" x14ac:dyDescent="0.25">
      <c r="A2239" s="3">
        <f>2232</f>
        <v>2232</v>
      </c>
      <c r="B2239" s="3" t="s">
        <v>2241</v>
      </c>
      <c r="C2239" s="3" t="s">
        <v>10</v>
      </c>
      <c r="D2239" s="3" t="s">
        <v>9</v>
      </c>
      <c r="E2239" s="3">
        <v>22</v>
      </c>
      <c r="F2239" s="3">
        <v>0</v>
      </c>
      <c r="G2239" s="3">
        <v>0</v>
      </c>
      <c r="H2239" s="3">
        <v>18</v>
      </c>
      <c r="I2239" s="3">
        <v>28</v>
      </c>
      <c r="J2239" s="3">
        <v>0</v>
      </c>
      <c r="K2239" s="3">
        <v>15</v>
      </c>
      <c r="L2239" s="3">
        <v>0</v>
      </c>
      <c r="M2239" s="3">
        <v>30</v>
      </c>
      <c r="N2239" s="3">
        <v>17</v>
      </c>
      <c r="O2239" s="3"/>
      <c r="P2239" s="3"/>
      <c r="Q2239" s="3"/>
    </row>
    <row r="2240" spans="1:17" ht="15" x14ac:dyDescent="0.25">
      <c r="A2240" s="3">
        <f>2233</f>
        <v>2233</v>
      </c>
      <c r="B2240" s="3" t="s">
        <v>2242</v>
      </c>
      <c r="C2240" s="3" t="s">
        <v>10</v>
      </c>
      <c r="D2240" s="3" t="s">
        <v>9</v>
      </c>
      <c r="E2240" s="3">
        <v>22</v>
      </c>
      <c r="F2240" s="3">
        <v>0</v>
      </c>
      <c r="G2240" s="3">
        <v>0</v>
      </c>
      <c r="H2240" s="3">
        <v>18</v>
      </c>
      <c r="I2240" s="3">
        <v>28</v>
      </c>
      <c r="J2240" s="3">
        <v>0</v>
      </c>
      <c r="K2240" s="3">
        <v>15</v>
      </c>
      <c r="L2240" s="3">
        <v>0</v>
      </c>
      <c r="M2240" s="3">
        <v>30</v>
      </c>
      <c r="N2240" s="3">
        <v>17</v>
      </c>
      <c r="O2240" s="3"/>
      <c r="P2240" s="3"/>
      <c r="Q2240" s="3"/>
    </row>
    <row r="2241" spans="1:17" ht="15" x14ac:dyDescent="0.25">
      <c r="A2241" s="3">
        <f>2234</f>
        <v>2234</v>
      </c>
      <c r="B2241" s="3" t="s">
        <v>2243</v>
      </c>
      <c r="C2241" s="3" t="s">
        <v>10</v>
      </c>
      <c r="D2241" s="3" t="s">
        <v>9</v>
      </c>
      <c r="E2241" s="3">
        <v>22</v>
      </c>
      <c r="F2241" s="3">
        <v>0</v>
      </c>
      <c r="G2241" s="3">
        <v>0</v>
      </c>
      <c r="H2241" s="3">
        <v>18</v>
      </c>
      <c r="I2241" s="3">
        <v>28</v>
      </c>
      <c r="J2241" s="3">
        <v>0</v>
      </c>
      <c r="K2241" s="3">
        <v>15</v>
      </c>
      <c r="L2241" s="3">
        <v>0</v>
      </c>
      <c r="M2241" s="3">
        <v>30</v>
      </c>
      <c r="N2241" s="3">
        <v>17</v>
      </c>
      <c r="O2241" s="3"/>
      <c r="P2241" s="3"/>
      <c r="Q2241" s="3"/>
    </row>
    <row r="2242" spans="1:17" ht="15" x14ac:dyDescent="0.25">
      <c r="A2242" s="3">
        <f>2235</f>
        <v>2235</v>
      </c>
      <c r="B2242" s="3" t="s">
        <v>2244</v>
      </c>
      <c r="C2242" s="3" t="s">
        <v>10</v>
      </c>
      <c r="D2242" s="3" t="s">
        <v>9</v>
      </c>
      <c r="E2242" s="3">
        <v>22</v>
      </c>
      <c r="F2242" s="3">
        <v>0</v>
      </c>
      <c r="G2242" s="3">
        <v>0</v>
      </c>
      <c r="H2242" s="3">
        <v>18</v>
      </c>
      <c r="I2242" s="3">
        <v>28</v>
      </c>
      <c r="J2242" s="3">
        <v>0</v>
      </c>
      <c r="K2242" s="3">
        <v>15</v>
      </c>
      <c r="L2242" s="3">
        <v>0</v>
      </c>
      <c r="M2242" s="3">
        <v>30</v>
      </c>
      <c r="N2242" s="3">
        <v>17</v>
      </c>
      <c r="O2242" s="3"/>
      <c r="P2242" s="3"/>
      <c r="Q2242" s="3"/>
    </row>
    <row r="2243" spans="1:17" ht="15" x14ac:dyDescent="0.25">
      <c r="A2243" s="3">
        <f>2236</f>
        <v>2236</v>
      </c>
      <c r="B2243" s="3" t="s">
        <v>2245</v>
      </c>
      <c r="C2243" s="3" t="s">
        <v>10</v>
      </c>
      <c r="D2243" s="3" t="s">
        <v>9</v>
      </c>
      <c r="E2243" s="3">
        <v>22</v>
      </c>
      <c r="F2243" s="3">
        <v>0</v>
      </c>
      <c r="G2243" s="3">
        <v>0</v>
      </c>
      <c r="H2243" s="3">
        <v>18</v>
      </c>
      <c r="I2243" s="3">
        <v>28</v>
      </c>
      <c r="J2243" s="3">
        <v>0</v>
      </c>
      <c r="K2243" s="3">
        <v>15</v>
      </c>
      <c r="L2243" s="3">
        <v>0</v>
      </c>
      <c r="M2243" s="3">
        <v>30</v>
      </c>
      <c r="N2243" s="3">
        <v>17</v>
      </c>
      <c r="O2243" s="3"/>
      <c r="P2243" s="3"/>
      <c r="Q2243" s="3"/>
    </row>
    <row r="2244" spans="1:17" ht="15" x14ac:dyDescent="0.25">
      <c r="A2244" s="3">
        <f>2237</f>
        <v>2237</v>
      </c>
      <c r="B2244" s="3" t="s">
        <v>2246</v>
      </c>
      <c r="C2244" s="3" t="s">
        <v>10</v>
      </c>
      <c r="D2244" s="3" t="s">
        <v>9</v>
      </c>
      <c r="E2244" s="3">
        <v>22</v>
      </c>
      <c r="F2244" s="3">
        <v>0</v>
      </c>
      <c r="G2244" s="3">
        <v>0</v>
      </c>
      <c r="H2244" s="3">
        <v>18</v>
      </c>
      <c r="I2244" s="3">
        <v>28</v>
      </c>
      <c r="J2244" s="3">
        <v>0</v>
      </c>
      <c r="K2244" s="3">
        <v>15</v>
      </c>
      <c r="L2244" s="3">
        <v>0</v>
      </c>
      <c r="M2244" s="3">
        <v>30</v>
      </c>
      <c r="N2244" s="3">
        <v>17</v>
      </c>
      <c r="O2244" s="3"/>
      <c r="P2244" s="3"/>
      <c r="Q2244" s="3"/>
    </row>
    <row r="2245" spans="1:17" ht="15" x14ac:dyDescent="0.25">
      <c r="A2245" s="3">
        <f>2238</f>
        <v>2238</v>
      </c>
      <c r="B2245" s="3" t="s">
        <v>2247</v>
      </c>
      <c r="C2245" s="3" t="s">
        <v>10</v>
      </c>
      <c r="D2245" s="3" t="s">
        <v>9</v>
      </c>
      <c r="E2245" s="3">
        <v>22</v>
      </c>
      <c r="F2245" s="3">
        <v>0</v>
      </c>
      <c r="G2245" s="3">
        <v>0</v>
      </c>
      <c r="H2245" s="3">
        <v>18</v>
      </c>
      <c r="I2245" s="3">
        <v>28</v>
      </c>
      <c r="J2245" s="3">
        <v>0</v>
      </c>
      <c r="K2245" s="3">
        <v>15</v>
      </c>
      <c r="L2245" s="3">
        <v>0</v>
      </c>
      <c r="M2245" s="3">
        <v>30</v>
      </c>
      <c r="N2245" s="3">
        <v>17</v>
      </c>
      <c r="O2245" s="3"/>
      <c r="P2245" s="3"/>
      <c r="Q2245" s="3"/>
    </row>
    <row r="2246" spans="1:17" ht="15" x14ac:dyDescent="0.25">
      <c r="A2246" s="3">
        <f>2239</f>
        <v>2239</v>
      </c>
      <c r="B2246" s="3" t="s">
        <v>2248</v>
      </c>
      <c r="C2246" s="3" t="s">
        <v>10</v>
      </c>
      <c r="D2246" s="3" t="s">
        <v>9</v>
      </c>
      <c r="E2246" s="3">
        <v>22</v>
      </c>
      <c r="F2246" s="3">
        <v>0</v>
      </c>
      <c r="G2246" s="3">
        <v>0</v>
      </c>
      <c r="H2246" s="3">
        <v>18</v>
      </c>
      <c r="I2246" s="3">
        <v>28</v>
      </c>
      <c r="J2246" s="3">
        <v>0</v>
      </c>
      <c r="K2246" s="3">
        <v>15</v>
      </c>
      <c r="L2246" s="3">
        <v>0</v>
      </c>
      <c r="M2246" s="3">
        <v>30</v>
      </c>
      <c r="N2246" s="3">
        <v>17</v>
      </c>
      <c r="O2246" s="3"/>
      <c r="P2246" s="3"/>
      <c r="Q2246" s="3"/>
    </row>
    <row r="2247" spans="1:17" ht="15" x14ac:dyDescent="0.25">
      <c r="A2247" s="3">
        <f>2240</f>
        <v>2240</v>
      </c>
      <c r="B2247" s="3" t="s">
        <v>2249</v>
      </c>
      <c r="C2247" s="3" t="s">
        <v>10</v>
      </c>
      <c r="D2247" s="3" t="s">
        <v>9</v>
      </c>
      <c r="E2247" s="3">
        <v>22</v>
      </c>
      <c r="F2247" s="3">
        <v>0</v>
      </c>
      <c r="G2247" s="3">
        <v>0</v>
      </c>
      <c r="H2247" s="3">
        <v>18</v>
      </c>
      <c r="I2247" s="3">
        <v>28</v>
      </c>
      <c r="J2247" s="3">
        <v>0</v>
      </c>
      <c r="K2247" s="3">
        <v>15</v>
      </c>
      <c r="L2247" s="3">
        <v>0</v>
      </c>
      <c r="M2247" s="3">
        <v>30</v>
      </c>
      <c r="N2247" s="3">
        <v>17</v>
      </c>
      <c r="O2247" s="3"/>
      <c r="P2247" s="3"/>
      <c r="Q2247" s="3"/>
    </row>
    <row r="2248" spans="1:17" ht="15" x14ac:dyDescent="0.25">
      <c r="A2248" s="3">
        <f>2241</f>
        <v>2241</v>
      </c>
      <c r="B2248" s="3" t="s">
        <v>2250</v>
      </c>
      <c r="C2248" s="3" t="s">
        <v>10</v>
      </c>
      <c r="D2248" s="3" t="s">
        <v>9</v>
      </c>
      <c r="E2248" s="3">
        <v>22</v>
      </c>
      <c r="F2248" s="3">
        <v>0</v>
      </c>
      <c r="G2248" s="3">
        <v>0</v>
      </c>
      <c r="H2248" s="3">
        <v>18</v>
      </c>
      <c r="I2248" s="3">
        <v>28</v>
      </c>
      <c r="J2248" s="3">
        <v>0</v>
      </c>
      <c r="K2248" s="3">
        <v>15</v>
      </c>
      <c r="L2248" s="3">
        <v>0</v>
      </c>
      <c r="M2248" s="3">
        <v>30</v>
      </c>
      <c r="N2248" s="3">
        <v>17</v>
      </c>
      <c r="O2248" s="3"/>
      <c r="P2248" s="3"/>
      <c r="Q2248" s="3"/>
    </row>
    <row r="2249" spans="1:17" ht="15" x14ac:dyDescent="0.25">
      <c r="A2249" s="3">
        <f>2242</f>
        <v>2242</v>
      </c>
      <c r="B2249" s="3" t="s">
        <v>2251</v>
      </c>
      <c r="C2249" s="3" t="s">
        <v>10</v>
      </c>
      <c r="D2249" s="3" t="s">
        <v>9</v>
      </c>
      <c r="E2249" s="3">
        <v>22</v>
      </c>
      <c r="F2249" s="3">
        <v>0</v>
      </c>
      <c r="G2249" s="3">
        <v>0</v>
      </c>
      <c r="H2249" s="3">
        <v>18</v>
      </c>
      <c r="I2249" s="3">
        <v>28</v>
      </c>
      <c r="J2249" s="3">
        <v>0</v>
      </c>
      <c r="K2249" s="3">
        <v>15</v>
      </c>
      <c r="L2249" s="3">
        <v>0</v>
      </c>
      <c r="M2249" s="3">
        <v>30</v>
      </c>
      <c r="N2249" s="3">
        <v>17</v>
      </c>
      <c r="O2249" s="3"/>
      <c r="P2249" s="3"/>
      <c r="Q2249" s="3"/>
    </row>
    <row r="2250" spans="1:17" ht="15" x14ac:dyDescent="0.25">
      <c r="A2250" s="3">
        <f>2243</f>
        <v>2243</v>
      </c>
      <c r="B2250" s="3" t="s">
        <v>2252</v>
      </c>
      <c r="C2250" s="3" t="s">
        <v>10</v>
      </c>
      <c r="D2250" s="3" t="s">
        <v>9</v>
      </c>
      <c r="E2250" s="3">
        <v>22</v>
      </c>
      <c r="F2250" s="3">
        <v>0</v>
      </c>
      <c r="G2250" s="3">
        <v>0</v>
      </c>
      <c r="H2250" s="3">
        <v>18</v>
      </c>
      <c r="I2250" s="3">
        <v>28</v>
      </c>
      <c r="J2250" s="3">
        <v>0</v>
      </c>
      <c r="K2250" s="3">
        <v>15</v>
      </c>
      <c r="L2250" s="3">
        <v>0</v>
      </c>
      <c r="M2250" s="3">
        <v>30</v>
      </c>
      <c r="N2250" s="3">
        <v>17</v>
      </c>
      <c r="O2250" s="3"/>
      <c r="P2250" s="3"/>
      <c r="Q2250" s="3"/>
    </row>
    <row r="2251" spans="1:17" ht="15" x14ac:dyDescent="0.25">
      <c r="A2251" s="3">
        <f>2244</f>
        <v>2244</v>
      </c>
      <c r="B2251" s="3" t="s">
        <v>2253</v>
      </c>
      <c r="C2251" s="3" t="s">
        <v>10</v>
      </c>
      <c r="D2251" s="3" t="s">
        <v>9</v>
      </c>
      <c r="E2251" s="3">
        <v>22</v>
      </c>
      <c r="F2251" s="3">
        <v>0</v>
      </c>
      <c r="G2251" s="3">
        <v>0</v>
      </c>
      <c r="H2251" s="3">
        <v>18</v>
      </c>
      <c r="I2251" s="3">
        <v>28</v>
      </c>
      <c r="J2251" s="3">
        <v>0</v>
      </c>
      <c r="K2251" s="3">
        <v>15</v>
      </c>
      <c r="L2251" s="3">
        <v>0</v>
      </c>
      <c r="M2251" s="3">
        <v>30</v>
      </c>
      <c r="N2251" s="3">
        <v>17</v>
      </c>
      <c r="O2251" s="3"/>
      <c r="P2251" s="3"/>
      <c r="Q2251" s="3"/>
    </row>
    <row r="2252" spans="1:17" ht="15" x14ac:dyDescent="0.25">
      <c r="A2252" s="3">
        <f>2245</f>
        <v>2245</v>
      </c>
      <c r="B2252" s="3" t="s">
        <v>2254</v>
      </c>
      <c r="C2252" s="3" t="s">
        <v>10</v>
      </c>
      <c r="D2252" s="3" t="s">
        <v>9</v>
      </c>
      <c r="E2252" s="3">
        <v>22</v>
      </c>
      <c r="F2252" s="3">
        <v>0</v>
      </c>
      <c r="G2252" s="3">
        <v>0</v>
      </c>
      <c r="H2252" s="3">
        <v>18</v>
      </c>
      <c r="I2252" s="3">
        <v>28</v>
      </c>
      <c r="J2252" s="3">
        <v>0</v>
      </c>
      <c r="K2252" s="3">
        <v>15</v>
      </c>
      <c r="L2252" s="3">
        <v>0</v>
      </c>
      <c r="M2252" s="3">
        <v>30</v>
      </c>
      <c r="N2252" s="3">
        <v>17</v>
      </c>
      <c r="O2252" s="3"/>
      <c r="P2252" s="3"/>
      <c r="Q2252" s="3"/>
    </row>
    <row r="2253" spans="1:17" ht="15" x14ac:dyDescent="0.25">
      <c r="A2253" s="3">
        <f>2246</f>
        <v>2246</v>
      </c>
      <c r="B2253" s="3" t="s">
        <v>2255</v>
      </c>
      <c r="C2253" s="3" t="s">
        <v>10</v>
      </c>
      <c r="D2253" s="3" t="s">
        <v>9</v>
      </c>
      <c r="E2253" s="3">
        <v>22</v>
      </c>
      <c r="F2253" s="3">
        <v>0</v>
      </c>
      <c r="G2253" s="3">
        <v>0</v>
      </c>
      <c r="H2253" s="3">
        <v>18</v>
      </c>
      <c r="I2253" s="3">
        <v>28</v>
      </c>
      <c r="J2253" s="3">
        <v>0</v>
      </c>
      <c r="K2253" s="3">
        <v>15</v>
      </c>
      <c r="L2253" s="3">
        <v>0</v>
      </c>
      <c r="M2253" s="3">
        <v>30</v>
      </c>
      <c r="N2253" s="3">
        <v>17</v>
      </c>
      <c r="O2253" s="3"/>
      <c r="P2253" s="3"/>
      <c r="Q2253" s="3"/>
    </row>
    <row r="2254" spans="1:17" ht="15" x14ac:dyDescent="0.25">
      <c r="A2254" s="3">
        <f>2247</f>
        <v>2247</v>
      </c>
      <c r="B2254" s="3" t="s">
        <v>2256</v>
      </c>
      <c r="C2254" s="3" t="s">
        <v>10</v>
      </c>
      <c r="D2254" s="3" t="s">
        <v>9</v>
      </c>
      <c r="E2254" s="3">
        <v>22</v>
      </c>
      <c r="F2254" s="3">
        <v>0</v>
      </c>
      <c r="G2254" s="3">
        <v>0</v>
      </c>
      <c r="H2254" s="3">
        <v>18</v>
      </c>
      <c r="I2254" s="3">
        <v>28</v>
      </c>
      <c r="J2254" s="3">
        <v>0</v>
      </c>
      <c r="K2254" s="3">
        <v>15</v>
      </c>
      <c r="L2254" s="3">
        <v>0</v>
      </c>
      <c r="M2254" s="3">
        <v>30</v>
      </c>
      <c r="N2254" s="3">
        <v>17</v>
      </c>
      <c r="O2254" s="3"/>
      <c r="P2254" s="3"/>
      <c r="Q2254" s="3"/>
    </row>
    <row r="2255" spans="1:17" ht="15" x14ac:dyDescent="0.25">
      <c r="A2255" s="3">
        <f>2248</f>
        <v>2248</v>
      </c>
      <c r="B2255" s="3" t="s">
        <v>2257</v>
      </c>
      <c r="C2255" s="3" t="s">
        <v>10</v>
      </c>
      <c r="D2255" s="3" t="s">
        <v>9</v>
      </c>
      <c r="E2255" s="3">
        <v>22</v>
      </c>
      <c r="F2255" s="3">
        <v>0</v>
      </c>
      <c r="G2255" s="3">
        <v>0</v>
      </c>
      <c r="H2255" s="3">
        <v>18</v>
      </c>
      <c r="I2255" s="3">
        <v>28</v>
      </c>
      <c r="J2255" s="3">
        <v>0</v>
      </c>
      <c r="K2255" s="3">
        <v>15</v>
      </c>
      <c r="L2255" s="3">
        <v>0</v>
      </c>
      <c r="M2255" s="3">
        <v>30</v>
      </c>
      <c r="N2255" s="3">
        <v>17</v>
      </c>
      <c r="O2255" s="3"/>
      <c r="P2255" s="3"/>
      <c r="Q2255" s="3"/>
    </row>
    <row r="2256" spans="1:17" ht="15" x14ac:dyDescent="0.25">
      <c r="A2256" s="3">
        <f>2249</f>
        <v>2249</v>
      </c>
      <c r="B2256" s="3" t="s">
        <v>2258</v>
      </c>
      <c r="C2256" s="3" t="s">
        <v>10</v>
      </c>
      <c r="D2256" s="3" t="s">
        <v>9</v>
      </c>
      <c r="E2256" s="3">
        <v>22</v>
      </c>
      <c r="F2256" s="3">
        <v>0</v>
      </c>
      <c r="G2256" s="3">
        <v>0</v>
      </c>
      <c r="H2256" s="3">
        <v>18</v>
      </c>
      <c r="I2256" s="3">
        <v>28</v>
      </c>
      <c r="J2256" s="3">
        <v>0</v>
      </c>
      <c r="K2256" s="3">
        <v>15</v>
      </c>
      <c r="L2256" s="3">
        <v>0</v>
      </c>
      <c r="M2256" s="3">
        <v>30</v>
      </c>
      <c r="N2256" s="3">
        <v>17</v>
      </c>
      <c r="O2256" s="3"/>
      <c r="P2256" s="3"/>
      <c r="Q2256" s="3"/>
    </row>
    <row r="2257" spans="1:17" ht="15" x14ac:dyDescent="0.25">
      <c r="A2257" s="3">
        <f>2250</f>
        <v>2250</v>
      </c>
      <c r="B2257" s="3" t="s">
        <v>2259</v>
      </c>
      <c r="C2257" s="3" t="s">
        <v>10</v>
      </c>
      <c r="D2257" s="3" t="s">
        <v>9</v>
      </c>
      <c r="E2257" s="3">
        <v>22</v>
      </c>
      <c r="F2257" s="3">
        <v>0</v>
      </c>
      <c r="G2257" s="3">
        <v>0</v>
      </c>
      <c r="H2257" s="3">
        <v>18</v>
      </c>
      <c r="I2257" s="3">
        <v>28</v>
      </c>
      <c r="J2257" s="3">
        <v>0</v>
      </c>
      <c r="K2257" s="3">
        <v>15</v>
      </c>
      <c r="L2257" s="3">
        <v>0</v>
      </c>
      <c r="M2257" s="3">
        <v>30</v>
      </c>
      <c r="N2257" s="3">
        <v>17</v>
      </c>
      <c r="O2257" s="3"/>
      <c r="P2257" s="3"/>
      <c r="Q2257" s="3"/>
    </row>
    <row r="2258" spans="1:17" ht="15" x14ac:dyDescent="0.25">
      <c r="A2258" s="3">
        <f>2251</f>
        <v>2251</v>
      </c>
      <c r="B2258" s="3" t="s">
        <v>2260</v>
      </c>
      <c r="C2258" s="3" t="s">
        <v>10</v>
      </c>
      <c r="D2258" s="3" t="s">
        <v>9</v>
      </c>
      <c r="E2258" s="3">
        <v>22</v>
      </c>
      <c r="F2258" s="3">
        <v>0</v>
      </c>
      <c r="G2258" s="3">
        <v>0</v>
      </c>
      <c r="H2258" s="3">
        <v>18</v>
      </c>
      <c r="I2258" s="3">
        <v>28</v>
      </c>
      <c r="J2258" s="3">
        <v>0</v>
      </c>
      <c r="K2258" s="3">
        <v>15</v>
      </c>
      <c r="L2258" s="3">
        <v>0</v>
      </c>
      <c r="M2258" s="3">
        <v>30</v>
      </c>
      <c r="N2258" s="3">
        <v>17</v>
      </c>
      <c r="O2258" s="3"/>
      <c r="P2258" s="3"/>
      <c r="Q2258" s="3"/>
    </row>
    <row r="2259" spans="1:17" ht="15" x14ac:dyDescent="0.25">
      <c r="A2259" s="3">
        <f>2252</f>
        <v>2252</v>
      </c>
      <c r="B2259" s="3" t="s">
        <v>2261</v>
      </c>
      <c r="C2259" s="3" t="s">
        <v>10</v>
      </c>
      <c r="D2259" s="3" t="s">
        <v>9</v>
      </c>
      <c r="E2259" s="3">
        <v>22</v>
      </c>
      <c r="F2259" s="3">
        <v>0</v>
      </c>
      <c r="G2259" s="3">
        <v>0</v>
      </c>
      <c r="H2259" s="3">
        <v>18</v>
      </c>
      <c r="I2259" s="3">
        <v>28</v>
      </c>
      <c r="J2259" s="3">
        <v>0</v>
      </c>
      <c r="K2259" s="3">
        <v>15</v>
      </c>
      <c r="L2259" s="3">
        <v>0</v>
      </c>
      <c r="M2259" s="3">
        <v>30</v>
      </c>
      <c r="N2259" s="3">
        <v>17</v>
      </c>
      <c r="O2259" s="3"/>
      <c r="P2259" s="3"/>
      <c r="Q2259" s="3"/>
    </row>
    <row r="2260" spans="1:17" ht="15" x14ac:dyDescent="0.25">
      <c r="A2260" s="3">
        <f>2253</f>
        <v>2253</v>
      </c>
      <c r="B2260" s="3" t="s">
        <v>2262</v>
      </c>
      <c r="C2260" s="3" t="s">
        <v>10</v>
      </c>
      <c r="D2260" s="3" t="s">
        <v>9</v>
      </c>
      <c r="E2260" s="3">
        <v>22</v>
      </c>
      <c r="F2260" s="3">
        <v>0</v>
      </c>
      <c r="G2260" s="3">
        <v>0</v>
      </c>
      <c r="H2260" s="3">
        <v>18</v>
      </c>
      <c r="I2260" s="3">
        <v>28</v>
      </c>
      <c r="J2260" s="3">
        <v>0</v>
      </c>
      <c r="K2260" s="3">
        <v>15</v>
      </c>
      <c r="L2260" s="3">
        <v>0</v>
      </c>
      <c r="M2260" s="3">
        <v>30</v>
      </c>
      <c r="N2260" s="3">
        <v>17</v>
      </c>
      <c r="O2260" s="3"/>
      <c r="P2260" s="3"/>
      <c r="Q2260" s="3"/>
    </row>
    <row r="2261" spans="1:17" ht="15" x14ac:dyDescent="0.25">
      <c r="A2261" s="3">
        <f>2254</f>
        <v>2254</v>
      </c>
      <c r="B2261" s="3" t="s">
        <v>2263</v>
      </c>
      <c r="C2261" s="3" t="s">
        <v>10</v>
      </c>
      <c r="D2261" s="3" t="s">
        <v>9</v>
      </c>
      <c r="E2261" s="3">
        <v>22</v>
      </c>
      <c r="F2261" s="3">
        <v>0</v>
      </c>
      <c r="G2261" s="3">
        <v>0</v>
      </c>
      <c r="H2261" s="3">
        <v>18</v>
      </c>
      <c r="I2261" s="3">
        <v>28</v>
      </c>
      <c r="J2261" s="3">
        <v>0</v>
      </c>
      <c r="K2261" s="3">
        <v>15</v>
      </c>
      <c r="L2261" s="3">
        <v>0</v>
      </c>
      <c r="M2261" s="3">
        <v>30</v>
      </c>
      <c r="N2261" s="3">
        <v>17</v>
      </c>
      <c r="O2261" s="3"/>
      <c r="P2261" s="3"/>
      <c r="Q2261" s="3"/>
    </row>
    <row r="2262" spans="1:17" ht="15" x14ac:dyDescent="0.25">
      <c r="A2262" s="3">
        <f>2255</f>
        <v>2255</v>
      </c>
      <c r="B2262" s="3" t="s">
        <v>2264</v>
      </c>
      <c r="C2262" s="3" t="s">
        <v>10</v>
      </c>
      <c r="D2262" s="3" t="s">
        <v>9</v>
      </c>
      <c r="E2262" s="3">
        <v>22</v>
      </c>
      <c r="F2262" s="3">
        <v>0</v>
      </c>
      <c r="G2262" s="3">
        <v>0</v>
      </c>
      <c r="H2262" s="3">
        <v>18</v>
      </c>
      <c r="I2262" s="3">
        <v>28</v>
      </c>
      <c r="J2262" s="3">
        <v>0</v>
      </c>
      <c r="K2262" s="3">
        <v>15</v>
      </c>
      <c r="L2262" s="3">
        <v>0</v>
      </c>
      <c r="M2262" s="3">
        <v>30</v>
      </c>
      <c r="N2262" s="3">
        <v>17</v>
      </c>
      <c r="O2262" s="3"/>
      <c r="P2262" s="3"/>
      <c r="Q2262" s="3"/>
    </row>
    <row r="2263" spans="1:17" ht="15" x14ac:dyDescent="0.25">
      <c r="A2263" s="3">
        <f>2256</f>
        <v>2256</v>
      </c>
      <c r="B2263" s="3" t="s">
        <v>2265</v>
      </c>
      <c r="C2263" s="3" t="s">
        <v>10</v>
      </c>
      <c r="D2263" s="3" t="s">
        <v>9</v>
      </c>
      <c r="E2263" s="3">
        <v>22</v>
      </c>
      <c r="F2263" s="3">
        <v>0</v>
      </c>
      <c r="G2263" s="3">
        <v>0</v>
      </c>
      <c r="H2263" s="3">
        <v>18</v>
      </c>
      <c r="I2263" s="3">
        <v>28</v>
      </c>
      <c r="J2263" s="3">
        <v>0</v>
      </c>
      <c r="K2263" s="3">
        <v>15</v>
      </c>
      <c r="L2263" s="3">
        <v>0</v>
      </c>
      <c r="M2263" s="3">
        <v>30</v>
      </c>
      <c r="N2263" s="3">
        <v>17</v>
      </c>
      <c r="O2263" s="3"/>
      <c r="P2263" s="3"/>
      <c r="Q2263" s="3"/>
    </row>
    <row r="2264" spans="1:17" ht="15" x14ac:dyDescent="0.25">
      <c r="A2264" s="3">
        <f>2257</f>
        <v>2257</v>
      </c>
      <c r="B2264" s="3" t="s">
        <v>2266</v>
      </c>
      <c r="C2264" s="3" t="s">
        <v>10</v>
      </c>
      <c r="D2264" s="3" t="s">
        <v>9</v>
      </c>
      <c r="E2264" s="3">
        <v>22</v>
      </c>
      <c r="F2264" s="3">
        <v>0</v>
      </c>
      <c r="G2264" s="3">
        <v>0</v>
      </c>
      <c r="H2264" s="3">
        <v>18</v>
      </c>
      <c r="I2264" s="3">
        <v>28</v>
      </c>
      <c r="J2264" s="3">
        <v>0</v>
      </c>
      <c r="K2264" s="3">
        <v>15</v>
      </c>
      <c r="L2264" s="3">
        <v>0</v>
      </c>
      <c r="M2264" s="3">
        <v>30</v>
      </c>
      <c r="N2264" s="3">
        <v>17</v>
      </c>
      <c r="O2264" s="3"/>
      <c r="P2264" s="3"/>
      <c r="Q2264" s="3"/>
    </row>
    <row r="2265" spans="1:17" ht="15" x14ac:dyDescent="0.25">
      <c r="A2265" s="3">
        <f>2258</f>
        <v>2258</v>
      </c>
      <c r="B2265" s="3" t="s">
        <v>2267</v>
      </c>
      <c r="C2265" s="3" t="s">
        <v>10</v>
      </c>
      <c r="D2265" s="3" t="s">
        <v>9</v>
      </c>
      <c r="E2265" s="3">
        <v>22</v>
      </c>
      <c r="F2265" s="3">
        <v>0</v>
      </c>
      <c r="G2265" s="3">
        <v>0</v>
      </c>
      <c r="H2265" s="3">
        <v>18</v>
      </c>
      <c r="I2265" s="3">
        <v>28</v>
      </c>
      <c r="J2265" s="3">
        <v>0</v>
      </c>
      <c r="K2265" s="3">
        <v>15</v>
      </c>
      <c r="L2265" s="3">
        <v>0</v>
      </c>
      <c r="M2265" s="3">
        <v>30</v>
      </c>
      <c r="N2265" s="3">
        <v>17</v>
      </c>
      <c r="O2265" s="3"/>
      <c r="P2265" s="3"/>
      <c r="Q2265" s="3"/>
    </row>
    <row r="2266" spans="1:17" ht="15" x14ac:dyDescent="0.25">
      <c r="A2266" s="3">
        <f>2259</f>
        <v>2259</v>
      </c>
      <c r="B2266" s="3" t="s">
        <v>2268</v>
      </c>
      <c r="C2266" s="3" t="s">
        <v>10</v>
      </c>
      <c r="D2266" s="3" t="s">
        <v>9</v>
      </c>
      <c r="E2266" s="3">
        <v>22</v>
      </c>
      <c r="F2266" s="3">
        <v>0</v>
      </c>
      <c r="G2266" s="3">
        <v>0</v>
      </c>
      <c r="H2266" s="3">
        <v>18</v>
      </c>
      <c r="I2266" s="3">
        <v>28</v>
      </c>
      <c r="J2266" s="3">
        <v>0</v>
      </c>
      <c r="K2266" s="3">
        <v>15</v>
      </c>
      <c r="L2266" s="3">
        <v>0</v>
      </c>
      <c r="M2266" s="3">
        <v>30</v>
      </c>
      <c r="N2266" s="3">
        <v>17</v>
      </c>
      <c r="O2266" s="3"/>
      <c r="P2266" s="3"/>
      <c r="Q2266" s="3"/>
    </row>
    <row r="2267" spans="1:17" ht="15" x14ac:dyDescent="0.25">
      <c r="A2267" s="3">
        <f>2260</f>
        <v>2260</v>
      </c>
      <c r="B2267" s="3" t="s">
        <v>2269</v>
      </c>
      <c r="C2267" s="3" t="s">
        <v>10</v>
      </c>
      <c r="D2267" s="3" t="s">
        <v>9</v>
      </c>
      <c r="E2267" s="3">
        <v>22</v>
      </c>
      <c r="F2267" s="3">
        <v>0</v>
      </c>
      <c r="G2267" s="3">
        <v>0</v>
      </c>
      <c r="H2267" s="3">
        <v>18</v>
      </c>
      <c r="I2267" s="3">
        <v>28</v>
      </c>
      <c r="J2267" s="3">
        <v>0</v>
      </c>
      <c r="K2267" s="3">
        <v>15</v>
      </c>
      <c r="L2267" s="3">
        <v>0</v>
      </c>
      <c r="M2267" s="3">
        <v>30</v>
      </c>
      <c r="N2267" s="3">
        <v>17</v>
      </c>
      <c r="O2267" s="3"/>
      <c r="P2267" s="3"/>
      <c r="Q2267" s="3"/>
    </row>
    <row r="2268" spans="1:17" ht="15" x14ac:dyDescent="0.25">
      <c r="A2268" s="3">
        <f>2261</f>
        <v>2261</v>
      </c>
      <c r="B2268" s="3" t="s">
        <v>2270</v>
      </c>
      <c r="C2268" s="3" t="s">
        <v>10</v>
      </c>
      <c r="D2268" s="3" t="s">
        <v>9</v>
      </c>
      <c r="E2268" s="3">
        <v>22</v>
      </c>
      <c r="F2268" s="3">
        <v>0</v>
      </c>
      <c r="G2268" s="3">
        <v>0</v>
      </c>
      <c r="H2268" s="3">
        <v>18</v>
      </c>
      <c r="I2268" s="3">
        <v>28</v>
      </c>
      <c r="J2268" s="3">
        <v>0</v>
      </c>
      <c r="K2268" s="3">
        <v>15</v>
      </c>
      <c r="L2268" s="3">
        <v>0</v>
      </c>
      <c r="M2268" s="3">
        <v>30</v>
      </c>
      <c r="N2268" s="3">
        <v>17</v>
      </c>
      <c r="O2268" s="3"/>
      <c r="P2268" s="3"/>
      <c r="Q2268" s="3"/>
    </row>
    <row r="2269" spans="1:17" ht="15" x14ac:dyDescent="0.25">
      <c r="A2269" s="3">
        <f>2262</f>
        <v>2262</v>
      </c>
      <c r="B2269" s="3" t="s">
        <v>2271</v>
      </c>
      <c r="C2269" s="3" t="s">
        <v>10</v>
      </c>
      <c r="D2269" s="3" t="s">
        <v>9</v>
      </c>
      <c r="E2269" s="3">
        <v>22</v>
      </c>
      <c r="F2269" s="3">
        <v>0</v>
      </c>
      <c r="G2269" s="3">
        <v>0</v>
      </c>
      <c r="H2269" s="3">
        <v>18</v>
      </c>
      <c r="I2269" s="3">
        <v>28</v>
      </c>
      <c r="J2269" s="3">
        <v>0</v>
      </c>
      <c r="K2269" s="3">
        <v>15</v>
      </c>
      <c r="L2269" s="3">
        <v>0</v>
      </c>
      <c r="M2269" s="3">
        <v>30</v>
      </c>
      <c r="N2269" s="3">
        <v>17</v>
      </c>
      <c r="O2269" s="3"/>
      <c r="P2269" s="3"/>
      <c r="Q2269" s="3"/>
    </row>
    <row r="2270" spans="1:17" ht="15" x14ac:dyDescent="0.25">
      <c r="A2270" s="3">
        <f>2263</f>
        <v>2263</v>
      </c>
      <c r="B2270" s="3" t="s">
        <v>2272</v>
      </c>
      <c r="C2270" s="3" t="s">
        <v>10</v>
      </c>
      <c r="D2270" s="3" t="s">
        <v>9</v>
      </c>
      <c r="E2270" s="3">
        <v>22</v>
      </c>
      <c r="F2270" s="3">
        <v>0</v>
      </c>
      <c r="G2270" s="3">
        <v>0</v>
      </c>
      <c r="H2270" s="3">
        <v>18</v>
      </c>
      <c r="I2270" s="3">
        <v>28</v>
      </c>
      <c r="J2270" s="3">
        <v>0</v>
      </c>
      <c r="K2270" s="3">
        <v>15</v>
      </c>
      <c r="L2270" s="3">
        <v>0</v>
      </c>
      <c r="M2270" s="3">
        <v>30</v>
      </c>
      <c r="N2270" s="3">
        <v>17</v>
      </c>
      <c r="O2270" s="3"/>
      <c r="P2270" s="3"/>
      <c r="Q2270" s="3"/>
    </row>
    <row r="2271" spans="1:17" ht="15" x14ac:dyDescent="0.25">
      <c r="A2271" s="3">
        <f>2264</f>
        <v>2264</v>
      </c>
      <c r="B2271" s="3" t="s">
        <v>2273</v>
      </c>
      <c r="C2271" s="3" t="s">
        <v>10</v>
      </c>
      <c r="D2271" s="3" t="s">
        <v>9</v>
      </c>
      <c r="E2271" s="3">
        <v>22</v>
      </c>
      <c r="F2271" s="3">
        <v>0</v>
      </c>
      <c r="G2271" s="3">
        <v>0</v>
      </c>
      <c r="H2271" s="3">
        <v>18</v>
      </c>
      <c r="I2271" s="3">
        <v>28</v>
      </c>
      <c r="J2271" s="3">
        <v>0</v>
      </c>
      <c r="K2271" s="3">
        <v>15</v>
      </c>
      <c r="L2271" s="3">
        <v>0</v>
      </c>
      <c r="M2271" s="3">
        <v>30</v>
      </c>
      <c r="N2271" s="3">
        <v>17</v>
      </c>
      <c r="O2271" s="3"/>
      <c r="P2271" s="3"/>
      <c r="Q2271" s="3"/>
    </row>
    <row r="2272" spans="1:17" ht="15" x14ac:dyDescent="0.25">
      <c r="A2272" s="3">
        <f>2265</f>
        <v>2265</v>
      </c>
      <c r="B2272" s="3" t="s">
        <v>2274</v>
      </c>
      <c r="C2272" s="3" t="s">
        <v>10</v>
      </c>
      <c r="D2272" s="3" t="s">
        <v>9</v>
      </c>
      <c r="E2272" s="3">
        <v>22</v>
      </c>
      <c r="F2272" s="3">
        <v>0</v>
      </c>
      <c r="G2272" s="3">
        <v>0</v>
      </c>
      <c r="H2272" s="3">
        <v>18</v>
      </c>
      <c r="I2272" s="3">
        <v>28</v>
      </c>
      <c r="J2272" s="3">
        <v>0</v>
      </c>
      <c r="K2272" s="3">
        <v>15</v>
      </c>
      <c r="L2272" s="3">
        <v>0</v>
      </c>
      <c r="M2272" s="3">
        <v>30</v>
      </c>
      <c r="N2272" s="3">
        <v>17</v>
      </c>
      <c r="O2272" s="3"/>
      <c r="P2272" s="3"/>
      <c r="Q2272" s="3"/>
    </row>
    <row r="2273" spans="1:17" ht="15" x14ac:dyDescent="0.25">
      <c r="A2273" s="3">
        <f>2266</f>
        <v>2266</v>
      </c>
      <c r="B2273" s="3" t="s">
        <v>2275</v>
      </c>
      <c r="C2273" s="3" t="s">
        <v>10</v>
      </c>
      <c r="D2273" s="3" t="s">
        <v>9</v>
      </c>
      <c r="E2273" s="3">
        <v>22</v>
      </c>
      <c r="F2273" s="3">
        <v>0</v>
      </c>
      <c r="G2273" s="3">
        <v>0</v>
      </c>
      <c r="H2273" s="3">
        <v>18</v>
      </c>
      <c r="I2273" s="3">
        <v>28</v>
      </c>
      <c r="J2273" s="3">
        <v>0</v>
      </c>
      <c r="K2273" s="3">
        <v>15</v>
      </c>
      <c r="L2273" s="3">
        <v>0</v>
      </c>
      <c r="M2273" s="3">
        <v>30</v>
      </c>
      <c r="N2273" s="3">
        <v>17</v>
      </c>
      <c r="O2273" s="3"/>
      <c r="P2273" s="3"/>
      <c r="Q2273" s="3"/>
    </row>
    <row r="2274" spans="1:17" ht="15" x14ac:dyDescent="0.25">
      <c r="A2274" s="3">
        <f>2267</f>
        <v>2267</v>
      </c>
      <c r="B2274" s="3" t="s">
        <v>2276</v>
      </c>
      <c r="C2274" s="3" t="s">
        <v>10</v>
      </c>
      <c r="D2274" s="3" t="s">
        <v>9</v>
      </c>
      <c r="E2274" s="3">
        <v>22</v>
      </c>
      <c r="F2274" s="3">
        <v>0</v>
      </c>
      <c r="G2274" s="3">
        <v>0</v>
      </c>
      <c r="H2274" s="3">
        <v>18</v>
      </c>
      <c r="I2274" s="3">
        <v>28</v>
      </c>
      <c r="J2274" s="3">
        <v>0</v>
      </c>
      <c r="K2274" s="3">
        <v>15</v>
      </c>
      <c r="L2274" s="3">
        <v>0</v>
      </c>
      <c r="M2274" s="3">
        <v>30</v>
      </c>
      <c r="N2274" s="3">
        <v>17</v>
      </c>
      <c r="O2274" s="3"/>
      <c r="P2274" s="3"/>
      <c r="Q2274" s="3"/>
    </row>
    <row r="2275" spans="1:17" ht="15" x14ac:dyDescent="0.25">
      <c r="A2275" s="3">
        <f>2268</f>
        <v>2268</v>
      </c>
      <c r="B2275" s="3" t="s">
        <v>2277</v>
      </c>
      <c r="C2275" s="3" t="s">
        <v>10</v>
      </c>
      <c r="D2275" s="3" t="s">
        <v>9</v>
      </c>
      <c r="E2275" s="3">
        <v>22</v>
      </c>
      <c r="F2275" s="3">
        <v>0</v>
      </c>
      <c r="G2275" s="3">
        <v>0</v>
      </c>
      <c r="H2275" s="3">
        <v>18</v>
      </c>
      <c r="I2275" s="3">
        <v>28</v>
      </c>
      <c r="J2275" s="3">
        <v>0</v>
      </c>
      <c r="K2275" s="3">
        <v>15</v>
      </c>
      <c r="L2275" s="3">
        <v>0</v>
      </c>
      <c r="M2275" s="3">
        <v>30</v>
      </c>
      <c r="N2275" s="3">
        <v>17</v>
      </c>
      <c r="O2275" s="3"/>
      <c r="P2275" s="3"/>
      <c r="Q2275" s="3"/>
    </row>
    <row r="2276" spans="1:17" ht="15" x14ac:dyDescent="0.25">
      <c r="A2276" s="3">
        <f>2269</f>
        <v>2269</v>
      </c>
      <c r="B2276" s="3" t="s">
        <v>2278</v>
      </c>
      <c r="C2276" s="3" t="s">
        <v>10</v>
      </c>
      <c r="D2276" s="3" t="s">
        <v>9</v>
      </c>
      <c r="E2276" s="3">
        <v>22</v>
      </c>
      <c r="F2276" s="3">
        <v>0</v>
      </c>
      <c r="G2276" s="3">
        <v>0</v>
      </c>
      <c r="H2276" s="3">
        <v>18</v>
      </c>
      <c r="I2276" s="3">
        <v>28</v>
      </c>
      <c r="J2276" s="3">
        <v>0</v>
      </c>
      <c r="K2276" s="3">
        <v>15</v>
      </c>
      <c r="L2276" s="3">
        <v>0</v>
      </c>
      <c r="M2276" s="3">
        <v>30</v>
      </c>
      <c r="N2276" s="3">
        <v>17</v>
      </c>
      <c r="O2276" s="3"/>
      <c r="P2276" s="3"/>
      <c r="Q2276" s="3"/>
    </row>
    <row r="2277" spans="1:17" ht="15" x14ac:dyDescent="0.25">
      <c r="A2277" s="3">
        <f>2270</f>
        <v>2270</v>
      </c>
      <c r="B2277" s="3" t="s">
        <v>2279</v>
      </c>
      <c r="C2277" s="3" t="s">
        <v>10</v>
      </c>
      <c r="D2277" s="3" t="s">
        <v>9</v>
      </c>
      <c r="E2277" s="3">
        <v>22</v>
      </c>
      <c r="F2277" s="3">
        <v>0</v>
      </c>
      <c r="G2277" s="3">
        <v>0</v>
      </c>
      <c r="H2277" s="3">
        <v>18</v>
      </c>
      <c r="I2277" s="3">
        <v>28</v>
      </c>
      <c r="J2277" s="3">
        <v>0</v>
      </c>
      <c r="K2277" s="3">
        <v>15</v>
      </c>
      <c r="L2277" s="3">
        <v>0</v>
      </c>
      <c r="M2277" s="3">
        <v>30</v>
      </c>
      <c r="N2277" s="3">
        <v>17</v>
      </c>
      <c r="O2277" s="3"/>
      <c r="P2277" s="3"/>
      <c r="Q2277" s="3"/>
    </row>
    <row r="2278" spans="1:17" ht="15" x14ac:dyDescent="0.25">
      <c r="A2278" s="3">
        <f>2271</f>
        <v>2271</v>
      </c>
      <c r="B2278" s="3" t="s">
        <v>2280</v>
      </c>
      <c r="C2278" s="3" t="s">
        <v>10</v>
      </c>
      <c r="D2278" s="3" t="s">
        <v>9</v>
      </c>
      <c r="E2278" s="3">
        <v>22</v>
      </c>
      <c r="F2278" s="3">
        <v>0</v>
      </c>
      <c r="G2278" s="3">
        <v>0</v>
      </c>
      <c r="H2278" s="3">
        <v>18</v>
      </c>
      <c r="I2278" s="3">
        <v>28</v>
      </c>
      <c r="J2278" s="3">
        <v>0</v>
      </c>
      <c r="K2278" s="3">
        <v>15</v>
      </c>
      <c r="L2278" s="3">
        <v>0</v>
      </c>
      <c r="M2278" s="3">
        <v>30</v>
      </c>
      <c r="N2278" s="3">
        <v>17</v>
      </c>
      <c r="O2278" s="3"/>
      <c r="P2278" s="3"/>
      <c r="Q2278" s="3"/>
    </row>
    <row r="2279" spans="1:17" ht="15" x14ac:dyDescent="0.25">
      <c r="A2279" s="3">
        <f>2272</f>
        <v>2272</v>
      </c>
      <c r="B2279" s="3" t="s">
        <v>2281</v>
      </c>
      <c r="C2279" s="3" t="s">
        <v>10</v>
      </c>
      <c r="D2279" s="3" t="s">
        <v>9</v>
      </c>
      <c r="E2279" s="3">
        <v>22</v>
      </c>
      <c r="F2279" s="3">
        <v>0</v>
      </c>
      <c r="G2279" s="3">
        <v>0</v>
      </c>
      <c r="H2279" s="3">
        <v>18</v>
      </c>
      <c r="I2279" s="3">
        <v>28</v>
      </c>
      <c r="J2279" s="3">
        <v>0</v>
      </c>
      <c r="K2279" s="3">
        <v>15</v>
      </c>
      <c r="L2279" s="3">
        <v>0</v>
      </c>
      <c r="M2279" s="3">
        <v>30</v>
      </c>
      <c r="N2279" s="3">
        <v>17</v>
      </c>
      <c r="O2279" s="3"/>
      <c r="P2279" s="3"/>
      <c r="Q2279" s="3"/>
    </row>
    <row r="2280" spans="1:17" ht="15" x14ac:dyDescent="0.25">
      <c r="A2280" s="3">
        <f>2273</f>
        <v>2273</v>
      </c>
      <c r="B2280" s="3" t="s">
        <v>2282</v>
      </c>
      <c r="C2280" s="3" t="s">
        <v>10</v>
      </c>
      <c r="D2280" s="3" t="s">
        <v>9</v>
      </c>
      <c r="E2280" s="3">
        <v>22</v>
      </c>
      <c r="F2280" s="3">
        <v>0</v>
      </c>
      <c r="G2280" s="3">
        <v>0</v>
      </c>
      <c r="H2280" s="3">
        <v>18</v>
      </c>
      <c r="I2280" s="3">
        <v>28</v>
      </c>
      <c r="J2280" s="3">
        <v>0</v>
      </c>
      <c r="K2280" s="3">
        <v>15</v>
      </c>
      <c r="L2280" s="3">
        <v>0</v>
      </c>
      <c r="M2280" s="3">
        <v>30</v>
      </c>
      <c r="N2280" s="3">
        <v>17</v>
      </c>
      <c r="O2280" s="3"/>
      <c r="P2280" s="3"/>
      <c r="Q2280" s="3"/>
    </row>
    <row r="2281" spans="1:17" ht="15" x14ac:dyDescent="0.25">
      <c r="A2281" s="3">
        <f>2274</f>
        <v>2274</v>
      </c>
      <c r="B2281" s="3" t="s">
        <v>2283</v>
      </c>
      <c r="C2281" s="3" t="s">
        <v>10</v>
      </c>
      <c r="D2281" s="3" t="s">
        <v>9</v>
      </c>
      <c r="E2281" s="3">
        <v>22</v>
      </c>
      <c r="F2281" s="3">
        <v>0</v>
      </c>
      <c r="G2281" s="3">
        <v>0</v>
      </c>
      <c r="H2281" s="3">
        <v>18</v>
      </c>
      <c r="I2281" s="3">
        <v>28</v>
      </c>
      <c r="J2281" s="3">
        <v>0</v>
      </c>
      <c r="K2281" s="3">
        <v>15</v>
      </c>
      <c r="L2281" s="3">
        <v>0</v>
      </c>
      <c r="M2281" s="3">
        <v>30</v>
      </c>
      <c r="N2281" s="3">
        <v>17</v>
      </c>
      <c r="O2281" s="3"/>
      <c r="P2281" s="3"/>
      <c r="Q2281" s="3"/>
    </row>
    <row r="2282" spans="1:17" ht="15" x14ac:dyDescent="0.25">
      <c r="A2282" s="3">
        <f>2275</f>
        <v>2275</v>
      </c>
      <c r="B2282" s="3" t="s">
        <v>2284</v>
      </c>
      <c r="C2282" s="3" t="s">
        <v>10</v>
      </c>
      <c r="D2282" s="3" t="s">
        <v>9</v>
      </c>
      <c r="E2282" s="3">
        <v>22</v>
      </c>
      <c r="F2282" s="3">
        <v>0</v>
      </c>
      <c r="G2282" s="3">
        <v>0</v>
      </c>
      <c r="H2282" s="3">
        <v>18</v>
      </c>
      <c r="I2282" s="3">
        <v>28</v>
      </c>
      <c r="J2282" s="3">
        <v>0</v>
      </c>
      <c r="K2282" s="3">
        <v>15</v>
      </c>
      <c r="L2282" s="3">
        <v>0</v>
      </c>
      <c r="M2282" s="3">
        <v>30</v>
      </c>
      <c r="N2282" s="3">
        <v>17</v>
      </c>
      <c r="O2282" s="3"/>
      <c r="P2282" s="3"/>
      <c r="Q2282" s="3"/>
    </row>
    <row r="2283" spans="1:17" ht="15" x14ac:dyDescent="0.25">
      <c r="A2283" s="3">
        <f>2276</f>
        <v>2276</v>
      </c>
      <c r="B2283" s="3" t="s">
        <v>2285</v>
      </c>
      <c r="C2283" s="3" t="s">
        <v>10</v>
      </c>
      <c r="D2283" s="3" t="s">
        <v>9</v>
      </c>
      <c r="E2283" s="3">
        <v>22</v>
      </c>
      <c r="F2283" s="3">
        <v>0</v>
      </c>
      <c r="G2283" s="3">
        <v>0</v>
      </c>
      <c r="H2283" s="3">
        <v>18</v>
      </c>
      <c r="I2283" s="3">
        <v>28</v>
      </c>
      <c r="J2283" s="3">
        <v>0</v>
      </c>
      <c r="K2283" s="3">
        <v>15</v>
      </c>
      <c r="L2283" s="3">
        <v>0</v>
      </c>
      <c r="M2283" s="3">
        <v>30</v>
      </c>
      <c r="N2283" s="3">
        <v>17</v>
      </c>
      <c r="O2283" s="3"/>
      <c r="P2283" s="3"/>
      <c r="Q2283" s="3"/>
    </row>
    <row r="2284" spans="1:17" ht="15" x14ac:dyDescent="0.25">
      <c r="A2284" s="3">
        <f>2277</f>
        <v>2277</v>
      </c>
      <c r="B2284" s="3" t="s">
        <v>2286</v>
      </c>
      <c r="C2284" s="3" t="s">
        <v>10</v>
      </c>
      <c r="D2284" s="3" t="s">
        <v>9</v>
      </c>
      <c r="E2284" s="3">
        <v>22</v>
      </c>
      <c r="F2284" s="3">
        <v>0</v>
      </c>
      <c r="G2284" s="3">
        <v>0</v>
      </c>
      <c r="H2284" s="3">
        <v>18</v>
      </c>
      <c r="I2284" s="3">
        <v>28</v>
      </c>
      <c r="J2284" s="3">
        <v>0</v>
      </c>
      <c r="K2284" s="3">
        <v>15</v>
      </c>
      <c r="L2284" s="3">
        <v>0</v>
      </c>
      <c r="M2284" s="3">
        <v>30</v>
      </c>
      <c r="N2284" s="3">
        <v>17</v>
      </c>
      <c r="O2284" s="3"/>
      <c r="P2284" s="3"/>
      <c r="Q2284" s="3"/>
    </row>
    <row r="2285" spans="1:17" ht="15" x14ac:dyDescent="0.25">
      <c r="A2285" s="3">
        <f>2278</f>
        <v>2278</v>
      </c>
      <c r="B2285" s="3" t="s">
        <v>2287</v>
      </c>
      <c r="C2285" s="3" t="s">
        <v>10</v>
      </c>
      <c r="D2285" s="3" t="s">
        <v>9</v>
      </c>
      <c r="E2285" s="3">
        <v>22</v>
      </c>
      <c r="F2285" s="3">
        <v>0</v>
      </c>
      <c r="G2285" s="3">
        <v>0</v>
      </c>
      <c r="H2285" s="3">
        <v>18</v>
      </c>
      <c r="I2285" s="3">
        <v>28</v>
      </c>
      <c r="J2285" s="3">
        <v>0</v>
      </c>
      <c r="K2285" s="3">
        <v>15</v>
      </c>
      <c r="L2285" s="3">
        <v>0</v>
      </c>
      <c r="M2285" s="3">
        <v>30</v>
      </c>
      <c r="N2285" s="3">
        <v>17</v>
      </c>
      <c r="O2285" s="3"/>
      <c r="P2285" s="3"/>
      <c r="Q2285" s="3"/>
    </row>
    <row r="2286" spans="1:17" ht="15" x14ac:dyDescent="0.25">
      <c r="A2286" s="3">
        <f>2279</f>
        <v>2279</v>
      </c>
      <c r="B2286" s="3" t="s">
        <v>2288</v>
      </c>
      <c r="C2286" s="3" t="s">
        <v>10</v>
      </c>
      <c r="D2286" s="3" t="s">
        <v>9</v>
      </c>
      <c r="E2286" s="3">
        <v>22</v>
      </c>
      <c r="F2286" s="3">
        <v>0</v>
      </c>
      <c r="G2286" s="3">
        <v>0</v>
      </c>
      <c r="H2286" s="3">
        <v>18</v>
      </c>
      <c r="I2286" s="3">
        <v>28</v>
      </c>
      <c r="J2286" s="3">
        <v>0</v>
      </c>
      <c r="K2286" s="3">
        <v>15</v>
      </c>
      <c r="L2286" s="3">
        <v>0</v>
      </c>
      <c r="M2286" s="3">
        <v>30</v>
      </c>
      <c r="N2286" s="3">
        <v>17</v>
      </c>
      <c r="O2286" s="3"/>
      <c r="P2286" s="3"/>
      <c r="Q2286" s="3"/>
    </row>
    <row r="2287" spans="1:17" ht="15" x14ac:dyDescent="0.25">
      <c r="A2287" s="3">
        <f>2280</f>
        <v>2280</v>
      </c>
      <c r="B2287" s="3" t="s">
        <v>2289</v>
      </c>
      <c r="C2287" s="3" t="s">
        <v>10</v>
      </c>
      <c r="D2287" s="3" t="s">
        <v>9</v>
      </c>
      <c r="E2287" s="3">
        <v>22</v>
      </c>
      <c r="F2287" s="3">
        <v>0</v>
      </c>
      <c r="G2287" s="3">
        <v>0</v>
      </c>
      <c r="H2287" s="3">
        <v>18</v>
      </c>
      <c r="I2287" s="3">
        <v>28</v>
      </c>
      <c r="J2287" s="3">
        <v>0</v>
      </c>
      <c r="K2287" s="3">
        <v>15</v>
      </c>
      <c r="L2287" s="3">
        <v>0</v>
      </c>
      <c r="M2287" s="3">
        <v>30</v>
      </c>
      <c r="N2287" s="3">
        <v>17</v>
      </c>
      <c r="O2287" s="3"/>
      <c r="P2287" s="3"/>
      <c r="Q2287" s="3"/>
    </row>
    <row r="2288" spans="1:17" ht="15" x14ac:dyDescent="0.25">
      <c r="A2288" s="3">
        <f>2281</f>
        <v>2281</v>
      </c>
      <c r="B2288" s="3" t="s">
        <v>2290</v>
      </c>
      <c r="C2288" s="3" t="s">
        <v>10</v>
      </c>
      <c r="D2288" s="3" t="s">
        <v>9</v>
      </c>
      <c r="E2288" s="3">
        <v>22</v>
      </c>
      <c r="F2288" s="3">
        <v>0</v>
      </c>
      <c r="G2288" s="3">
        <v>0</v>
      </c>
      <c r="H2288" s="3">
        <v>18</v>
      </c>
      <c r="I2288" s="3">
        <v>28</v>
      </c>
      <c r="J2288" s="3">
        <v>0</v>
      </c>
      <c r="K2288" s="3">
        <v>15</v>
      </c>
      <c r="L2288" s="3">
        <v>0</v>
      </c>
      <c r="M2288" s="3">
        <v>30</v>
      </c>
      <c r="N2288" s="3">
        <v>17</v>
      </c>
      <c r="O2288" s="3"/>
      <c r="P2288" s="3"/>
      <c r="Q2288" s="3"/>
    </row>
    <row r="2289" spans="1:17" ht="15" x14ac:dyDescent="0.25">
      <c r="A2289" s="3">
        <f>2282</f>
        <v>2282</v>
      </c>
      <c r="B2289" s="3" t="s">
        <v>2291</v>
      </c>
      <c r="C2289" s="3" t="s">
        <v>10</v>
      </c>
      <c r="D2289" s="3" t="s">
        <v>9</v>
      </c>
      <c r="E2289" s="3">
        <v>22</v>
      </c>
      <c r="F2289" s="3">
        <v>0</v>
      </c>
      <c r="G2289" s="3">
        <v>0</v>
      </c>
      <c r="H2289" s="3">
        <v>18</v>
      </c>
      <c r="I2289" s="3">
        <v>28</v>
      </c>
      <c r="J2289" s="3">
        <v>0</v>
      </c>
      <c r="K2289" s="3">
        <v>15</v>
      </c>
      <c r="L2289" s="3">
        <v>0</v>
      </c>
      <c r="M2289" s="3">
        <v>30</v>
      </c>
      <c r="N2289" s="3">
        <v>17</v>
      </c>
      <c r="O2289" s="3"/>
      <c r="P2289" s="3"/>
      <c r="Q2289" s="3"/>
    </row>
    <row r="2290" spans="1:17" ht="15" x14ac:dyDescent="0.25">
      <c r="A2290" s="3">
        <f>2283</f>
        <v>2283</v>
      </c>
      <c r="B2290" s="3" t="s">
        <v>2292</v>
      </c>
      <c r="C2290" s="3" t="s">
        <v>10</v>
      </c>
      <c r="D2290" s="3" t="s">
        <v>9</v>
      </c>
      <c r="E2290" s="3">
        <v>22</v>
      </c>
      <c r="F2290" s="3">
        <v>0</v>
      </c>
      <c r="G2290" s="3">
        <v>0</v>
      </c>
      <c r="H2290" s="3">
        <v>18</v>
      </c>
      <c r="I2290" s="3">
        <v>28</v>
      </c>
      <c r="J2290" s="3">
        <v>0</v>
      </c>
      <c r="K2290" s="3">
        <v>15</v>
      </c>
      <c r="L2290" s="3">
        <v>0</v>
      </c>
      <c r="M2290" s="3">
        <v>30</v>
      </c>
      <c r="N2290" s="3">
        <v>17</v>
      </c>
      <c r="O2290" s="3"/>
      <c r="P2290" s="3"/>
      <c r="Q2290" s="3"/>
    </row>
    <row r="2291" spans="1:17" ht="15" x14ac:dyDescent="0.25">
      <c r="A2291" s="3">
        <f>2284</f>
        <v>2284</v>
      </c>
      <c r="B2291" s="3" t="s">
        <v>2293</v>
      </c>
      <c r="C2291" s="3" t="s">
        <v>10</v>
      </c>
      <c r="D2291" s="3" t="s">
        <v>9</v>
      </c>
      <c r="E2291" s="3">
        <v>22</v>
      </c>
      <c r="F2291" s="3">
        <v>0</v>
      </c>
      <c r="G2291" s="3">
        <v>0</v>
      </c>
      <c r="H2291" s="3">
        <v>18</v>
      </c>
      <c r="I2291" s="3">
        <v>28</v>
      </c>
      <c r="J2291" s="3">
        <v>0</v>
      </c>
      <c r="K2291" s="3">
        <v>15</v>
      </c>
      <c r="L2291" s="3">
        <v>0</v>
      </c>
      <c r="M2291" s="3">
        <v>30</v>
      </c>
      <c r="N2291" s="3">
        <v>17</v>
      </c>
      <c r="O2291" s="3"/>
      <c r="P2291" s="3"/>
      <c r="Q2291" s="3"/>
    </row>
    <row r="2292" spans="1:17" ht="15" x14ac:dyDescent="0.25">
      <c r="A2292" s="3">
        <f>2285</f>
        <v>2285</v>
      </c>
      <c r="B2292" s="3" t="s">
        <v>2294</v>
      </c>
      <c r="C2292" s="3" t="s">
        <v>10</v>
      </c>
      <c r="D2292" s="3" t="s">
        <v>9</v>
      </c>
      <c r="E2292" s="3">
        <v>22</v>
      </c>
      <c r="F2292" s="3">
        <v>0</v>
      </c>
      <c r="G2292" s="3">
        <v>0</v>
      </c>
      <c r="H2292" s="3">
        <v>18</v>
      </c>
      <c r="I2292" s="3">
        <v>28</v>
      </c>
      <c r="J2292" s="3">
        <v>0</v>
      </c>
      <c r="K2292" s="3">
        <v>15</v>
      </c>
      <c r="L2292" s="3">
        <v>0</v>
      </c>
      <c r="M2292" s="3">
        <v>30</v>
      </c>
      <c r="N2292" s="3">
        <v>17</v>
      </c>
      <c r="O2292" s="3"/>
      <c r="P2292" s="3"/>
      <c r="Q2292" s="3"/>
    </row>
    <row r="2293" spans="1:17" ht="15" x14ac:dyDescent="0.25">
      <c r="A2293" s="3">
        <f>2286</f>
        <v>2286</v>
      </c>
      <c r="B2293" s="3" t="s">
        <v>2295</v>
      </c>
      <c r="C2293" s="3" t="s">
        <v>10</v>
      </c>
      <c r="D2293" s="3" t="s">
        <v>9</v>
      </c>
      <c r="E2293" s="3">
        <v>22</v>
      </c>
      <c r="F2293" s="3">
        <v>0</v>
      </c>
      <c r="G2293" s="3">
        <v>0</v>
      </c>
      <c r="H2293" s="3">
        <v>18</v>
      </c>
      <c r="I2293" s="3">
        <v>28</v>
      </c>
      <c r="J2293" s="3">
        <v>0</v>
      </c>
      <c r="K2293" s="3">
        <v>15</v>
      </c>
      <c r="L2293" s="3">
        <v>0</v>
      </c>
      <c r="M2293" s="3">
        <v>30</v>
      </c>
      <c r="N2293" s="3">
        <v>17</v>
      </c>
      <c r="O2293" s="3"/>
      <c r="P2293" s="3"/>
      <c r="Q2293" s="3"/>
    </row>
    <row r="2294" spans="1:17" ht="15" x14ac:dyDescent="0.25">
      <c r="A2294" s="3">
        <f>2287</f>
        <v>2287</v>
      </c>
      <c r="B2294" s="3" t="s">
        <v>2296</v>
      </c>
      <c r="C2294" s="3" t="s">
        <v>10</v>
      </c>
      <c r="D2294" s="3" t="s">
        <v>9</v>
      </c>
      <c r="E2294" s="3">
        <v>22</v>
      </c>
      <c r="F2294" s="3">
        <v>0</v>
      </c>
      <c r="G2294" s="3">
        <v>0</v>
      </c>
      <c r="H2294" s="3">
        <v>18</v>
      </c>
      <c r="I2294" s="3">
        <v>28</v>
      </c>
      <c r="J2294" s="3">
        <v>0</v>
      </c>
      <c r="K2294" s="3">
        <v>15</v>
      </c>
      <c r="L2294" s="3">
        <v>0</v>
      </c>
      <c r="M2294" s="3">
        <v>30</v>
      </c>
      <c r="N2294" s="3">
        <v>17</v>
      </c>
      <c r="O2294" s="3"/>
      <c r="P2294" s="3"/>
      <c r="Q2294" s="3"/>
    </row>
    <row r="2295" spans="1:17" ht="15" x14ac:dyDescent="0.25">
      <c r="A2295" s="3">
        <f>2288</f>
        <v>2288</v>
      </c>
      <c r="B2295" s="3" t="s">
        <v>2297</v>
      </c>
      <c r="C2295" s="3" t="s">
        <v>10</v>
      </c>
      <c r="D2295" s="3" t="s">
        <v>9</v>
      </c>
      <c r="E2295" s="3">
        <v>22</v>
      </c>
      <c r="F2295" s="3">
        <v>0</v>
      </c>
      <c r="G2295" s="3">
        <v>0</v>
      </c>
      <c r="H2295" s="3">
        <v>18</v>
      </c>
      <c r="I2295" s="3">
        <v>28</v>
      </c>
      <c r="J2295" s="3">
        <v>0</v>
      </c>
      <c r="K2295" s="3">
        <v>15</v>
      </c>
      <c r="L2295" s="3">
        <v>0</v>
      </c>
      <c r="M2295" s="3">
        <v>30</v>
      </c>
      <c r="N2295" s="3">
        <v>17</v>
      </c>
      <c r="O2295" s="3"/>
      <c r="P2295" s="3"/>
      <c r="Q2295" s="3"/>
    </row>
    <row r="2296" spans="1:17" ht="15" x14ac:dyDescent="0.25">
      <c r="A2296" s="3">
        <f>2289</f>
        <v>2289</v>
      </c>
      <c r="B2296" s="3" t="s">
        <v>2298</v>
      </c>
      <c r="C2296" s="3" t="s">
        <v>10</v>
      </c>
      <c r="D2296" s="3" t="s">
        <v>9</v>
      </c>
      <c r="E2296" s="3">
        <v>22</v>
      </c>
      <c r="F2296" s="3">
        <v>0</v>
      </c>
      <c r="G2296" s="3">
        <v>0</v>
      </c>
      <c r="H2296" s="3">
        <v>18</v>
      </c>
      <c r="I2296" s="3">
        <v>28</v>
      </c>
      <c r="J2296" s="3">
        <v>0</v>
      </c>
      <c r="K2296" s="3">
        <v>15</v>
      </c>
      <c r="L2296" s="3">
        <v>0</v>
      </c>
      <c r="M2296" s="3">
        <v>30</v>
      </c>
      <c r="N2296" s="3">
        <v>17</v>
      </c>
      <c r="O2296" s="3"/>
      <c r="P2296" s="3"/>
      <c r="Q2296" s="3"/>
    </row>
    <row r="2297" spans="1:17" ht="15" x14ac:dyDescent="0.25">
      <c r="A2297" s="3">
        <f>2290</f>
        <v>2290</v>
      </c>
      <c r="B2297" s="3" t="s">
        <v>2299</v>
      </c>
      <c r="C2297" s="3" t="s">
        <v>10</v>
      </c>
      <c r="D2297" s="3" t="s">
        <v>9</v>
      </c>
      <c r="E2297" s="3">
        <v>22</v>
      </c>
      <c r="F2297" s="3">
        <v>0</v>
      </c>
      <c r="G2297" s="3">
        <v>0</v>
      </c>
      <c r="H2297" s="3">
        <v>18</v>
      </c>
      <c r="I2297" s="3">
        <v>28</v>
      </c>
      <c r="J2297" s="3">
        <v>0</v>
      </c>
      <c r="K2297" s="3">
        <v>15</v>
      </c>
      <c r="L2297" s="3">
        <v>0</v>
      </c>
      <c r="M2297" s="3">
        <v>30</v>
      </c>
      <c r="N2297" s="3">
        <v>17</v>
      </c>
      <c r="O2297" s="3"/>
      <c r="P2297" s="3"/>
      <c r="Q2297" s="3"/>
    </row>
    <row r="2298" spans="1:17" ht="15" x14ac:dyDescent="0.25">
      <c r="A2298" s="3">
        <f>2291</f>
        <v>2291</v>
      </c>
      <c r="B2298" s="3" t="s">
        <v>2300</v>
      </c>
      <c r="C2298" s="3" t="s">
        <v>10</v>
      </c>
      <c r="D2298" s="3" t="s">
        <v>9</v>
      </c>
      <c r="E2298" s="3">
        <v>22</v>
      </c>
      <c r="F2298" s="3">
        <v>0</v>
      </c>
      <c r="G2298" s="3">
        <v>0</v>
      </c>
      <c r="H2298" s="3">
        <v>18</v>
      </c>
      <c r="I2298" s="3">
        <v>28</v>
      </c>
      <c r="J2298" s="3">
        <v>0</v>
      </c>
      <c r="K2298" s="3">
        <v>15</v>
      </c>
      <c r="L2298" s="3">
        <v>0</v>
      </c>
      <c r="M2298" s="3">
        <v>30</v>
      </c>
      <c r="N2298" s="3">
        <v>17</v>
      </c>
      <c r="O2298" s="3"/>
      <c r="P2298" s="3"/>
      <c r="Q2298" s="3"/>
    </row>
    <row r="2299" spans="1:17" ht="15" x14ac:dyDescent="0.25">
      <c r="A2299" s="3">
        <f>2292</f>
        <v>2292</v>
      </c>
      <c r="B2299" s="3" t="s">
        <v>2301</v>
      </c>
      <c r="C2299" s="3" t="s">
        <v>10</v>
      </c>
      <c r="D2299" s="3" t="s">
        <v>9</v>
      </c>
      <c r="E2299" s="3">
        <v>22</v>
      </c>
      <c r="F2299" s="3">
        <v>0</v>
      </c>
      <c r="G2299" s="3">
        <v>0</v>
      </c>
      <c r="H2299" s="3">
        <v>18</v>
      </c>
      <c r="I2299" s="3">
        <v>28</v>
      </c>
      <c r="J2299" s="3">
        <v>0</v>
      </c>
      <c r="K2299" s="3">
        <v>15</v>
      </c>
      <c r="L2299" s="3">
        <v>0</v>
      </c>
      <c r="M2299" s="3">
        <v>30</v>
      </c>
      <c r="N2299" s="3">
        <v>17</v>
      </c>
      <c r="O2299" s="3"/>
      <c r="P2299" s="3"/>
      <c r="Q2299" s="3"/>
    </row>
    <row r="2300" spans="1:17" ht="15" x14ac:dyDescent="0.25">
      <c r="A2300" s="3">
        <f>2293</f>
        <v>2293</v>
      </c>
      <c r="B2300" s="3" t="s">
        <v>2302</v>
      </c>
      <c r="C2300" s="3" t="s">
        <v>10</v>
      </c>
      <c r="D2300" s="3" t="s">
        <v>9</v>
      </c>
      <c r="E2300" s="3">
        <v>22</v>
      </c>
      <c r="F2300" s="3">
        <v>0</v>
      </c>
      <c r="G2300" s="3">
        <v>0</v>
      </c>
      <c r="H2300" s="3">
        <v>18</v>
      </c>
      <c r="I2300" s="3">
        <v>28</v>
      </c>
      <c r="J2300" s="3">
        <v>0</v>
      </c>
      <c r="K2300" s="3">
        <v>15</v>
      </c>
      <c r="L2300" s="3">
        <v>0</v>
      </c>
      <c r="M2300" s="3">
        <v>30</v>
      </c>
      <c r="N2300" s="3">
        <v>17</v>
      </c>
      <c r="O2300" s="3"/>
      <c r="P2300" s="3"/>
      <c r="Q2300" s="3"/>
    </row>
    <row r="2301" spans="1:17" ht="15" x14ac:dyDescent="0.25">
      <c r="A2301" s="3">
        <f>2294</f>
        <v>2294</v>
      </c>
      <c r="B2301" s="3" t="s">
        <v>2303</v>
      </c>
      <c r="C2301" s="3" t="s">
        <v>10</v>
      </c>
      <c r="D2301" s="3" t="s">
        <v>9</v>
      </c>
      <c r="E2301" s="3">
        <v>22</v>
      </c>
      <c r="F2301" s="3">
        <v>0</v>
      </c>
      <c r="G2301" s="3">
        <v>0</v>
      </c>
      <c r="H2301" s="3">
        <v>18</v>
      </c>
      <c r="I2301" s="3">
        <v>28</v>
      </c>
      <c r="J2301" s="3">
        <v>0</v>
      </c>
      <c r="K2301" s="3">
        <v>15</v>
      </c>
      <c r="L2301" s="3">
        <v>0</v>
      </c>
      <c r="M2301" s="3">
        <v>30</v>
      </c>
      <c r="N2301" s="3">
        <v>17</v>
      </c>
      <c r="O2301" s="3"/>
      <c r="P2301" s="3"/>
      <c r="Q2301" s="3"/>
    </row>
    <row r="2302" spans="1:17" ht="15" x14ac:dyDescent="0.25">
      <c r="A2302" s="3">
        <f>2295</f>
        <v>2295</v>
      </c>
      <c r="B2302" s="3" t="s">
        <v>2304</v>
      </c>
      <c r="C2302" s="3" t="s">
        <v>10</v>
      </c>
      <c r="D2302" s="3" t="s">
        <v>9</v>
      </c>
      <c r="E2302" s="3">
        <v>22</v>
      </c>
      <c r="F2302" s="3">
        <v>0</v>
      </c>
      <c r="G2302" s="3">
        <v>0</v>
      </c>
      <c r="H2302" s="3">
        <v>18</v>
      </c>
      <c r="I2302" s="3">
        <v>28</v>
      </c>
      <c r="J2302" s="3">
        <v>0</v>
      </c>
      <c r="K2302" s="3">
        <v>15</v>
      </c>
      <c r="L2302" s="3">
        <v>0</v>
      </c>
      <c r="M2302" s="3">
        <v>30</v>
      </c>
      <c r="N2302" s="3">
        <v>17</v>
      </c>
      <c r="O2302" s="3"/>
      <c r="P2302" s="3"/>
      <c r="Q2302" s="3"/>
    </row>
    <row r="2303" spans="1:17" ht="15" x14ac:dyDescent="0.25">
      <c r="A2303" s="3">
        <f>2296</f>
        <v>2296</v>
      </c>
      <c r="B2303" s="3" t="s">
        <v>2305</v>
      </c>
      <c r="C2303" s="3" t="s">
        <v>10</v>
      </c>
      <c r="D2303" s="3" t="s">
        <v>9</v>
      </c>
      <c r="E2303" s="3">
        <v>22</v>
      </c>
      <c r="F2303" s="3">
        <v>0</v>
      </c>
      <c r="G2303" s="3">
        <v>0</v>
      </c>
      <c r="H2303" s="3">
        <v>18</v>
      </c>
      <c r="I2303" s="3">
        <v>28</v>
      </c>
      <c r="J2303" s="3">
        <v>0</v>
      </c>
      <c r="K2303" s="3">
        <v>15</v>
      </c>
      <c r="L2303" s="3">
        <v>0</v>
      </c>
      <c r="M2303" s="3">
        <v>30</v>
      </c>
      <c r="N2303" s="3">
        <v>17</v>
      </c>
      <c r="O2303" s="3"/>
      <c r="P2303" s="3"/>
      <c r="Q2303" s="3"/>
    </row>
    <row r="2304" spans="1:17" ht="15" x14ac:dyDescent="0.25">
      <c r="A2304" s="3">
        <f>2297</f>
        <v>2297</v>
      </c>
      <c r="B2304" s="3" t="s">
        <v>2306</v>
      </c>
      <c r="C2304" s="3" t="s">
        <v>10</v>
      </c>
      <c r="D2304" s="3" t="s">
        <v>9</v>
      </c>
      <c r="E2304" s="3">
        <v>22</v>
      </c>
      <c r="F2304" s="3">
        <v>0</v>
      </c>
      <c r="G2304" s="3">
        <v>0</v>
      </c>
      <c r="H2304" s="3">
        <v>18</v>
      </c>
      <c r="I2304" s="3">
        <v>28</v>
      </c>
      <c r="J2304" s="3">
        <v>0</v>
      </c>
      <c r="K2304" s="3">
        <v>15</v>
      </c>
      <c r="L2304" s="3">
        <v>0</v>
      </c>
      <c r="M2304" s="3">
        <v>30</v>
      </c>
      <c r="N2304" s="3">
        <v>17</v>
      </c>
      <c r="O2304" s="3"/>
      <c r="P2304" s="3"/>
      <c r="Q2304" s="3"/>
    </row>
    <row r="2305" spans="1:17" ht="15" x14ac:dyDescent="0.25">
      <c r="A2305" s="3">
        <f>2298</f>
        <v>2298</v>
      </c>
      <c r="B2305" s="3" t="s">
        <v>2307</v>
      </c>
      <c r="C2305" s="3" t="s">
        <v>10</v>
      </c>
      <c r="D2305" s="3" t="s">
        <v>9</v>
      </c>
      <c r="E2305" s="3">
        <v>22</v>
      </c>
      <c r="F2305" s="3">
        <v>0</v>
      </c>
      <c r="G2305" s="3">
        <v>0</v>
      </c>
      <c r="H2305" s="3">
        <v>18</v>
      </c>
      <c r="I2305" s="3">
        <v>28</v>
      </c>
      <c r="J2305" s="3">
        <v>0</v>
      </c>
      <c r="K2305" s="3">
        <v>15</v>
      </c>
      <c r="L2305" s="3">
        <v>0</v>
      </c>
      <c r="M2305" s="3">
        <v>30</v>
      </c>
      <c r="N2305" s="3">
        <v>17</v>
      </c>
      <c r="O2305" s="3"/>
      <c r="P2305" s="3"/>
      <c r="Q2305" s="3"/>
    </row>
    <row r="2306" spans="1:17" ht="15" x14ac:dyDescent="0.25">
      <c r="A2306" s="3">
        <f>2299</f>
        <v>2299</v>
      </c>
      <c r="B2306" s="3" t="s">
        <v>2308</v>
      </c>
      <c r="C2306" s="3" t="s">
        <v>10</v>
      </c>
      <c r="D2306" s="3" t="s">
        <v>9</v>
      </c>
      <c r="E2306" s="3">
        <v>22</v>
      </c>
      <c r="F2306" s="3">
        <v>0</v>
      </c>
      <c r="G2306" s="3">
        <v>0</v>
      </c>
      <c r="H2306" s="3">
        <v>18</v>
      </c>
      <c r="I2306" s="3">
        <v>28</v>
      </c>
      <c r="J2306" s="3">
        <v>0</v>
      </c>
      <c r="K2306" s="3">
        <v>15</v>
      </c>
      <c r="L2306" s="3">
        <v>0</v>
      </c>
      <c r="M2306" s="3">
        <v>30</v>
      </c>
      <c r="N2306" s="3">
        <v>17</v>
      </c>
      <c r="O2306" s="3"/>
      <c r="P2306" s="3"/>
      <c r="Q2306" s="3"/>
    </row>
    <row r="2307" spans="1:17" ht="15" x14ac:dyDescent="0.25">
      <c r="A2307" s="3">
        <f>2300</f>
        <v>2300</v>
      </c>
      <c r="B2307" s="3" t="s">
        <v>2309</v>
      </c>
      <c r="C2307" s="3" t="s">
        <v>10</v>
      </c>
      <c r="D2307" s="3" t="s">
        <v>9</v>
      </c>
      <c r="E2307" s="3">
        <v>22</v>
      </c>
      <c r="F2307" s="3">
        <v>0</v>
      </c>
      <c r="G2307" s="3">
        <v>0</v>
      </c>
      <c r="H2307" s="3">
        <v>18</v>
      </c>
      <c r="I2307" s="3">
        <v>28</v>
      </c>
      <c r="J2307" s="3">
        <v>0</v>
      </c>
      <c r="K2307" s="3">
        <v>15</v>
      </c>
      <c r="L2307" s="3">
        <v>0</v>
      </c>
      <c r="M2307" s="3">
        <v>30</v>
      </c>
      <c r="N2307" s="3">
        <v>17</v>
      </c>
      <c r="O2307" s="3"/>
      <c r="P2307" s="3"/>
      <c r="Q2307" s="3"/>
    </row>
    <row r="2308" spans="1:17" ht="15" x14ac:dyDescent="0.25">
      <c r="A2308" s="3">
        <f>2301</f>
        <v>2301</v>
      </c>
      <c r="B2308" s="3" t="s">
        <v>2310</v>
      </c>
      <c r="C2308" s="3" t="s">
        <v>10</v>
      </c>
      <c r="D2308" s="3" t="s">
        <v>9</v>
      </c>
      <c r="E2308" s="3">
        <v>22</v>
      </c>
      <c r="F2308" s="3">
        <v>0</v>
      </c>
      <c r="G2308" s="3">
        <v>0</v>
      </c>
      <c r="H2308" s="3">
        <v>18</v>
      </c>
      <c r="I2308" s="3">
        <v>28</v>
      </c>
      <c r="J2308" s="3">
        <v>0</v>
      </c>
      <c r="K2308" s="3">
        <v>15</v>
      </c>
      <c r="L2308" s="3">
        <v>0</v>
      </c>
      <c r="M2308" s="3">
        <v>30</v>
      </c>
      <c r="N2308" s="3">
        <v>17</v>
      </c>
      <c r="O2308" s="3"/>
      <c r="P2308" s="3"/>
      <c r="Q2308" s="3"/>
    </row>
    <row r="2309" spans="1:17" ht="15" x14ac:dyDescent="0.25">
      <c r="A2309" s="3">
        <f>2302</f>
        <v>2302</v>
      </c>
      <c r="B2309" s="3" t="s">
        <v>2311</v>
      </c>
      <c r="C2309" s="3" t="s">
        <v>10</v>
      </c>
      <c r="D2309" s="3" t="s">
        <v>9</v>
      </c>
      <c r="E2309" s="3">
        <v>22</v>
      </c>
      <c r="F2309" s="3">
        <v>0</v>
      </c>
      <c r="G2309" s="3">
        <v>0</v>
      </c>
      <c r="H2309" s="3">
        <v>18</v>
      </c>
      <c r="I2309" s="3">
        <v>28</v>
      </c>
      <c r="J2309" s="3">
        <v>0</v>
      </c>
      <c r="K2309" s="3">
        <v>15</v>
      </c>
      <c r="L2309" s="3">
        <v>0</v>
      </c>
      <c r="M2309" s="3">
        <v>30</v>
      </c>
      <c r="N2309" s="3">
        <v>17</v>
      </c>
      <c r="O2309" s="3"/>
      <c r="P2309" s="3"/>
      <c r="Q2309" s="3"/>
    </row>
    <row r="2310" spans="1:17" ht="15" x14ac:dyDescent="0.25">
      <c r="A2310" s="3">
        <f>2303</f>
        <v>2303</v>
      </c>
      <c r="B2310" s="3" t="s">
        <v>2312</v>
      </c>
      <c r="C2310" s="3" t="s">
        <v>10</v>
      </c>
      <c r="D2310" s="3" t="s">
        <v>9</v>
      </c>
      <c r="E2310" s="3">
        <v>22</v>
      </c>
      <c r="F2310" s="3">
        <v>0</v>
      </c>
      <c r="G2310" s="3">
        <v>0</v>
      </c>
      <c r="H2310" s="3">
        <v>18</v>
      </c>
      <c r="I2310" s="3">
        <v>28</v>
      </c>
      <c r="J2310" s="3">
        <v>0</v>
      </c>
      <c r="K2310" s="3">
        <v>15</v>
      </c>
      <c r="L2310" s="3">
        <v>0</v>
      </c>
      <c r="M2310" s="3">
        <v>30</v>
      </c>
      <c r="N2310" s="3">
        <v>17</v>
      </c>
      <c r="O2310" s="3"/>
      <c r="P2310" s="3"/>
      <c r="Q2310" s="3"/>
    </row>
    <row r="2311" spans="1:17" ht="15" x14ac:dyDescent="0.25">
      <c r="A2311" s="3">
        <f>2304</f>
        <v>2304</v>
      </c>
      <c r="B2311" s="3" t="s">
        <v>2313</v>
      </c>
      <c r="C2311" s="3" t="s">
        <v>10</v>
      </c>
      <c r="D2311" s="3" t="s">
        <v>9</v>
      </c>
      <c r="E2311" s="3">
        <v>22</v>
      </c>
      <c r="F2311" s="3">
        <v>0</v>
      </c>
      <c r="G2311" s="3">
        <v>0</v>
      </c>
      <c r="H2311" s="3">
        <v>18</v>
      </c>
      <c r="I2311" s="3">
        <v>28</v>
      </c>
      <c r="J2311" s="3">
        <v>0</v>
      </c>
      <c r="K2311" s="3">
        <v>15</v>
      </c>
      <c r="L2311" s="3">
        <v>0</v>
      </c>
      <c r="M2311" s="3">
        <v>30</v>
      </c>
      <c r="N2311" s="3">
        <v>17</v>
      </c>
      <c r="O2311" s="3"/>
      <c r="P2311" s="3"/>
      <c r="Q2311" s="3"/>
    </row>
    <row r="2312" spans="1:17" ht="15" x14ac:dyDescent="0.25">
      <c r="A2312" s="3">
        <f>2305</f>
        <v>2305</v>
      </c>
      <c r="B2312" s="3" t="s">
        <v>2314</v>
      </c>
      <c r="C2312" s="3" t="s">
        <v>10</v>
      </c>
      <c r="D2312" s="3" t="s">
        <v>9</v>
      </c>
      <c r="E2312" s="3">
        <v>22</v>
      </c>
      <c r="F2312" s="3">
        <v>0</v>
      </c>
      <c r="G2312" s="3">
        <v>0</v>
      </c>
      <c r="H2312" s="3">
        <v>18</v>
      </c>
      <c r="I2312" s="3">
        <v>28</v>
      </c>
      <c r="J2312" s="3">
        <v>0</v>
      </c>
      <c r="K2312" s="3">
        <v>15</v>
      </c>
      <c r="L2312" s="3">
        <v>0</v>
      </c>
      <c r="M2312" s="3">
        <v>30</v>
      </c>
      <c r="N2312" s="3">
        <v>17</v>
      </c>
      <c r="O2312" s="3"/>
      <c r="P2312" s="3"/>
      <c r="Q2312" s="3"/>
    </row>
    <row r="2313" spans="1:17" ht="15" x14ac:dyDescent="0.25">
      <c r="A2313" s="3">
        <f>2306</f>
        <v>2306</v>
      </c>
      <c r="B2313" s="3" t="s">
        <v>2315</v>
      </c>
      <c r="C2313" s="3" t="s">
        <v>10</v>
      </c>
      <c r="D2313" s="3" t="s">
        <v>9</v>
      </c>
      <c r="E2313" s="3">
        <v>22</v>
      </c>
      <c r="F2313" s="3">
        <v>0</v>
      </c>
      <c r="G2313" s="3">
        <v>0</v>
      </c>
      <c r="H2313" s="3">
        <v>18</v>
      </c>
      <c r="I2313" s="3">
        <v>28</v>
      </c>
      <c r="J2313" s="3">
        <v>0</v>
      </c>
      <c r="K2313" s="3">
        <v>15</v>
      </c>
      <c r="L2313" s="3">
        <v>0</v>
      </c>
      <c r="M2313" s="3">
        <v>30</v>
      </c>
      <c r="N2313" s="3">
        <v>17</v>
      </c>
      <c r="O2313" s="3"/>
      <c r="P2313" s="3"/>
      <c r="Q2313" s="3"/>
    </row>
    <row r="2314" spans="1:17" ht="15" x14ac:dyDescent="0.25">
      <c r="A2314" s="3">
        <f>2307</f>
        <v>2307</v>
      </c>
      <c r="B2314" s="3" t="s">
        <v>2316</v>
      </c>
      <c r="C2314" s="3" t="s">
        <v>10</v>
      </c>
      <c r="D2314" s="3" t="s">
        <v>9</v>
      </c>
      <c r="E2314" s="3">
        <v>22</v>
      </c>
      <c r="F2314" s="3">
        <v>0</v>
      </c>
      <c r="G2314" s="3">
        <v>0</v>
      </c>
      <c r="H2314" s="3">
        <v>18</v>
      </c>
      <c r="I2314" s="3">
        <v>28</v>
      </c>
      <c r="J2314" s="3">
        <v>0</v>
      </c>
      <c r="K2314" s="3">
        <v>15</v>
      </c>
      <c r="L2314" s="3">
        <v>0</v>
      </c>
      <c r="M2314" s="3">
        <v>30</v>
      </c>
      <c r="N2314" s="3">
        <v>17</v>
      </c>
      <c r="O2314" s="3"/>
      <c r="P2314" s="3"/>
      <c r="Q2314" s="3"/>
    </row>
    <row r="2315" spans="1:17" ht="15" x14ac:dyDescent="0.25">
      <c r="A2315" s="3">
        <f>2308</f>
        <v>2308</v>
      </c>
      <c r="B2315" s="3" t="s">
        <v>2317</v>
      </c>
      <c r="C2315" s="3" t="s">
        <v>10</v>
      </c>
      <c r="D2315" s="3" t="s">
        <v>9</v>
      </c>
      <c r="E2315" s="3">
        <v>22</v>
      </c>
      <c r="F2315" s="3">
        <v>0</v>
      </c>
      <c r="G2315" s="3">
        <v>0</v>
      </c>
      <c r="H2315" s="3">
        <v>18</v>
      </c>
      <c r="I2315" s="3">
        <v>28</v>
      </c>
      <c r="J2315" s="3">
        <v>0</v>
      </c>
      <c r="K2315" s="3">
        <v>15</v>
      </c>
      <c r="L2315" s="3">
        <v>0</v>
      </c>
      <c r="M2315" s="3">
        <v>30</v>
      </c>
      <c r="N2315" s="3">
        <v>17</v>
      </c>
      <c r="O2315" s="3"/>
      <c r="P2315" s="3"/>
      <c r="Q2315" s="3"/>
    </row>
    <row r="2316" spans="1:17" ht="15" x14ac:dyDescent="0.25">
      <c r="A2316" s="3">
        <f>2309</f>
        <v>2309</v>
      </c>
      <c r="B2316" s="3" t="s">
        <v>2318</v>
      </c>
      <c r="C2316" s="3" t="s">
        <v>10</v>
      </c>
      <c r="D2316" s="3" t="s">
        <v>9</v>
      </c>
      <c r="E2316" s="3">
        <v>22</v>
      </c>
      <c r="F2316" s="3">
        <v>0</v>
      </c>
      <c r="G2316" s="3">
        <v>0</v>
      </c>
      <c r="H2316" s="3">
        <v>18</v>
      </c>
      <c r="I2316" s="3">
        <v>28</v>
      </c>
      <c r="J2316" s="3">
        <v>0</v>
      </c>
      <c r="K2316" s="3">
        <v>15</v>
      </c>
      <c r="L2316" s="3">
        <v>0</v>
      </c>
      <c r="M2316" s="3">
        <v>30</v>
      </c>
      <c r="N2316" s="3">
        <v>17</v>
      </c>
      <c r="O2316" s="3"/>
      <c r="P2316" s="3"/>
      <c r="Q2316" s="3"/>
    </row>
    <row r="2317" spans="1:17" ht="15" x14ac:dyDescent="0.25">
      <c r="A2317" s="3">
        <f>2310</f>
        <v>2310</v>
      </c>
      <c r="B2317" s="3" t="s">
        <v>2319</v>
      </c>
      <c r="C2317" s="3" t="s">
        <v>10</v>
      </c>
      <c r="D2317" s="3" t="s">
        <v>9</v>
      </c>
      <c r="E2317" s="3">
        <v>22</v>
      </c>
      <c r="F2317" s="3">
        <v>0</v>
      </c>
      <c r="G2317" s="3">
        <v>0</v>
      </c>
      <c r="H2317" s="3">
        <v>18</v>
      </c>
      <c r="I2317" s="3">
        <v>28</v>
      </c>
      <c r="J2317" s="3">
        <v>0</v>
      </c>
      <c r="K2317" s="3">
        <v>15</v>
      </c>
      <c r="L2317" s="3">
        <v>0</v>
      </c>
      <c r="M2317" s="3">
        <v>30</v>
      </c>
      <c r="N2317" s="3">
        <v>17</v>
      </c>
      <c r="O2317" s="3"/>
      <c r="P2317" s="3"/>
      <c r="Q2317" s="3"/>
    </row>
    <row r="2318" spans="1:17" ht="15" x14ac:dyDescent="0.25">
      <c r="A2318" s="3">
        <f>2311</f>
        <v>2311</v>
      </c>
      <c r="B2318" s="3" t="s">
        <v>2320</v>
      </c>
      <c r="C2318" s="3" t="s">
        <v>10</v>
      </c>
      <c r="D2318" s="3" t="s">
        <v>9</v>
      </c>
      <c r="E2318" s="3">
        <v>22</v>
      </c>
      <c r="F2318" s="3">
        <v>0</v>
      </c>
      <c r="G2318" s="3">
        <v>0</v>
      </c>
      <c r="H2318" s="3">
        <v>18</v>
      </c>
      <c r="I2318" s="3">
        <v>28</v>
      </c>
      <c r="J2318" s="3">
        <v>0</v>
      </c>
      <c r="K2318" s="3">
        <v>15</v>
      </c>
      <c r="L2318" s="3">
        <v>0</v>
      </c>
      <c r="M2318" s="3">
        <v>30</v>
      </c>
      <c r="N2318" s="3">
        <v>17</v>
      </c>
      <c r="O2318" s="3"/>
      <c r="P2318" s="3"/>
      <c r="Q2318" s="3"/>
    </row>
    <row r="2319" spans="1:17" ht="15" x14ac:dyDescent="0.25">
      <c r="A2319" s="3">
        <f>2312</f>
        <v>2312</v>
      </c>
      <c r="B2319" s="3" t="s">
        <v>2321</v>
      </c>
      <c r="C2319" s="3" t="s">
        <v>10</v>
      </c>
      <c r="D2319" s="3" t="s">
        <v>9</v>
      </c>
      <c r="E2319" s="3">
        <v>22</v>
      </c>
      <c r="F2319" s="3">
        <v>0</v>
      </c>
      <c r="G2319" s="3">
        <v>0</v>
      </c>
      <c r="H2319" s="3">
        <v>18</v>
      </c>
      <c r="I2319" s="3">
        <v>28</v>
      </c>
      <c r="J2319" s="3">
        <v>0</v>
      </c>
      <c r="K2319" s="3">
        <v>15</v>
      </c>
      <c r="L2319" s="3">
        <v>0</v>
      </c>
      <c r="M2319" s="3">
        <v>30</v>
      </c>
      <c r="N2319" s="3">
        <v>17</v>
      </c>
      <c r="O2319" s="3"/>
      <c r="P2319" s="3"/>
      <c r="Q2319" s="3"/>
    </row>
    <row r="2320" spans="1:17" ht="15" x14ac:dyDescent="0.25">
      <c r="A2320" s="3">
        <f>2313</f>
        <v>2313</v>
      </c>
      <c r="B2320" s="3" t="s">
        <v>2322</v>
      </c>
      <c r="C2320" s="3" t="s">
        <v>10</v>
      </c>
      <c r="D2320" s="3" t="s">
        <v>9</v>
      </c>
      <c r="E2320" s="3">
        <v>22</v>
      </c>
      <c r="F2320" s="3">
        <v>0</v>
      </c>
      <c r="G2320" s="3">
        <v>0</v>
      </c>
      <c r="H2320" s="3">
        <v>18</v>
      </c>
      <c r="I2320" s="3">
        <v>28</v>
      </c>
      <c r="J2320" s="3">
        <v>0</v>
      </c>
      <c r="K2320" s="3">
        <v>15</v>
      </c>
      <c r="L2320" s="3">
        <v>0</v>
      </c>
      <c r="M2320" s="3">
        <v>30</v>
      </c>
      <c r="N2320" s="3">
        <v>17</v>
      </c>
      <c r="O2320" s="3"/>
      <c r="P2320" s="3"/>
      <c r="Q2320" s="3"/>
    </row>
    <row r="2321" spans="1:17" ht="15" x14ac:dyDescent="0.25">
      <c r="A2321" s="3">
        <f>2314</f>
        <v>2314</v>
      </c>
      <c r="B2321" s="3" t="s">
        <v>2323</v>
      </c>
      <c r="C2321" s="3" t="s">
        <v>10</v>
      </c>
      <c r="D2321" s="3" t="s">
        <v>9</v>
      </c>
      <c r="E2321" s="3">
        <v>22</v>
      </c>
      <c r="F2321" s="3">
        <v>0</v>
      </c>
      <c r="G2321" s="3">
        <v>0</v>
      </c>
      <c r="H2321" s="3">
        <v>18</v>
      </c>
      <c r="I2321" s="3">
        <v>28</v>
      </c>
      <c r="J2321" s="3">
        <v>0</v>
      </c>
      <c r="K2321" s="3">
        <v>15</v>
      </c>
      <c r="L2321" s="3">
        <v>0</v>
      </c>
      <c r="M2321" s="3">
        <v>30</v>
      </c>
      <c r="N2321" s="3">
        <v>17</v>
      </c>
      <c r="O2321" s="3"/>
      <c r="P2321" s="3"/>
      <c r="Q2321" s="3"/>
    </row>
    <row r="2322" spans="1:17" ht="15" x14ac:dyDescent="0.25">
      <c r="A2322" s="3">
        <f>2315</f>
        <v>2315</v>
      </c>
      <c r="B2322" s="3" t="s">
        <v>2324</v>
      </c>
      <c r="C2322" s="3" t="s">
        <v>10</v>
      </c>
      <c r="D2322" s="3" t="s">
        <v>9</v>
      </c>
      <c r="E2322" s="3">
        <v>22</v>
      </c>
      <c r="F2322" s="3">
        <v>0</v>
      </c>
      <c r="G2322" s="3">
        <v>0</v>
      </c>
      <c r="H2322" s="3">
        <v>18</v>
      </c>
      <c r="I2322" s="3">
        <v>28</v>
      </c>
      <c r="J2322" s="3">
        <v>0</v>
      </c>
      <c r="K2322" s="3">
        <v>15</v>
      </c>
      <c r="L2322" s="3">
        <v>0</v>
      </c>
      <c r="M2322" s="3">
        <v>30</v>
      </c>
      <c r="N2322" s="3">
        <v>17</v>
      </c>
      <c r="O2322" s="3"/>
      <c r="P2322" s="3"/>
      <c r="Q2322" s="3"/>
    </row>
    <row r="2323" spans="1:17" ht="15" x14ac:dyDescent="0.25">
      <c r="A2323" s="3">
        <f>2316</f>
        <v>2316</v>
      </c>
      <c r="B2323" s="3" t="s">
        <v>2325</v>
      </c>
      <c r="C2323" s="3" t="s">
        <v>10</v>
      </c>
      <c r="D2323" s="3" t="s">
        <v>9</v>
      </c>
      <c r="E2323" s="3">
        <v>22</v>
      </c>
      <c r="F2323" s="3">
        <v>0</v>
      </c>
      <c r="G2323" s="3">
        <v>0</v>
      </c>
      <c r="H2323" s="3">
        <v>18</v>
      </c>
      <c r="I2323" s="3">
        <v>28</v>
      </c>
      <c r="J2323" s="3">
        <v>0</v>
      </c>
      <c r="K2323" s="3">
        <v>15</v>
      </c>
      <c r="L2323" s="3">
        <v>0</v>
      </c>
      <c r="M2323" s="3">
        <v>30</v>
      </c>
      <c r="N2323" s="3">
        <v>17</v>
      </c>
      <c r="O2323" s="3"/>
      <c r="P2323" s="3"/>
      <c r="Q2323" s="3"/>
    </row>
    <row r="2324" spans="1:17" ht="15" x14ac:dyDescent="0.25">
      <c r="A2324" s="3">
        <f>2317</f>
        <v>2317</v>
      </c>
      <c r="B2324" s="3" t="s">
        <v>2326</v>
      </c>
      <c r="C2324" s="3" t="s">
        <v>10</v>
      </c>
      <c r="D2324" s="3" t="s">
        <v>9</v>
      </c>
      <c r="E2324" s="3">
        <v>22</v>
      </c>
      <c r="F2324" s="3">
        <v>0</v>
      </c>
      <c r="G2324" s="3">
        <v>0</v>
      </c>
      <c r="H2324" s="3">
        <v>18</v>
      </c>
      <c r="I2324" s="3">
        <v>28</v>
      </c>
      <c r="J2324" s="3">
        <v>0</v>
      </c>
      <c r="K2324" s="3">
        <v>15</v>
      </c>
      <c r="L2324" s="3">
        <v>0</v>
      </c>
      <c r="M2324" s="3">
        <v>30</v>
      </c>
      <c r="N2324" s="3">
        <v>17</v>
      </c>
      <c r="O2324" s="3"/>
      <c r="P2324" s="3"/>
      <c r="Q2324" s="3"/>
    </row>
    <row r="2325" spans="1:17" ht="15" x14ac:dyDescent="0.25">
      <c r="A2325" s="3">
        <f>2318</f>
        <v>2318</v>
      </c>
      <c r="B2325" s="3" t="s">
        <v>2327</v>
      </c>
      <c r="C2325" s="3" t="s">
        <v>10</v>
      </c>
      <c r="D2325" s="3" t="s">
        <v>9</v>
      </c>
      <c r="E2325" s="3">
        <v>22</v>
      </c>
      <c r="F2325" s="3">
        <v>0</v>
      </c>
      <c r="G2325" s="3">
        <v>0</v>
      </c>
      <c r="H2325" s="3">
        <v>18</v>
      </c>
      <c r="I2325" s="3">
        <v>28</v>
      </c>
      <c r="J2325" s="3">
        <v>0</v>
      </c>
      <c r="K2325" s="3">
        <v>15</v>
      </c>
      <c r="L2325" s="3">
        <v>0</v>
      </c>
      <c r="M2325" s="3">
        <v>30</v>
      </c>
      <c r="N2325" s="3">
        <v>17</v>
      </c>
      <c r="O2325" s="3"/>
      <c r="P2325" s="3"/>
      <c r="Q2325" s="3"/>
    </row>
    <row r="2326" spans="1:17" ht="15" x14ac:dyDescent="0.25">
      <c r="A2326" s="3">
        <f>2319</f>
        <v>2319</v>
      </c>
      <c r="B2326" s="3" t="s">
        <v>2328</v>
      </c>
      <c r="C2326" s="3" t="s">
        <v>10</v>
      </c>
      <c r="D2326" s="3" t="s">
        <v>9</v>
      </c>
      <c r="E2326" s="3">
        <v>22</v>
      </c>
      <c r="F2326" s="3">
        <v>0</v>
      </c>
      <c r="G2326" s="3">
        <v>0</v>
      </c>
      <c r="H2326" s="3">
        <v>18</v>
      </c>
      <c r="I2326" s="3">
        <v>28</v>
      </c>
      <c r="J2326" s="3">
        <v>0</v>
      </c>
      <c r="K2326" s="3">
        <v>15</v>
      </c>
      <c r="L2326" s="3">
        <v>0</v>
      </c>
      <c r="M2326" s="3">
        <v>30</v>
      </c>
      <c r="N2326" s="3">
        <v>17</v>
      </c>
      <c r="O2326" s="3"/>
      <c r="P2326" s="3"/>
      <c r="Q2326" s="3"/>
    </row>
    <row r="2327" spans="1:17" ht="15" x14ac:dyDescent="0.25">
      <c r="A2327" s="3">
        <f>2320</f>
        <v>2320</v>
      </c>
      <c r="B2327" s="3" t="s">
        <v>2329</v>
      </c>
      <c r="C2327" s="3" t="s">
        <v>10</v>
      </c>
      <c r="D2327" s="3" t="s">
        <v>9</v>
      </c>
      <c r="E2327" s="3">
        <v>22</v>
      </c>
      <c r="F2327" s="3">
        <v>0</v>
      </c>
      <c r="G2327" s="3">
        <v>0</v>
      </c>
      <c r="H2327" s="3">
        <v>18</v>
      </c>
      <c r="I2327" s="3">
        <v>28</v>
      </c>
      <c r="J2327" s="3">
        <v>0</v>
      </c>
      <c r="K2327" s="3">
        <v>15</v>
      </c>
      <c r="L2327" s="3">
        <v>0</v>
      </c>
      <c r="M2327" s="3">
        <v>30</v>
      </c>
      <c r="N2327" s="3">
        <v>17</v>
      </c>
      <c r="O2327" s="3"/>
      <c r="P2327" s="3"/>
      <c r="Q2327" s="3"/>
    </row>
    <row r="2328" spans="1:17" ht="15" x14ac:dyDescent="0.25">
      <c r="A2328" s="3">
        <f>2321</f>
        <v>2321</v>
      </c>
      <c r="B2328" s="3" t="s">
        <v>2330</v>
      </c>
      <c r="C2328" s="3" t="s">
        <v>10</v>
      </c>
      <c r="D2328" s="3" t="s">
        <v>9</v>
      </c>
      <c r="E2328" s="3">
        <v>22</v>
      </c>
      <c r="F2328" s="3">
        <v>0</v>
      </c>
      <c r="G2328" s="3">
        <v>0</v>
      </c>
      <c r="H2328" s="3">
        <v>18</v>
      </c>
      <c r="I2328" s="3">
        <v>28</v>
      </c>
      <c r="J2328" s="3">
        <v>0</v>
      </c>
      <c r="K2328" s="3">
        <v>15</v>
      </c>
      <c r="L2328" s="3">
        <v>0</v>
      </c>
      <c r="M2328" s="3">
        <v>30</v>
      </c>
      <c r="N2328" s="3">
        <v>17</v>
      </c>
      <c r="O2328" s="3"/>
      <c r="P2328" s="3"/>
      <c r="Q2328" s="3"/>
    </row>
    <row r="2329" spans="1:17" ht="15" x14ac:dyDescent="0.25">
      <c r="A2329" s="3">
        <f>2322</f>
        <v>2322</v>
      </c>
      <c r="B2329" s="3" t="s">
        <v>2331</v>
      </c>
      <c r="C2329" s="3" t="s">
        <v>10</v>
      </c>
      <c r="D2329" s="3" t="s">
        <v>9</v>
      </c>
      <c r="E2329" s="3">
        <v>22</v>
      </c>
      <c r="F2329" s="3">
        <v>0</v>
      </c>
      <c r="G2329" s="3">
        <v>0</v>
      </c>
      <c r="H2329" s="3">
        <v>18</v>
      </c>
      <c r="I2329" s="3">
        <v>28</v>
      </c>
      <c r="J2329" s="3">
        <v>0</v>
      </c>
      <c r="K2329" s="3">
        <v>15</v>
      </c>
      <c r="L2329" s="3">
        <v>0</v>
      </c>
      <c r="M2329" s="3">
        <v>30</v>
      </c>
      <c r="N2329" s="3">
        <v>17</v>
      </c>
      <c r="O2329" s="3"/>
      <c r="P2329" s="3"/>
      <c r="Q2329" s="3"/>
    </row>
    <row r="2330" spans="1:17" ht="15" x14ac:dyDescent="0.25">
      <c r="A2330" s="3">
        <f>2323</f>
        <v>2323</v>
      </c>
      <c r="B2330" s="3" t="s">
        <v>2332</v>
      </c>
      <c r="C2330" s="3" t="s">
        <v>10</v>
      </c>
      <c r="D2330" s="3" t="s">
        <v>9</v>
      </c>
      <c r="E2330" s="3">
        <v>22</v>
      </c>
      <c r="F2330" s="3">
        <v>0</v>
      </c>
      <c r="G2330" s="3">
        <v>0</v>
      </c>
      <c r="H2330" s="3">
        <v>18</v>
      </c>
      <c r="I2330" s="3">
        <v>28</v>
      </c>
      <c r="J2330" s="3">
        <v>0</v>
      </c>
      <c r="K2330" s="3">
        <v>15</v>
      </c>
      <c r="L2330" s="3">
        <v>0</v>
      </c>
      <c r="M2330" s="3">
        <v>30</v>
      </c>
      <c r="N2330" s="3">
        <v>17</v>
      </c>
      <c r="O2330" s="3"/>
      <c r="P2330" s="3"/>
      <c r="Q2330" s="3"/>
    </row>
    <row r="2331" spans="1:17" ht="15" x14ac:dyDescent="0.25">
      <c r="A2331" s="3">
        <f>2324</f>
        <v>2324</v>
      </c>
      <c r="B2331" s="3" t="s">
        <v>2333</v>
      </c>
      <c r="C2331" s="3" t="s">
        <v>10</v>
      </c>
      <c r="D2331" s="3" t="s">
        <v>9</v>
      </c>
      <c r="E2331" s="3">
        <v>22</v>
      </c>
      <c r="F2331" s="3">
        <v>0</v>
      </c>
      <c r="G2331" s="3">
        <v>0</v>
      </c>
      <c r="H2331" s="3">
        <v>18</v>
      </c>
      <c r="I2331" s="3">
        <v>28</v>
      </c>
      <c r="J2331" s="3">
        <v>0</v>
      </c>
      <c r="K2331" s="3">
        <v>15</v>
      </c>
      <c r="L2331" s="3">
        <v>0</v>
      </c>
      <c r="M2331" s="3">
        <v>30</v>
      </c>
      <c r="N2331" s="3">
        <v>17</v>
      </c>
      <c r="O2331" s="3"/>
      <c r="P2331" s="3"/>
      <c r="Q2331" s="3"/>
    </row>
    <row r="2332" spans="1:17" ht="15" x14ac:dyDescent="0.25">
      <c r="A2332" s="3">
        <f>2325</f>
        <v>2325</v>
      </c>
      <c r="B2332" s="3" t="s">
        <v>2334</v>
      </c>
      <c r="C2332" s="3" t="s">
        <v>10</v>
      </c>
      <c r="D2332" s="3" t="s">
        <v>9</v>
      </c>
      <c r="E2332" s="3">
        <v>22</v>
      </c>
      <c r="F2332" s="3">
        <v>0</v>
      </c>
      <c r="G2332" s="3">
        <v>0</v>
      </c>
      <c r="H2332" s="3">
        <v>18</v>
      </c>
      <c r="I2332" s="3">
        <v>28</v>
      </c>
      <c r="J2332" s="3">
        <v>0</v>
      </c>
      <c r="K2332" s="3">
        <v>15</v>
      </c>
      <c r="L2332" s="3">
        <v>0</v>
      </c>
      <c r="M2332" s="3">
        <v>30</v>
      </c>
      <c r="N2332" s="3">
        <v>17</v>
      </c>
      <c r="O2332" s="3"/>
      <c r="P2332" s="3"/>
      <c r="Q2332" s="3"/>
    </row>
    <row r="2333" spans="1:17" ht="15" x14ac:dyDescent="0.25">
      <c r="A2333" s="3">
        <f>2326</f>
        <v>2326</v>
      </c>
      <c r="B2333" s="3" t="s">
        <v>2335</v>
      </c>
      <c r="C2333" s="3" t="s">
        <v>10</v>
      </c>
      <c r="D2333" s="3" t="s">
        <v>9</v>
      </c>
      <c r="E2333" s="3">
        <v>22</v>
      </c>
      <c r="F2333" s="3">
        <v>0</v>
      </c>
      <c r="G2333" s="3">
        <v>0</v>
      </c>
      <c r="H2333" s="3">
        <v>18</v>
      </c>
      <c r="I2333" s="3">
        <v>28</v>
      </c>
      <c r="J2333" s="3">
        <v>0</v>
      </c>
      <c r="K2333" s="3">
        <v>15</v>
      </c>
      <c r="L2333" s="3">
        <v>0</v>
      </c>
      <c r="M2333" s="3">
        <v>30</v>
      </c>
      <c r="N2333" s="3">
        <v>17</v>
      </c>
      <c r="O2333" s="3"/>
      <c r="P2333" s="3"/>
      <c r="Q2333" s="3"/>
    </row>
    <row r="2334" spans="1:17" ht="15" x14ac:dyDescent="0.25">
      <c r="A2334" s="3">
        <f>2327</f>
        <v>2327</v>
      </c>
      <c r="B2334" s="3" t="s">
        <v>2336</v>
      </c>
      <c r="C2334" s="3" t="s">
        <v>10</v>
      </c>
      <c r="D2334" s="3" t="s">
        <v>9</v>
      </c>
      <c r="E2334" s="3">
        <v>22</v>
      </c>
      <c r="F2334" s="3">
        <v>0</v>
      </c>
      <c r="G2334" s="3">
        <v>0</v>
      </c>
      <c r="H2334" s="3">
        <v>18</v>
      </c>
      <c r="I2334" s="3">
        <v>28</v>
      </c>
      <c r="J2334" s="3">
        <v>0</v>
      </c>
      <c r="K2334" s="3">
        <v>15</v>
      </c>
      <c r="L2334" s="3">
        <v>0</v>
      </c>
      <c r="M2334" s="3">
        <v>30</v>
      </c>
      <c r="N2334" s="3">
        <v>17</v>
      </c>
      <c r="O2334" s="3"/>
      <c r="P2334" s="3"/>
      <c r="Q2334" s="3"/>
    </row>
    <row r="2335" spans="1:17" ht="15" x14ac:dyDescent="0.25">
      <c r="A2335" s="3">
        <f>2328</f>
        <v>2328</v>
      </c>
      <c r="B2335" s="3" t="s">
        <v>2337</v>
      </c>
      <c r="C2335" s="3" t="s">
        <v>10</v>
      </c>
      <c r="D2335" s="3" t="s">
        <v>9</v>
      </c>
      <c r="E2335" s="3">
        <v>22</v>
      </c>
      <c r="F2335" s="3">
        <v>0</v>
      </c>
      <c r="G2335" s="3">
        <v>0</v>
      </c>
      <c r="H2335" s="3">
        <v>18</v>
      </c>
      <c r="I2335" s="3">
        <v>28</v>
      </c>
      <c r="J2335" s="3">
        <v>0</v>
      </c>
      <c r="K2335" s="3">
        <v>15</v>
      </c>
      <c r="L2335" s="3">
        <v>0</v>
      </c>
      <c r="M2335" s="3">
        <v>30</v>
      </c>
      <c r="N2335" s="3">
        <v>17</v>
      </c>
      <c r="O2335" s="3"/>
      <c r="P2335" s="3"/>
      <c r="Q2335" s="3"/>
    </row>
    <row r="2336" spans="1:17" ht="15" x14ac:dyDescent="0.25">
      <c r="A2336" s="3">
        <f>2329</f>
        <v>2329</v>
      </c>
      <c r="B2336" s="3" t="s">
        <v>2338</v>
      </c>
      <c r="C2336" s="3" t="s">
        <v>10</v>
      </c>
      <c r="D2336" s="3" t="s">
        <v>9</v>
      </c>
      <c r="E2336" s="3">
        <v>22</v>
      </c>
      <c r="F2336" s="3">
        <v>0</v>
      </c>
      <c r="G2336" s="3">
        <v>0</v>
      </c>
      <c r="H2336" s="3">
        <v>18</v>
      </c>
      <c r="I2336" s="3">
        <v>28</v>
      </c>
      <c r="J2336" s="3">
        <v>0</v>
      </c>
      <c r="K2336" s="3">
        <v>15</v>
      </c>
      <c r="L2336" s="3">
        <v>0</v>
      </c>
      <c r="M2336" s="3">
        <v>30</v>
      </c>
      <c r="N2336" s="3">
        <v>17</v>
      </c>
      <c r="O2336" s="3"/>
      <c r="P2336" s="3"/>
      <c r="Q2336" s="3"/>
    </row>
    <row r="2337" spans="1:17" ht="15" x14ac:dyDescent="0.25">
      <c r="A2337" s="3">
        <f>2330</f>
        <v>2330</v>
      </c>
      <c r="B2337" s="3" t="s">
        <v>2339</v>
      </c>
      <c r="C2337" s="3" t="s">
        <v>10</v>
      </c>
      <c r="D2337" s="3" t="s">
        <v>9</v>
      </c>
      <c r="E2337" s="3">
        <v>22</v>
      </c>
      <c r="F2337" s="3">
        <v>0</v>
      </c>
      <c r="G2337" s="3">
        <v>0</v>
      </c>
      <c r="H2337" s="3">
        <v>18</v>
      </c>
      <c r="I2337" s="3">
        <v>28</v>
      </c>
      <c r="J2337" s="3">
        <v>0</v>
      </c>
      <c r="K2337" s="3">
        <v>15</v>
      </c>
      <c r="L2337" s="3">
        <v>0</v>
      </c>
      <c r="M2337" s="3">
        <v>30</v>
      </c>
      <c r="N2337" s="3">
        <v>17</v>
      </c>
      <c r="O2337" s="3"/>
      <c r="P2337" s="3"/>
      <c r="Q2337" s="3"/>
    </row>
    <row r="2338" spans="1:17" ht="15" x14ac:dyDescent="0.25">
      <c r="A2338" s="3">
        <f>2331</f>
        <v>2331</v>
      </c>
      <c r="B2338" s="3" t="s">
        <v>2340</v>
      </c>
      <c r="C2338" s="3" t="s">
        <v>10</v>
      </c>
      <c r="D2338" s="3" t="s">
        <v>9</v>
      </c>
      <c r="E2338" s="3">
        <v>22</v>
      </c>
      <c r="F2338" s="3">
        <v>0</v>
      </c>
      <c r="G2338" s="3">
        <v>0</v>
      </c>
      <c r="H2338" s="3">
        <v>18</v>
      </c>
      <c r="I2338" s="3">
        <v>28</v>
      </c>
      <c r="J2338" s="3">
        <v>0</v>
      </c>
      <c r="K2338" s="3">
        <v>15</v>
      </c>
      <c r="L2338" s="3">
        <v>0</v>
      </c>
      <c r="M2338" s="3">
        <v>30</v>
      </c>
      <c r="N2338" s="3">
        <v>17</v>
      </c>
      <c r="O2338" s="3"/>
      <c r="P2338" s="3"/>
      <c r="Q2338" s="3"/>
    </row>
    <row r="2339" spans="1:17" ht="15" x14ac:dyDescent="0.25">
      <c r="A2339" s="3">
        <f>2332</f>
        <v>2332</v>
      </c>
      <c r="B2339" s="3" t="s">
        <v>2341</v>
      </c>
      <c r="C2339" s="3" t="s">
        <v>10</v>
      </c>
      <c r="D2339" s="3" t="s">
        <v>9</v>
      </c>
      <c r="E2339" s="3">
        <v>22</v>
      </c>
      <c r="F2339" s="3">
        <v>0</v>
      </c>
      <c r="G2339" s="3">
        <v>0</v>
      </c>
      <c r="H2339" s="3">
        <v>18</v>
      </c>
      <c r="I2339" s="3">
        <v>28</v>
      </c>
      <c r="J2339" s="3">
        <v>0</v>
      </c>
      <c r="K2339" s="3">
        <v>15</v>
      </c>
      <c r="L2339" s="3">
        <v>0</v>
      </c>
      <c r="M2339" s="3">
        <v>30</v>
      </c>
      <c r="N2339" s="3">
        <v>17</v>
      </c>
      <c r="O2339" s="3"/>
      <c r="P2339" s="3"/>
      <c r="Q2339" s="3"/>
    </row>
    <row r="2340" spans="1:17" ht="15" x14ac:dyDescent="0.25">
      <c r="A2340" s="3">
        <f>2333</f>
        <v>2333</v>
      </c>
      <c r="B2340" s="3" t="s">
        <v>2342</v>
      </c>
      <c r="C2340" s="3" t="s">
        <v>10</v>
      </c>
      <c r="D2340" s="3" t="s">
        <v>9</v>
      </c>
      <c r="E2340" s="3">
        <v>22</v>
      </c>
      <c r="F2340" s="3">
        <v>0</v>
      </c>
      <c r="G2340" s="3">
        <v>0</v>
      </c>
      <c r="H2340" s="3">
        <v>18</v>
      </c>
      <c r="I2340" s="3">
        <v>28</v>
      </c>
      <c r="J2340" s="3">
        <v>0</v>
      </c>
      <c r="K2340" s="3">
        <v>15</v>
      </c>
      <c r="L2340" s="3">
        <v>0</v>
      </c>
      <c r="M2340" s="3">
        <v>30</v>
      </c>
      <c r="N2340" s="3">
        <v>17</v>
      </c>
      <c r="O2340" s="3"/>
      <c r="P2340" s="3"/>
      <c r="Q2340" s="3"/>
    </row>
    <row r="2341" spans="1:17" ht="15" x14ac:dyDescent="0.25">
      <c r="A2341" s="3">
        <f>2334</f>
        <v>2334</v>
      </c>
      <c r="B2341" s="3" t="s">
        <v>2343</v>
      </c>
      <c r="C2341" s="3" t="s">
        <v>10</v>
      </c>
      <c r="D2341" s="3" t="s">
        <v>9</v>
      </c>
      <c r="E2341" s="3">
        <v>22</v>
      </c>
      <c r="F2341" s="3">
        <v>0</v>
      </c>
      <c r="G2341" s="3">
        <v>0</v>
      </c>
      <c r="H2341" s="3">
        <v>18</v>
      </c>
      <c r="I2341" s="3">
        <v>28</v>
      </c>
      <c r="J2341" s="3">
        <v>0</v>
      </c>
      <c r="K2341" s="3">
        <v>15</v>
      </c>
      <c r="L2341" s="3">
        <v>0</v>
      </c>
      <c r="M2341" s="3">
        <v>30</v>
      </c>
      <c r="N2341" s="3">
        <v>17</v>
      </c>
      <c r="O2341" s="3"/>
      <c r="P2341" s="3"/>
      <c r="Q2341" s="3"/>
    </row>
    <row r="2342" spans="1:17" ht="15" x14ac:dyDescent="0.25">
      <c r="A2342" s="3">
        <f>2335</f>
        <v>2335</v>
      </c>
      <c r="B2342" s="3" t="s">
        <v>2344</v>
      </c>
      <c r="C2342" s="3" t="s">
        <v>10</v>
      </c>
      <c r="D2342" s="3" t="s">
        <v>9</v>
      </c>
      <c r="E2342" s="3">
        <v>22</v>
      </c>
      <c r="F2342" s="3">
        <v>0</v>
      </c>
      <c r="G2342" s="3">
        <v>0</v>
      </c>
      <c r="H2342" s="3">
        <v>18</v>
      </c>
      <c r="I2342" s="3">
        <v>28</v>
      </c>
      <c r="J2342" s="3">
        <v>0</v>
      </c>
      <c r="K2342" s="3">
        <v>15</v>
      </c>
      <c r="L2342" s="3">
        <v>0</v>
      </c>
      <c r="M2342" s="3">
        <v>30</v>
      </c>
      <c r="N2342" s="3">
        <v>17</v>
      </c>
      <c r="O2342" s="3"/>
      <c r="P2342" s="3"/>
      <c r="Q2342" s="3"/>
    </row>
    <row r="2343" spans="1:17" ht="15" x14ac:dyDescent="0.25">
      <c r="A2343" s="3">
        <f>2336</f>
        <v>2336</v>
      </c>
      <c r="B2343" s="3" t="s">
        <v>2345</v>
      </c>
      <c r="C2343" s="3" t="s">
        <v>10</v>
      </c>
      <c r="D2343" s="3" t="s">
        <v>9</v>
      </c>
      <c r="E2343" s="3">
        <v>22</v>
      </c>
      <c r="F2343" s="3">
        <v>0</v>
      </c>
      <c r="G2343" s="3">
        <v>0</v>
      </c>
      <c r="H2343" s="3">
        <v>18</v>
      </c>
      <c r="I2343" s="3">
        <v>28</v>
      </c>
      <c r="J2343" s="3">
        <v>0</v>
      </c>
      <c r="K2343" s="3">
        <v>15</v>
      </c>
      <c r="L2343" s="3">
        <v>0</v>
      </c>
      <c r="M2343" s="3">
        <v>30</v>
      </c>
      <c r="N2343" s="3">
        <v>17</v>
      </c>
      <c r="O2343" s="3"/>
      <c r="P2343" s="3"/>
      <c r="Q2343" s="3"/>
    </row>
    <row r="2344" spans="1:17" ht="15" x14ac:dyDescent="0.25">
      <c r="A2344" s="3">
        <f>2337</f>
        <v>2337</v>
      </c>
      <c r="B2344" s="3" t="s">
        <v>2346</v>
      </c>
      <c r="C2344" s="3" t="s">
        <v>10</v>
      </c>
      <c r="D2344" s="3" t="s">
        <v>9</v>
      </c>
      <c r="E2344" s="3">
        <v>22</v>
      </c>
      <c r="F2344" s="3">
        <v>0</v>
      </c>
      <c r="G2344" s="3">
        <v>0</v>
      </c>
      <c r="H2344" s="3">
        <v>18</v>
      </c>
      <c r="I2344" s="3">
        <v>28</v>
      </c>
      <c r="J2344" s="3">
        <v>0</v>
      </c>
      <c r="K2344" s="3">
        <v>15</v>
      </c>
      <c r="L2344" s="3">
        <v>0</v>
      </c>
      <c r="M2344" s="3">
        <v>30</v>
      </c>
      <c r="N2344" s="3">
        <v>17</v>
      </c>
      <c r="O2344" s="3"/>
      <c r="P2344" s="3"/>
      <c r="Q2344" s="3"/>
    </row>
    <row r="2345" spans="1:17" ht="15" x14ac:dyDescent="0.25">
      <c r="A2345" s="3">
        <f>2338</f>
        <v>2338</v>
      </c>
      <c r="B2345" s="3" t="s">
        <v>2347</v>
      </c>
      <c r="C2345" s="3" t="s">
        <v>10</v>
      </c>
      <c r="D2345" s="3" t="s">
        <v>9</v>
      </c>
      <c r="E2345" s="3">
        <v>22</v>
      </c>
      <c r="F2345" s="3">
        <v>0</v>
      </c>
      <c r="G2345" s="3">
        <v>0</v>
      </c>
      <c r="H2345" s="3">
        <v>18</v>
      </c>
      <c r="I2345" s="3">
        <v>28</v>
      </c>
      <c r="J2345" s="3">
        <v>0</v>
      </c>
      <c r="K2345" s="3">
        <v>15</v>
      </c>
      <c r="L2345" s="3">
        <v>0</v>
      </c>
      <c r="M2345" s="3">
        <v>30</v>
      </c>
      <c r="N2345" s="3">
        <v>17</v>
      </c>
      <c r="O2345" s="3"/>
      <c r="P2345" s="3"/>
      <c r="Q2345" s="3"/>
    </row>
    <row r="2346" spans="1:17" ht="15" x14ac:dyDescent="0.25">
      <c r="A2346" s="3">
        <f>2339</f>
        <v>2339</v>
      </c>
      <c r="B2346" s="3" t="s">
        <v>2348</v>
      </c>
      <c r="C2346" s="3" t="s">
        <v>10</v>
      </c>
      <c r="D2346" s="3" t="s">
        <v>9</v>
      </c>
      <c r="E2346" s="3">
        <v>22</v>
      </c>
      <c r="F2346" s="3">
        <v>0</v>
      </c>
      <c r="G2346" s="3">
        <v>0</v>
      </c>
      <c r="H2346" s="3">
        <v>18</v>
      </c>
      <c r="I2346" s="3">
        <v>28</v>
      </c>
      <c r="J2346" s="3">
        <v>0</v>
      </c>
      <c r="K2346" s="3">
        <v>15</v>
      </c>
      <c r="L2346" s="3">
        <v>0</v>
      </c>
      <c r="M2346" s="3">
        <v>30</v>
      </c>
      <c r="N2346" s="3">
        <v>17</v>
      </c>
      <c r="O2346" s="3"/>
      <c r="P2346" s="3"/>
      <c r="Q2346" s="3"/>
    </row>
    <row r="2347" spans="1:17" ht="15" x14ac:dyDescent="0.25">
      <c r="A2347" s="3">
        <f>2340</f>
        <v>2340</v>
      </c>
      <c r="B2347" s="3" t="s">
        <v>2349</v>
      </c>
      <c r="C2347" s="3" t="s">
        <v>10</v>
      </c>
      <c r="D2347" s="3" t="s">
        <v>9</v>
      </c>
      <c r="E2347" s="3">
        <v>22</v>
      </c>
      <c r="F2347" s="3">
        <v>0</v>
      </c>
      <c r="G2347" s="3">
        <v>0</v>
      </c>
      <c r="H2347" s="3">
        <v>18</v>
      </c>
      <c r="I2347" s="3">
        <v>28</v>
      </c>
      <c r="J2347" s="3">
        <v>0</v>
      </c>
      <c r="K2347" s="3">
        <v>15</v>
      </c>
      <c r="L2347" s="3">
        <v>0</v>
      </c>
      <c r="M2347" s="3">
        <v>30</v>
      </c>
      <c r="N2347" s="3">
        <v>17</v>
      </c>
      <c r="O2347" s="3"/>
      <c r="P2347" s="3"/>
      <c r="Q2347" s="3"/>
    </row>
    <row r="2348" spans="1:17" ht="15" x14ac:dyDescent="0.25">
      <c r="A2348" s="3">
        <f>2341</f>
        <v>2341</v>
      </c>
      <c r="B2348" s="3" t="s">
        <v>2350</v>
      </c>
      <c r="C2348" s="3" t="s">
        <v>10</v>
      </c>
      <c r="D2348" s="3" t="s">
        <v>9</v>
      </c>
      <c r="E2348" s="3">
        <v>22</v>
      </c>
      <c r="F2348" s="3">
        <v>0</v>
      </c>
      <c r="G2348" s="3">
        <v>0</v>
      </c>
      <c r="H2348" s="3">
        <v>18</v>
      </c>
      <c r="I2348" s="3">
        <v>28</v>
      </c>
      <c r="J2348" s="3">
        <v>0</v>
      </c>
      <c r="K2348" s="3">
        <v>15</v>
      </c>
      <c r="L2348" s="3">
        <v>0</v>
      </c>
      <c r="M2348" s="3">
        <v>30</v>
      </c>
      <c r="N2348" s="3">
        <v>17</v>
      </c>
      <c r="O2348" s="3"/>
      <c r="P2348" s="3"/>
      <c r="Q2348" s="3"/>
    </row>
    <row r="2349" spans="1:17" ht="15" x14ac:dyDescent="0.25">
      <c r="A2349" s="3">
        <f>2342</f>
        <v>2342</v>
      </c>
      <c r="B2349" s="3" t="s">
        <v>2351</v>
      </c>
      <c r="C2349" s="3" t="s">
        <v>10</v>
      </c>
      <c r="D2349" s="3" t="s">
        <v>9</v>
      </c>
      <c r="E2349" s="3">
        <v>22</v>
      </c>
      <c r="F2349" s="3">
        <v>0</v>
      </c>
      <c r="G2349" s="3">
        <v>0</v>
      </c>
      <c r="H2349" s="3">
        <v>18</v>
      </c>
      <c r="I2349" s="3">
        <v>28</v>
      </c>
      <c r="J2349" s="3">
        <v>0</v>
      </c>
      <c r="K2349" s="3">
        <v>15</v>
      </c>
      <c r="L2349" s="3">
        <v>0</v>
      </c>
      <c r="M2349" s="3">
        <v>30</v>
      </c>
      <c r="N2349" s="3">
        <v>17</v>
      </c>
      <c r="O2349" s="3"/>
      <c r="P2349" s="3"/>
      <c r="Q2349" s="3"/>
    </row>
    <row r="2350" spans="1:17" ht="15" x14ac:dyDescent="0.25">
      <c r="A2350" s="3">
        <f>2343</f>
        <v>2343</v>
      </c>
      <c r="B2350" s="3" t="s">
        <v>2352</v>
      </c>
      <c r="C2350" s="3" t="s">
        <v>10</v>
      </c>
      <c r="D2350" s="3" t="s">
        <v>9</v>
      </c>
      <c r="E2350" s="3">
        <v>22</v>
      </c>
      <c r="F2350" s="3">
        <v>0</v>
      </c>
      <c r="G2350" s="3">
        <v>0</v>
      </c>
      <c r="H2350" s="3">
        <v>18</v>
      </c>
      <c r="I2350" s="3">
        <v>28</v>
      </c>
      <c r="J2350" s="3">
        <v>0</v>
      </c>
      <c r="K2350" s="3">
        <v>15</v>
      </c>
      <c r="L2350" s="3">
        <v>0</v>
      </c>
      <c r="M2350" s="3">
        <v>30</v>
      </c>
      <c r="N2350" s="3">
        <v>17</v>
      </c>
      <c r="O2350" s="3"/>
      <c r="P2350" s="3"/>
      <c r="Q2350" s="3"/>
    </row>
    <row r="2351" spans="1:17" ht="15" x14ac:dyDescent="0.25">
      <c r="A2351" s="3">
        <f>2344</f>
        <v>2344</v>
      </c>
      <c r="B2351" s="3" t="s">
        <v>2353</v>
      </c>
      <c r="C2351" s="3" t="s">
        <v>10</v>
      </c>
      <c r="D2351" s="3" t="s">
        <v>9</v>
      </c>
      <c r="E2351" s="3">
        <v>22</v>
      </c>
      <c r="F2351" s="3">
        <v>0</v>
      </c>
      <c r="G2351" s="3">
        <v>0</v>
      </c>
      <c r="H2351" s="3">
        <v>18</v>
      </c>
      <c r="I2351" s="3">
        <v>28</v>
      </c>
      <c r="J2351" s="3">
        <v>0</v>
      </c>
      <c r="K2351" s="3">
        <v>15</v>
      </c>
      <c r="L2351" s="3">
        <v>0</v>
      </c>
      <c r="M2351" s="3">
        <v>30</v>
      </c>
      <c r="N2351" s="3">
        <v>17</v>
      </c>
      <c r="O2351" s="3"/>
      <c r="P2351" s="3"/>
      <c r="Q2351" s="3"/>
    </row>
    <row r="2352" spans="1:17" ht="15" x14ac:dyDescent="0.25">
      <c r="A2352" s="3">
        <f>2345</f>
        <v>2345</v>
      </c>
      <c r="B2352" s="3" t="s">
        <v>2354</v>
      </c>
      <c r="C2352" s="3" t="s">
        <v>10</v>
      </c>
      <c r="D2352" s="3" t="s">
        <v>9</v>
      </c>
      <c r="E2352" s="3">
        <v>22</v>
      </c>
      <c r="F2352" s="3">
        <v>0</v>
      </c>
      <c r="G2352" s="3">
        <v>0</v>
      </c>
      <c r="H2352" s="3">
        <v>18</v>
      </c>
      <c r="I2352" s="3">
        <v>28</v>
      </c>
      <c r="J2352" s="3">
        <v>0</v>
      </c>
      <c r="K2352" s="3">
        <v>15</v>
      </c>
      <c r="L2352" s="3">
        <v>0</v>
      </c>
      <c r="M2352" s="3">
        <v>30</v>
      </c>
      <c r="N2352" s="3">
        <v>17</v>
      </c>
      <c r="O2352" s="3"/>
      <c r="P2352" s="3"/>
      <c r="Q2352" s="3"/>
    </row>
    <row r="2353" spans="1:17" ht="15" x14ac:dyDescent="0.25">
      <c r="A2353" s="3">
        <f>2346</f>
        <v>2346</v>
      </c>
      <c r="B2353" s="3" t="s">
        <v>2355</v>
      </c>
      <c r="C2353" s="3" t="s">
        <v>10</v>
      </c>
      <c r="D2353" s="3" t="s">
        <v>9</v>
      </c>
      <c r="E2353" s="3">
        <v>22</v>
      </c>
      <c r="F2353" s="3">
        <v>0</v>
      </c>
      <c r="G2353" s="3">
        <v>0</v>
      </c>
      <c r="H2353" s="3">
        <v>18</v>
      </c>
      <c r="I2353" s="3">
        <v>28</v>
      </c>
      <c r="J2353" s="3">
        <v>0</v>
      </c>
      <c r="K2353" s="3">
        <v>15</v>
      </c>
      <c r="L2353" s="3">
        <v>0</v>
      </c>
      <c r="M2353" s="3">
        <v>30</v>
      </c>
      <c r="N2353" s="3">
        <v>17</v>
      </c>
      <c r="O2353" s="3"/>
      <c r="P2353" s="3"/>
      <c r="Q2353" s="3"/>
    </row>
    <row r="2354" spans="1:17" ht="15" x14ac:dyDescent="0.25">
      <c r="A2354" s="3">
        <f>2347</f>
        <v>2347</v>
      </c>
      <c r="B2354" s="3" t="s">
        <v>2356</v>
      </c>
      <c r="C2354" s="3" t="s">
        <v>10</v>
      </c>
      <c r="D2354" s="3" t="s">
        <v>9</v>
      </c>
      <c r="E2354" s="3">
        <v>22</v>
      </c>
      <c r="F2354" s="3">
        <v>0</v>
      </c>
      <c r="G2354" s="3">
        <v>0</v>
      </c>
      <c r="H2354" s="3">
        <v>18</v>
      </c>
      <c r="I2354" s="3">
        <v>28</v>
      </c>
      <c r="J2354" s="3">
        <v>0</v>
      </c>
      <c r="K2354" s="3">
        <v>15</v>
      </c>
      <c r="L2354" s="3">
        <v>0</v>
      </c>
      <c r="M2354" s="3">
        <v>30</v>
      </c>
      <c r="N2354" s="3">
        <v>17</v>
      </c>
      <c r="O2354" s="3"/>
      <c r="P2354" s="3"/>
      <c r="Q2354" s="3"/>
    </row>
    <row r="2355" spans="1:17" ht="15" x14ac:dyDescent="0.25">
      <c r="A2355" s="3">
        <f>2348</f>
        <v>2348</v>
      </c>
      <c r="B2355" s="3" t="s">
        <v>2357</v>
      </c>
      <c r="C2355" s="3" t="s">
        <v>10</v>
      </c>
      <c r="D2355" s="3" t="s">
        <v>9</v>
      </c>
      <c r="E2355" s="3">
        <v>22</v>
      </c>
      <c r="F2355" s="3">
        <v>0</v>
      </c>
      <c r="G2355" s="3">
        <v>0</v>
      </c>
      <c r="H2355" s="3">
        <v>18</v>
      </c>
      <c r="I2355" s="3">
        <v>28</v>
      </c>
      <c r="J2355" s="3">
        <v>0</v>
      </c>
      <c r="K2355" s="3">
        <v>15</v>
      </c>
      <c r="L2355" s="3">
        <v>0</v>
      </c>
      <c r="M2355" s="3">
        <v>30</v>
      </c>
      <c r="N2355" s="3">
        <v>17</v>
      </c>
      <c r="O2355" s="3"/>
      <c r="P2355" s="3"/>
      <c r="Q2355" s="3"/>
    </row>
    <row r="2356" spans="1:17" ht="15" x14ac:dyDescent="0.25">
      <c r="A2356" s="3">
        <f>2349</f>
        <v>2349</v>
      </c>
      <c r="B2356" s="3" t="s">
        <v>2358</v>
      </c>
      <c r="C2356" s="3" t="s">
        <v>10</v>
      </c>
      <c r="D2356" s="3" t="s">
        <v>9</v>
      </c>
      <c r="E2356" s="3">
        <v>22</v>
      </c>
      <c r="F2356" s="3">
        <v>0</v>
      </c>
      <c r="G2356" s="3">
        <v>0</v>
      </c>
      <c r="H2356" s="3">
        <v>18</v>
      </c>
      <c r="I2356" s="3">
        <v>28</v>
      </c>
      <c r="J2356" s="3">
        <v>0</v>
      </c>
      <c r="K2356" s="3">
        <v>15</v>
      </c>
      <c r="L2356" s="3">
        <v>0</v>
      </c>
      <c r="M2356" s="3">
        <v>30</v>
      </c>
      <c r="N2356" s="3">
        <v>17</v>
      </c>
      <c r="O2356" s="3"/>
      <c r="P2356" s="3"/>
      <c r="Q2356" s="3"/>
    </row>
    <row r="2357" spans="1:17" ht="15" x14ac:dyDescent="0.25">
      <c r="A2357" s="3">
        <f>2350</f>
        <v>2350</v>
      </c>
      <c r="B2357" s="3" t="s">
        <v>2359</v>
      </c>
      <c r="C2357" s="3" t="s">
        <v>10</v>
      </c>
      <c r="D2357" s="3" t="s">
        <v>9</v>
      </c>
      <c r="E2357" s="3">
        <v>22</v>
      </c>
      <c r="F2357" s="3">
        <v>0</v>
      </c>
      <c r="G2357" s="3">
        <v>0</v>
      </c>
      <c r="H2357" s="3">
        <v>18</v>
      </c>
      <c r="I2357" s="3">
        <v>28</v>
      </c>
      <c r="J2357" s="3">
        <v>0</v>
      </c>
      <c r="K2357" s="3">
        <v>15</v>
      </c>
      <c r="L2357" s="3">
        <v>0</v>
      </c>
      <c r="M2357" s="3">
        <v>30</v>
      </c>
      <c r="N2357" s="3">
        <v>17</v>
      </c>
      <c r="O2357" s="3"/>
      <c r="P2357" s="3"/>
      <c r="Q2357" s="3"/>
    </row>
    <row r="2358" spans="1:17" ht="15" x14ac:dyDescent="0.25">
      <c r="A2358" s="3">
        <f>2351</f>
        <v>2351</v>
      </c>
      <c r="B2358" s="3" t="s">
        <v>2360</v>
      </c>
      <c r="C2358" s="3" t="s">
        <v>10</v>
      </c>
      <c r="D2358" s="3" t="s">
        <v>9</v>
      </c>
      <c r="E2358" s="3">
        <v>22</v>
      </c>
      <c r="F2358" s="3">
        <v>0</v>
      </c>
      <c r="G2358" s="3">
        <v>0</v>
      </c>
      <c r="H2358" s="3">
        <v>18</v>
      </c>
      <c r="I2358" s="3">
        <v>28</v>
      </c>
      <c r="J2358" s="3">
        <v>0</v>
      </c>
      <c r="K2358" s="3">
        <v>15</v>
      </c>
      <c r="L2358" s="3">
        <v>0</v>
      </c>
      <c r="M2358" s="3">
        <v>30</v>
      </c>
      <c r="N2358" s="3">
        <v>17</v>
      </c>
      <c r="O2358" s="3"/>
      <c r="P2358" s="3"/>
      <c r="Q2358" s="3"/>
    </row>
    <row r="2359" spans="1:17" ht="15" x14ac:dyDescent="0.25">
      <c r="A2359" s="3">
        <f>2352</f>
        <v>2352</v>
      </c>
      <c r="B2359" s="3" t="s">
        <v>2361</v>
      </c>
      <c r="C2359" s="3" t="s">
        <v>10</v>
      </c>
      <c r="D2359" s="3" t="s">
        <v>9</v>
      </c>
      <c r="E2359" s="3">
        <v>22</v>
      </c>
      <c r="F2359" s="3">
        <v>0</v>
      </c>
      <c r="G2359" s="3">
        <v>1</v>
      </c>
      <c r="H2359" s="3">
        <v>18</v>
      </c>
      <c r="I2359" s="3">
        <v>28</v>
      </c>
      <c r="J2359" s="3">
        <v>1</v>
      </c>
      <c r="K2359" s="3">
        <v>15</v>
      </c>
      <c r="L2359" s="3">
        <v>1</v>
      </c>
      <c r="M2359" s="3">
        <v>30</v>
      </c>
      <c r="N2359" s="3">
        <v>17</v>
      </c>
      <c r="O2359" s="3"/>
      <c r="P2359" s="3"/>
      <c r="Q2359" s="3"/>
    </row>
    <row r="2360" spans="1:17" ht="15" x14ac:dyDescent="0.25">
      <c r="A2360" s="3">
        <f>2353</f>
        <v>2353</v>
      </c>
      <c r="B2360" s="3" t="s">
        <v>2362</v>
      </c>
      <c r="C2360" s="3" t="s">
        <v>10</v>
      </c>
      <c r="D2360" s="3" t="s">
        <v>9</v>
      </c>
      <c r="E2360" s="3">
        <v>22</v>
      </c>
      <c r="F2360" s="3">
        <v>0</v>
      </c>
      <c r="G2360" s="3">
        <v>1</v>
      </c>
      <c r="H2360" s="3">
        <v>18</v>
      </c>
      <c r="I2360" s="3">
        <v>28</v>
      </c>
      <c r="J2360" s="3">
        <v>1</v>
      </c>
      <c r="K2360" s="3">
        <v>15</v>
      </c>
      <c r="L2360" s="3">
        <v>1</v>
      </c>
      <c r="M2360" s="3">
        <v>30</v>
      </c>
      <c r="N2360" s="3">
        <v>17</v>
      </c>
      <c r="O2360" s="3"/>
      <c r="P2360" s="3"/>
      <c r="Q2360" s="3"/>
    </row>
    <row r="2361" spans="1:17" ht="15" x14ac:dyDescent="0.25">
      <c r="A2361" s="3">
        <f>2354</f>
        <v>2354</v>
      </c>
      <c r="B2361" s="3" t="s">
        <v>2363</v>
      </c>
      <c r="C2361" s="3" t="s">
        <v>10</v>
      </c>
      <c r="D2361" s="3" t="s">
        <v>9</v>
      </c>
      <c r="E2361" s="3">
        <v>22</v>
      </c>
      <c r="F2361" s="3">
        <v>0</v>
      </c>
      <c r="G2361" s="3">
        <v>1</v>
      </c>
      <c r="H2361" s="3">
        <v>18</v>
      </c>
      <c r="I2361" s="3">
        <v>28</v>
      </c>
      <c r="J2361" s="3">
        <v>1</v>
      </c>
      <c r="K2361" s="3">
        <v>15</v>
      </c>
      <c r="L2361" s="3">
        <v>1</v>
      </c>
      <c r="M2361" s="3">
        <v>30</v>
      </c>
      <c r="N2361" s="3">
        <v>17</v>
      </c>
      <c r="O2361" s="3"/>
      <c r="P2361" s="3"/>
      <c r="Q2361" s="3"/>
    </row>
    <row r="2362" spans="1:17" ht="15" x14ac:dyDescent="0.25">
      <c r="A2362" s="3">
        <f>2355</f>
        <v>2355</v>
      </c>
      <c r="B2362" s="3" t="s">
        <v>2364</v>
      </c>
      <c r="C2362" s="3" t="s">
        <v>10</v>
      </c>
      <c r="D2362" s="3" t="s">
        <v>9</v>
      </c>
      <c r="E2362" s="3">
        <v>22</v>
      </c>
      <c r="F2362" s="3">
        <v>0</v>
      </c>
      <c r="G2362" s="3">
        <v>1</v>
      </c>
      <c r="H2362" s="3">
        <v>18</v>
      </c>
      <c r="I2362" s="3">
        <v>28</v>
      </c>
      <c r="J2362" s="3">
        <v>1</v>
      </c>
      <c r="K2362" s="3">
        <v>15</v>
      </c>
      <c r="L2362" s="3">
        <v>1</v>
      </c>
      <c r="M2362" s="3">
        <v>30</v>
      </c>
      <c r="N2362" s="3">
        <v>17</v>
      </c>
      <c r="O2362" s="3"/>
      <c r="P2362" s="3"/>
      <c r="Q2362" s="3"/>
    </row>
    <row r="2363" spans="1:17" ht="15" x14ac:dyDescent="0.25">
      <c r="A2363" s="3">
        <f>2356</f>
        <v>2356</v>
      </c>
      <c r="B2363" s="3" t="s">
        <v>2365</v>
      </c>
      <c r="C2363" s="3" t="s">
        <v>9</v>
      </c>
      <c r="D2363" s="3" t="s">
        <v>10</v>
      </c>
      <c r="E2363" s="3">
        <v>22</v>
      </c>
      <c r="F2363" s="3">
        <v>0</v>
      </c>
      <c r="G2363" s="3">
        <v>1</v>
      </c>
      <c r="H2363" s="3">
        <v>18</v>
      </c>
      <c r="I2363" s="3">
        <v>28</v>
      </c>
      <c r="J2363" s="3">
        <v>1</v>
      </c>
      <c r="K2363" s="3">
        <v>15</v>
      </c>
      <c r="L2363" s="3">
        <v>1</v>
      </c>
      <c r="M2363" s="3">
        <v>30</v>
      </c>
      <c r="N2363" s="3">
        <v>17</v>
      </c>
      <c r="O2363" s="3"/>
      <c r="P2363" s="3"/>
      <c r="Q2363" s="3"/>
    </row>
    <row r="2364" spans="1:17" ht="15" x14ac:dyDescent="0.25">
      <c r="A2364" s="3">
        <f>2357</f>
        <v>2357</v>
      </c>
      <c r="B2364" s="3" t="s">
        <v>2366</v>
      </c>
      <c r="C2364" s="3" t="s">
        <v>9</v>
      </c>
      <c r="D2364" s="3" t="s">
        <v>10</v>
      </c>
      <c r="E2364" s="3">
        <v>22</v>
      </c>
      <c r="F2364" s="3">
        <v>0</v>
      </c>
      <c r="G2364" s="3">
        <v>1</v>
      </c>
      <c r="H2364" s="3">
        <v>18</v>
      </c>
      <c r="I2364" s="3">
        <v>28</v>
      </c>
      <c r="J2364" s="3">
        <v>1</v>
      </c>
      <c r="K2364" s="3">
        <v>15</v>
      </c>
      <c r="L2364" s="3">
        <v>1</v>
      </c>
      <c r="M2364" s="3">
        <v>30</v>
      </c>
      <c r="N2364" s="3">
        <v>17</v>
      </c>
      <c r="O2364" s="3"/>
      <c r="P2364" s="3"/>
      <c r="Q2364" s="3"/>
    </row>
    <row r="2365" spans="1:17" ht="15" x14ac:dyDescent="0.25">
      <c r="A2365" s="3">
        <f>2358</f>
        <v>2358</v>
      </c>
      <c r="B2365" s="3" t="s">
        <v>2367</v>
      </c>
      <c r="C2365" s="3" t="s">
        <v>9</v>
      </c>
      <c r="D2365" s="3" t="s">
        <v>10</v>
      </c>
      <c r="E2365" s="3">
        <v>22</v>
      </c>
      <c r="F2365" s="3">
        <v>0</v>
      </c>
      <c r="G2365" s="3">
        <v>1</v>
      </c>
      <c r="H2365" s="3">
        <v>18</v>
      </c>
      <c r="I2365" s="3">
        <v>28</v>
      </c>
      <c r="J2365" s="3">
        <v>1</v>
      </c>
      <c r="K2365" s="3">
        <v>15</v>
      </c>
      <c r="L2365" s="3">
        <v>1</v>
      </c>
      <c r="M2365" s="3">
        <v>30</v>
      </c>
      <c r="N2365" s="3">
        <v>17</v>
      </c>
      <c r="O2365" s="3"/>
      <c r="P2365" s="3"/>
      <c r="Q2365" s="3"/>
    </row>
    <row r="2366" spans="1:17" ht="15" x14ac:dyDescent="0.25">
      <c r="A2366" s="3">
        <f>2359</f>
        <v>2359</v>
      </c>
      <c r="B2366" s="3" t="s">
        <v>2368</v>
      </c>
      <c r="C2366" s="3" t="s">
        <v>9</v>
      </c>
      <c r="D2366" s="3" t="s">
        <v>10</v>
      </c>
      <c r="E2366" s="3">
        <v>22</v>
      </c>
      <c r="F2366" s="3">
        <v>0</v>
      </c>
      <c r="G2366" s="3">
        <v>1</v>
      </c>
      <c r="H2366" s="3">
        <v>18</v>
      </c>
      <c r="I2366" s="3">
        <v>28</v>
      </c>
      <c r="J2366" s="3">
        <v>1</v>
      </c>
      <c r="K2366" s="3">
        <v>15</v>
      </c>
      <c r="L2366" s="3">
        <v>1</v>
      </c>
      <c r="M2366" s="3">
        <v>30</v>
      </c>
      <c r="N2366" s="3">
        <v>17</v>
      </c>
      <c r="O2366" s="3"/>
      <c r="P2366" s="3"/>
      <c r="Q2366" s="3"/>
    </row>
    <row r="2367" spans="1:17" ht="15" x14ac:dyDescent="0.25">
      <c r="A2367" s="3">
        <f>2360</f>
        <v>2360</v>
      </c>
      <c r="B2367" s="3" t="s">
        <v>2369</v>
      </c>
      <c r="C2367" s="3" t="s">
        <v>9</v>
      </c>
      <c r="D2367" s="3" t="s">
        <v>10</v>
      </c>
      <c r="E2367" s="3">
        <v>22</v>
      </c>
      <c r="F2367" s="3">
        <v>0</v>
      </c>
      <c r="G2367" s="3">
        <v>1</v>
      </c>
      <c r="H2367" s="3">
        <v>18</v>
      </c>
      <c r="I2367" s="3">
        <v>28</v>
      </c>
      <c r="J2367" s="3">
        <v>1</v>
      </c>
      <c r="K2367" s="3">
        <v>15</v>
      </c>
      <c r="L2367" s="3">
        <v>1</v>
      </c>
      <c r="M2367" s="3">
        <v>30</v>
      </c>
      <c r="N2367" s="3">
        <v>17</v>
      </c>
      <c r="O2367" s="3"/>
      <c r="P2367" s="3"/>
      <c r="Q2367" s="3"/>
    </row>
    <row r="2368" spans="1:17" ht="15" x14ac:dyDescent="0.25">
      <c r="A2368" s="3">
        <f>2361</f>
        <v>2361</v>
      </c>
      <c r="B2368" s="3" t="s">
        <v>2370</v>
      </c>
      <c r="C2368" s="3" t="s">
        <v>9</v>
      </c>
      <c r="D2368" s="3" t="s">
        <v>10</v>
      </c>
      <c r="E2368" s="3">
        <v>22</v>
      </c>
      <c r="F2368" s="3">
        <v>0</v>
      </c>
      <c r="G2368" s="3">
        <v>1</v>
      </c>
      <c r="H2368" s="3">
        <v>18</v>
      </c>
      <c r="I2368" s="3">
        <v>28</v>
      </c>
      <c r="J2368" s="3">
        <v>1</v>
      </c>
      <c r="K2368" s="3">
        <v>15</v>
      </c>
      <c r="L2368" s="3">
        <v>1</v>
      </c>
      <c r="M2368" s="3">
        <v>30</v>
      </c>
      <c r="N2368" s="3">
        <v>17</v>
      </c>
      <c r="O2368" s="3"/>
      <c r="P2368" s="3"/>
      <c r="Q2368" s="3"/>
    </row>
    <row r="2369" spans="1:17" ht="15" x14ac:dyDescent="0.25">
      <c r="A2369" s="3">
        <f>2362</f>
        <v>2362</v>
      </c>
      <c r="B2369" s="3" t="s">
        <v>2371</v>
      </c>
      <c r="C2369" s="3" t="s">
        <v>9</v>
      </c>
      <c r="D2369" s="3" t="s">
        <v>10</v>
      </c>
      <c r="E2369" s="3">
        <v>22</v>
      </c>
      <c r="F2369" s="3">
        <v>0</v>
      </c>
      <c r="G2369" s="3">
        <v>1</v>
      </c>
      <c r="H2369" s="3">
        <v>18</v>
      </c>
      <c r="I2369" s="3">
        <v>28</v>
      </c>
      <c r="J2369" s="3">
        <v>1</v>
      </c>
      <c r="K2369" s="3">
        <v>15</v>
      </c>
      <c r="L2369" s="3">
        <v>1</v>
      </c>
      <c r="M2369" s="3">
        <v>30</v>
      </c>
      <c r="N2369" s="3">
        <v>17</v>
      </c>
      <c r="O2369" s="3"/>
      <c r="P2369" s="3"/>
      <c r="Q2369" s="3"/>
    </row>
    <row r="2370" spans="1:17" ht="15" x14ac:dyDescent="0.25">
      <c r="A2370" s="3">
        <f>2363</f>
        <v>2363</v>
      </c>
      <c r="B2370" s="3" t="s">
        <v>2372</v>
      </c>
      <c r="C2370" s="3" t="s">
        <v>9</v>
      </c>
      <c r="D2370" s="3" t="s">
        <v>10</v>
      </c>
      <c r="E2370" s="3">
        <v>22</v>
      </c>
      <c r="F2370" s="3">
        <v>0</v>
      </c>
      <c r="G2370" s="3">
        <v>1</v>
      </c>
      <c r="H2370" s="3">
        <v>18</v>
      </c>
      <c r="I2370" s="3">
        <v>28</v>
      </c>
      <c r="J2370" s="3">
        <v>1</v>
      </c>
      <c r="K2370" s="3">
        <v>15</v>
      </c>
      <c r="L2370" s="3">
        <v>1</v>
      </c>
      <c r="M2370" s="3">
        <v>30</v>
      </c>
      <c r="N2370" s="3">
        <v>17</v>
      </c>
      <c r="O2370" s="3"/>
      <c r="P2370" s="3"/>
      <c r="Q2370" s="3"/>
    </row>
    <row r="2371" spans="1:17" ht="15" x14ac:dyDescent="0.25">
      <c r="A2371" s="3">
        <f>2364</f>
        <v>2364</v>
      </c>
      <c r="B2371" s="3" t="s">
        <v>2373</v>
      </c>
      <c r="C2371" s="3" t="s">
        <v>9</v>
      </c>
      <c r="D2371" s="3" t="s">
        <v>10</v>
      </c>
      <c r="E2371" s="3">
        <v>22</v>
      </c>
      <c r="F2371" s="3">
        <v>0</v>
      </c>
      <c r="G2371" s="3">
        <v>1</v>
      </c>
      <c r="H2371" s="3">
        <v>18</v>
      </c>
      <c r="I2371" s="3">
        <v>28</v>
      </c>
      <c r="J2371" s="3">
        <v>1</v>
      </c>
      <c r="K2371" s="3">
        <v>15</v>
      </c>
      <c r="L2371" s="3">
        <v>1</v>
      </c>
      <c r="M2371" s="3">
        <v>30</v>
      </c>
      <c r="N2371" s="3">
        <v>17</v>
      </c>
      <c r="O2371" s="3"/>
      <c r="P2371" s="3"/>
      <c r="Q2371" s="3"/>
    </row>
    <row r="2372" spans="1:17" ht="15" x14ac:dyDescent="0.25">
      <c r="A2372" s="3">
        <f>2365</f>
        <v>2365</v>
      </c>
      <c r="B2372" s="3" t="s">
        <v>2374</v>
      </c>
      <c r="C2372" s="3" t="s">
        <v>9</v>
      </c>
      <c r="D2372" s="3" t="s">
        <v>10</v>
      </c>
      <c r="E2372" s="3">
        <v>22</v>
      </c>
      <c r="F2372" s="3">
        <v>0</v>
      </c>
      <c r="G2372" s="3">
        <v>1</v>
      </c>
      <c r="H2372" s="3">
        <v>18</v>
      </c>
      <c r="I2372" s="3">
        <v>28</v>
      </c>
      <c r="J2372" s="3">
        <v>1</v>
      </c>
      <c r="K2372" s="3">
        <v>15</v>
      </c>
      <c r="L2372" s="3">
        <v>1</v>
      </c>
      <c r="M2372" s="3">
        <v>30</v>
      </c>
      <c r="N2372" s="3">
        <v>17</v>
      </c>
      <c r="O2372" s="3"/>
      <c r="P2372" s="3"/>
      <c r="Q2372" s="3"/>
    </row>
    <row r="2373" spans="1:17" ht="15" x14ac:dyDescent="0.25">
      <c r="A2373" s="3">
        <f>2366</f>
        <v>2366</v>
      </c>
      <c r="B2373" s="3" t="s">
        <v>2375</v>
      </c>
      <c r="C2373" s="3" t="s">
        <v>9</v>
      </c>
      <c r="D2373" s="3" t="s">
        <v>10</v>
      </c>
      <c r="E2373" s="3">
        <v>22</v>
      </c>
      <c r="F2373" s="3">
        <v>0</v>
      </c>
      <c r="G2373" s="3">
        <v>1</v>
      </c>
      <c r="H2373" s="3">
        <v>18</v>
      </c>
      <c r="I2373" s="3">
        <v>28</v>
      </c>
      <c r="J2373" s="3">
        <v>1</v>
      </c>
      <c r="K2373" s="3">
        <v>15</v>
      </c>
      <c r="L2373" s="3">
        <v>1</v>
      </c>
      <c r="M2373" s="3">
        <v>30</v>
      </c>
      <c r="N2373" s="3">
        <v>17</v>
      </c>
      <c r="O2373" s="3"/>
      <c r="P2373" s="3"/>
      <c r="Q2373" s="3"/>
    </row>
    <row r="2374" spans="1:17" ht="15" x14ac:dyDescent="0.25">
      <c r="A2374" s="3">
        <f>2367</f>
        <v>2367</v>
      </c>
      <c r="B2374" s="3" t="s">
        <v>2376</v>
      </c>
      <c r="C2374" s="3" t="s">
        <v>9</v>
      </c>
      <c r="D2374" s="3" t="s">
        <v>10</v>
      </c>
      <c r="E2374" s="3">
        <v>22</v>
      </c>
      <c r="F2374" s="3">
        <v>0</v>
      </c>
      <c r="G2374" s="3">
        <v>1</v>
      </c>
      <c r="H2374" s="3">
        <v>18</v>
      </c>
      <c r="I2374" s="3">
        <v>28</v>
      </c>
      <c r="J2374" s="3">
        <v>1</v>
      </c>
      <c r="K2374" s="3">
        <v>15</v>
      </c>
      <c r="L2374" s="3">
        <v>1</v>
      </c>
      <c r="M2374" s="3">
        <v>30</v>
      </c>
      <c r="N2374" s="3">
        <v>17</v>
      </c>
      <c r="O2374" s="3"/>
      <c r="P2374" s="3"/>
      <c r="Q2374" s="3"/>
    </row>
    <row r="2375" spans="1:17" ht="15" x14ac:dyDescent="0.25">
      <c r="A2375" s="3">
        <f>2368</f>
        <v>2368</v>
      </c>
      <c r="B2375" s="3" t="s">
        <v>2377</v>
      </c>
      <c r="C2375" s="3" t="s">
        <v>9</v>
      </c>
      <c r="D2375" s="3" t="s">
        <v>10</v>
      </c>
      <c r="E2375" s="3">
        <v>22</v>
      </c>
      <c r="F2375" s="3">
        <v>0</v>
      </c>
      <c r="G2375" s="3">
        <v>1</v>
      </c>
      <c r="H2375" s="3">
        <v>18</v>
      </c>
      <c r="I2375" s="3">
        <v>28</v>
      </c>
      <c r="J2375" s="3">
        <v>1</v>
      </c>
      <c r="K2375" s="3">
        <v>15</v>
      </c>
      <c r="L2375" s="3">
        <v>1</v>
      </c>
      <c r="M2375" s="3">
        <v>30</v>
      </c>
      <c r="N2375" s="3">
        <v>17</v>
      </c>
      <c r="O2375" s="3"/>
      <c r="P2375" s="3"/>
      <c r="Q2375" s="3"/>
    </row>
    <row r="2376" spans="1:17" ht="15" x14ac:dyDescent="0.25">
      <c r="A2376" s="3">
        <f>2369</f>
        <v>2369</v>
      </c>
      <c r="B2376" s="3" t="s">
        <v>2378</v>
      </c>
      <c r="C2376" s="3" t="s">
        <v>9</v>
      </c>
      <c r="D2376" s="3" t="s">
        <v>10</v>
      </c>
      <c r="E2376" s="3">
        <v>22</v>
      </c>
      <c r="F2376" s="3">
        <v>0</v>
      </c>
      <c r="G2376" s="3">
        <v>1</v>
      </c>
      <c r="H2376" s="3">
        <v>18</v>
      </c>
      <c r="I2376" s="3">
        <v>28</v>
      </c>
      <c r="J2376" s="3">
        <v>1</v>
      </c>
      <c r="K2376" s="3">
        <v>15</v>
      </c>
      <c r="L2376" s="3">
        <v>1</v>
      </c>
      <c r="M2376" s="3">
        <v>30</v>
      </c>
      <c r="N2376" s="3">
        <v>17</v>
      </c>
      <c r="O2376" s="3"/>
      <c r="P2376" s="3"/>
      <c r="Q2376" s="3"/>
    </row>
    <row r="2377" spans="1:17" ht="15" x14ac:dyDescent="0.25">
      <c r="A2377" s="3">
        <f>2370</f>
        <v>2370</v>
      </c>
      <c r="B2377" s="3" t="s">
        <v>2379</v>
      </c>
      <c r="C2377" s="3" t="s">
        <v>9</v>
      </c>
      <c r="D2377" s="3" t="s">
        <v>10</v>
      </c>
      <c r="E2377" s="3">
        <v>22</v>
      </c>
      <c r="F2377" s="3">
        <v>0</v>
      </c>
      <c r="G2377" s="3">
        <v>1</v>
      </c>
      <c r="H2377" s="3">
        <v>18</v>
      </c>
      <c r="I2377" s="3">
        <v>28</v>
      </c>
      <c r="J2377" s="3">
        <v>1</v>
      </c>
      <c r="K2377" s="3">
        <v>15</v>
      </c>
      <c r="L2377" s="3">
        <v>1</v>
      </c>
      <c r="M2377" s="3">
        <v>30</v>
      </c>
      <c r="N2377" s="3">
        <v>17</v>
      </c>
      <c r="O2377" s="3"/>
      <c r="P2377" s="3"/>
      <c r="Q2377" s="3"/>
    </row>
    <row r="2378" spans="1:17" ht="15" x14ac:dyDescent="0.25">
      <c r="A2378" s="3">
        <f>2371</f>
        <v>2371</v>
      </c>
      <c r="B2378" s="3" t="s">
        <v>2380</v>
      </c>
      <c r="C2378" s="3" t="s">
        <v>9</v>
      </c>
      <c r="D2378" s="3" t="s">
        <v>10</v>
      </c>
      <c r="E2378" s="3">
        <v>22</v>
      </c>
      <c r="F2378" s="3">
        <v>0</v>
      </c>
      <c r="G2378" s="3">
        <v>1</v>
      </c>
      <c r="H2378" s="3">
        <v>18</v>
      </c>
      <c r="I2378" s="3">
        <v>28</v>
      </c>
      <c r="J2378" s="3">
        <v>1</v>
      </c>
      <c r="K2378" s="3">
        <v>15</v>
      </c>
      <c r="L2378" s="3">
        <v>1</v>
      </c>
      <c r="M2378" s="3">
        <v>30</v>
      </c>
      <c r="N2378" s="3">
        <v>17</v>
      </c>
      <c r="O2378" s="3"/>
      <c r="P2378" s="3"/>
      <c r="Q2378" s="3"/>
    </row>
    <row r="2379" spans="1:17" ht="15" x14ac:dyDescent="0.25">
      <c r="A2379" s="3">
        <f>2372</f>
        <v>2372</v>
      </c>
      <c r="B2379" s="3" t="s">
        <v>2381</v>
      </c>
      <c r="C2379" s="3" t="s">
        <v>9</v>
      </c>
      <c r="D2379" s="3" t="s">
        <v>10</v>
      </c>
      <c r="E2379" s="3">
        <v>22</v>
      </c>
      <c r="F2379" s="3">
        <v>0</v>
      </c>
      <c r="G2379" s="3">
        <v>1</v>
      </c>
      <c r="H2379" s="3">
        <v>18</v>
      </c>
      <c r="I2379" s="3">
        <v>28</v>
      </c>
      <c r="J2379" s="3">
        <v>1</v>
      </c>
      <c r="K2379" s="3">
        <v>15</v>
      </c>
      <c r="L2379" s="3">
        <v>1</v>
      </c>
      <c r="M2379" s="3">
        <v>30</v>
      </c>
      <c r="N2379" s="3">
        <v>17</v>
      </c>
      <c r="O2379" s="3"/>
      <c r="P2379" s="3"/>
      <c r="Q2379" s="3"/>
    </row>
    <row r="2380" spans="1:17" ht="15" x14ac:dyDescent="0.25">
      <c r="A2380" s="3">
        <f>2373</f>
        <v>2373</v>
      </c>
      <c r="B2380" s="3" t="s">
        <v>2382</v>
      </c>
      <c r="C2380" s="3" t="s">
        <v>9</v>
      </c>
      <c r="D2380" s="3" t="s">
        <v>10</v>
      </c>
      <c r="E2380" s="3">
        <v>22</v>
      </c>
      <c r="F2380" s="3">
        <v>0</v>
      </c>
      <c r="G2380" s="3">
        <v>1</v>
      </c>
      <c r="H2380" s="3">
        <v>18</v>
      </c>
      <c r="I2380" s="3">
        <v>28</v>
      </c>
      <c r="J2380" s="3">
        <v>1</v>
      </c>
      <c r="K2380" s="3">
        <v>15</v>
      </c>
      <c r="L2380" s="3">
        <v>1</v>
      </c>
      <c r="M2380" s="3">
        <v>30</v>
      </c>
      <c r="N2380" s="3">
        <v>17</v>
      </c>
      <c r="O2380" s="3"/>
      <c r="P2380" s="3"/>
      <c r="Q2380" s="3"/>
    </row>
    <row r="2381" spans="1:17" ht="15" x14ac:dyDescent="0.25">
      <c r="A2381" s="3">
        <f>2374</f>
        <v>2374</v>
      </c>
      <c r="B2381" s="3" t="s">
        <v>2383</v>
      </c>
      <c r="C2381" s="3" t="s">
        <v>9</v>
      </c>
      <c r="D2381" s="3" t="s">
        <v>10</v>
      </c>
      <c r="E2381" s="3">
        <v>22</v>
      </c>
      <c r="F2381" s="3">
        <v>0</v>
      </c>
      <c r="G2381" s="3">
        <v>1</v>
      </c>
      <c r="H2381" s="3">
        <v>18</v>
      </c>
      <c r="I2381" s="3">
        <v>28</v>
      </c>
      <c r="J2381" s="3">
        <v>1</v>
      </c>
      <c r="K2381" s="3">
        <v>15</v>
      </c>
      <c r="L2381" s="3">
        <v>1</v>
      </c>
      <c r="M2381" s="3">
        <v>30</v>
      </c>
      <c r="N2381" s="3">
        <v>17</v>
      </c>
      <c r="O2381" s="3"/>
      <c r="P2381" s="3"/>
      <c r="Q2381" s="3"/>
    </row>
    <row r="2382" spans="1:17" ht="15" x14ac:dyDescent="0.25">
      <c r="A2382" s="3">
        <f>2375</f>
        <v>2375</v>
      </c>
      <c r="B2382" s="3" t="s">
        <v>2384</v>
      </c>
      <c r="C2382" s="3" t="s">
        <v>9</v>
      </c>
      <c r="D2382" s="3" t="s">
        <v>10</v>
      </c>
      <c r="E2382" s="3">
        <v>22</v>
      </c>
      <c r="F2382" s="3">
        <v>0</v>
      </c>
      <c r="G2382" s="3">
        <v>1</v>
      </c>
      <c r="H2382" s="3">
        <v>18</v>
      </c>
      <c r="I2382" s="3">
        <v>28</v>
      </c>
      <c r="J2382" s="3">
        <v>1</v>
      </c>
      <c r="K2382" s="3">
        <v>15</v>
      </c>
      <c r="L2382" s="3">
        <v>1</v>
      </c>
      <c r="M2382" s="3">
        <v>30</v>
      </c>
      <c r="N2382" s="3">
        <v>17</v>
      </c>
      <c r="O2382" s="3"/>
      <c r="P2382" s="3"/>
      <c r="Q2382" s="3"/>
    </row>
    <row r="2383" spans="1:17" ht="15" x14ac:dyDescent="0.25">
      <c r="A2383" s="3">
        <f>2376</f>
        <v>2376</v>
      </c>
      <c r="B2383" s="3" t="s">
        <v>2385</v>
      </c>
      <c r="C2383" s="3" t="s">
        <v>9</v>
      </c>
      <c r="D2383" s="3" t="s">
        <v>10</v>
      </c>
      <c r="E2383" s="3">
        <v>22</v>
      </c>
      <c r="F2383" s="3">
        <v>0</v>
      </c>
      <c r="G2383" s="3">
        <v>1</v>
      </c>
      <c r="H2383" s="3">
        <v>18</v>
      </c>
      <c r="I2383" s="3">
        <v>28</v>
      </c>
      <c r="J2383" s="3">
        <v>1</v>
      </c>
      <c r="K2383" s="3">
        <v>15</v>
      </c>
      <c r="L2383" s="3">
        <v>1</v>
      </c>
      <c r="M2383" s="3">
        <v>30</v>
      </c>
      <c r="N2383" s="3">
        <v>17</v>
      </c>
      <c r="O2383" s="3"/>
      <c r="P2383" s="3"/>
      <c r="Q2383" s="3"/>
    </row>
    <row r="2384" spans="1:17" ht="15" x14ac:dyDescent="0.25">
      <c r="A2384" s="3">
        <f>2377</f>
        <v>2377</v>
      </c>
      <c r="B2384" s="3" t="s">
        <v>2386</v>
      </c>
      <c r="C2384" s="3" t="s">
        <v>9</v>
      </c>
      <c r="D2384" s="3" t="s">
        <v>10</v>
      </c>
      <c r="E2384" s="3">
        <v>22</v>
      </c>
      <c r="F2384" s="3">
        <v>0</v>
      </c>
      <c r="G2384" s="3">
        <v>1</v>
      </c>
      <c r="H2384" s="3">
        <v>18</v>
      </c>
      <c r="I2384" s="3">
        <v>28</v>
      </c>
      <c r="J2384" s="3">
        <v>1</v>
      </c>
      <c r="K2384" s="3">
        <v>15</v>
      </c>
      <c r="L2384" s="3">
        <v>1</v>
      </c>
      <c r="M2384" s="3">
        <v>30</v>
      </c>
      <c r="N2384" s="3">
        <v>17</v>
      </c>
      <c r="O2384" s="3"/>
      <c r="P2384" s="3"/>
      <c r="Q2384" s="3"/>
    </row>
    <row r="2385" spans="1:17" ht="15" x14ac:dyDescent="0.25">
      <c r="A2385" s="3">
        <f>2378</f>
        <v>2378</v>
      </c>
      <c r="B2385" s="3" t="s">
        <v>2387</v>
      </c>
      <c r="C2385" s="3" t="s">
        <v>9</v>
      </c>
      <c r="D2385" s="3" t="s">
        <v>10</v>
      </c>
      <c r="E2385" s="3">
        <v>22</v>
      </c>
      <c r="F2385" s="3">
        <v>0</v>
      </c>
      <c r="G2385" s="3">
        <v>1</v>
      </c>
      <c r="H2385" s="3">
        <v>18</v>
      </c>
      <c r="I2385" s="3">
        <v>28</v>
      </c>
      <c r="J2385" s="3">
        <v>1</v>
      </c>
      <c r="K2385" s="3">
        <v>15</v>
      </c>
      <c r="L2385" s="3">
        <v>1</v>
      </c>
      <c r="M2385" s="3">
        <v>30</v>
      </c>
      <c r="N2385" s="3">
        <v>17</v>
      </c>
      <c r="O2385" s="3"/>
      <c r="P2385" s="3"/>
      <c r="Q2385" s="3"/>
    </row>
    <row r="2386" spans="1:17" ht="15" x14ac:dyDescent="0.25">
      <c r="A2386" s="3">
        <f>2379</f>
        <v>2379</v>
      </c>
      <c r="B2386" s="3" t="s">
        <v>2388</v>
      </c>
      <c r="C2386" s="3" t="s">
        <v>9</v>
      </c>
      <c r="D2386" s="3" t="s">
        <v>10</v>
      </c>
      <c r="E2386" s="3">
        <v>22</v>
      </c>
      <c r="F2386" s="3">
        <v>0</v>
      </c>
      <c r="G2386" s="3">
        <v>1</v>
      </c>
      <c r="H2386" s="3">
        <v>18</v>
      </c>
      <c r="I2386" s="3">
        <v>28</v>
      </c>
      <c r="J2386" s="3">
        <v>1</v>
      </c>
      <c r="K2386" s="3">
        <v>15</v>
      </c>
      <c r="L2386" s="3">
        <v>1</v>
      </c>
      <c r="M2386" s="3">
        <v>30</v>
      </c>
      <c r="N2386" s="3">
        <v>17</v>
      </c>
      <c r="O2386" s="3"/>
      <c r="P2386" s="3"/>
      <c r="Q2386" s="3"/>
    </row>
    <row r="2387" spans="1:17" ht="15" x14ac:dyDescent="0.25">
      <c r="A2387" s="3">
        <f>2380</f>
        <v>2380</v>
      </c>
      <c r="B2387" s="3" t="s">
        <v>2389</v>
      </c>
      <c r="C2387" s="3" t="s">
        <v>9</v>
      </c>
      <c r="D2387" s="3" t="s">
        <v>10</v>
      </c>
      <c r="E2387" s="3">
        <v>22</v>
      </c>
      <c r="F2387" s="3">
        <v>0</v>
      </c>
      <c r="G2387" s="3">
        <v>1</v>
      </c>
      <c r="H2387" s="3">
        <v>18</v>
      </c>
      <c r="I2387" s="3">
        <v>28</v>
      </c>
      <c r="J2387" s="3">
        <v>1</v>
      </c>
      <c r="K2387" s="3">
        <v>15</v>
      </c>
      <c r="L2387" s="3">
        <v>1</v>
      </c>
      <c r="M2387" s="3">
        <v>30</v>
      </c>
      <c r="N2387" s="3">
        <v>17</v>
      </c>
      <c r="O2387" s="3"/>
      <c r="P2387" s="3"/>
      <c r="Q2387" s="3"/>
    </row>
    <row r="2388" spans="1:17" ht="15" x14ac:dyDescent="0.25">
      <c r="A2388" s="3">
        <f>2381</f>
        <v>2381</v>
      </c>
      <c r="B2388" s="3" t="s">
        <v>2390</v>
      </c>
      <c r="C2388" s="3" t="s">
        <v>9</v>
      </c>
      <c r="D2388" s="3" t="s">
        <v>10</v>
      </c>
      <c r="E2388" s="3">
        <v>22</v>
      </c>
      <c r="F2388" s="3">
        <v>0</v>
      </c>
      <c r="G2388" s="3">
        <v>1</v>
      </c>
      <c r="H2388" s="3">
        <v>18</v>
      </c>
      <c r="I2388" s="3">
        <v>28</v>
      </c>
      <c r="J2388" s="3">
        <v>1</v>
      </c>
      <c r="K2388" s="3">
        <v>15</v>
      </c>
      <c r="L2388" s="3">
        <v>1</v>
      </c>
      <c r="M2388" s="3">
        <v>30</v>
      </c>
      <c r="N2388" s="3">
        <v>17</v>
      </c>
      <c r="O2388" s="3"/>
      <c r="P2388" s="3"/>
      <c r="Q2388" s="3"/>
    </row>
    <row r="2389" spans="1:17" ht="15" x14ac:dyDescent="0.25">
      <c r="A2389" s="3">
        <f>2382</f>
        <v>2382</v>
      </c>
      <c r="B2389" s="3" t="s">
        <v>2391</v>
      </c>
      <c r="C2389" s="3" t="s">
        <v>9</v>
      </c>
      <c r="D2389" s="3" t="s">
        <v>10</v>
      </c>
      <c r="E2389" s="3">
        <v>22</v>
      </c>
      <c r="F2389" s="3">
        <v>0</v>
      </c>
      <c r="G2389" s="3">
        <v>1</v>
      </c>
      <c r="H2389" s="3">
        <v>18</v>
      </c>
      <c r="I2389" s="3">
        <v>28</v>
      </c>
      <c r="J2389" s="3">
        <v>1</v>
      </c>
      <c r="K2389" s="3">
        <v>15</v>
      </c>
      <c r="L2389" s="3">
        <v>1</v>
      </c>
      <c r="M2389" s="3">
        <v>30</v>
      </c>
      <c r="N2389" s="3">
        <v>17</v>
      </c>
      <c r="O2389" s="3"/>
      <c r="P2389" s="3"/>
      <c r="Q2389" s="3"/>
    </row>
    <row r="2390" spans="1:17" ht="15" x14ac:dyDescent="0.25">
      <c r="A2390" s="3">
        <f>2383</f>
        <v>2383</v>
      </c>
      <c r="B2390" s="3" t="s">
        <v>2392</v>
      </c>
      <c r="C2390" s="3" t="s">
        <v>9</v>
      </c>
      <c r="D2390" s="3" t="s">
        <v>10</v>
      </c>
      <c r="E2390" s="3">
        <v>22</v>
      </c>
      <c r="F2390" s="3">
        <v>0</v>
      </c>
      <c r="G2390" s="3">
        <v>1</v>
      </c>
      <c r="H2390" s="3">
        <v>18</v>
      </c>
      <c r="I2390" s="3">
        <v>28</v>
      </c>
      <c r="J2390" s="3">
        <v>1</v>
      </c>
      <c r="K2390" s="3">
        <v>15</v>
      </c>
      <c r="L2390" s="3">
        <v>1</v>
      </c>
      <c r="M2390" s="3">
        <v>30</v>
      </c>
      <c r="N2390" s="3">
        <v>17</v>
      </c>
      <c r="O2390" s="3"/>
      <c r="P2390" s="3"/>
      <c r="Q2390" s="3"/>
    </row>
    <row r="2391" spans="1:17" ht="15" x14ac:dyDescent="0.25">
      <c r="A2391" s="3">
        <f>2384</f>
        <v>2384</v>
      </c>
      <c r="B2391" s="3" t="s">
        <v>2393</v>
      </c>
      <c r="C2391" s="3" t="s">
        <v>9</v>
      </c>
      <c r="D2391" s="3" t="s">
        <v>10</v>
      </c>
      <c r="E2391" s="3">
        <v>22</v>
      </c>
      <c r="F2391" s="3">
        <v>0</v>
      </c>
      <c r="G2391" s="3">
        <v>1</v>
      </c>
      <c r="H2391" s="3">
        <v>18</v>
      </c>
      <c r="I2391" s="3">
        <v>28</v>
      </c>
      <c r="J2391" s="3">
        <v>1</v>
      </c>
      <c r="K2391" s="3">
        <v>15</v>
      </c>
      <c r="L2391" s="3">
        <v>1</v>
      </c>
      <c r="M2391" s="3">
        <v>30</v>
      </c>
      <c r="N2391" s="3">
        <v>17</v>
      </c>
      <c r="O2391" s="3"/>
      <c r="P2391" s="3"/>
      <c r="Q2391" s="3"/>
    </row>
    <row r="2392" spans="1:17" ht="15" x14ac:dyDescent="0.25">
      <c r="A2392" s="3">
        <f>2385</f>
        <v>2385</v>
      </c>
      <c r="B2392" s="3" t="s">
        <v>2394</v>
      </c>
      <c r="C2392" s="3" t="s">
        <v>9</v>
      </c>
      <c r="D2392" s="3" t="s">
        <v>10</v>
      </c>
      <c r="E2392" s="3">
        <v>22</v>
      </c>
      <c r="F2392" s="3">
        <v>0</v>
      </c>
      <c r="G2392" s="3">
        <v>1</v>
      </c>
      <c r="H2392" s="3">
        <v>18</v>
      </c>
      <c r="I2392" s="3">
        <v>28</v>
      </c>
      <c r="J2392" s="3">
        <v>1</v>
      </c>
      <c r="K2392" s="3">
        <v>15</v>
      </c>
      <c r="L2392" s="3">
        <v>1</v>
      </c>
      <c r="M2392" s="3">
        <v>30</v>
      </c>
      <c r="N2392" s="3">
        <v>17</v>
      </c>
      <c r="O2392" s="3"/>
      <c r="P2392" s="3"/>
      <c r="Q2392" s="3"/>
    </row>
    <row r="2393" spans="1:17" ht="15" x14ac:dyDescent="0.25">
      <c r="A2393" s="3">
        <f>2386</f>
        <v>2386</v>
      </c>
      <c r="B2393" s="3" t="s">
        <v>2395</v>
      </c>
      <c r="C2393" s="3" t="s">
        <v>9</v>
      </c>
      <c r="D2393" s="3" t="s">
        <v>10</v>
      </c>
      <c r="E2393" s="3">
        <v>22</v>
      </c>
      <c r="F2393" s="3">
        <v>0</v>
      </c>
      <c r="G2393" s="3">
        <v>1</v>
      </c>
      <c r="H2393" s="3">
        <v>18</v>
      </c>
      <c r="I2393" s="3">
        <v>28</v>
      </c>
      <c r="J2393" s="3">
        <v>1</v>
      </c>
      <c r="K2393" s="3">
        <v>15</v>
      </c>
      <c r="L2393" s="3">
        <v>1</v>
      </c>
      <c r="M2393" s="3">
        <v>30</v>
      </c>
      <c r="N2393" s="3">
        <v>17</v>
      </c>
      <c r="O2393" s="3"/>
      <c r="P2393" s="3"/>
      <c r="Q2393" s="3"/>
    </row>
    <row r="2394" spans="1:17" ht="15" x14ac:dyDescent="0.25">
      <c r="A2394" s="3">
        <f>2387</f>
        <v>2387</v>
      </c>
      <c r="B2394" s="3" t="s">
        <v>2396</v>
      </c>
      <c r="C2394" s="3" t="s">
        <v>9</v>
      </c>
      <c r="D2394" s="3" t="s">
        <v>10</v>
      </c>
      <c r="E2394" s="3">
        <v>22</v>
      </c>
      <c r="F2394" s="3">
        <v>0</v>
      </c>
      <c r="G2394" s="3">
        <v>1</v>
      </c>
      <c r="H2394" s="3">
        <v>18</v>
      </c>
      <c r="I2394" s="3">
        <v>28</v>
      </c>
      <c r="J2394" s="3">
        <v>1</v>
      </c>
      <c r="K2394" s="3">
        <v>15</v>
      </c>
      <c r="L2394" s="3">
        <v>1</v>
      </c>
      <c r="M2394" s="3">
        <v>30</v>
      </c>
      <c r="N2394" s="3">
        <v>17</v>
      </c>
      <c r="O2394" s="3"/>
      <c r="P2394" s="3"/>
      <c r="Q2394" s="3"/>
    </row>
    <row r="2395" spans="1:17" ht="15" x14ac:dyDescent="0.25">
      <c r="A2395" s="3">
        <f>2388</f>
        <v>2388</v>
      </c>
      <c r="B2395" s="3" t="s">
        <v>2397</v>
      </c>
      <c r="C2395" s="3" t="s">
        <v>9</v>
      </c>
      <c r="D2395" s="3" t="s">
        <v>10</v>
      </c>
      <c r="E2395" s="3">
        <v>22</v>
      </c>
      <c r="F2395" s="3">
        <v>0</v>
      </c>
      <c r="G2395" s="3">
        <v>1</v>
      </c>
      <c r="H2395" s="3">
        <v>18</v>
      </c>
      <c r="I2395" s="3">
        <v>28</v>
      </c>
      <c r="J2395" s="3">
        <v>1</v>
      </c>
      <c r="K2395" s="3">
        <v>15</v>
      </c>
      <c r="L2395" s="3">
        <v>1</v>
      </c>
      <c r="M2395" s="3">
        <v>30</v>
      </c>
      <c r="N2395" s="3">
        <v>17</v>
      </c>
      <c r="O2395" s="3"/>
      <c r="P2395" s="3"/>
      <c r="Q2395" s="3"/>
    </row>
    <row r="2396" spans="1:17" ht="15" x14ac:dyDescent="0.25">
      <c r="A2396" s="3">
        <f>2389</f>
        <v>2389</v>
      </c>
      <c r="B2396" s="3" t="s">
        <v>2398</v>
      </c>
      <c r="C2396" s="3" t="s">
        <v>9</v>
      </c>
      <c r="D2396" s="3" t="s">
        <v>10</v>
      </c>
      <c r="E2396" s="3">
        <v>22</v>
      </c>
      <c r="F2396" s="3">
        <v>0</v>
      </c>
      <c r="G2396" s="3">
        <v>1</v>
      </c>
      <c r="H2396" s="3">
        <v>18</v>
      </c>
      <c r="I2396" s="3">
        <v>28</v>
      </c>
      <c r="J2396" s="3">
        <v>1</v>
      </c>
      <c r="K2396" s="3">
        <v>15</v>
      </c>
      <c r="L2396" s="3">
        <v>1</v>
      </c>
      <c r="M2396" s="3">
        <v>30</v>
      </c>
      <c r="N2396" s="3">
        <v>17</v>
      </c>
      <c r="O2396" s="3"/>
      <c r="P2396" s="3"/>
      <c r="Q2396" s="3"/>
    </row>
    <row r="2397" spans="1:17" ht="15" x14ac:dyDescent="0.25">
      <c r="A2397" s="3">
        <f>2390</f>
        <v>2390</v>
      </c>
      <c r="B2397" s="3" t="s">
        <v>2399</v>
      </c>
      <c r="C2397" s="3" t="s">
        <v>9</v>
      </c>
      <c r="D2397" s="3" t="s">
        <v>10</v>
      </c>
      <c r="E2397" s="3">
        <v>22</v>
      </c>
      <c r="F2397" s="3">
        <v>0</v>
      </c>
      <c r="G2397" s="3">
        <v>1</v>
      </c>
      <c r="H2397" s="3">
        <v>18</v>
      </c>
      <c r="I2397" s="3">
        <v>28</v>
      </c>
      <c r="J2397" s="3">
        <v>1</v>
      </c>
      <c r="K2397" s="3">
        <v>15</v>
      </c>
      <c r="L2397" s="3">
        <v>1</v>
      </c>
      <c r="M2397" s="3">
        <v>30</v>
      </c>
      <c r="N2397" s="3">
        <v>17</v>
      </c>
      <c r="O2397" s="3"/>
      <c r="P2397" s="3"/>
      <c r="Q2397" s="3"/>
    </row>
    <row r="2398" spans="1:17" ht="15" x14ac:dyDescent="0.25">
      <c r="A2398" s="3">
        <f>2391</f>
        <v>2391</v>
      </c>
      <c r="B2398" s="3" t="s">
        <v>2400</v>
      </c>
      <c r="C2398" s="3" t="s">
        <v>9</v>
      </c>
      <c r="D2398" s="3" t="s">
        <v>10</v>
      </c>
      <c r="E2398" s="3">
        <v>22</v>
      </c>
      <c r="F2398" s="3">
        <v>0</v>
      </c>
      <c r="G2398" s="3">
        <v>1</v>
      </c>
      <c r="H2398" s="3">
        <v>18</v>
      </c>
      <c r="I2398" s="3">
        <v>28</v>
      </c>
      <c r="J2398" s="3">
        <v>1</v>
      </c>
      <c r="K2398" s="3">
        <v>15</v>
      </c>
      <c r="L2398" s="3">
        <v>1</v>
      </c>
      <c r="M2398" s="3">
        <v>30</v>
      </c>
      <c r="N2398" s="3">
        <v>17</v>
      </c>
      <c r="O2398" s="3"/>
      <c r="P2398" s="3"/>
      <c r="Q2398" s="3"/>
    </row>
    <row r="2399" spans="1:17" ht="15" x14ac:dyDescent="0.25">
      <c r="A2399" s="3">
        <f>2392</f>
        <v>2392</v>
      </c>
      <c r="B2399" s="3" t="s">
        <v>2401</v>
      </c>
      <c r="C2399" s="3" t="s">
        <v>9</v>
      </c>
      <c r="D2399" s="3" t="s">
        <v>10</v>
      </c>
      <c r="E2399" s="3">
        <v>22</v>
      </c>
      <c r="F2399" s="3">
        <v>0</v>
      </c>
      <c r="G2399" s="3">
        <v>1</v>
      </c>
      <c r="H2399" s="3">
        <v>18</v>
      </c>
      <c r="I2399" s="3">
        <v>28</v>
      </c>
      <c r="J2399" s="3">
        <v>1</v>
      </c>
      <c r="K2399" s="3">
        <v>15</v>
      </c>
      <c r="L2399" s="3">
        <v>1</v>
      </c>
      <c r="M2399" s="3">
        <v>30</v>
      </c>
      <c r="N2399" s="3">
        <v>17</v>
      </c>
      <c r="O2399" s="3"/>
      <c r="P2399" s="3"/>
      <c r="Q2399" s="3"/>
    </row>
    <row r="2400" spans="1:17" ht="15" x14ac:dyDescent="0.25">
      <c r="A2400" s="3">
        <f>2393</f>
        <v>2393</v>
      </c>
      <c r="B2400" s="3" t="s">
        <v>2402</v>
      </c>
      <c r="C2400" s="3" t="s">
        <v>9</v>
      </c>
      <c r="D2400" s="3" t="s">
        <v>10</v>
      </c>
      <c r="E2400" s="3">
        <v>22</v>
      </c>
      <c r="F2400" s="3">
        <v>0</v>
      </c>
      <c r="G2400" s="3">
        <v>1</v>
      </c>
      <c r="H2400" s="3">
        <v>18</v>
      </c>
      <c r="I2400" s="3">
        <v>28</v>
      </c>
      <c r="J2400" s="3">
        <v>1</v>
      </c>
      <c r="K2400" s="3">
        <v>15</v>
      </c>
      <c r="L2400" s="3">
        <v>1</v>
      </c>
      <c r="M2400" s="3">
        <v>30</v>
      </c>
      <c r="N2400" s="3">
        <v>17</v>
      </c>
      <c r="O2400" s="3"/>
      <c r="P2400" s="3"/>
      <c r="Q2400" s="3"/>
    </row>
    <row r="2401" spans="1:17" ht="15" x14ac:dyDescent="0.25">
      <c r="A2401" s="3">
        <f>2394</f>
        <v>2394</v>
      </c>
      <c r="B2401" s="3" t="s">
        <v>2403</v>
      </c>
      <c r="C2401" s="3" t="s">
        <v>9</v>
      </c>
      <c r="D2401" s="3" t="s">
        <v>10</v>
      </c>
      <c r="E2401" s="3">
        <v>22</v>
      </c>
      <c r="F2401" s="3">
        <v>0</v>
      </c>
      <c r="G2401" s="3">
        <v>1</v>
      </c>
      <c r="H2401" s="3">
        <v>18</v>
      </c>
      <c r="I2401" s="3">
        <v>28</v>
      </c>
      <c r="J2401" s="3">
        <v>1</v>
      </c>
      <c r="K2401" s="3">
        <v>15</v>
      </c>
      <c r="L2401" s="3">
        <v>1</v>
      </c>
      <c r="M2401" s="3">
        <v>30</v>
      </c>
      <c r="N2401" s="3">
        <v>17</v>
      </c>
      <c r="O2401" s="3"/>
      <c r="P2401" s="3"/>
      <c r="Q2401" s="3"/>
    </row>
    <row r="2402" spans="1:17" ht="15" x14ac:dyDescent="0.25">
      <c r="A2402" s="3">
        <f>2395</f>
        <v>2395</v>
      </c>
      <c r="B2402" s="3" t="s">
        <v>2404</v>
      </c>
      <c r="C2402" s="3" t="s">
        <v>9</v>
      </c>
      <c r="D2402" s="3" t="s">
        <v>10</v>
      </c>
      <c r="E2402" s="3">
        <v>22</v>
      </c>
      <c r="F2402" s="3">
        <v>0</v>
      </c>
      <c r="G2402" s="3">
        <v>1</v>
      </c>
      <c r="H2402" s="3">
        <v>18</v>
      </c>
      <c r="I2402" s="3">
        <v>28</v>
      </c>
      <c r="J2402" s="3">
        <v>1</v>
      </c>
      <c r="K2402" s="3">
        <v>15</v>
      </c>
      <c r="L2402" s="3">
        <v>1</v>
      </c>
      <c r="M2402" s="3">
        <v>30</v>
      </c>
      <c r="N2402" s="3">
        <v>17</v>
      </c>
      <c r="O2402" s="3"/>
      <c r="P2402" s="3"/>
      <c r="Q2402" s="3"/>
    </row>
    <row r="2403" spans="1:17" ht="15" x14ac:dyDescent="0.25">
      <c r="A2403" s="3">
        <f>2396</f>
        <v>2396</v>
      </c>
      <c r="B2403" s="3" t="s">
        <v>2405</v>
      </c>
      <c r="C2403" s="3" t="s">
        <v>9</v>
      </c>
      <c r="D2403" s="3" t="s">
        <v>10</v>
      </c>
      <c r="E2403" s="3">
        <v>22</v>
      </c>
      <c r="F2403" s="3">
        <v>0</v>
      </c>
      <c r="G2403" s="3">
        <v>1</v>
      </c>
      <c r="H2403" s="3">
        <v>18</v>
      </c>
      <c r="I2403" s="3">
        <v>28</v>
      </c>
      <c r="J2403" s="3">
        <v>1</v>
      </c>
      <c r="K2403" s="3">
        <v>15</v>
      </c>
      <c r="L2403" s="3">
        <v>1</v>
      </c>
      <c r="M2403" s="3">
        <v>30</v>
      </c>
      <c r="N2403" s="3">
        <v>17</v>
      </c>
      <c r="O2403" s="3"/>
      <c r="P2403" s="3"/>
      <c r="Q2403" s="3"/>
    </row>
    <row r="2404" spans="1:17" ht="15" x14ac:dyDescent="0.25">
      <c r="A2404" s="3">
        <f>2397</f>
        <v>2397</v>
      </c>
      <c r="B2404" s="3" t="s">
        <v>2406</v>
      </c>
      <c r="C2404" s="3" t="s">
        <v>9</v>
      </c>
      <c r="D2404" s="3" t="s">
        <v>10</v>
      </c>
      <c r="E2404" s="3">
        <v>22</v>
      </c>
      <c r="F2404" s="3">
        <v>0</v>
      </c>
      <c r="G2404" s="3">
        <v>1</v>
      </c>
      <c r="H2404" s="3">
        <v>18</v>
      </c>
      <c r="I2404" s="3">
        <v>28</v>
      </c>
      <c r="J2404" s="3">
        <v>1</v>
      </c>
      <c r="K2404" s="3">
        <v>15</v>
      </c>
      <c r="L2404" s="3">
        <v>1</v>
      </c>
      <c r="M2404" s="3">
        <v>30</v>
      </c>
      <c r="N2404" s="3">
        <v>17</v>
      </c>
      <c r="O2404" s="3"/>
      <c r="P2404" s="3"/>
      <c r="Q2404" s="3"/>
    </row>
    <row r="2405" spans="1:17" ht="15" x14ac:dyDescent="0.25">
      <c r="A2405" s="3">
        <f>2398</f>
        <v>2398</v>
      </c>
      <c r="B2405" s="3" t="s">
        <v>2407</v>
      </c>
      <c r="C2405" s="3" t="s">
        <v>9</v>
      </c>
      <c r="D2405" s="3" t="s">
        <v>10</v>
      </c>
      <c r="E2405" s="3">
        <v>22</v>
      </c>
      <c r="F2405" s="3">
        <v>0</v>
      </c>
      <c r="G2405" s="3">
        <v>1</v>
      </c>
      <c r="H2405" s="3">
        <v>18</v>
      </c>
      <c r="I2405" s="3">
        <v>28</v>
      </c>
      <c r="J2405" s="3">
        <v>1</v>
      </c>
      <c r="K2405" s="3">
        <v>15</v>
      </c>
      <c r="L2405" s="3">
        <v>1</v>
      </c>
      <c r="M2405" s="3">
        <v>30</v>
      </c>
      <c r="N2405" s="3">
        <v>17</v>
      </c>
      <c r="O2405" s="3"/>
      <c r="P2405" s="3"/>
      <c r="Q2405" s="3"/>
    </row>
    <row r="2406" spans="1:17" ht="15" x14ac:dyDescent="0.25">
      <c r="A2406" s="3">
        <f>2399</f>
        <v>2399</v>
      </c>
      <c r="B2406" s="3" t="s">
        <v>2408</v>
      </c>
      <c r="C2406" s="3" t="s">
        <v>9</v>
      </c>
      <c r="D2406" s="3" t="s">
        <v>10</v>
      </c>
      <c r="E2406" s="3">
        <v>22</v>
      </c>
      <c r="F2406" s="3">
        <v>0</v>
      </c>
      <c r="G2406" s="3">
        <v>1</v>
      </c>
      <c r="H2406" s="3">
        <v>18</v>
      </c>
      <c r="I2406" s="3">
        <v>28</v>
      </c>
      <c r="J2406" s="3">
        <v>1</v>
      </c>
      <c r="K2406" s="3">
        <v>15</v>
      </c>
      <c r="L2406" s="3">
        <v>1</v>
      </c>
      <c r="M2406" s="3">
        <v>30</v>
      </c>
      <c r="N2406" s="3">
        <v>17</v>
      </c>
      <c r="O2406" s="3"/>
      <c r="P2406" s="3"/>
      <c r="Q2406" s="3"/>
    </row>
    <row r="2407" spans="1:17" ht="15" x14ac:dyDescent="0.25">
      <c r="A2407" s="3">
        <f>2400</f>
        <v>2400</v>
      </c>
      <c r="B2407" s="3" t="s">
        <v>2409</v>
      </c>
      <c r="C2407" s="3" t="s">
        <v>9</v>
      </c>
      <c r="D2407" s="3" t="s">
        <v>10</v>
      </c>
      <c r="E2407" s="3">
        <v>22</v>
      </c>
      <c r="F2407" s="3">
        <v>0</v>
      </c>
      <c r="G2407" s="3">
        <v>1</v>
      </c>
      <c r="H2407" s="3">
        <v>18</v>
      </c>
      <c r="I2407" s="3">
        <v>28</v>
      </c>
      <c r="J2407" s="3">
        <v>1</v>
      </c>
      <c r="K2407" s="3">
        <v>15</v>
      </c>
      <c r="L2407" s="3">
        <v>1</v>
      </c>
      <c r="M2407" s="3">
        <v>30</v>
      </c>
      <c r="N2407" s="3">
        <v>17</v>
      </c>
      <c r="O2407" s="3"/>
      <c r="P2407" s="3"/>
      <c r="Q2407" s="3"/>
    </row>
    <row r="2408" spans="1:17" ht="15" x14ac:dyDescent="0.25">
      <c r="A2408" s="3">
        <f>2401</f>
        <v>2401</v>
      </c>
      <c r="B2408" s="3" t="s">
        <v>2410</v>
      </c>
      <c r="C2408" s="3" t="s">
        <v>9</v>
      </c>
      <c r="D2408" s="3" t="s">
        <v>10</v>
      </c>
      <c r="E2408" s="3">
        <v>22</v>
      </c>
      <c r="F2408" s="3">
        <v>0</v>
      </c>
      <c r="G2408" s="3">
        <v>1</v>
      </c>
      <c r="H2408" s="3">
        <v>18</v>
      </c>
      <c r="I2408" s="3">
        <v>28</v>
      </c>
      <c r="J2408" s="3">
        <v>1</v>
      </c>
      <c r="K2408" s="3">
        <v>15</v>
      </c>
      <c r="L2408" s="3">
        <v>1</v>
      </c>
      <c r="M2408" s="3">
        <v>30</v>
      </c>
      <c r="N2408" s="3">
        <v>17</v>
      </c>
      <c r="O2408" s="3"/>
      <c r="P2408" s="3"/>
      <c r="Q2408" s="3"/>
    </row>
    <row r="2409" spans="1:17" ht="15" x14ac:dyDescent="0.25">
      <c r="A2409" s="3">
        <f>2402</f>
        <v>2402</v>
      </c>
      <c r="B2409" s="3" t="s">
        <v>2411</v>
      </c>
      <c r="C2409" s="3" t="s">
        <v>9</v>
      </c>
      <c r="D2409" s="3" t="s">
        <v>10</v>
      </c>
      <c r="E2409" s="3">
        <v>22</v>
      </c>
      <c r="F2409" s="3">
        <v>0</v>
      </c>
      <c r="G2409" s="3">
        <v>1</v>
      </c>
      <c r="H2409" s="3">
        <v>18</v>
      </c>
      <c r="I2409" s="3">
        <v>28</v>
      </c>
      <c r="J2409" s="3">
        <v>1</v>
      </c>
      <c r="K2409" s="3">
        <v>15</v>
      </c>
      <c r="L2409" s="3">
        <v>1</v>
      </c>
      <c r="M2409" s="3">
        <v>30</v>
      </c>
      <c r="N2409" s="3">
        <v>17</v>
      </c>
      <c r="O2409" s="3"/>
      <c r="P2409" s="3"/>
      <c r="Q2409" s="3"/>
    </row>
    <row r="2410" spans="1:17" ht="15" x14ac:dyDescent="0.25">
      <c r="A2410" s="3">
        <f>2403</f>
        <v>2403</v>
      </c>
      <c r="B2410" s="3" t="s">
        <v>2412</v>
      </c>
      <c r="C2410" s="3" t="s">
        <v>9</v>
      </c>
      <c r="D2410" s="3" t="s">
        <v>10</v>
      </c>
      <c r="E2410" s="3">
        <v>22</v>
      </c>
      <c r="F2410" s="3">
        <v>0</v>
      </c>
      <c r="G2410" s="3">
        <v>1</v>
      </c>
      <c r="H2410" s="3">
        <v>18</v>
      </c>
      <c r="I2410" s="3">
        <v>28</v>
      </c>
      <c r="J2410" s="3">
        <v>1</v>
      </c>
      <c r="K2410" s="3">
        <v>15</v>
      </c>
      <c r="L2410" s="3">
        <v>1</v>
      </c>
      <c r="M2410" s="3">
        <v>30</v>
      </c>
      <c r="N2410" s="3">
        <v>17</v>
      </c>
      <c r="O2410" s="3"/>
      <c r="P2410" s="3"/>
      <c r="Q2410" s="3"/>
    </row>
    <row r="2411" spans="1:17" ht="15" x14ac:dyDescent="0.25">
      <c r="A2411" s="3">
        <f>2404</f>
        <v>2404</v>
      </c>
      <c r="B2411" s="3" t="s">
        <v>2413</v>
      </c>
      <c r="C2411" s="3" t="s">
        <v>9</v>
      </c>
      <c r="D2411" s="3" t="s">
        <v>10</v>
      </c>
      <c r="E2411" s="3">
        <v>22</v>
      </c>
      <c r="F2411" s="3">
        <v>0</v>
      </c>
      <c r="G2411" s="3">
        <v>1</v>
      </c>
      <c r="H2411" s="3">
        <v>18</v>
      </c>
      <c r="I2411" s="3">
        <v>28</v>
      </c>
      <c r="J2411" s="3">
        <v>1</v>
      </c>
      <c r="K2411" s="3">
        <v>15</v>
      </c>
      <c r="L2411" s="3">
        <v>1</v>
      </c>
      <c r="M2411" s="3">
        <v>30</v>
      </c>
      <c r="N2411" s="3">
        <v>17</v>
      </c>
      <c r="O2411" s="3"/>
      <c r="P2411" s="3"/>
      <c r="Q2411" s="3"/>
    </row>
    <row r="2412" spans="1:17" ht="15" x14ac:dyDescent="0.25">
      <c r="A2412" s="3">
        <f>2405</f>
        <v>2405</v>
      </c>
      <c r="B2412" s="3" t="s">
        <v>2414</v>
      </c>
      <c r="C2412" s="3" t="s">
        <v>9</v>
      </c>
      <c r="D2412" s="3" t="s">
        <v>10</v>
      </c>
      <c r="E2412" s="3">
        <v>22</v>
      </c>
      <c r="F2412" s="3">
        <v>0</v>
      </c>
      <c r="G2412" s="3">
        <v>1</v>
      </c>
      <c r="H2412" s="3">
        <v>18</v>
      </c>
      <c r="I2412" s="3">
        <v>28</v>
      </c>
      <c r="J2412" s="3">
        <v>1</v>
      </c>
      <c r="K2412" s="3">
        <v>15</v>
      </c>
      <c r="L2412" s="3">
        <v>1</v>
      </c>
      <c r="M2412" s="3">
        <v>30</v>
      </c>
      <c r="N2412" s="3">
        <v>17</v>
      </c>
      <c r="O2412" s="3"/>
      <c r="P2412" s="3"/>
      <c r="Q2412" s="3"/>
    </row>
    <row r="2413" spans="1:17" ht="15" x14ac:dyDescent="0.25">
      <c r="A2413" s="3">
        <f>2406</f>
        <v>2406</v>
      </c>
      <c r="B2413" s="3" t="s">
        <v>2415</v>
      </c>
      <c r="C2413" s="3" t="s">
        <v>9</v>
      </c>
      <c r="D2413" s="3" t="s">
        <v>10</v>
      </c>
      <c r="E2413" s="3">
        <v>22</v>
      </c>
      <c r="F2413" s="3">
        <v>0</v>
      </c>
      <c r="G2413" s="3">
        <v>1</v>
      </c>
      <c r="H2413" s="3">
        <v>18</v>
      </c>
      <c r="I2413" s="3">
        <v>28</v>
      </c>
      <c r="J2413" s="3">
        <v>1</v>
      </c>
      <c r="K2413" s="3">
        <v>15</v>
      </c>
      <c r="L2413" s="3">
        <v>1</v>
      </c>
      <c r="M2413" s="3">
        <v>30</v>
      </c>
      <c r="N2413" s="3">
        <v>17</v>
      </c>
      <c r="O2413" s="3"/>
      <c r="P2413" s="3"/>
      <c r="Q2413" s="3"/>
    </row>
    <row r="2414" spans="1:17" ht="15" x14ac:dyDescent="0.25">
      <c r="A2414" s="3">
        <f>2407</f>
        <v>2407</v>
      </c>
      <c r="B2414" s="3" t="s">
        <v>2416</v>
      </c>
      <c r="C2414" s="3" t="s">
        <v>9</v>
      </c>
      <c r="D2414" s="3" t="s">
        <v>10</v>
      </c>
      <c r="E2414" s="3">
        <v>22</v>
      </c>
      <c r="F2414" s="3">
        <v>0</v>
      </c>
      <c r="G2414" s="3">
        <v>1</v>
      </c>
      <c r="H2414" s="3">
        <v>18</v>
      </c>
      <c r="I2414" s="3">
        <v>28</v>
      </c>
      <c r="J2414" s="3">
        <v>1</v>
      </c>
      <c r="K2414" s="3">
        <v>15</v>
      </c>
      <c r="L2414" s="3">
        <v>1</v>
      </c>
      <c r="M2414" s="3">
        <v>30</v>
      </c>
      <c r="N2414" s="3">
        <v>17</v>
      </c>
      <c r="O2414" s="3"/>
      <c r="P2414" s="3"/>
      <c r="Q2414" s="3"/>
    </row>
    <row r="2415" spans="1:17" ht="15" x14ac:dyDescent="0.25">
      <c r="A2415" s="3">
        <f>2408</f>
        <v>2408</v>
      </c>
      <c r="B2415" s="3" t="s">
        <v>2417</v>
      </c>
      <c r="C2415" s="3" t="s">
        <v>9</v>
      </c>
      <c r="D2415" s="3" t="s">
        <v>10</v>
      </c>
      <c r="E2415" s="3">
        <v>22</v>
      </c>
      <c r="F2415" s="3">
        <v>0</v>
      </c>
      <c r="G2415" s="3">
        <v>1</v>
      </c>
      <c r="H2415" s="3">
        <v>18</v>
      </c>
      <c r="I2415" s="3">
        <v>28</v>
      </c>
      <c r="J2415" s="3">
        <v>1</v>
      </c>
      <c r="K2415" s="3">
        <v>15</v>
      </c>
      <c r="L2415" s="3">
        <v>1</v>
      </c>
      <c r="M2415" s="3">
        <v>30</v>
      </c>
      <c r="N2415" s="3">
        <v>17</v>
      </c>
      <c r="O2415" s="3"/>
      <c r="P2415" s="3"/>
      <c r="Q2415" s="3"/>
    </row>
    <row r="2416" spans="1:17" ht="15" x14ac:dyDescent="0.25">
      <c r="A2416" s="3">
        <f>2409</f>
        <v>2409</v>
      </c>
      <c r="B2416" s="3" t="s">
        <v>2418</v>
      </c>
      <c r="C2416" s="3" t="s">
        <v>9</v>
      </c>
      <c r="D2416" s="3" t="s">
        <v>10</v>
      </c>
      <c r="E2416" s="3">
        <v>22</v>
      </c>
      <c r="F2416" s="3">
        <v>0</v>
      </c>
      <c r="G2416" s="3">
        <v>1</v>
      </c>
      <c r="H2416" s="3">
        <v>18</v>
      </c>
      <c r="I2416" s="3">
        <v>28</v>
      </c>
      <c r="J2416" s="3">
        <v>1</v>
      </c>
      <c r="K2416" s="3">
        <v>15</v>
      </c>
      <c r="L2416" s="3">
        <v>1</v>
      </c>
      <c r="M2416" s="3">
        <v>30</v>
      </c>
      <c r="N2416" s="3">
        <v>17</v>
      </c>
      <c r="O2416" s="3"/>
      <c r="P2416" s="3"/>
      <c r="Q2416" s="3"/>
    </row>
    <row r="2417" spans="1:17" ht="15" x14ac:dyDescent="0.25">
      <c r="A2417" s="3">
        <f>2410</f>
        <v>2410</v>
      </c>
      <c r="B2417" s="3" t="s">
        <v>2419</v>
      </c>
      <c r="C2417" s="3" t="s">
        <v>9</v>
      </c>
      <c r="D2417" s="3" t="s">
        <v>10</v>
      </c>
      <c r="E2417" s="3">
        <v>22</v>
      </c>
      <c r="F2417" s="3">
        <v>0</v>
      </c>
      <c r="G2417" s="3">
        <v>1</v>
      </c>
      <c r="H2417" s="3">
        <v>18</v>
      </c>
      <c r="I2417" s="3">
        <v>28</v>
      </c>
      <c r="J2417" s="3">
        <v>1</v>
      </c>
      <c r="K2417" s="3">
        <v>15</v>
      </c>
      <c r="L2417" s="3">
        <v>1</v>
      </c>
      <c r="M2417" s="3">
        <v>30</v>
      </c>
      <c r="N2417" s="3">
        <v>17</v>
      </c>
      <c r="O2417" s="3"/>
      <c r="P2417" s="3"/>
      <c r="Q2417" s="3"/>
    </row>
    <row r="2418" spans="1:17" ht="15" x14ac:dyDescent="0.25">
      <c r="A2418" s="3">
        <f>2411</f>
        <v>2411</v>
      </c>
      <c r="B2418" s="3" t="s">
        <v>2420</v>
      </c>
      <c r="C2418" s="3" t="s">
        <v>9</v>
      </c>
      <c r="D2418" s="3" t="s">
        <v>10</v>
      </c>
      <c r="E2418" s="3">
        <v>22</v>
      </c>
      <c r="F2418" s="3">
        <v>0</v>
      </c>
      <c r="G2418" s="3">
        <v>1</v>
      </c>
      <c r="H2418" s="3">
        <v>18</v>
      </c>
      <c r="I2418" s="3">
        <v>28</v>
      </c>
      <c r="J2418" s="3">
        <v>1</v>
      </c>
      <c r="K2418" s="3">
        <v>15</v>
      </c>
      <c r="L2418" s="3">
        <v>1</v>
      </c>
      <c r="M2418" s="3">
        <v>30</v>
      </c>
      <c r="N2418" s="3">
        <v>17</v>
      </c>
      <c r="O2418" s="3"/>
      <c r="P2418" s="3"/>
      <c r="Q2418" s="3"/>
    </row>
    <row r="2419" spans="1:17" ht="15" x14ac:dyDescent="0.25">
      <c r="A2419" s="3">
        <f>2412</f>
        <v>2412</v>
      </c>
      <c r="B2419" s="3" t="s">
        <v>2421</v>
      </c>
      <c r="C2419" s="3" t="s">
        <v>9</v>
      </c>
      <c r="D2419" s="3" t="s">
        <v>10</v>
      </c>
      <c r="E2419" s="3">
        <v>22</v>
      </c>
      <c r="F2419" s="3">
        <v>0</v>
      </c>
      <c r="G2419" s="3">
        <v>1</v>
      </c>
      <c r="H2419" s="3">
        <v>18</v>
      </c>
      <c r="I2419" s="3">
        <v>28</v>
      </c>
      <c r="J2419" s="3">
        <v>1</v>
      </c>
      <c r="K2419" s="3">
        <v>15</v>
      </c>
      <c r="L2419" s="3">
        <v>1</v>
      </c>
      <c r="M2419" s="3">
        <v>30</v>
      </c>
      <c r="N2419" s="3">
        <v>17</v>
      </c>
      <c r="O2419" s="3"/>
      <c r="P2419" s="3"/>
      <c r="Q2419" s="3"/>
    </row>
    <row r="2420" spans="1:17" ht="15" x14ac:dyDescent="0.25">
      <c r="A2420" s="3">
        <f>2413</f>
        <v>2413</v>
      </c>
      <c r="B2420" s="3" t="s">
        <v>2422</v>
      </c>
      <c r="C2420" s="3" t="s">
        <v>9</v>
      </c>
      <c r="D2420" s="3" t="s">
        <v>10</v>
      </c>
      <c r="E2420" s="3">
        <v>22</v>
      </c>
      <c r="F2420" s="3">
        <v>0</v>
      </c>
      <c r="G2420" s="3">
        <v>1</v>
      </c>
      <c r="H2420" s="3">
        <v>18</v>
      </c>
      <c r="I2420" s="3">
        <v>28</v>
      </c>
      <c r="J2420" s="3">
        <v>1</v>
      </c>
      <c r="K2420" s="3">
        <v>15</v>
      </c>
      <c r="L2420" s="3">
        <v>1</v>
      </c>
      <c r="M2420" s="3">
        <v>30</v>
      </c>
      <c r="N2420" s="3">
        <v>17</v>
      </c>
      <c r="O2420" s="3"/>
      <c r="P2420" s="3"/>
      <c r="Q2420" s="3"/>
    </row>
    <row r="2421" spans="1:17" ht="15" x14ac:dyDescent="0.25">
      <c r="A2421" s="3">
        <f>2414</f>
        <v>2414</v>
      </c>
      <c r="B2421" s="3" t="s">
        <v>2423</v>
      </c>
      <c r="C2421" s="3" t="s">
        <v>9</v>
      </c>
      <c r="D2421" s="3" t="s">
        <v>10</v>
      </c>
      <c r="E2421" s="3">
        <v>22</v>
      </c>
      <c r="F2421" s="3">
        <v>0</v>
      </c>
      <c r="G2421" s="3">
        <v>1</v>
      </c>
      <c r="H2421" s="3">
        <v>18</v>
      </c>
      <c r="I2421" s="3">
        <v>28</v>
      </c>
      <c r="J2421" s="3">
        <v>1</v>
      </c>
      <c r="K2421" s="3">
        <v>15</v>
      </c>
      <c r="L2421" s="3">
        <v>1</v>
      </c>
      <c r="M2421" s="3">
        <v>30</v>
      </c>
      <c r="N2421" s="3">
        <v>17</v>
      </c>
      <c r="O2421" s="3"/>
      <c r="P2421" s="3"/>
      <c r="Q2421" s="3"/>
    </row>
    <row r="2422" spans="1:17" ht="15" x14ac:dyDescent="0.25">
      <c r="A2422" s="3">
        <f>2415</f>
        <v>2415</v>
      </c>
      <c r="B2422" s="3" t="s">
        <v>2424</v>
      </c>
      <c r="C2422" s="3" t="s">
        <v>9</v>
      </c>
      <c r="D2422" s="3" t="s">
        <v>10</v>
      </c>
      <c r="E2422" s="3">
        <v>22</v>
      </c>
      <c r="F2422" s="3">
        <v>0</v>
      </c>
      <c r="G2422" s="3">
        <v>1</v>
      </c>
      <c r="H2422" s="3">
        <v>18</v>
      </c>
      <c r="I2422" s="3">
        <v>28</v>
      </c>
      <c r="J2422" s="3">
        <v>1</v>
      </c>
      <c r="K2422" s="3">
        <v>15</v>
      </c>
      <c r="L2422" s="3">
        <v>1</v>
      </c>
      <c r="M2422" s="3">
        <v>30</v>
      </c>
      <c r="N2422" s="3">
        <v>17</v>
      </c>
      <c r="O2422" s="3"/>
      <c r="P2422" s="3"/>
      <c r="Q2422" s="3"/>
    </row>
    <row r="2423" spans="1:17" ht="15" x14ac:dyDescent="0.25">
      <c r="A2423" s="3">
        <f>2416</f>
        <v>2416</v>
      </c>
      <c r="B2423" s="3" t="s">
        <v>2425</v>
      </c>
      <c r="C2423" s="3" t="s">
        <v>9</v>
      </c>
      <c r="D2423" s="3" t="s">
        <v>10</v>
      </c>
      <c r="E2423" s="3">
        <v>22</v>
      </c>
      <c r="F2423" s="3">
        <v>0</v>
      </c>
      <c r="G2423" s="3">
        <v>1</v>
      </c>
      <c r="H2423" s="3">
        <v>18</v>
      </c>
      <c r="I2423" s="3">
        <v>28</v>
      </c>
      <c r="J2423" s="3">
        <v>1</v>
      </c>
      <c r="K2423" s="3">
        <v>15</v>
      </c>
      <c r="L2423" s="3">
        <v>1</v>
      </c>
      <c r="M2423" s="3">
        <v>30</v>
      </c>
      <c r="N2423" s="3">
        <v>17</v>
      </c>
      <c r="O2423" s="3"/>
      <c r="P2423" s="3"/>
      <c r="Q2423" s="3"/>
    </row>
    <row r="2424" spans="1:17" ht="15" x14ac:dyDescent="0.25">
      <c r="A2424" s="3">
        <f>2417</f>
        <v>2417</v>
      </c>
      <c r="B2424" s="3" t="s">
        <v>2426</v>
      </c>
      <c r="C2424" s="3" t="s">
        <v>9</v>
      </c>
      <c r="D2424" s="3" t="s">
        <v>10</v>
      </c>
      <c r="E2424" s="3">
        <v>22</v>
      </c>
      <c r="F2424" s="3">
        <v>0</v>
      </c>
      <c r="G2424" s="3">
        <v>1</v>
      </c>
      <c r="H2424" s="3">
        <v>18</v>
      </c>
      <c r="I2424" s="3">
        <v>28</v>
      </c>
      <c r="J2424" s="3">
        <v>1</v>
      </c>
      <c r="K2424" s="3">
        <v>15</v>
      </c>
      <c r="L2424" s="3">
        <v>1</v>
      </c>
      <c r="M2424" s="3">
        <v>30</v>
      </c>
      <c r="N2424" s="3">
        <v>17</v>
      </c>
      <c r="O2424" s="3"/>
      <c r="P2424" s="3"/>
      <c r="Q2424" s="3"/>
    </row>
    <row r="2425" spans="1:17" ht="15" x14ac:dyDescent="0.25">
      <c r="A2425" s="3">
        <f>2418</f>
        <v>2418</v>
      </c>
      <c r="B2425" s="3" t="s">
        <v>2427</v>
      </c>
      <c r="C2425" s="3" t="s">
        <v>9</v>
      </c>
      <c r="D2425" s="3" t="s">
        <v>10</v>
      </c>
      <c r="E2425" s="3">
        <v>22</v>
      </c>
      <c r="F2425" s="3">
        <v>0</v>
      </c>
      <c r="G2425" s="3">
        <v>1</v>
      </c>
      <c r="H2425" s="3">
        <v>18</v>
      </c>
      <c r="I2425" s="3">
        <v>28</v>
      </c>
      <c r="J2425" s="3">
        <v>1</v>
      </c>
      <c r="K2425" s="3">
        <v>15</v>
      </c>
      <c r="L2425" s="3">
        <v>1</v>
      </c>
      <c r="M2425" s="3">
        <v>30</v>
      </c>
      <c r="N2425" s="3">
        <v>17</v>
      </c>
      <c r="O2425" s="3"/>
      <c r="P2425" s="3"/>
      <c r="Q2425" s="3"/>
    </row>
    <row r="2426" spans="1:17" ht="15" x14ac:dyDescent="0.25">
      <c r="A2426" s="3">
        <f>2419</f>
        <v>2419</v>
      </c>
      <c r="B2426" s="3" t="s">
        <v>2428</v>
      </c>
      <c r="C2426" s="3" t="s">
        <v>9</v>
      </c>
      <c r="D2426" s="3" t="s">
        <v>10</v>
      </c>
      <c r="E2426" s="3">
        <v>22</v>
      </c>
      <c r="F2426" s="3">
        <v>0</v>
      </c>
      <c r="G2426" s="3">
        <v>1</v>
      </c>
      <c r="H2426" s="3">
        <v>18</v>
      </c>
      <c r="I2426" s="3">
        <v>28</v>
      </c>
      <c r="J2426" s="3">
        <v>1</v>
      </c>
      <c r="K2426" s="3">
        <v>15</v>
      </c>
      <c r="L2426" s="3">
        <v>1</v>
      </c>
      <c r="M2426" s="3">
        <v>30</v>
      </c>
      <c r="N2426" s="3">
        <v>17</v>
      </c>
      <c r="O2426" s="3"/>
      <c r="P2426" s="3"/>
      <c r="Q2426" s="3"/>
    </row>
    <row r="2427" spans="1:17" ht="15" x14ac:dyDescent="0.25">
      <c r="A2427" s="3">
        <f>2420</f>
        <v>2420</v>
      </c>
      <c r="B2427" s="3" t="s">
        <v>2429</v>
      </c>
      <c r="C2427" s="3" t="s">
        <v>9</v>
      </c>
      <c r="D2427" s="3" t="s">
        <v>10</v>
      </c>
      <c r="E2427" s="3">
        <v>22</v>
      </c>
      <c r="F2427" s="3">
        <v>0</v>
      </c>
      <c r="G2427" s="3">
        <v>1</v>
      </c>
      <c r="H2427" s="3">
        <v>18</v>
      </c>
      <c r="I2427" s="3">
        <v>28</v>
      </c>
      <c r="J2427" s="3">
        <v>1</v>
      </c>
      <c r="K2427" s="3">
        <v>15</v>
      </c>
      <c r="L2427" s="3">
        <v>1</v>
      </c>
      <c r="M2427" s="3">
        <v>30</v>
      </c>
      <c r="N2427" s="3">
        <v>17</v>
      </c>
      <c r="O2427" s="3"/>
      <c r="P2427" s="3"/>
      <c r="Q2427" s="3"/>
    </row>
    <row r="2428" spans="1:17" ht="15" x14ac:dyDescent="0.25">
      <c r="A2428" s="3">
        <f>2421</f>
        <v>2421</v>
      </c>
      <c r="B2428" s="3" t="s">
        <v>2430</v>
      </c>
      <c r="C2428" s="3" t="s">
        <v>9</v>
      </c>
      <c r="D2428" s="3" t="s">
        <v>10</v>
      </c>
      <c r="E2428" s="3">
        <v>22</v>
      </c>
      <c r="F2428" s="3">
        <v>0</v>
      </c>
      <c r="G2428" s="3">
        <v>1</v>
      </c>
      <c r="H2428" s="3">
        <v>18</v>
      </c>
      <c r="I2428" s="3">
        <v>28</v>
      </c>
      <c r="J2428" s="3">
        <v>1</v>
      </c>
      <c r="K2428" s="3">
        <v>15</v>
      </c>
      <c r="L2428" s="3">
        <v>1</v>
      </c>
      <c r="M2428" s="3">
        <v>30</v>
      </c>
      <c r="N2428" s="3">
        <v>17</v>
      </c>
      <c r="O2428" s="3"/>
      <c r="P2428" s="3"/>
      <c r="Q2428" s="3"/>
    </row>
    <row r="2429" spans="1:17" ht="15" x14ac:dyDescent="0.25">
      <c r="A2429" s="3">
        <f>2422</f>
        <v>2422</v>
      </c>
      <c r="B2429" s="3" t="s">
        <v>2431</v>
      </c>
      <c r="C2429" s="3" t="s">
        <v>9</v>
      </c>
      <c r="D2429" s="3" t="s">
        <v>10</v>
      </c>
      <c r="E2429" s="3">
        <v>22</v>
      </c>
      <c r="F2429" s="3">
        <v>0</v>
      </c>
      <c r="G2429" s="3">
        <v>1</v>
      </c>
      <c r="H2429" s="3">
        <v>18</v>
      </c>
      <c r="I2429" s="3">
        <v>28</v>
      </c>
      <c r="J2429" s="3">
        <v>1</v>
      </c>
      <c r="K2429" s="3">
        <v>15</v>
      </c>
      <c r="L2429" s="3">
        <v>1</v>
      </c>
      <c r="M2429" s="3">
        <v>30</v>
      </c>
      <c r="N2429" s="3">
        <v>17</v>
      </c>
      <c r="O2429" s="3"/>
      <c r="P2429" s="3"/>
      <c r="Q2429" s="3"/>
    </row>
    <row r="2430" spans="1:17" ht="15" x14ac:dyDescent="0.25">
      <c r="A2430" s="3">
        <f>2423</f>
        <v>2423</v>
      </c>
      <c r="B2430" s="3" t="s">
        <v>2432</v>
      </c>
      <c r="C2430" s="3" t="s">
        <v>9</v>
      </c>
      <c r="D2430" s="3" t="s">
        <v>10</v>
      </c>
      <c r="E2430" s="3">
        <v>22</v>
      </c>
      <c r="F2430" s="3">
        <v>0</v>
      </c>
      <c r="G2430" s="3">
        <v>1</v>
      </c>
      <c r="H2430" s="3">
        <v>18</v>
      </c>
      <c r="I2430" s="3">
        <v>28</v>
      </c>
      <c r="J2430" s="3">
        <v>1</v>
      </c>
      <c r="K2430" s="3">
        <v>15</v>
      </c>
      <c r="L2430" s="3">
        <v>1</v>
      </c>
      <c r="M2430" s="3">
        <v>30</v>
      </c>
      <c r="N2430" s="3">
        <v>17</v>
      </c>
      <c r="O2430" s="3"/>
      <c r="P2430" s="3"/>
      <c r="Q2430" s="3"/>
    </row>
    <row r="2431" spans="1:17" ht="15" x14ac:dyDescent="0.25">
      <c r="A2431" s="3">
        <f>2424</f>
        <v>2424</v>
      </c>
      <c r="B2431" s="3" t="s">
        <v>2433</v>
      </c>
      <c r="C2431" s="3" t="s">
        <v>9</v>
      </c>
      <c r="D2431" s="3" t="s">
        <v>10</v>
      </c>
      <c r="E2431" s="3">
        <v>22</v>
      </c>
      <c r="F2431" s="3">
        <v>0</v>
      </c>
      <c r="G2431" s="3">
        <v>1</v>
      </c>
      <c r="H2431" s="3">
        <v>18</v>
      </c>
      <c r="I2431" s="3">
        <v>28</v>
      </c>
      <c r="J2431" s="3">
        <v>1</v>
      </c>
      <c r="K2431" s="3">
        <v>15</v>
      </c>
      <c r="L2431" s="3">
        <v>1</v>
      </c>
      <c r="M2431" s="3">
        <v>30</v>
      </c>
      <c r="N2431" s="3">
        <v>17</v>
      </c>
      <c r="O2431" s="3"/>
      <c r="P2431" s="3"/>
      <c r="Q2431" s="3"/>
    </row>
    <row r="2432" spans="1:17" ht="15" x14ac:dyDescent="0.25">
      <c r="A2432" s="3">
        <f>2425</f>
        <v>2425</v>
      </c>
      <c r="B2432" s="3" t="s">
        <v>2434</v>
      </c>
      <c r="C2432" s="3" t="s">
        <v>9</v>
      </c>
      <c r="D2432" s="3" t="s">
        <v>10</v>
      </c>
      <c r="E2432" s="3">
        <v>22</v>
      </c>
      <c r="F2432" s="3">
        <v>0</v>
      </c>
      <c r="G2432" s="3">
        <v>1</v>
      </c>
      <c r="H2432" s="3">
        <v>18</v>
      </c>
      <c r="I2432" s="3">
        <v>28</v>
      </c>
      <c r="J2432" s="3">
        <v>1</v>
      </c>
      <c r="K2432" s="3">
        <v>15</v>
      </c>
      <c r="L2432" s="3">
        <v>1</v>
      </c>
      <c r="M2432" s="3">
        <v>30</v>
      </c>
      <c r="N2432" s="3">
        <v>17</v>
      </c>
      <c r="O2432" s="3"/>
      <c r="P2432" s="3"/>
      <c r="Q2432" s="3"/>
    </row>
    <row r="2433" spans="1:17" ht="15" x14ac:dyDescent="0.25">
      <c r="A2433" s="3">
        <f>2426</f>
        <v>2426</v>
      </c>
      <c r="B2433" s="3" t="s">
        <v>2435</v>
      </c>
      <c r="C2433" s="3" t="s">
        <v>9</v>
      </c>
      <c r="D2433" s="3" t="s">
        <v>10</v>
      </c>
      <c r="E2433" s="3">
        <v>22</v>
      </c>
      <c r="F2433" s="3">
        <v>0</v>
      </c>
      <c r="G2433" s="3">
        <v>1</v>
      </c>
      <c r="H2433" s="3">
        <v>18</v>
      </c>
      <c r="I2433" s="3">
        <v>28</v>
      </c>
      <c r="J2433" s="3">
        <v>1</v>
      </c>
      <c r="K2433" s="3">
        <v>15</v>
      </c>
      <c r="L2433" s="3">
        <v>1</v>
      </c>
      <c r="M2433" s="3">
        <v>30</v>
      </c>
      <c r="N2433" s="3">
        <v>17</v>
      </c>
      <c r="O2433" s="3"/>
      <c r="P2433" s="3"/>
      <c r="Q2433" s="3"/>
    </row>
    <row r="2434" spans="1:17" ht="15" x14ac:dyDescent="0.25">
      <c r="A2434" s="3">
        <f>2427</f>
        <v>2427</v>
      </c>
      <c r="B2434" s="3" t="s">
        <v>2436</v>
      </c>
      <c r="C2434" s="3" t="s">
        <v>9</v>
      </c>
      <c r="D2434" s="3" t="s">
        <v>10</v>
      </c>
      <c r="E2434" s="3">
        <v>22</v>
      </c>
      <c r="F2434" s="3">
        <v>0</v>
      </c>
      <c r="G2434" s="3">
        <v>1</v>
      </c>
      <c r="H2434" s="3">
        <v>18</v>
      </c>
      <c r="I2434" s="3">
        <v>28</v>
      </c>
      <c r="J2434" s="3">
        <v>1</v>
      </c>
      <c r="K2434" s="3">
        <v>15</v>
      </c>
      <c r="L2434" s="3">
        <v>1</v>
      </c>
      <c r="M2434" s="3">
        <v>30</v>
      </c>
      <c r="N2434" s="3">
        <v>17</v>
      </c>
      <c r="O2434" s="3"/>
      <c r="P2434" s="3"/>
      <c r="Q2434" s="3"/>
    </row>
    <row r="2435" spans="1:17" ht="15" x14ac:dyDescent="0.25">
      <c r="A2435" s="3">
        <f>2428</f>
        <v>2428</v>
      </c>
      <c r="B2435" s="3" t="s">
        <v>2437</v>
      </c>
      <c r="C2435" s="3" t="s">
        <v>9</v>
      </c>
      <c r="D2435" s="3" t="s">
        <v>10</v>
      </c>
      <c r="E2435" s="3">
        <v>22</v>
      </c>
      <c r="F2435" s="3">
        <v>0</v>
      </c>
      <c r="G2435" s="3">
        <v>1</v>
      </c>
      <c r="H2435" s="3">
        <v>18</v>
      </c>
      <c r="I2435" s="3">
        <v>28</v>
      </c>
      <c r="J2435" s="3">
        <v>1</v>
      </c>
      <c r="K2435" s="3">
        <v>15</v>
      </c>
      <c r="L2435" s="3">
        <v>1</v>
      </c>
      <c r="M2435" s="3">
        <v>30</v>
      </c>
      <c r="N2435" s="3">
        <v>17</v>
      </c>
      <c r="O2435" s="3"/>
      <c r="P2435" s="3"/>
      <c r="Q2435" s="3"/>
    </row>
    <row r="2436" spans="1:17" ht="15" x14ac:dyDescent="0.25">
      <c r="A2436" s="3">
        <f>2429</f>
        <v>2429</v>
      </c>
      <c r="B2436" s="3" t="s">
        <v>2438</v>
      </c>
      <c r="C2436" s="3" t="s">
        <v>9</v>
      </c>
      <c r="D2436" s="3" t="s">
        <v>10</v>
      </c>
      <c r="E2436" s="3">
        <v>22</v>
      </c>
      <c r="F2436" s="3">
        <v>0</v>
      </c>
      <c r="G2436" s="3">
        <v>1</v>
      </c>
      <c r="H2436" s="3">
        <v>18</v>
      </c>
      <c r="I2436" s="3">
        <v>28</v>
      </c>
      <c r="J2436" s="3">
        <v>1</v>
      </c>
      <c r="K2436" s="3">
        <v>15</v>
      </c>
      <c r="L2436" s="3">
        <v>1</v>
      </c>
      <c r="M2436" s="3">
        <v>30</v>
      </c>
      <c r="N2436" s="3">
        <v>17</v>
      </c>
      <c r="O2436" s="3"/>
      <c r="P2436" s="3"/>
      <c r="Q2436" s="3"/>
    </row>
    <row r="2437" spans="1:17" ht="15" x14ac:dyDescent="0.25">
      <c r="A2437" s="3">
        <f>2430</f>
        <v>2430</v>
      </c>
      <c r="B2437" s="3" t="s">
        <v>2439</v>
      </c>
      <c r="C2437" s="3" t="s">
        <v>9</v>
      </c>
      <c r="D2437" s="3" t="s">
        <v>10</v>
      </c>
      <c r="E2437" s="3">
        <v>22</v>
      </c>
      <c r="F2437" s="3">
        <v>0</v>
      </c>
      <c r="G2437" s="3">
        <v>1</v>
      </c>
      <c r="H2437" s="3">
        <v>18</v>
      </c>
      <c r="I2437" s="3">
        <v>28</v>
      </c>
      <c r="J2437" s="3">
        <v>1</v>
      </c>
      <c r="K2437" s="3">
        <v>15</v>
      </c>
      <c r="L2437" s="3">
        <v>1</v>
      </c>
      <c r="M2437" s="3">
        <v>30</v>
      </c>
      <c r="N2437" s="3">
        <v>17</v>
      </c>
      <c r="O2437" s="3"/>
      <c r="P2437" s="3"/>
      <c r="Q2437" s="3"/>
    </row>
    <row r="2438" spans="1:17" ht="15" x14ac:dyDescent="0.25">
      <c r="A2438" s="3">
        <f>2431</f>
        <v>2431</v>
      </c>
      <c r="B2438" s="3" t="s">
        <v>2440</v>
      </c>
      <c r="C2438" s="3" t="s">
        <v>9</v>
      </c>
      <c r="D2438" s="3" t="s">
        <v>10</v>
      </c>
      <c r="E2438" s="3">
        <v>22</v>
      </c>
      <c r="F2438" s="3">
        <v>0</v>
      </c>
      <c r="G2438" s="3">
        <v>1</v>
      </c>
      <c r="H2438" s="3">
        <v>18</v>
      </c>
      <c r="I2438" s="3">
        <v>28</v>
      </c>
      <c r="J2438" s="3">
        <v>1</v>
      </c>
      <c r="K2438" s="3">
        <v>15</v>
      </c>
      <c r="L2438" s="3">
        <v>1</v>
      </c>
      <c r="M2438" s="3">
        <v>30</v>
      </c>
      <c r="N2438" s="3">
        <v>17</v>
      </c>
      <c r="O2438" s="3"/>
      <c r="P2438" s="3"/>
      <c r="Q2438" s="3"/>
    </row>
    <row r="2439" spans="1:17" ht="15" x14ac:dyDescent="0.25">
      <c r="A2439" s="3">
        <f>2432</f>
        <v>2432</v>
      </c>
      <c r="B2439" s="3" t="s">
        <v>2441</v>
      </c>
      <c r="C2439" s="3" t="s">
        <v>9</v>
      </c>
      <c r="D2439" s="3" t="s">
        <v>10</v>
      </c>
      <c r="E2439" s="3">
        <v>22</v>
      </c>
      <c r="F2439" s="3">
        <v>0</v>
      </c>
      <c r="G2439" s="3">
        <v>1</v>
      </c>
      <c r="H2439" s="3">
        <v>18</v>
      </c>
      <c r="I2439" s="3">
        <v>28</v>
      </c>
      <c r="J2439" s="3">
        <v>1</v>
      </c>
      <c r="K2439" s="3">
        <v>15</v>
      </c>
      <c r="L2439" s="3">
        <v>1</v>
      </c>
      <c r="M2439" s="3">
        <v>30</v>
      </c>
      <c r="N2439" s="3">
        <v>17</v>
      </c>
      <c r="O2439" s="3"/>
      <c r="P2439" s="3"/>
      <c r="Q2439" s="3"/>
    </row>
    <row r="2440" spans="1:17" ht="15" x14ac:dyDescent="0.25">
      <c r="A2440" s="3">
        <f>2433</f>
        <v>2433</v>
      </c>
      <c r="B2440" s="3" t="s">
        <v>2442</v>
      </c>
      <c r="C2440" s="3" t="s">
        <v>9</v>
      </c>
      <c r="D2440" s="3" t="s">
        <v>10</v>
      </c>
      <c r="E2440" s="3">
        <v>22</v>
      </c>
      <c r="F2440" s="3">
        <v>0</v>
      </c>
      <c r="G2440" s="3">
        <v>1</v>
      </c>
      <c r="H2440" s="3">
        <v>18</v>
      </c>
      <c r="I2440" s="3">
        <v>28</v>
      </c>
      <c r="J2440" s="3">
        <v>1</v>
      </c>
      <c r="K2440" s="3">
        <v>15</v>
      </c>
      <c r="L2440" s="3">
        <v>1</v>
      </c>
      <c r="M2440" s="3">
        <v>30</v>
      </c>
      <c r="N2440" s="3">
        <v>17</v>
      </c>
      <c r="O2440" s="3"/>
      <c r="P2440" s="3"/>
      <c r="Q2440" s="3"/>
    </row>
    <row r="2441" spans="1:17" ht="15" x14ac:dyDescent="0.25">
      <c r="A2441" s="3">
        <f>2434</f>
        <v>2434</v>
      </c>
      <c r="B2441" s="3" t="s">
        <v>2443</v>
      </c>
      <c r="C2441" s="3" t="s">
        <v>9</v>
      </c>
      <c r="D2441" s="3" t="s">
        <v>10</v>
      </c>
      <c r="E2441" s="3">
        <v>22</v>
      </c>
      <c r="F2441" s="3">
        <v>0</v>
      </c>
      <c r="G2441" s="3">
        <v>1</v>
      </c>
      <c r="H2441" s="3">
        <v>18</v>
      </c>
      <c r="I2441" s="3">
        <v>28</v>
      </c>
      <c r="J2441" s="3">
        <v>1</v>
      </c>
      <c r="K2441" s="3">
        <v>15</v>
      </c>
      <c r="L2441" s="3">
        <v>1</v>
      </c>
      <c r="M2441" s="3">
        <v>30</v>
      </c>
      <c r="N2441" s="3">
        <v>17</v>
      </c>
      <c r="O2441" s="3"/>
      <c r="P2441" s="3"/>
      <c r="Q2441" s="3"/>
    </row>
    <row r="2442" spans="1:17" ht="15" x14ac:dyDescent="0.25">
      <c r="A2442" s="3">
        <f>2435</f>
        <v>2435</v>
      </c>
      <c r="B2442" s="3" t="s">
        <v>2444</v>
      </c>
      <c r="C2442" s="3" t="s">
        <v>9</v>
      </c>
      <c r="D2442" s="3" t="s">
        <v>10</v>
      </c>
      <c r="E2442" s="3">
        <v>22</v>
      </c>
      <c r="F2442" s="3">
        <v>0</v>
      </c>
      <c r="G2442" s="3">
        <v>1</v>
      </c>
      <c r="H2442" s="3">
        <v>18</v>
      </c>
      <c r="I2442" s="3">
        <v>28</v>
      </c>
      <c r="J2442" s="3">
        <v>1</v>
      </c>
      <c r="K2442" s="3">
        <v>15</v>
      </c>
      <c r="L2442" s="3">
        <v>1</v>
      </c>
      <c r="M2442" s="3">
        <v>30</v>
      </c>
      <c r="N2442" s="3">
        <v>17</v>
      </c>
      <c r="O2442" s="3"/>
      <c r="P2442" s="3"/>
      <c r="Q2442" s="3"/>
    </row>
    <row r="2443" spans="1:17" ht="15" x14ac:dyDescent="0.25">
      <c r="A2443" s="3">
        <f>2436</f>
        <v>2436</v>
      </c>
      <c r="B2443" s="3" t="s">
        <v>2445</v>
      </c>
      <c r="C2443" s="3" t="s">
        <v>9</v>
      </c>
      <c r="D2443" s="3" t="s">
        <v>10</v>
      </c>
      <c r="E2443" s="3">
        <v>22</v>
      </c>
      <c r="F2443" s="3">
        <v>0</v>
      </c>
      <c r="G2443" s="3">
        <v>1</v>
      </c>
      <c r="H2443" s="3">
        <v>18</v>
      </c>
      <c r="I2443" s="3">
        <v>28</v>
      </c>
      <c r="J2443" s="3">
        <v>1</v>
      </c>
      <c r="K2443" s="3">
        <v>15</v>
      </c>
      <c r="L2443" s="3">
        <v>1</v>
      </c>
      <c r="M2443" s="3">
        <v>30</v>
      </c>
      <c r="N2443" s="3">
        <v>17</v>
      </c>
      <c r="O2443" s="3"/>
      <c r="P2443" s="3"/>
      <c r="Q2443" s="3"/>
    </row>
    <row r="2444" spans="1:17" ht="15" x14ac:dyDescent="0.25">
      <c r="A2444" s="3">
        <f>2437</f>
        <v>2437</v>
      </c>
      <c r="B2444" s="3" t="s">
        <v>2446</v>
      </c>
      <c r="C2444" s="3" t="s">
        <v>9</v>
      </c>
      <c r="D2444" s="3" t="s">
        <v>10</v>
      </c>
      <c r="E2444" s="3">
        <v>22</v>
      </c>
      <c r="F2444" s="3">
        <v>0</v>
      </c>
      <c r="G2444" s="3">
        <v>1</v>
      </c>
      <c r="H2444" s="3">
        <v>18</v>
      </c>
      <c r="I2444" s="3">
        <v>28</v>
      </c>
      <c r="J2444" s="3">
        <v>1</v>
      </c>
      <c r="K2444" s="3">
        <v>15</v>
      </c>
      <c r="L2444" s="3">
        <v>1</v>
      </c>
      <c r="M2444" s="3">
        <v>30</v>
      </c>
      <c r="N2444" s="3">
        <v>17</v>
      </c>
      <c r="O2444" s="3"/>
      <c r="P2444" s="3"/>
      <c r="Q2444" s="3"/>
    </row>
    <row r="2445" spans="1:17" ht="15" x14ac:dyDescent="0.25">
      <c r="A2445" s="3">
        <f>2438</f>
        <v>2438</v>
      </c>
      <c r="B2445" s="3" t="s">
        <v>2447</v>
      </c>
      <c r="C2445" s="3" t="s">
        <v>9</v>
      </c>
      <c r="D2445" s="3" t="s">
        <v>10</v>
      </c>
      <c r="E2445" s="3">
        <v>22</v>
      </c>
      <c r="F2445" s="3">
        <v>0</v>
      </c>
      <c r="G2445" s="3">
        <v>1</v>
      </c>
      <c r="H2445" s="3">
        <v>18</v>
      </c>
      <c r="I2445" s="3">
        <v>28</v>
      </c>
      <c r="J2445" s="3">
        <v>1</v>
      </c>
      <c r="K2445" s="3">
        <v>15</v>
      </c>
      <c r="L2445" s="3">
        <v>1</v>
      </c>
      <c r="M2445" s="3">
        <v>30</v>
      </c>
      <c r="N2445" s="3">
        <v>17</v>
      </c>
      <c r="O2445" s="3"/>
      <c r="P2445" s="3"/>
      <c r="Q2445" s="3"/>
    </row>
    <row r="2446" spans="1:17" ht="15" x14ac:dyDescent="0.25">
      <c r="A2446" s="3">
        <f>2439</f>
        <v>2439</v>
      </c>
      <c r="B2446" s="3" t="s">
        <v>2448</v>
      </c>
      <c r="C2446" s="3" t="s">
        <v>9</v>
      </c>
      <c r="D2446" s="3" t="s">
        <v>10</v>
      </c>
      <c r="E2446" s="3">
        <v>22</v>
      </c>
      <c r="F2446" s="3">
        <v>0</v>
      </c>
      <c r="G2446" s="3">
        <v>1</v>
      </c>
      <c r="H2446" s="3">
        <v>18</v>
      </c>
      <c r="I2446" s="3">
        <v>28</v>
      </c>
      <c r="J2446" s="3">
        <v>1</v>
      </c>
      <c r="K2446" s="3">
        <v>15</v>
      </c>
      <c r="L2446" s="3">
        <v>1</v>
      </c>
      <c r="M2446" s="3">
        <v>30</v>
      </c>
      <c r="N2446" s="3">
        <v>17</v>
      </c>
      <c r="O2446" s="3"/>
      <c r="P2446" s="3"/>
      <c r="Q2446" s="3"/>
    </row>
    <row r="2447" spans="1:17" ht="15" x14ac:dyDescent="0.25">
      <c r="A2447" s="3">
        <f>2440</f>
        <v>2440</v>
      </c>
      <c r="B2447" s="3" t="s">
        <v>2449</v>
      </c>
      <c r="C2447" s="3" t="s">
        <v>9</v>
      </c>
      <c r="D2447" s="3" t="s">
        <v>10</v>
      </c>
      <c r="E2447" s="3">
        <v>22</v>
      </c>
      <c r="F2447" s="3">
        <v>0</v>
      </c>
      <c r="G2447" s="3">
        <v>1</v>
      </c>
      <c r="H2447" s="3">
        <v>18</v>
      </c>
      <c r="I2447" s="3">
        <v>28</v>
      </c>
      <c r="J2447" s="3">
        <v>1</v>
      </c>
      <c r="K2447" s="3">
        <v>15</v>
      </c>
      <c r="L2447" s="3">
        <v>1</v>
      </c>
      <c r="M2447" s="3">
        <v>30</v>
      </c>
      <c r="N2447" s="3">
        <v>17</v>
      </c>
      <c r="O2447" s="3"/>
      <c r="P2447" s="3"/>
      <c r="Q2447" s="3"/>
    </row>
    <row r="2448" spans="1:17" ht="15" x14ac:dyDescent="0.25">
      <c r="A2448" s="3">
        <f>2441</f>
        <v>2441</v>
      </c>
      <c r="B2448" s="3" t="s">
        <v>2450</v>
      </c>
      <c r="C2448" s="3" t="s">
        <v>9</v>
      </c>
      <c r="D2448" s="3" t="s">
        <v>10</v>
      </c>
      <c r="E2448" s="3">
        <v>22</v>
      </c>
      <c r="F2448" s="3">
        <v>0</v>
      </c>
      <c r="G2448" s="3">
        <v>1</v>
      </c>
      <c r="H2448" s="3">
        <v>18</v>
      </c>
      <c r="I2448" s="3">
        <v>28</v>
      </c>
      <c r="J2448" s="3">
        <v>1</v>
      </c>
      <c r="K2448" s="3">
        <v>15</v>
      </c>
      <c r="L2448" s="3">
        <v>1</v>
      </c>
      <c r="M2448" s="3">
        <v>30</v>
      </c>
      <c r="N2448" s="3">
        <v>17</v>
      </c>
      <c r="O2448" s="3"/>
      <c r="P2448" s="3"/>
      <c r="Q2448" s="3"/>
    </row>
    <row r="2449" spans="1:17" ht="15" x14ac:dyDescent="0.25">
      <c r="A2449" s="3">
        <f>2442</f>
        <v>2442</v>
      </c>
      <c r="B2449" s="3" t="s">
        <v>2451</v>
      </c>
      <c r="C2449" s="3" t="s">
        <v>9</v>
      </c>
      <c r="D2449" s="3" t="s">
        <v>10</v>
      </c>
      <c r="E2449" s="3">
        <v>22</v>
      </c>
      <c r="F2449" s="3">
        <v>0</v>
      </c>
      <c r="G2449" s="3">
        <v>1</v>
      </c>
      <c r="H2449" s="3">
        <v>18</v>
      </c>
      <c r="I2449" s="3">
        <v>28</v>
      </c>
      <c r="J2449" s="3">
        <v>1</v>
      </c>
      <c r="K2449" s="3">
        <v>15</v>
      </c>
      <c r="L2449" s="3">
        <v>1</v>
      </c>
      <c r="M2449" s="3">
        <v>30</v>
      </c>
      <c r="N2449" s="3">
        <v>17</v>
      </c>
      <c r="O2449" s="3"/>
      <c r="P2449" s="3"/>
      <c r="Q2449" s="3"/>
    </row>
    <row r="2450" spans="1:17" ht="15" x14ac:dyDescent="0.25">
      <c r="A2450" s="3">
        <f>2443</f>
        <v>2443</v>
      </c>
      <c r="B2450" s="3" t="s">
        <v>2452</v>
      </c>
      <c r="C2450" s="3" t="s">
        <v>9</v>
      </c>
      <c r="D2450" s="3" t="s">
        <v>10</v>
      </c>
      <c r="E2450" s="3">
        <v>22</v>
      </c>
      <c r="F2450" s="3">
        <v>0</v>
      </c>
      <c r="G2450" s="3">
        <v>1</v>
      </c>
      <c r="H2450" s="3">
        <v>18</v>
      </c>
      <c r="I2450" s="3">
        <v>28</v>
      </c>
      <c r="J2450" s="3">
        <v>1</v>
      </c>
      <c r="K2450" s="3">
        <v>15</v>
      </c>
      <c r="L2450" s="3">
        <v>1</v>
      </c>
      <c r="M2450" s="3">
        <v>30</v>
      </c>
      <c r="N2450" s="3">
        <v>17</v>
      </c>
      <c r="O2450" s="3"/>
      <c r="P2450" s="3"/>
      <c r="Q2450" s="3"/>
    </row>
    <row r="2451" spans="1:17" ht="15" x14ac:dyDescent="0.25">
      <c r="A2451" s="3">
        <f>2444</f>
        <v>2444</v>
      </c>
      <c r="B2451" s="3" t="s">
        <v>2453</v>
      </c>
      <c r="C2451" s="3" t="s">
        <v>9</v>
      </c>
      <c r="D2451" s="3" t="s">
        <v>10</v>
      </c>
      <c r="E2451" s="3">
        <v>22</v>
      </c>
      <c r="F2451" s="3">
        <v>0</v>
      </c>
      <c r="G2451" s="3">
        <v>1</v>
      </c>
      <c r="H2451" s="3">
        <v>18</v>
      </c>
      <c r="I2451" s="3">
        <v>28</v>
      </c>
      <c r="J2451" s="3">
        <v>1</v>
      </c>
      <c r="K2451" s="3">
        <v>15</v>
      </c>
      <c r="L2451" s="3">
        <v>1</v>
      </c>
      <c r="M2451" s="3">
        <v>30</v>
      </c>
      <c r="N2451" s="3">
        <v>17</v>
      </c>
      <c r="O2451" s="3"/>
      <c r="P2451" s="3"/>
      <c r="Q2451" s="3"/>
    </row>
    <row r="2452" spans="1:17" ht="15" x14ac:dyDescent="0.25">
      <c r="A2452" s="3">
        <f>2445</f>
        <v>2445</v>
      </c>
      <c r="B2452" s="3" t="s">
        <v>2454</v>
      </c>
      <c r="C2452" s="3" t="s">
        <v>9</v>
      </c>
      <c r="D2452" s="3" t="s">
        <v>10</v>
      </c>
      <c r="E2452" s="3">
        <v>22</v>
      </c>
      <c r="F2452" s="3">
        <v>0</v>
      </c>
      <c r="G2452" s="3">
        <v>1</v>
      </c>
      <c r="H2452" s="3">
        <v>18</v>
      </c>
      <c r="I2452" s="3">
        <v>28</v>
      </c>
      <c r="J2452" s="3">
        <v>1</v>
      </c>
      <c r="K2452" s="3">
        <v>15</v>
      </c>
      <c r="L2452" s="3">
        <v>1</v>
      </c>
      <c r="M2452" s="3">
        <v>30</v>
      </c>
      <c r="N2452" s="3">
        <v>17</v>
      </c>
      <c r="O2452" s="3"/>
      <c r="P2452" s="3"/>
      <c r="Q2452" s="3"/>
    </row>
    <row r="2453" spans="1:17" ht="15" x14ac:dyDescent="0.25">
      <c r="A2453" s="3">
        <f>2446</f>
        <v>2446</v>
      </c>
      <c r="B2453" s="3" t="s">
        <v>2455</v>
      </c>
      <c r="C2453" s="3" t="s">
        <v>9</v>
      </c>
      <c r="D2453" s="3" t="s">
        <v>10</v>
      </c>
      <c r="E2453" s="3">
        <v>22</v>
      </c>
      <c r="F2453" s="3">
        <v>0</v>
      </c>
      <c r="G2453" s="3">
        <v>1</v>
      </c>
      <c r="H2453" s="3">
        <v>18</v>
      </c>
      <c r="I2453" s="3">
        <v>28</v>
      </c>
      <c r="J2453" s="3">
        <v>1</v>
      </c>
      <c r="K2453" s="3">
        <v>15</v>
      </c>
      <c r="L2453" s="3">
        <v>1</v>
      </c>
      <c r="M2453" s="3">
        <v>30</v>
      </c>
      <c r="N2453" s="3">
        <v>17</v>
      </c>
      <c r="O2453" s="3"/>
      <c r="P2453" s="3"/>
      <c r="Q2453" s="3"/>
    </row>
    <row r="2454" spans="1:17" ht="15" x14ac:dyDescent="0.25">
      <c r="A2454" s="3">
        <f>2447</f>
        <v>2447</v>
      </c>
      <c r="B2454" s="3" t="s">
        <v>2456</v>
      </c>
      <c r="C2454" s="3" t="s">
        <v>9</v>
      </c>
      <c r="D2454" s="3" t="s">
        <v>10</v>
      </c>
      <c r="E2454" s="3">
        <v>22</v>
      </c>
      <c r="F2454" s="3">
        <v>0</v>
      </c>
      <c r="G2454" s="3">
        <v>1</v>
      </c>
      <c r="H2454" s="3">
        <v>18</v>
      </c>
      <c r="I2454" s="3">
        <v>28</v>
      </c>
      <c r="J2454" s="3">
        <v>1</v>
      </c>
      <c r="K2454" s="3">
        <v>15</v>
      </c>
      <c r="L2454" s="3">
        <v>1</v>
      </c>
      <c r="M2454" s="3">
        <v>30</v>
      </c>
      <c r="N2454" s="3">
        <v>17</v>
      </c>
      <c r="O2454" s="3"/>
      <c r="P2454" s="3"/>
      <c r="Q2454" s="3"/>
    </row>
    <row r="2455" spans="1:17" ht="15" x14ac:dyDescent="0.25">
      <c r="A2455" s="3">
        <f>2448</f>
        <v>2448</v>
      </c>
      <c r="B2455" s="3" t="s">
        <v>2457</v>
      </c>
      <c r="C2455" s="3" t="s">
        <v>9</v>
      </c>
      <c r="D2455" s="3" t="s">
        <v>10</v>
      </c>
      <c r="E2455" s="3">
        <v>22</v>
      </c>
      <c r="F2455" s="3">
        <v>0</v>
      </c>
      <c r="G2455" s="3">
        <v>1</v>
      </c>
      <c r="H2455" s="3">
        <v>18</v>
      </c>
      <c r="I2455" s="3">
        <v>28</v>
      </c>
      <c r="J2455" s="3">
        <v>1</v>
      </c>
      <c r="K2455" s="3">
        <v>15</v>
      </c>
      <c r="L2455" s="3">
        <v>1</v>
      </c>
      <c r="M2455" s="3">
        <v>30</v>
      </c>
      <c r="N2455" s="3">
        <v>17</v>
      </c>
      <c r="O2455" s="3"/>
      <c r="P2455" s="3"/>
      <c r="Q2455" s="3"/>
    </row>
    <row r="2456" spans="1:17" ht="15" x14ac:dyDescent="0.25">
      <c r="A2456" s="3">
        <f>2449</f>
        <v>2449</v>
      </c>
      <c r="B2456" s="3" t="s">
        <v>2458</v>
      </c>
      <c r="C2456" s="3" t="s">
        <v>9</v>
      </c>
      <c r="D2456" s="3" t="s">
        <v>10</v>
      </c>
      <c r="E2456" s="3">
        <v>22</v>
      </c>
      <c r="F2456" s="3">
        <v>0</v>
      </c>
      <c r="G2456" s="3">
        <v>1</v>
      </c>
      <c r="H2456" s="3">
        <v>18</v>
      </c>
      <c r="I2456" s="3">
        <v>28</v>
      </c>
      <c r="J2456" s="3">
        <v>1</v>
      </c>
      <c r="K2456" s="3">
        <v>15</v>
      </c>
      <c r="L2456" s="3">
        <v>1</v>
      </c>
      <c r="M2456" s="3">
        <v>30</v>
      </c>
      <c r="N2456" s="3">
        <v>17</v>
      </c>
      <c r="O2456" s="3"/>
      <c r="P2456" s="3"/>
      <c r="Q2456" s="3"/>
    </row>
    <row r="2457" spans="1:17" ht="15" x14ac:dyDescent="0.25">
      <c r="A2457" s="3">
        <f>2450</f>
        <v>2450</v>
      </c>
      <c r="B2457" s="3" t="s">
        <v>2459</v>
      </c>
      <c r="C2457" s="3" t="s">
        <v>9</v>
      </c>
      <c r="D2457" s="3" t="s">
        <v>10</v>
      </c>
      <c r="E2457" s="3">
        <v>22</v>
      </c>
      <c r="F2457" s="3">
        <v>0</v>
      </c>
      <c r="G2457" s="3">
        <v>1</v>
      </c>
      <c r="H2457" s="3">
        <v>18</v>
      </c>
      <c r="I2457" s="3">
        <v>28</v>
      </c>
      <c r="J2457" s="3">
        <v>1</v>
      </c>
      <c r="K2457" s="3">
        <v>15</v>
      </c>
      <c r="L2457" s="3">
        <v>1</v>
      </c>
      <c r="M2457" s="3">
        <v>30</v>
      </c>
      <c r="N2457" s="3">
        <v>17</v>
      </c>
      <c r="O2457" s="3"/>
      <c r="P2457" s="3"/>
      <c r="Q2457" s="3"/>
    </row>
    <row r="2458" spans="1:17" ht="15" x14ac:dyDescent="0.25">
      <c r="A2458" s="3">
        <f>2451</f>
        <v>2451</v>
      </c>
      <c r="B2458" s="3" t="s">
        <v>2460</v>
      </c>
      <c r="C2458" s="3" t="s">
        <v>9</v>
      </c>
      <c r="D2458" s="3" t="s">
        <v>10</v>
      </c>
      <c r="E2458" s="3">
        <v>22</v>
      </c>
      <c r="F2458" s="3">
        <v>0</v>
      </c>
      <c r="G2458" s="3">
        <v>1</v>
      </c>
      <c r="H2458" s="3">
        <v>18</v>
      </c>
      <c r="I2458" s="3">
        <v>28</v>
      </c>
      <c r="J2458" s="3">
        <v>1</v>
      </c>
      <c r="K2458" s="3">
        <v>15</v>
      </c>
      <c r="L2458" s="3">
        <v>1</v>
      </c>
      <c r="M2458" s="3">
        <v>30</v>
      </c>
      <c r="N2458" s="3">
        <v>17</v>
      </c>
      <c r="O2458" s="3"/>
      <c r="P2458" s="3"/>
      <c r="Q2458" s="3"/>
    </row>
    <row r="2459" spans="1:17" ht="15" x14ac:dyDescent="0.25">
      <c r="A2459" s="3">
        <f>2452</f>
        <v>2452</v>
      </c>
      <c r="B2459" s="3" t="s">
        <v>2461</v>
      </c>
      <c r="C2459" s="3" t="s">
        <v>9</v>
      </c>
      <c r="D2459" s="3" t="s">
        <v>10</v>
      </c>
      <c r="E2459" s="3">
        <v>22</v>
      </c>
      <c r="F2459" s="3">
        <v>0</v>
      </c>
      <c r="G2459" s="3">
        <v>1</v>
      </c>
      <c r="H2459" s="3">
        <v>18</v>
      </c>
      <c r="I2459" s="3">
        <v>28</v>
      </c>
      <c r="J2459" s="3">
        <v>1</v>
      </c>
      <c r="K2459" s="3">
        <v>15</v>
      </c>
      <c r="L2459" s="3">
        <v>1</v>
      </c>
      <c r="M2459" s="3">
        <v>30</v>
      </c>
      <c r="N2459" s="3">
        <v>17</v>
      </c>
      <c r="O2459" s="3"/>
      <c r="P2459" s="3"/>
      <c r="Q2459" s="3"/>
    </row>
    <row r="2460" spans="1:17" ht="15" x14ac:dyDescent="0.25">
      <c r="A2460" s="3">
        <f>2453</f>
        <v>2453</v>
      </c>
      <c r="B2460" s="3" t="s">
        <v>2462</v>
      </c>
      <c r="C2460" s="3" t="s">
        <v>9</v>
      </c>
      <c r="D2460" s="3" t="s">
        <v>10</v>
      </c>
      <c r="E2460" s="3">
        <v>22</v>
      </c>
      <c r="F2460" s="3">
        <v>0</v>
      </c>
      <c r="G2460" s="3">
        <v>1</v>
      </c>
      <c r="H2460" s="3">
        <v>18</v>
      </c>
      <c r="I2460" s="3">
        <v>28</v>
      </c>
      <c r="J2460" s="3">
        <v>1</v>
      </c>
      <c r="K2460" s="3">
        <v>15</v>
      </c>
      <c r="L2460" s="3">
        <v>1</v>
      </c>
      <c r="M2460" s="3">
        <v>30</v>
      </c>
      <c r="N2460" s="3">
        <v>17</v>
      </c>
      <c r="O2460" s="3"/>
      <c r="P2460" s="3"/>
      <c r="Q2460" s="3"/>
    </row>
    <row r="2461" spans="1:17" ht="15" x14ac:dyDescent="0.25">
      <c r="A2461" s="3">
        <f>2454</f>
        <v>2454</v>
      </c>
      <c r="B2461" s="3" t="s">
        <v>2463</v>
      </c>
      <c r="C2461" s="3" t="s">
        <v>9</v>
      </c>
      <c r="D2461" s="3" t="s">
        <v>10</v>
      </c>
      <c r="E2461" s="3">
        <v>22</v>
      </c>
      <c r="F2461" s="3">
        <v>0</v>
      </c>
      <c r="G2461" s="3">
        <v>1</v>
      </c>
      <c r="H2461" s="3">
        <v>18</v>
      </c>
      <c r="I2461" s="3">
        <v>28</v>
      </c>
      <c r="J2461" s="3">
        <v>1</v>
      </c>
      <c r="K2461" s="3">
        <v>15</v>
      </c>
      <c r="L2461" s="3">
        <v>1</v>
      </c>
      <c r="M2461" s="3">
        <v>30</v>
      </c>
      <c r="N2461" s="3">
        <v>17</v>
      </c>
      <c r="O2461" s="3"/>
      <c r="P2461" s="3"/>
      <c r="Q2461" s="3"/>
    </row>
    <row r="2462" spans="1:17" ht="15" x14ac:dyDescent="0.25">
      <c r="A2462" s="3">
        <f>2455</f>
        <v>2455</v>
      </c>
      <c r="B2462" s="3" t="s">
        <v>2464</v>
      </c>
      <c r="C2462" s="3" t="s">
        <v>9</v>
      </c>
      <c r="D2462" s="3" t="s">
        <v>10</v>
      </c>
      <c r="E2462" s="3">
        <v>22</v>
      </c>
      <c r="F2462" s="3">
        <v>0</v>
      </c>
      <c r="G2462" s="3">
        <v>1</v>
      </c>
      <c r="H2462" s="3">
        <v>18</v>
      </c>
      <c r="I2462" s="3">
        <v>28</v>
      </c>
      <c r="J2462" s="3">
        <v>1</v>
      </c>
      <c r="K2462" s="3">
        <v>15</v>
      </c>
      <c r="L2462" s="3">
        <v>1</v>
      </c>
      <c r="M2462" s="3">
        <v>30</v>
      </c>
      <c r="N2462" s="3">
        <v>17</v>
      </c>
      <c r="O2462" s="3"/>
      <c r="P2462" s="3"/>
      <c r="Q2462" s="3"/>
    </row>
    <row r="2463" spans="1:17" ht="15" x14ac:dyDescent="0.25">
      <c r="A2463" s="3">
        <f>2456</f>
        <v>2456</v>
      </c>
      <c r="B2463" s="3" t="s">
        <v>2465</v>
      </c>
      <c r="C2463" s="3" t="s">
        <v>9</v>
      </c>
      <c r="D2463" s="3" t="s">
        <v>10</v>
      </c>
      <c r="E2463" s="3">
        <v>22</v>
      </c>
      <c r="F2463" s="3">
        <v>0</v>
      </c>
      <c r="G2463" s="3">
        <v>1</v>
      </c>
      <c r="H2463" s="3">
        <v>18</v>
      </c>
      <c r="I2463" s="3">
        <v>28</v>
      </c>
      <c r="J2463" s="3">
        <v>1</v>
      </c>
      <c r="K2463" s="3">
        <v>15</v>
      </c>
      <c r="L2463" s="3">
        <v>1</v>
      </c>
      <c r="M2463" s="3">
        <v>30</v>
      </c>
      <c r="N2463" s="3">
        <v>17</v>
      </c>
      <c r="O2463" s="3"/>
      <c r="P2463" s="3"/>
      <c r="Q2463" s="3"/>
    </row>
    <row r="2464" spans="1:17" ht="15" x14ac:dyDescent="0.25">
      <c r="A2464" s="3">
        <f>2457</f>
        <v>2457</v>
      </c>
      <c r="B2464" s="3" t="s">
        <v>2466</v>
      </c>
      <c r="C2464" s="3" t="s">
        <v>9</v>
      </c>
      <c r="D2464" s="3" t="s">
        <v>10</v>
      </c>
      <c r="E2464" s="3">
        <v>22</v>
      </c>
      <c r="F2464" s="3">
        <v>0</v>
      </c>
      <c r="G2464" s="3">
        <v>1</v>
      </c>
      <c r="H2464" s="3">
        <v>18</v>
      </c>
      <c r="I2464" s="3">
        <v>28</v>
      </c>
      <c r="J2464" s="3">
        <v>1</v>
      </c>
      <c r="K2464" s="3">
        <v>15</v>
      </c>
      <c r="L2464" s="3">
        <v>1</v>
      </c>
      <c r="M2464" s="3">
        <v>30</v>
      </c>
      <c r="N2464" s="3">
        <v>17</v>
      </c>
      <c r="O2464" s="3"/>
      <c r="P2464" s="3"/>
      <c r="Q2464" s="3"/>
    </row>
    <row r="2465" spans="1:17" ht="15" x14ac:dyDescent="0.25">
      <c r="A2465" s="3">
        <f>2458</f>
        <v>2458</v>
      </c>
      <c r="B2465" s="3" t="s">
        <v>2467</v>
      </c>
      <c r="C2465" s="3" t="s">
        <v>9</v>
      </c>
      <c r="D2465" s="3" t="s">
        <v>10</v>
      </c>
      <c r="E2465" s="3">
        <v>22</v>
      </c>
      <c r="F2465" s="3">
        <v>0</v>
      </c>
      <c r="G2465" s="3">
        <v>1</v>
      </c>
      <c r="H2465" s="3">
        <v>18</v>
      </c>
      <c r="I2465" s="3">
        <v>28</v>
      </c>
      <c r="J2465" s="3">
        <v>1</v>
      </c>
      <c r="K2465" s="3">
        <v>15</v>
      </c>
      <c r="L2465" s="3">
        <v>1</v>
      </c>
      <c r="M2465" s="3">
        <v>30</v>
      </c>
      <c r="N2465" s="3">
        <v>17</v>
      </c>
      <c r="O2465" s="3"/>
      <c r="P2465" s="3"/>
      <c r="Q2465" s="3"/>
    </row>
    <row r="2466" spans="1:17" ht="15" x14ac:dyDescent="0.25">
      <c r="A2466" s="3">
        <f>2459</f>
        <v>2459</v>
      </c>
      <c r="B2466" s="3" t="s">
        <v>2468</v>
      </c>
      <c r="C2466" s="3" t="s">
        <v>9</v>
      </c>
      <c r="D2466" s="3" t="s">
        <v>10</v>
      </c>
      <c r="E2466" s="3">
        <v>22</v>
      </c>
      <c r="F2466" s="3">
        <v>0</v>
      </c>
      <c r="G2466" s="3">
        <v>1</v>
      </c>
      <c r="H2466" s="3">
        <v>18</v>
      </c>
      <c r="I2466" s="3">
        <v>28</v>
      </c>
      <c r="J2466" s="3">
        <v>1</v>
      </c>
      <c r="K2466" s="3">
        <v>15</v>
      </c>
      <c r="L2466" s="3">
        <v>1</v>
      </c>
      <c r="M2466" s="3">
        <v>30</v>
      </c>
      <c r="N2466" s="3">
        <v>17</v>
      </c>
      <c r="O2466" s="3"/>
      <c r="P2466" s="3"/>
      <c r="Q2466" s="3"/>
    </row>
    <row r="2467" spans="1:17" ht="15" x14ac:dyDescent="0.25">
      <c r="A2467" s="3">
        <f>2460</f>
        <v>2460</v>
      </c>
      <c r="B2467" s="3" t="s">
        <v>2469</v>
      </c>
      <c r="C2467" s="3" t="s">
        <v>9</v>
      </c>
      <c r="D2467" s="3" t="s">
        <v>10</v>
      </c>
      <c r="E2467" s="3">
        <v>22</v>
      </c>
      <c r="F2467" s="3">
        <v>0</v>
      </c>
      <c r="G2467" s="3">
        <v>1</v>
      </c>
      <c r="H2467" s="3">
        <v>18</v>
      </c>
      <c r="I2467" s="3">
        <v>28</v>
      </c>
      <c r="J2467" s="3">
        <v>1</v>
      </c>
      <c r="K2467" s="3">
        <v>15</v>
      </c>
      <c r="L2467" s="3">
        <v>1</v>
      </c>
      <c r="M2467" s="3">
        <v>30</v>
      </c>
      <c r="N2467" s="3">
        <v>17</v>
      </c>
      <c r="O2467" s="3"/>
      <c r="P2467" s="3"/>
      <c r="Q2467" s="3"/>
    </row>
    <row r="2468" spans="1:17" ht="15" x14ac:dyDescent="0.25">
      <c r="A2468" s="3">
        <f>2461</f>
        <v>2461</v>
      </c>
      <c r="B2468" s="3" t="s">
        <v>2470</v>
      </c>
      <c r="C2468" s="3" t="s">
        <v>9</v>
      </c>
      <c r="D2468" s="3" t="s">
        <v>10</v>
      </c>
      <c r="E2468" s="3">
        <v>22</v>
      </c>
      <c r="F2468" s="3">
        <v>0</v>
      </c>
      <c r="G2468" s="3">
        <v>1</v>
      </c>
      <c r="H2468" s="3">
        <v>18</v>
      </c>
      <c r="I2468" s="3">
        <v>28</v>
      </c>
      <c r="J2468" s="3">
        <v>1</v>
      </c>
      <c r="K2468" s="3">
        <v>15</v>
      </c>
      <c r="L2468" s="3">
        <v>1</v>
      </c>
      <c r="M2468" s="3">
        <v>30</v>
      </c>
      <c r="N2468" s="3">
        <v>17</v>
      </c>
      <c r="O2468" s="3"/>
      <c r="P2468" s="3"/>
      <c r="Q2468" s="3"/>
    </row>
    <row r="2469" spans="1:17" ht="15" x14ac:dyDescent="0.25">
      <c r="A2469" s="3">
        <f>2462</f>
        <v>2462</v>
      </c>
      <c r="B2469" s="3" t="s">
        <v>2471</v>
      </c>
      <c r="C2469" s="3" t="s">
        <v>9</v>
      </c>
      <c r="D2469" s="3" t="s">
        <v>10</v>
      </c>
      <c r="E2469" s="3">
        <v>22</v>
      </c>
      <c r="F2469" s="3">
        <v>0</v>
      </c>
      <c r="G2469" s="3">
        <v>1</v>
      </c>
      <c r="H2469" s="3">
        <v>18</v>
      </c>
      <c r="I2469" s="3">
        <v>28</v>
      </c>
      <c r="J2469" s="3">
        <v>1</v>
      </c>
      <c r="K2469" s="3">
        <v>15</v>
      </c>
      <c r="L2469" s="3">
        <v>1</v>
      </c>
      <c r="M2469" s="3">
        <v>30</v>
      </c>
      <c r="N2469" s="3">
        <v>17</v>
      </c>
      <c r="O2469" s="3"/>
      <c r="P2469" s="3"/>
      <c r="Q2469" s="3"/>
    </row>
    <row r="2470" spans="1:17" ht="15" x14ac:dyDescent="0.25">
      <c r="A2470" s="3">
        <f>2463</f>
        <v>2463</v>
      </c>
      <c r="B2470" s="3" t="s">
        <v>2472</v>
      </c>
      <c r="C2470" s="3" t="s">
        <v>9</v>
      </c>
      <c r="D2470" s="3" t="s">
        <v>10</v>
      </c>
      <c r="E2470" s="3">
        <v>22</v>
      </c>
      <c r="F2470" s="3">
        <v>0</v>
      </c>
      <c r="G2470" s="3">
        <v>1</v>
      </c>
      <c r="H2470" s="3">
        <v>18</v>
      </c>
      <c r="I2470" s="3">
        <v>28</v>
      </c>
      <c r="J2470" s="3">
        <v>1</v>
      </c>
      <c r="K2470" s="3">
        <v>15</v>
      </c>
      <c r="L2470" s="3">
        <v>1</v>
      </c>
      <c r="M2470" s="3">
        <v>30</v>
      </c>
      <c r="N2470" s="3">
        <v>17</v>
      </c>
      <c r="O2470" s="3"/>
      <c r="P2470" s="3"/>
      <c r="Q2470" s="3"/>
    </row>
    <row r="2471" spans="1:17" ht="15" x14ac:dyDescent="0.25">
      <c r="A2471" s="3">
        <f>2464</f>
        <v>2464</v>
      </c>
      <c r="B2471" s="3" t="s">
        <v>2473</v>
      </c>
      <c r="C2471" s="3" t="s">
        <v>9</v>
      </c>
      <c r="D2471" s="3" t="s">
        <v>10</v>
      </c>
      <c r="E2471" s="3">
        <v>22</v>
      </c>
      <c r="F2471" s="3">
        <v>0</v>
      </c>
      <c r="G2471" s="3">
        <v>1</v>
      </c>
      <c r="H2471" s="3">
        <v>18</v>
      </c>
      <c r="I2471" s="3">
        <v>28</v>
      </c>
      <c r="J2471" s="3">
        <v>1</v>
      </c>
      <c r="K2471" s="3">
        <v>15</v>
      </c>
      <c r="L2471" s="3">
        <v>1</v>
      </c>
      <c r="M2471" s="3">
        <v>30</v>
      </c>
      <c r="N2471" s="3">
        <v>17</v>
      </c>
      <c r="O2471" s="3"/>
      <c r="P2471" s="3"/>
      <c r="Q2471" s="3"/>
    </row>
    <row r="2472" spans="1:17" ht="15" x14ac:dyDescent="0.25">
      <c r="A2472" s="3">
        <f>2465</f>
        <v>2465</v>
      </c>
      <c r="B2472" s="3" t="s">
        <v>2474</v>
      </c>
      <c r="C2472" s="3" t="s">
        <v>9</v>
      </c>
      <c r="D2472" s="3" t="s">
        <v>10</v>
      </c>
      <c r="E2472" s="3">
        <v>22</v>
      </c>
      <c r="F2472" s="3">
        <v>0</v>
      </c>
      <c r="G2472" s="3">
        <v>1</v>
      </c>
      <c r="H2472" s="3">
        <v>18</v>
      </c>
      <c r="I2472" s="3">
        <v>28</v>
      </c>
      <c r="J2472" s="3">
        <v>1</v>
      </c>
      <c r="K2472" s="3">
        <v>15</v>
      </c>
      <c r="L2472" s="3">
        <v>1</v>
      </c>
      <c r="M2472" s="3">
        <v>30</v>
      </c>
      <c r="N2472" s="3">
        <v>17</v>
      </c>
      <c r="O2472" s="3"/>
      <c r="P2472" s="3"/>
      <c r="Q2472" s="3"/>
    </row>
    <row r="2473" spans="1:17" ht="15" x14ac:dyDescent="0.25">
      <c r="A2473" s="3">
        <f>2466</f>
        <v>2466</v>
      </c>
      <c r="B2473" s="3" t="s">
        <v>2475</v>
      </c>
      <c r="C2473" s="3" t="s">
        <v>9</v>
      </c>
      <c r="D2473" s="3" t="s">
        <v>10</v>
      </c>
      <c r="E2473" s="3">
        <v>22</v>
      </c>
      <c r="F2473" s="3">
        <v>0</v>
      </c>
      <c r="G2473" s="3">
        <v>1</v>
      </c>
      <c r="H2473" s="3">
        <v>18</v>
      </c>
      <c r="I2473" s="3">
        <v>28</v>
      </c>
      <c r="J2473" s="3">
        <v>1</v>
      </c>
      <c r="K2473" s="3">
        <v>15</v>
      </c>
      <c r="L2473" s="3">
        <v>1</v>
      </c>
      <c r="M2473" s="3">
        <v>30</v>
      </c>
      <c r="N2473" s="3">
        <v>17</v>
      </c>
      <c r="O2473" s="3"/>
      <c r="P2473" s="3"/>
      <c r="Q2473" s="3"/>
    </row>
    <row r="2474" spans="1:17" ht="15" x14ac:dyDescent="0.25">
      <c r="A2474" s="3">
        <f>2467</f>
        <v>2467</v>
      </c>
      <c r="B2474" s="3" t="s">
        <v>2476</v>
      </c>
      <c r="C2474" s="3" t="s">
        <v>9</v>
      </c>
      <c r="D2474" s="3" t="s">
        <v>10</v>
      </c>
      <c r="E2474" s="3">
        <v>22</v>
      </c>
      <c r="F2474" s="3">
        <v>0</v>
      </c>
      <c r="G2474" s="3">
        <v>1</v>
      </c>
      <c r="H2474" s="3">
        <v>18</v>
      </c>
      <c r="I2474" s="3">
        <v>28</v>
      </c>
      <c r="J2474" s="3">
        <v>1</v>
      </c>
      <c r="K2474" s="3">
        <v>15</v>
      </c>
      <c r="L2474" s="3">
        <v>1</v>
      </c>
      <c r="M2474" s="3">
        <v>30</v>
      </c>
      <c r="N2474" s="3">
        <v>17</v>
      </c>
      <c r="O2474" s="3"/>
      <c r="P2474" s="3"/>
      <c r="Q2474" s="3"/>
    </row>
    <row r="2475" spans="1:17" ht="15" x14ac:dyDescent="0.25">
      <c r="A2475" s="3">
        <f>2468</f>
        <v>2468</v>
      </c>
      <c r="B2475" s="3" t="s">
        <v>2477</v>
      </c>
      <c r="C2475" s="3" t="s">
        <v>9</v>
      </c>
      <c r="D2475" s="3" t="s">
        <v>10</v>
      </c>
      <c r="E2475" s="3">
        <v>22</v>
      </c>
      <c r="F2475" s="3">
        <v>0</v>
      </c>
      <c r="G2475" s="3">
        <v>1</v>
      </c>
      <c r="H2475" s="3">
        <v>18</v>
      </c>
      <c r="I2475" s="3">
        <v>28</v>
      </c>
      <c r="J2475" s="3">
        <v>1</v>
      </c>
      <c r="K2475" s="3">
        <v>15</v>
      </c>
      <c r="L2475" s="3">
        <v>1</v>
      </c>
      <c r="M2475" s="3">
        <v>30</v>
      </c>
      <c r="N2475" s="3">
        <v>17</v>
      </c>
      <c r="O2475" s="3"/>
      <c r="P2475" s="3"/>
      <c r="Q2475" s="3"/>
    </row>
    <row r="2476" spans="1:17" ht="15" x14ac:dyDescent="0.25">
      <c r="A2476" s="3">
        <f>2469</f>
        <v>2469</v>
      </c>
      <c r="B2476" s="3" t="s">
        <v>2478</v>
      </c>
      <c r="C2476" s="3" t="s">
        <v>9</v>
      </c>
      <c r="D2476" s="3" t="s">
        <v>10</v>
      </c>
      <c r="E2476" s="3">
        <v>22</v>
      </c>
      <c r="F2476" s="3">
        <v>0</v>
      </c>
      <c r="G2476" s="3">
        <v>1</v>
      </c>
      <c r="H2476" s="3">
        <v>18</v>
      </c>
      <c r="I2476" s="3">
        <v>28</v>
      </c>
      <c r="J2476" s="3">
        <v>1</v>
      </c>
      <c r="K2476" s="3">
        <v>15</v>
      </c>
      <c r="L2476" s="3">
        <v>1</v>
      </c>
      <c r="M2476" s="3">
        <v>30</v>
      </c>
      <c r="N2476" s="3">
        <v>17</v>
      </c>
      <c r="O2476" s="3"/>
      <c r="P2476" s="3"/>
      <c r="Q2476" s="3"/>
    </row>
    <row r="2477" spans="1:17" ht="15" x14ac:dyDescent="0.25">
      <c r="A2477" s="3">
        <f>2470</f>
        <v>2470</v>
      </c>
      <c r="B2477" s="3" t="s">
        <v>2479</v>
      </c>
      <c r="C2477" s="3" t="s">
        <v>9</v>
      </c>
      <c r="D2477" s="3" t="s">
        <v>10</v>
      </c>
      <c r="E2477" s="3">
        <v>22</v>
      </c>
      <c r="F2477" s="3">
        <v>0</v>
      </c>
      <c r="G2477" s="3">
        <v>1</v>
      </c>
      <c r="H2477" s="3">
        <v>18</v>
      </c>
      <c r="I2477" s="3">
        <v>28</v>
      </c>
      <c r="J2477" s="3">
        <v>1</v>
      </c>
      <c r="K2477" s="3">
        <v>15</v>
      </c>
      <c r="L2477" s="3">
        <v>1</v>
      </c>
      <c r="M2477" s="3">
        <v>30</v>
      </c>
      <c r="N2477" s="3">
        <v>17</v>
      </c>
      <c r="O2477" s="3"/>
      <c r="P2477" s="3"/>
      <c r="Q2477" s="3"/>
    </row>
    <row r="2478" spans="1:17" ht="15" x14ac:dyDescent="0.25">
      <c r="A2478" s="3">
        <f>2471</f>
        <v>2471</v>
      </c>
      <c r="B2478" s="3" t="s">
        <v>2480</v>
      </c>
      <c r="C2478" s="3" t="s">
        <v>9</v>
      </c>
      <c r="D2478" s="3" t="s">
        <v>10</v>
      </c>
      <c r="E2478" s="3">
        <v>22</v>
      </c>
      <c r="F2478" s="3">
        <v>0</v>
      </c>
      <c r="G2478" s="3">
        <v>1</v>
      </c>
      <c r="H2478" s="3">
        <v>18</v>
      </c>
      <c r="I2478" s="3">
        <v>28</v>
      </c>
      <c r="J2478" s="3">
        <v>1</v>
      </c>
      <c r="K2478" s="3">
        <v>15</v>
      </c>
      <c r="L2478" s="3">
        <v>1</v>
      </c>
      <c r="M2478" s="3">
        <v>30</v>
      </c>
      <c r="N2478" s="3">
        <v>17</v>
      </c>
      <c r="O2478" s="3"/>
      <c r="P2478" s="3"/>
      <c r="Q2478" s="3"/>
    </row>
    <row r="2479" spans="1:17" ht="15" x14ac:dyDescent="0.25">
      <c r="A2479" s="3">
        <f>2472</f>
        <v>2472</v>
      </c>
      <c r="B2479" s="3" t="s">
        <v>2481</v>
      </c>
      <c r="C2479" s="3" t="s">
        <v>9</v>
      </c>
      <c r="D2479" s="3" t="s">
        <v>10</v>
      </c>
      <c r="E2479" s="3">
        <v>22</v>
      </c>
      <c r="F2479" s="3">
        <v>0</v>
      </c>
      <c r="G2479" s="3">
        <v>1</v>
      </c>
      <c r="H2479" s="3">
        <v>18</v>
      </c>
      <c r="I2479" s="3">
        <v>28</v>
      </c>
      <c r="J2479" s="3">
        <v>1</v>
      </c>
      <c r="K2479" s="3">
        <v>15</v>
      </c>
      <c r="L2479" s="3">
        <v>1</v>
      </c>
      <c r="M2479" s="3">
        <v>30</v>
      </c>
      <c r="N2479" s="3">
        <v>17</v>
      </c>
      <c r="O2479" s="3"/>
      <c r="P2479" s="3"/>
      <c r="Q2479" s="3"/>
    </row>
    <row r="2480" spans="1:17" ht="15" x14ac:dyDescent="0.25">
      <c r="A2480" s="3">
        <f>2473</f>
        <v>2473</v>
      </c>
      <c r="B2480" s="3" t="s">
        <v>2482</v>
      </c>
      <c r="C2480" s="3" t="s">
        <v>9</v>
      </c>
      <c r="D2480" s="3" t="s">
        <v>10</v>
      </c>
      <c r="E2480" s="3">
        <v>22</v>
      </c>
      <c r="F2480" s="3">
        <v>0</v>
      </c>
      <c r="G2480" s="3">
        <v>1</v>
      </c>
      <c r="H2480" s="3">
        <v>18</v>
      </c>
      <c r="I2480" s="3">
        <v>28</v>
      </c>
      <c r="J2480" s="3">
        <v>1</v>
      </c>
      <c r="K2480" s="3">
        <v>15</v>
      </c>
      <c r="L2480" s="3">
        <v>1</v>
      </c>
      <c r="M2480" s="3">
        <v>30</v>
      </c>
      <c r="N2480" s="3">
        <v>17</v>
      </c>
      <c r="O2480" s="3"/>
      <c r="P2480" s="3"/>
      <c r="Q2480" s="3"/>
    </row>
    <row r="2481" spans="1:17" ht="15" x14ac:dyDescent="0.25">
      <c r="A2481" s="3">
        <f>2474</f>
        <v>2474</v>
      </c>
      <c r="B2481" s="3" t="s">
        <v>2483</v>
      </c>
      <c r="C2481" s="3" t="s">
        <v>9</v>
      </c>
      <c r="D2481" s="3" t="s">
        <v>10</v>
      </c>
      <c r="E2481" s="3">
        <v>22</v>
      </c>
      <c r="F2481" s="3">
        <v>0</v>
      </c>
      <c r="G2481" s="3">
        <v>1</v>
      </c>
      <c r="H2481" s="3">
        <v>18</v>
      </c>
      <c r="I2481" s="3">
        <v>28</v>
      </c>
      <c r="J2481" s="3">
        <v>1</v>
      </c>
      <c r="K2481" s="3">
        <v>15</v>
      </c>
      <c r="L2481" s="3">
        <v>1</v>
      </c>
      <c r="M2481" s="3">
        <v>30</v>
      </c>
      <c r="N2481" s="3">
        <v>17</v>
      </c>
      <c r="O2481" s="3"/>
      <c r="P2481" s="3"/>
      <c r="Q2481" s="3"/>
    </row>
    <row r="2482" spans="1:17" ht="15" x14ac:dyDescent="0.25">
      <c r="A2482" s="3">
        <f>2475</f>
        <v>2475</v>
      </c>
      <c r="B2482" s="3" t="s">
        <v>2484</v>
      </c>
      <c r="C2482" s="3" t="s">
        <v>9</v>
      </c>
      <c r="D2482" s="3" t="s">
        <v>10</v>
      </c>
      <c r="E2482" s="3">
        <v>22</v>
      </c>
      <c r="F2482" s="3">
        <v>0</v>
      </c>
      <c r="G2482" s="3">
        <v>1</v>
      </c>
      <c r="H2482" s="3">
        <v>18</v>
      </c>
      <c r="I2482" s="3">
        <v>28</v>
      </c>
      <c r="J2482" s="3">
        <v>1</v>
      </c>
      <c r="K2482" s="3">
        <v>15</v>
      </c>
      <c r="L2482" s="3">
        <v>1</v>
      </c>
      <c r="M2482" s="3">
        <v>30</v>
      </c>
      <c r="N2482" s="3">
        <v>17</v>
      </c>
      <c r="O2482" s="3"/>
      <c r="P2482" s="3"/>
      <c r="Q2482" s="3"/>
    </row>
    <row r="2483" spans="1:17" ht="15" x14ac:dyDescent="0.25">
      <c r="A2483" s="3">
        <f>2476</f>
        <v>2476</v>
      </c>
      <c r="B2483" s="3" t="s">
        <v>2485</v>
      </c>
      <c r="C2483" s="3" t="s">
        <v>9</v>
      </c>
      <c r="D2483" s="3" t="s">
        <v>10</v>
      </c>
      <c r="E2483" s="3">
        <v>22</v>
      </c>
      <c r="F2483" s="3">
        <v>0</v>
      </c>
      <c r="G2483" s="3">
        <v>1</v>
      </c>
      <c r="H2483" s="3">
        <v>18</v>
      </c>
      <c r="I2483" s="3">
        <v>28</v>
      </c>
      <c r="J2483" s="3">
        <v>1</v>
      </c>
      <c r="K2483" s="3">
        <v>15</v>
      </c>
      <c r="L2483" s="3">
        <v>1</v>
      </c>
      <c r="M2483" s="3">
        <v>30</v>
      </c>
      <c r="N2483" s="3">
        <v>17</v>
      </c>
      <c r="O2483" s="3"/>
      <c r="P2483" s="3"/>
      <c r="Q2483" s="3"/>
    </row>
    <row r="2484" spans="1:17" ht="15" x14ac:dyDescent="0.25">
      <c r="A2484" s="3">
        <f>2477</f>
        <v>2477</v>
      </c>
      <c r="B2484" s="3" t="s">
        <v>2486</v>
      </c>
      <c r="C2484" s="3" t="s">
        <v>9</v>
      </c>
      <c r="D2484" s="3" t="s">
        <v>10</v>
      </c>
      <c r="E2484" s="3">
        <v>22</v>
      </c>
      <c r="F2484" s="3">
        <v>0</v>
      </c>
      <c r="G2484" s="3">
        <v>1</v>
      </c>
      <c r="H2484" s="3">
        <v>18</v>
      </c>
      <c r="I2484" s="3">
        <v>28</v>
      </c>
      <c r="J2484" s="3">
        <v>1</v>
      </c>
      <c r="K2484" s="3">
        <v>15</v>
      </c>
      <c r="L2484" s="3">
        <v>1</v>
      </c>
      <c r="M2484" s="3">
        <v>30</v>
      </c>
      <c r="N2484" s="3">
        <v>17</v>
      </c>
      <c r="O2484" s="3"/>
      <c r="P2484" s="3"/>
      <c r="Q2484" s="3"/>
    </row>
    <row r="2485" spans="1:17" ht="15" x14ac:dyDescent="0.25">
      <c r="A2485" s="3">
        <f>2478</f>
        <v>2478</v>
      </c>
      <c r="B2485" s="3" t="s">
        <v>2487</v>
      </c>
      <c r="C2485" s="3" t="s">
        <v>9</v>
      </c>
      <c r="D2485" s="3" t="s">
        <v>10</v>
      </c>
      <c r="E2485" s="3">
        <v>22</v>
      </c>
      <c r="F2485" s="3">
        <v>0</v>
      </c>
      <c r="G2485" s="3">
        <v>1</v>
      </c>
      <c r="H2485" s="3">
        <v>18</v>
      </c>
      <c r="I2485" s="3">
        <v>28</v>
      </c>
      <c r="J2485" s="3">
        <v>1</v>
      </c>
      <c r="K2485" s="3">
        <v>15</v>
      </c>
      <c r="L2485" s="3">
        <v>1</v>
      </c>
      <c r="M2485" s="3">
        <v>30</v>
      </c>
      <c r="N2485" s="3">
        <v>17</v>
      </c>
      <c r="O2485" s="3"/>
      <c r="P2485" s="3"/>
      <c r="Q2485" s="3"/>
    </row>
    <row r="2486" spans="1:17" ht="15" x14ac:dyDescent="0.25">
      <c r="A2486" s="3">
        <f>2479</f>
        <v>2479</v>
      </c>
      <c r="B2486" s="3" t="s">
        <v>2488</v>
      </c>
      <c r="C2486" s="3" t="s">
        <v>9</v>
      </c>
      <c r="D2486" s="3" t="s">
        <v>10</v>
      </c>
      <c r="E2486" s="3">
        <v>22</v>
      </c>
      <c r="F2486" s="3">
        <v>0</v>
      </c>
      <c r="G2486" s="3">
        <v>1</v>
      </c>
      <c r="H2486" s="3">
        <v>18</v>
      </c>
      <c r="I2486" s="3">
        <v>28</v>
      </c>
      <c r="J2486" s="3">
        <v>1</v>
      </c>
      <c r="K2486" s="3">
        <v>15</v>
      </c>
      <c r="L2486" s="3">
        <v>1</v>
      </c>
      <c r="M2486" s="3">
        <v>30</v>
      </c>
      <c r="N2486" s="3">
        <v>17</v>
      </c>
      <c r="O2486" s="3"/>
      <c r="P2486" s="3"/>
      <c r="Q2486" s="3"/>
    </row>
    <row r="2487" spans="1:17" ht="15" x14ac:dyDescent="0.25">
      <c r="A2487" s="3">
        <f>2480</f>
        <v>2480</v>
      </c>
      <c r="B2487" s="3" t="s">
        <v>2489</v>
      </c>
      <c r="C2487" s="3" t="s">
        <v>9</v>
      </c>
      <c r="D2487" s="3" t="s">
        <v>10</v>
      </c>
      <c r="E2487" s="3">
        <v>22</v>
      </c>
      <c r="F2487" s="3">
        <v>0</v>
      </c>
      <c r="G2487" s="3">
        <v>1</v>
      </c>
      <c r="H2487" s="3">
        <v>18</v>
      </c>
      <c r="I2487" s="3">
        <v>28</v>
      </c>
      <c r="J2487" s="3">
        <v>1</v>
      </c>
      <c r="K2487" s="3">
        <v>15</v>
      </c>
      <c r="L2487" s="3">
        <v>1</v>
      </c>
      <c r="M2487" s="3">
        <v>30</v>
      </c>
      <c r="N2487" s="3">
        <v>17</v>
      </c>
      <c r="O2487" s="3"/>
      <c r="P2487" s="3"/>
      <c r="Q2487" s="3"/>
    </row>
    <row r="2488" spans="1:17" ht="15" x14ac:dyDescent="0.25">
      <c r="A2488" s="3">
        <f>2481</f>
        <v>2481</v>
      </c>
      <c r="B2488" s="3" t="s">
        <v>2490</v>
      </c>
      <c r="C2488" s="3" t="s">
        <v>9</v>
      </c>
      <c r="D2488" s="3" t="s">
        <v>10</v>
      </c>
      <c r="E2488" s="3">
        <v>22</v>
      </c>
      <c r="F2488" s="3">
        <v>0</v>
      </c>
      <c r="G2488" s="3">
        <v>1</v>
      </c>
      <c r="H2488" s="3">
        <v>18</v>
      </c>
      <c r="I2488" s="3">
        <v>28</v>
      </c>
      <c r="J2488" s="3">
        <v>1</v>
      </c>
      <c r="K2488" s="3">
        <v>15</v>
      </c>
      <c r="L2488" s="3">
        <v>1</v>
      </c>
      <c r="M2488" s="3">
        <v>30</v>
      </c>
      <c r="N2488" s="3">
        <v>17</v>
      </c>
      <c r="O2488" s="3"/>
      <c r="P2488" s="3"/>
      <c r="Q2488" s="3"/>
    </row>
    <row r="2489" spans="1:17" ht="15" x14ac:dyDescent="0.25">
      <c r="A2489" s="3">
        <f>2482</f>
        <v>2482</v>
      </c>
      <c r="B2489" s="3" t="s">
        <v>2491</v>
      </c>
      <c r="C2489" s="3" t="s">
        <v>9</v>
      </c>
      <c r="D2489" s="3" t="s">
        <v>10</v>
      </c>
      <c r="E2489" s="3">
        <v>22</v>
      </c>
      <c r="F2489" s="3">
        <v>0</v>
      </c>
      <c r="G2489" s="3">
        <v>1</v>
      </c>
      <c r="H2489" s="3">
        <v>18</v>
      </c>
      <c r="I2489" s="3">
        <v>28</v>
      </c>
      <c r="J2489" s="3">
        <v>1</v>
      </c>
      <c r="K2489" s="3">
        <v>15</v>
      </c>
      <c r="L2489" s="3">
        <v>1</v>
      </c>
      <c r="M2489" s="3">
        <v>30</v>
      </c>
      <c r="N2489" s="3">
        <v>17</v>
      </c>
      <c r="O2489" s="3"/>
      <c r="P2489" s="3"/>
      <c r="Q2489" s="3"/>
    </row>
    <row r="2490" spans="1:17" ht="15" x14ac:dyDescent="0.25">
      <c r="A2490" s="3">
        <f>2483</f>
        <v>2483</v>
      </c>
      <c r="B2490" s="3" t="s">
        <v>2492</v>
      </c>
      <c r="C2490" s="3" t="s">
        <v>9</v>
      </c>
      <c r="D2490" s="3" t="s">
        <v>10</v>
      </c>
      <c r="E2490" s="3">
        <v>22</v>
      </c>
      <c r="F2490" s="3">
        <v>0</v>
      </c>
      <c r="G2490" s="3">
        <v>1</v>
      </c>
      <c r="H2490" s="3">
        <v>18</v>
      </c>
      <c r="I2490" s="3">
        <v>28</v>
      </c>
      <c r="J2490" s="3">
        <v>1</v>
      </c>
      <c r="K2490" s="3">
        <v>15</v>
      </c>
      <c r="L2490" s="3">
        <v>1</v>
      </c>
      <c r="M2490" s="3">
        <v>30</v>
      </c>
      <c r="N2490" s="3">
        <v>17</v>
      </c>
      <c r="O2490" s="3"/>
      <c r="P2490" s="3"/>
      <c r="Q2490" s="3"/>
    </row>
    <row r="2491" spans="1:17" ht="15" x14ac:dyDescent="0.25">
      <c r="A2491" s="3">
        <f>2484</f>
        <v>2484</v>
      </c>
      <c r="B2491" s="3" t="s">
        <v>2493</v>
      </c>
      <c r="C2491" s="3" t="s">
        <v>9</v>
      </c>
      <c r="D2491" s="3" t="s">
        <v>10</v>
      </c>
      <c r="E2491" s="3">
        <v>22</v>
      </c>
      <c r="F2491" s="3">
        <v>0</v>
      </c>
      <c r="G2491" s="3">
        <v>1</v>
      </c>
      <c r="H2491" s="3">
        <v>18</v>
      </c>
      <c r="I2491" s="3">
        <v>28</v>
      </c>
      <c r="J2491" s="3">
        <v>1</v>
      </c>
      <c r="K2491" s="3">
        <v>15</v>
      </c>
      <c r="L2491" s="3">
        <v>1</v>
      </c>
      <c r="M2491" s="3">
        <v>30</v>
      </c>
      <c r="N2491" s="3">
        <v>17</v>
      </c>
      <c r="O2491" s="3"/>
      <c r="P2491" s="3"/>
      <c r="Q2491" s="3"/>
    </row>
    <row r="2492" spans="1:17" ht="15" x14ac:dyDescent="0.25">
      <c r="A2492" s="3">
        <f>2485</f>
        <v>2485</v>
      </c>
      <c r="B2492" s="3" t="s">
        <v>2494</v>
      </c>
      <c r="C2492" s="3" t="s">
        <v>9</v>
      </c>
      <c r="D2492" s="3" t="s">
        <v>10</v>
      </c>
      <c r="E2492" s="3">
        <v>22</v>
      </c>
      <c r="F2492" s="3">
        <v>0</v>
      </c>
      <c r="G2492" s="3">
        <v>1</v>
      </c>
      <c r="H2492" s="3">
        <v>18</v>
      </c>
      <c r="I2492" s="3">
        <v>28</v>
      </c>
      <c r="J2492" s="3">
        <v>1</v>
      </c>
      <c r="K2492" s="3">
        <v>15</v>
      </c>
      <c r="L2492" s="3">
        <v>1</v>
      </c>
      <c r="M2492" s="3">
        <v>30</v>
      </c>
      <c r="N2492" s="3">
        <v>17</v>
      </c>
      <c r="O2492" s="3"/>
      <c r="P2492" s="3"/>
      <c r="Q2492" s="3"/>
    </row>
    <row r="2493" spans="1:17" ht="15" x14ac:dyDescent="0.25">
      <c r="A2493" s="3">
        <f>2486</f>
        <v>2486</v>
      </c>
      <c r="B2493" s="3" t="s">
        <v>2495</v>
      </c>
      <c r="C2493" s="3" t="s">
        <v>9</v>
      </c>
      <c r="D2493" s="3" t="s">
        <v>10</v>
      </c>
      <c r="E2493" s="3">
        <v>22</v>
      </c>
      <c r="F2493" s="3">
        <v>0</v>
      </c>
      <c r="G2493" s="3">
        <v>1</v>
      </c>
      <c r="H2493" s="3">
        <v>18</v>
      </c>
      <c r="I2493" s="3">
        <v>28</v>
      </c>
      <c r="J2493" s="3">
        <v>1</v>
      </c>
      <c r="K2493" s="3">
        <v>15</v>
      </c>
      <c r="L2493" s="3">
        <v>1</v>
      </c>
      <c r="M2493" s="3">
        <v>30</v>
      </c>
      <c r="N2493" s="3">
        <v>17</v>
      </c>
      <c r="O2493" s="3"/>
      <c r="P2493" s="3"/>
      <c r="Q2493" s="3"/>
    </row>
    <row r="2494" spans="1:17" ht="15" x14ac:dyDescent="0.25">
      <c r="A2494" s="3">
        <f>2487</f>
        <v>2487</v>
      </c>
      <c r="B2494" s="3" t="s">
        <v>2496</v>
      </c>
      <c r="C2494" s="3" t="s">
        <v>9</v>
      </c>
      <c r="D2494" s="3" t="s">
        <v>10</v>
      </c>
      <c r="E2494" s="3">
        <v>22</v>
      </c>
      <c r="F2494" s="3">
        <v>0</v>
      </c>
      <c r="G2494" s="3">
        <v>1</v>
      </c>
      <c r="H2494" s="3">
        <v>18</v>
      </c>
      <c r="I2494" s="3">
        <v>28</v>
      </c>
      <c r="J2494" s="3">
        <v>1</v>
      </c>
      <c r="K2494" s="3">
        <v>15</v>
      </c>
      <c r="L2494" s="3">
        <v>1</v>
      </c>
      <c r="M2494" s="3">
        <v>30</v>
      </c>
      <c r="N2494" s="3">
        <v>17</v>
      </c>
      <c r="O2494" s="3"/>
      <c r="P2494" s="3"/>
      <c r="Q2494" s="3"/>
    </row>
    <row r="2495" spans="1:17" ht="15" x14ac:dyDescent="0.25">
      <c r="A2495" s="3">
        <f>2488</f>
        <v>2488</v>
      </c>
      <c r="B2495" s="3" t="s">
        <v>2497</v>
      </c>
      <c r="C2495" s="3" t="s">
        <v>9</v>
      </c>
      <c r="D2495" s="3" t="s">
        <v>10</v>
      </c>
      <c r="E2495" s="3">
        <v>22</v>
      </c>
      <c r="F2495" s="3">
        <v>0</v>
      </c>
      <c r="G2495" s="3">
        <v>1</v>
      </c>
      <c r="H2495" s="3">
        <v>18</v>
      </c>
      <c r="I2495" s="3">
        <v>28</v>
      </c>
      <c r="J2495" s="3">
        <v>1</v>
      </c>
      <c r="K2495" s="3">
        <v>15</v>
      </c>
      <c r="L2495" s="3">
        <v>1</v>
      </c>
      <c r="M2495" s="3">
        <v>30</v>
      </c>
      <c r="N2495" s="3">
        <v>17</v>
      </c>
      <c r="O2495" s="3"/>
      <c r="P2495" s="3"/>
      <c r="Q2495" s="3"/>
    </row>
    <row r="2496" spans="1:17" ht="15" x14ac:dyDescent="0.25">
      <c r="A2496" s="3">
        <f>2489</f>
        <v>2489</v>
      </c>
      <c r="B2496" s="3" t="s">
        <v>2498</v>
      </c>
      <c r="C2496" s="3" t="s">
        <v>9</v>
      </c>
      <c r="D2496" s="3" t="s">
        <v>10</v>
      </c>
      <c r="E2496" s="3">
        <v>22</v>
      </c>
      <c r="F2496" s="3">
        <v>0</v>
      </c>
      <c r="G2496" s="3">
        <v>1</v>
      </c>
      <c r="H2496" s="3">
        <v>18</v>
      </c>
      <c r="I2496" s="3">
        <v>28</v>
      </c>
      <c r="J2496" s="3">
        <v>1</v>
      </c>
      <c r="K2496" s="3">
        <v>15</v>
      </c>
      <c r="L2496" s="3">
        <v>1</v>
      </c>
      <c r="M2496" s="3">
        <v>30</v>
      </c>
      <c r="N2496" s="3">
        <v>17</v>
      </c>
      <c r="O2496" s="3"/>
      <c r="P2496" s="3"/>
      <c r="Q2496" s="3"/>
    </row>
    <row r="2497" spans="1:17" ht="15" x14ac:dyDescent="0.25">
      <c r="A2497" s="3">
        <f>2490</f>
        <v>2490</v>
      </c>
      <c r="B2497" s="3" t="s">
        <v>2499</v>
      </c>
      <c r="C2497" s="3" t="s">
        <v>9</v>
      </c>
      <c r="D2497" s="3" t="s">
        <v>10</v>
      </c>
      <c r="E2497" s="3">
        <v>22</v>
      </c>
      <c r="F2497" s="3">
        <v>0</v>
      </c>
      <c r="G2497" s="3">
        <v>1</v>
      </c>
      <c r="H2497" s="3">
        <v>18</v>
      </c>
      <c r="I2497" s="3">
        <v>28</v>
      </c>
      <c r="J2497" s="3">
        <v>1</v>
      </c>
      <c r="K2497" s="3">
        <v>15</v>
      </c>
      <c r="L2497" s="3">
        <v>1</v>
      </c>
      <c r="M2497" s="3">
        <v>30</v>
      </c>
      <c r="N2497" s="3">
        <v>17</v>
      </c>
      <c r="O2497" s="3"/>
      <c r="P2497" s="3"/>
      <c r="Q2497" s="3"/>
    </row>
    <row r="2498" spans="1:17" ht="15" x14ac:dyDescent="0.25">
      <c r="A2498" s="3">
        <f>2491</f>
        <v>2491</v>
      </c>
      <c r="B2498" s="3" t="s">
        <v>2500</v>
      </c>
      <c r="C2498" s="3" t="s">
        <v>9</v>
      </c>
      <c r="D2498" s="3" t="s">
        <v>10</v>
      </c>
      <c r="E2498" s="3">
        <v>22</v>
      </c>
      <c r="F2498" s="3">
        <v>0</v>
      </c>
      <c r="G2498" s="3">
        <v>1</v>
      </c>
      <c r="H2498" s="3">
        <v>18</v>
      </c>
      <c r="I2498" s="3">
        <v>28</v>
      </c>
      <c r="J2498" s="3">
        <v>1</v>
      </c>
      <c r="K2498" s="3">
        <v>15</v>
      </c>
      <c r="L2498" s="3">
        <v>1</v>
      </c>
      <c r="M2498" s="3">
        <v>30</v>
      </c>
      <c r="N2498" s="3">
        <v>17</v>
      </c>
      <c r="O2498" s="3"/>
      <c r="P2498" s="3"/>
      <c r="Q2498" s="3"/>
    </row>
    <row r="2499" spans="1:17" ht="15" x14ac:dyDescent="0.25">
      <c r="A2499" s="3">
        <f>2492</f>
        <v>2492</v>
      </c>
      <c r="B2499" s="3" t="s">
        <v>2501</v>
      </c>
      <c r="C2499" s="3" t="s">
        <v>9</v>
      </c>
      <c r="D2499" s="3" t="s">
        <v>10</v>
      </c>
      <c r="E2499" s="3">
        <v>22</v>
      </c>
      <c r="F2499" s="3">
        <v>0</v>
      </c>
      <c r="G2499" s="3">
        <v>1</v>
      </c>
      <c r="H2499" s="3">
        <v>18</v>
      </c>
      <c r="I2499" s="3">
        <v>28</v>
      </c>
      <c r="J2499" s="3">
        <v>1</v>
      </c>
      <c r="K2499" s="3">
        <v>15</v>
      </c>
      <c r="L2499" s="3">
        <v>1</v>
      </c>
      <c r="M2499" s="3">
        <v>30</v>
      </c>
      <c r="N2499" s="3">
        <v>17</v>
      </c>
      <c r="O2499" s="3"/>
      <c r="P2499" s="3"/>
      <c r="Q2499" s="3"/>
    </row>
    <row r="2500" spans="1:17" ht="15" x14ac:dyDescent="0.25">
      <c r="A2500" s="3">
        <f>2493</f>
        <v>2493</v>
      </c>
      <c r="B2500" s="3" t="s">
        <v>2502</v>
      </c>
      <c r="C2500" s="3" t="s">
        <v>9</v>
      </c>
      <c r="D2500" s="3" t="s">
        <v>10</v>
      </c>
      <c r="E2500" s="3">
        <v>22</v>
      </c>
      <c r="F2500" s="3">
        <v>0</v>
      </c>
      <c r="G2500" s="3">
        <v>1</v>
      </c>
      <c r="H2500" s="3">
        <v>18</v>
      </c>
      <c r="I2500" s="3">
        <v>28</v>
      </c>
      <c r="J2500" s="3">
        <v>1</v>
      </c>
      <c r="K2500" s="3">
        <v>15</v>
      </c>
      <c r="L2500" s="3">
        <v>1</v>
      </c>
      <c r="M2500" s="3">
        <v>30</v>
      </c>
      <c r="N2500" s="3">
        <v>17</v>
      </c>
      <c r="O2500" s="3"/>
      <c r="P2500" s="3"/>
      <c r="Q2500" s="3"/>
    </row>
    <row r="2501" spans="1:17" ht="15" x14ac:dyDescent="0.25">
      <c r="A2501" s="3">
        <f>2494</f>
        <v>2494</v>
      </c>
      <c r="B2501" s="3" t="s">
        <v>2503</v>
      </c>
      <c r="C2501" s="3" t="s">
        <v>9</v>
      </c>
      <c r="D2501" s="3" t="s">
        <v>10</v>
      </c>
      <c r="E2501" s="3">
        <v>22</v>
      </c>
      <c r="F2501" s="3">
        <v>0</v>
      </c>
      <c r="G2501" s="3">
        <v>1</v>
      </c>
      <c r="H2501" s="3">
        <v>18</v>
      </c>
      <c r="I2501" s="3">
        <v>28</v>
      </c>
      <c r="J2501" s="3">
        <v>1</v>
      </c>
      <c r="K2501" s="3">
        <v>15</v>
      </c>
      <c r="L2501" s="3">
        <v>1</v>
      </c>
      <c r="M2501" s="3">
        <v>30</v>
      </c>
      <c r="N2501" s="3">
        <v>17</v>
      </c>
      <c r="O2501" s="3"/>
      <c r="P2501" s="3"/>
      <c r="Q2501" s="3"/>
    </row>
    <row r="2502" spans="1:17" ht="15" x14ac:dyDescent="0.25">
      <c r="A2502" s="3">
        <f>2495</f>
        <v>2495</v>
      </c>
      <c r="B2502" s="3" t="s">
        <v>2504</v>
      </c>
      <c r="C2502" s="3" t="s">
        <v>9</v>
      </c>
      <c r="D2502" s="3" t="s">
        <v>10</v>
      </c>
      <c r="E2502" s="3">
        <v>22</v>
      </c>
      <c r="F2502" s="3">
        <v>0</v>
      </c>
      <c r="G2502" s="3">
        <v>1</v>
      </c>
      <c r="H2502" s="3">
        <v>18</v>
      </c>
      <c r="I2502" s="3">
        <v>28</v>
      </c>
      <c r="J2502" s="3">
        <v>1</v>
      </c>
      <c r="K2502" s="3">
        <v>15</v>
      </c>
      <c r="L2502" s="3">
        <v>1</v>
      </c>
      <c r="M2502" s="3">
        <v>30</v>
      </c>
      <c r="N2502" s="3">
        <v>17</v>
      </c>
      <c r="O2502" s="3"/>
      <c r="P2502" s="3"/>
      <c r="Q2502" s="3"/>
    </row>
    <row r="2503" spans="1:17" ht="15" x14ac:dyDescent="0.25">
      <c r="A2503" s="3">
        <f>2496</f>
        <v>2496</v>
      </c>
      <c r="B2503" s="3" t="s">
        <v>2505</v>
      </c>
      <c r="C2503" s="3" t="s">
        <v>9</v>
      </c>
      <c r="D2503" s="3" t="s">
        <v>10</v>
      </c>
      <c r="E2503" s="3">
        <v>22</v>
      </c>
      <c r="F2503" s="3">
        <v>0</v>
      </c>
      <c r="G2503" s="3">
        <v>1</v>
      </c>
      <c r="H2503" s="3">
        <v>18</v>
      </c>
      <c r="I2503" s="3">
        <v>28</v>
      </c>
      <c r="J2503" s="3">
        <v>1</v>
      </c>
      <c r="K2503" s="3">
        <v>15</v>
      </c>
      <c r="L2503" s="3">
        <v>1</v>
      </c>
      <c r="M2503" s="3">
        <v>30</v>
      </c>
      <c r="N2503" s="3">
        <v>17</v>
      </c>
      <c r="O2503" s="3"/>
      <c r="P2503" s="3"/>
      <c r="Q2503" s="3"/>
    </row>
    <row r="2504" spans="1:17" ht="15" x14ac:dyDescent="0.25">
      <c r="A2504" s="3">
        <f>2497</f>
        <v>2497</v>
      </c>
      <c r="B2504" s="3" t="s">
        <v>2506</v>
      </c>
      <c r="C2504" s="3" t="s">
        <v>9</v>
      </c>
      <c r="D2504" s="3" t="s">
        <v>10</v>
      </c>
      <c r="E2504" s="3">
        <v>22</v>
      </c>
      <c r="F2504" s="3">
        <v>0</v>
      </c>
      <c r="G2504" s="3">
        <v>1</v>
      </c>
      <c r="H2504" s="3">
        <v>18</v>
      </c>
      <c r="I2504" s="3">
        <v>28</v>
      </c>
      <c r="J2504" s="3">
        <v>1</v>
      </c>
      <c r="K2504" s="3">
        <v>15</v>
      </c>
      <c r="L2504" s="3">
        <v>1</v>
      </c>
      <c r="M2504" s="3">
        <v>30</v>
      </c>
      <c r="N2504" s="3">
        <v>17</v>
      </c>
      <c r="O2504" s="3"/>
      <c r="P2504" s="3"/>
      <c r="Q2504" s="3"/>
    </row>
    <row r="2505" spans="1:17" ht="15" x14ac:dyDescent="0.25">
      <c r="A2505" s="3">
        <f>2498</f>
        <v>2498</v>
      </c>
      <c r="B2505" s="3" t="s">
        <v>2507</v>
      </c>
      <c r="C2505" s="3" t="s">
        <v>9</v>
      </c>
      <c r="D2505" s="3" t="s">
        <v>10</v>
      </c>
      <c r="E2505" s="3">
        <v>22</v>
      </c>
      <c r="F2505" s="3">
        <v>0</v>
      </c>
      <c r="G2505" s="3">
        <v>1</v>
      </c>
      <c r="H2505" s="3">
        <v>18</v>
      </c>
      <c r="I2505" s="3">
        <v>28</v>
      </c>
      <c r="J2505" s="3">
        <v>1</v>
      </c>
      <c r="K2505" s="3">
        <v>15</v>
      </c>
      <c r="L2505" s="3">
        <v>1</v>
      </c>
      <c r="M2505" s="3">
        <v>30</v>
      </c>
      <c r="N2505" s="3">
        <v>17</v>
      </c>
      <c r="O2505" s="3"/>
      <c r="P2505" s="3"/>
      <c r="Q2505" s="3"/>
    </row>
    <row r="2506" spans="1:17" ht="15" x14ac:dyDescent="0.25">
      <c r="A2506" s="3">
        <f>2499</f>
        <v>2499</v>
      </c>
      <c r="B2506" s="3" t="s">
        <v>2508</v>
      </c>
      <c r="C2506" s="3" t="s">
        <v>9</v>
      </c>
      <c r="D2506" s="3" t="s">
        <v>10</v>
      </c>
      <c r="E2506" s="3">
        <v>22</v>
      </c>
      <c r="F2506" s="3">
        <v>0</v>
      </c>
      <c r="G2506" s="3">
        <v>1</v>
      </c>
      <c r="H2506" s="3">
        <v>18</v>
      </c>
      <c r="I2506" s="3">
        <v>28</v>
      </c>
      <c r="J2506" s="3">
        <v>1</v>
      </c>
      <c r="K2506" s="3">
        <v>15</v>
      </c>
      <c r="L2506" s="3">
        <v>1</v>
      </c>
      <c r="M2506" s="3">
        <v>30</v>
      </c>
      <c r="N2506" s="3">
        <v>17</v>
      </c>
      <c r="O2506" s="3"/>
      <c r="P2506" s="3"/>
      <c r="Q2506" s="3"/>
    </row>
    <row r="2507" spans="1:17" ht="15" x14ac:dyDescent="0.25">
      <c r="A2507" s="3">
        <f>2500</f>
        <v>2500</v>
      </c>
      <c r="B2507" s="3" t="s">
        <v>2509</v>
      </c>
      <c r="C2507" s="3" t="s">
        <v>9</v>
      </c>
      <c r="D2507" s="3" t="s">
        <v>10</v>
      </c>
      <c r="E2507" s="3">
        <v>22</v>
      </c>
      <c r="F2507" s="3">
        <v>0</v>
      </c>
      <c r="G2507" s="3">
        <v>1</v>
      </c>
      <c r="H2507" s="3">
        <v>18</v>
      </c>
      <c r="I2507" s="3">
        <v>28</v>
      </c>
      <c r="J2507" s="3">
        <v>1</v>
      </c>
      <c r="K2507" s="3">
        <v>15</v>
      </c>
      <c r="L2507" s="3">
        <v>1</v>
      </c>
      <c r="M2507" s="3">
        <v>30</v>
      </c>
      <c r="N2507" s="3">
        <v>17</v>
      </c>
      <c r="O2507" s="3"/>
      <c r="P2507" s="3"/>
      <c r="Q2507" s="3"/>
    </row>
    <row r="2508" spans="1:17" ht="15" x14ac:dyDescent="0.25">
      <c r="A2508" s="3">
        <f>2501</f>
        <v>2501</v>
      </c>
      <c r="B2508" s="3" t="s">
        <v>2510</v>
      </c>
      <c r="C2508" s="3" t="s">
        <v>9</v>
      </c>
      <c r="D2508" s="3" t="s">
        <v>10</v>
      </c>
      <c r="E2508" s="3">
        <v>22</v>
      </c>
      <c r="F2508" s="3">
        <v>0</v>
      </c>
      <c r="G2508" s="3">
        <v>1</v>
      </c>
      <c r="H2508" s="3">
        <v>18</v>
      </c>
      <c r="I2508" s="3">
        <v>28</v>
      </c>
      <c r="J2508" s="3">
        <v>1</v>
      </c>
      <c r="K2508" s="3">
        <v>15</v>
      </c>
      <c r="L2508" s="3">
        <v>1</v>
      </c>
      <c r="M2508" s="3">
        <v>30</v>
      </c>
      <c r="N2508" s="3">
        <v>17</v>
      </c>
      <c r="O2508" s="3"/>
      <c r="P2508" s="3"/>
      <c r="Q2508" s="3"/>
    </row>
    <row r="2509" spans="1:17" ht="15" x14ac:dyDescent="0.25">
      <c r="A2509" s="3">
        <f>2502</f>
        <v>2502</v>
      </c>
      <c r="B2509" s="3" t="s">
        <v>2511</v>
      </c>
      <c r="C2509" s="3" t="s">
        <v>9</v>
      </c>
      <c r="D2509" s="3" t="s">
        <v>10</v>
      </c>
      <c r="E2509" s="3">
        <v>22</v>
      </c>
      <c r="F2509" s="3">
        <v>0</v>
      </c>
      <c r="G2509" s="3">
        <v>1</v>
      </c>
      <c r="H2509" s="3">
        <v>18</v>
      </c>
      <c r="I2509" s="3">
        <v>28</v>
      </c>
      <c r="J2509" s="3">
        <v>1</v>
      </c>
      <c r="K2509" s="3">
        <v>15</v>
      </c>
      <c r="L2509" s="3">
        <v>1</v>
      </c>
      <c r="M2509" s="3">
        <v>30</v>
      </c>
      <c r="N2509" s="3">
        <v>17</v>
      </c>
      <c r="O2509" s="3"/>
      <c r="P2509" s="3"/>
      <c r="Q2509" s="3"/>
    </row>
    <row r="2510" spans="1:17" ht="15" x14ac:dyDescent="0.25">
      <c r="A2510" s="3">
        <f>2503</f>
        <v>2503</v>
      </c>
      <c r="B2510" s="3" t="s">
        <v>2512</v>
      </c>
      <c r="C2510" s="3" t="s">
        <v>9</v>
      </c>
      <c r="D2510" s="3" t="s">
        <v>10</v>
      </c>
      <c r="E2510" s="3">
        <v>22</v>
      </c>
      <c r="F2510" s="3">
        <v>0</v>
      </c>
      <c r="G2510" s="3">
        <v>1</v>
      </c>
      <c r="H2510" s="3">
        <v>18</v>
      </c>
      <c r="I2510" s="3">
        <v>28</v>
      </c>
      <c r="J2510" s="3">
        <v>1</v>
      </c>
      <c r="K2510" s="3">
        <v>15</v>
      </c>
      <c r="L2510" s="3">
        <v>1</v>
      </c>
      <c r="M2510" s="3">
        <v>30</v>
      </c>
      <c r="N2510" s="3">
        <v>17</v>
      </c>
      <c r="O2510" s="3"/>
      <c r="P2510" s="3"/>
      <c r="Q2510" s="3"/>
    </row>
    <row r="2511" spans="1:17" ht="15" x14ac:dyDescent="0.25">
      <c r="A2511" s="3">
        <f>2504</f>
        <v>2504</v>
      </c>
      <c r="B2511" s="3" t="s">
        <v>2513</v>
      </c>
      <c r="C2511" s="3" t="s">
        <v>9</v>
      </c>
      <c r="D2511" s="3" t="s">
        <v>10</v>
      </c>
      <c r="E2511" s="3">
        <v>22</v>
      </c>
      <c r="F2511" s="3">
        <v>0</v>
      </c>
      <c r="G2511" s="3">
        <v>1</v>
      </c>
      <c r="H2511" s="3">
        <v>18</v>
      </c>
      <c r="I2511" s="3">
        <v>28</v>
      </c>
      <c r="J2511" s="3">
        <v>1</v>
      </c>
      <c r="K2511" s="3">
        <v>15</v>
      </c>
      <c r="L2511" s="3">
        <v>1</v>
      </c>
      <c r="M2511" s="3">
        <v>30</v>
      </c>
      <c r="N2511" s="3">
        <v>17</v>
      </c>
      <c r="O2511" s="3"/>
      <c r="P2511" s="3"/>
      <c r="Q2511" s="3"/>
    </row>
    <row r="2512" spans="1:17" ht="15" x14ac:dyDescent="0.25">
      <c r="A2512" s="3">
        <f>2505</f>
        <v>2505</v>
      </c>
      <c r="B2512" s="3" t="s">
        <v>2514</v>
      </c>
      <c r="C2512" s="3" t="s">
        <v>9</v>
      </c>
      <c r="D2512" s="3" t="s">
        <v>10</v>
      </c>
      <c r="E2512" s="3">
        <v>22</v>
      </c>
      <c r="F2512" s="3">
        <v>0</v>
      </c>
      <c r="G2512" s="3">
        <v>1</v>
      </c>
      <c r="H2512" s="3">
        <v>18</v>
      </c>
      <c r="I2512" s="3">
        <v>28</v>
      </c>
      <c r="J2512" s="3">
        <v>1</v>
      </c>
      <c r="K2512" s="3">
        <v>15</v>
      </c>
      <c r="L2512" s="3">
        <v>1</v>
      </c>
      <c r="M2512" s="3">
        <v>30</v>
      </c>
      <c r="N2512" s="3">
        <v>17</v>
      </c>
      <c r="O2512" s="3"/>
      <c r="P2512" s="3"/>
      <c r="Q2512" s="3"/>
    </row>
    <row r="2513" spans="1:17" ht="15" x14ac:dyDescent="0.25">
      <c r="A2513" s="3">
        <f>2506</f>
        <v>2506</v>
      </c>
      <c r="B2513" s="3" t="s">
        <v>2515</v>
      </c>
      <c r="C2513" s="3" t="s">
        <v>9</v>
      </c>
      <c r="D2513" s="3" t="s">
        <v>10</v>
      </c>
      <c r="E2513" s="3">
        <v>22</v>
      </c>
      <c r="F2513" s="3">
        <v>0</v>
      </c>
      <c r="G2513" s="3">
        <v>1</v>
      </c>
      <c r="H2513" s="3">
        <v>18</v>
      </c>
      <c r="I2513" s="3">
        <v>28</v>
      </c>
      <c r="J2513" s="3">
        <v>1</v>
      </c>
      <c r="K2513" s="3">
        <v>15</v>
      </c>
      <c r="L2513" s="3">
        <v>1</v>
      </c>
      <c r="M2513" s="3">
        <v>30</v>
      </c>
      <c r="N2513" s="3">
        <v>17</v>
      </c>
      <c r="O2513" s="3"/>
      <c r="P2513" s="3"/>
      <c r="Q2513" s="3"/>
    </row>
    <row r="2514" spans="1:17" ht="15" x14ac:dyDescent="0.25">
      <c r="A2514" s="3">
        <f>2507</f>
        <v>2507</v>
      </c>
      <c r="B2514" s="3" t="s">
        <v>2516</v>
      </c>
      <c r="C2514" s="3" t="s">
        <v>9</v>
      </c>
      <c r="D2514" s="3" t="s">
        <v>10</v>
      </c>
      <c r="E2514" s="3">
        <v>22</v>
      </c>
      <c r="F2514" s="3">
        <v>0</v>
      </c>
      <c r="G2514" s="3">
        <v>1</v>
      </c>
      <c r="H2514" s="3">
        <v>18</v>
      </c>
      <c r="I2514" s="3">
        <v>28</v>
      </c>
      <c r="J2514" s="3">
        <v>1</v>
      </c>
      <c r="K2514" s="3">
        <v>15</v>
      </c>
      <c r="L2514" s="3">
        <v>1</v>
      </c>
      <c r="M2514" s="3">
        <v>30</v>
      </c>
      <c r="N2514" s="3">
        <v>17</v>
      </c>
      <c r="O2514" s="3"/>
      <c r="P2514" s="3"/>
      <c r="Q2514" s="3"/>
    </row>
    <row r="2515" spans="1:17" ht="15" x14ac:dyDescent="0.25">
      <c r="A2515" s="3">
        <f>2508</f>
        <v>2508</v>
      </c>
      <c r="B2515" s="3" t="s">
        <v>2517</v>
      </c>
      <c r="C2515" s="3" t="s">
        <v>9</v>
      </c>
      <c r="D2515" s="3" t="s">
        <v>10</v>
      </c>
      <c r="E2515" s="3">
        <v>22</v>
      </c>
      <c r="F2515" s="3">
        <v>0</v>
      </c>
      <c r="G2515" s="3">
        <v>1</v>
      </c>
      <c r="H2515" s="3">
        <v>18</v>
      </c>
      <c r="I2515" s="3">
        <v>28</v>
      </c>
      <c r="J2515" s="3">
        <v>1</v>
      </c>
      <c r="K2515" s="3">
        <v>15</v>
      </c>
      <c r="L2515" s="3">
        <v>1</v>
      </c>
      <c r="M2515" s="3">
        <v>30</v>
      </c>
      <c r="N2515" s="3">
        <v>17</v>
      </c>
      <c r="O2515" s="3"/>
      <c r="P2515" s="3"/>
      <c r="Q2515" s="3"/>
    </row>
    <row r="2516" spans="1:17" ht="15" x14ac:dyDescent="0.25">
      <c r="A2516" s="3">
        <f>2509</f>
        <v>2509</v>
      </c>
      <c r="B2516" s="3" t="s">
        <v>2518</v>
      </c>
      <c r="C2516" s="3" t="s">
        <v>9</v>
      </c>
      <c r="D2516" s="3" t="s">
        <v>10</v>
      </c>
      <c r="E2516" s="3">
        <v>22</v>
      </c>
      <c r="F2516" s="3">
        <v>0</v>
      </c>
      <c r="G2516" s="3">
        <v>1</v>
      </c>
      <c r="H2516" s="3">
        <v>18</v>
      </c>
      <c r="I2516" s="3">
        <v>28</v>
      </c>
      <c r="J2516" s="3">
        <v>1</v>
      </c>
      <c r="K2516" s="3">
        <v>15</v>
      </c>
      <c r="L2516" s="3">
        <v>1</v>
      </c>
      <c r="M2516" s="3">
        <v>30</v>
      </c>
      <c r="N2516" s="3">
        <v>17</v>
      </c>
      <c r="O2516" s="3"/>
      <c r="P2516" s="3"/>
      <c r="Q2516" s="3"/>
    </row>
    <row r="2517" spans="1:17" ht="15" x14ac:dyDescent="0.25">
      <c r="A2517" s="3">
        <f>2510</f>
        <v>2510</v>
      </c>
      <c r="B2517" s="3" t="s">
        <v>2519</v>
      </c>
      <c r="C2517" s="3" t="s">
        <v>9</v>
      </c>
      <c r="D2517" s="3" t="s">
        <v>10</v>
      </c>
      <c r="E2517" s="3">
        <v>22</v>
      </c>
      <c r="F2517" s="3">
        <v>0</v>
      </c>
      <c r="G2517" s="3">
        <v>1</v>
      </c>
      <c r="H2517" s="3">
        <v>18</v>
      </c>
      <c r="I2517" s="3">
        <v>28</v>
      </c>
      <c r="J2517" s="3">
        <v>1</v>
      </c>
      <c r="K2517" s="3">
        <v>15</v>
      </c>
      <c r="L2517" s="3">
        <v>1</v>
      </c>
      <c r="M2517" s="3">
        <v>30</v>
      </c>
      <c r="N2517" s="3">
        <v>17</v>
      </c>
      <c r="O2517" s="3"/>
      <c r="P2517" s="3"/>
      <c r="Q2517" s="3"/>
    </row>
    <row r="2518" spans="1:17" ht="15" x14ac:dyDescent="0.25">
      <c r="A2518" s="3">
        <f>2511</f>
        <v>2511</v>
      </c>
      <c r="B2518" s="3" t="s">
        <v>2520</v>
      </c>
      <c r="C2518" s="3" t="s">
        <v>9</v>
      </c>
      <c r="D2518" s="3" t="s">
        <v>10</v>
      </c>
      <c r="E2518" s="3">
        <v>22</v>
      </c>
      <c r="F2518" s="3">
        <v>0</v>
      </c>
      <c r="G2518" s="3">
        <v>1</v>
      </c>
      <c r="H2518" s="3">
        <v>18</v>
      </c>
      <c r="I2518" s="3">
        <v>28</v>
      </c>
      <c r="J2518" s="3">
        <v>1</v>
      </c>
      <c r="K2518" s="3">
        <v>15</v>
      </c>
      <c r="L2518" s="3">
        <v>1</v>
      </c>
      <c r="M2518" s="3">
        <v>30</v>
      </c>
      <c r="N2518" s="3">
        <v>17</v>
      </c>
      <c r="O2518" s="3"/>
      <c r="P2518" s="3"/>
      <c r="Q2518" s="3"/>
    </row>
    <row r="2519" spans="1:17" ht="15" x14ac:dyDescent="0.25">
      <c r="A2519" s="3">
        <f>2512</f>
        <v>2512</v>
      </c>
      <c r="B2519" s="3" t="s">
        <v>2521</v>
      </c>
      <c r="C2519" s="3" t="s">
        <v>9</v>
      </c>
      <c r="D2519" s="3" t="s">
        <v>10</v>
      </c>
      <c r="E2519" s="3">
        <v>22</v>
      </c>
      <c r="F2519" s="3">
        <v>0</v>
      </c>
      <c r="G2519" s="3">
        <v>1</v>
      </c>
      <c r="H2519" s="3">
        <v>18</v>
      </c>
      <c r="I2519" s="3">
        <v>28</v>
      </c>
      <c r="J2519" s="3">
        <v>1</v>
      </c>
      <c r="K2519" s="3">
        <v>15</v>
      </c>
      <c r="L2519" s="3">
        <v>1</v>
      </c>
      <c r="M2519" s="3">
        <v>30</v>
      </c>
      <c r="N2519" s="3">
        <v>17</v>
      </c>
      <c r="O2519" s="3"/>
      <c r="P2519" s="3"/>
      <c r="Q2519" s="3"/>
    </row>
    <row r="2520" spans="1:17" ht="15" x14ac:dyDescent="0.25">
      <c r="A2520" s="3">
        <f>2513</f>
        <v>2513</v>
      </c>
      <c r="B2520" s="3" t="s">
        <v>2522</v>
      </c>
      <c r="C2520" s="3" t="s">
        <v>9</v>
      </c>
      <c r="D2520" s="3" t="s">
        <v>10</v>
      </c>
      <c r="E2520" s="3">
        <v>22</v>
      </c>
      <c r="F2520" s="3">
        <v>0</v>
      </c>
      <c r="G2520" s="3">
        <v>1</v>
      </c>
      <c r="H2520" s="3">
        <v>18</v>
      </c>
      <c r="I2520" s="3">
        <v>28</v>
      </c>
      <c r="J2520" s="3">
        <v>1</v>
      </c>
      <c r="K2520" s="3">
        <v>15</v>
      </c>
      <c r="L2520" s="3">
        <v>1</v>
      </c>
      <c r="M2520" s="3">
        <v>30</v>
      </c>
      <c r="N2520" s="3">
        <v>17</v>
      </c>
      <c r="O2520" s="3"/>
      <c r="P2520" s="3"/>
      <c r="Q2520" s="3"/>
    </row>
    <row r="2521" spans="1:17" ht="15" x14ac:dyDescent="0.25">
      <c r="A2521" s="3">
        <f>2514</f>
        <v>2514</v>
      </c>
      <c r="B2521" s="3" t="s">
        <v>2523</v>
      </c>
      <c r="C2521" s="3" t="s">
        <v>9</v>
      </c>
      <c r="D2521" s="3" t="s">
        <v>10</v>
      </c>
      <c r="E2521" s="3">
        <v>22</v>
      </c>
      <c r="F2521" s="3">
        <v>0</v>
      </c>
      <c r="G2521" s="3">
        <v>1</v>
      </c>
      <c r="H2521" s="3">
        <v>18</v>
      </c>
      <c r="I2521" s="3">
        <v>28</v>
      </c>
      <c r="J2521" s="3">
        <v>1</v>
      </c>
      <c r="K2521" s="3">
        <v>15</v>
      </c>
      <c r="L2521" s="3">
        <v>1</v>
      </c>
      <c r="M2521" s="3">
        <v>30</v>
      </c>
      <c r="N2521" s="3">
        <v>17</v>
      </c>
      <c r="O2521" s="3"/>
      <c r="P2521" s="3"/>
      <c r="Q2521" s="3"/>
    </row>
    <row r="2522" spans="1:17" ht="15" x14ac:dyDescent="0.25">
      <c r="A2522" s="3">
        <f>2515</f>
        <v>2515</v>
      </c>
      <c r="B2522" s="3" t="s">
        <v>2524</v>
      </c>
      <c r="C2522" s="3" t="s">
        <v>9</v>
      </c>
      <c r="D2522" s="3" t="s">
        <v>10</v>
      </c>
      <c r="E2522" s="3">
        <v>22</v>
      </c>
      <c r="F2522" s="3">
        <v>0</v>
      </c>
      <c r="G2522" s="3">
        <v>1</v>
      </c>
      <c r="H2522" s="3">
        <v>18</v>
      </c>
      <c r="I2522" s="3">
        <v>28</v>
      </c>
      <c r="J2522" s="3">
        <v>1</v>
      </c>
      <c r="K2522" s="3">
        <v>15</v>
      </c>
      <c r="L2522" s="3">
        <v>1</v>
      </c>
      <c r="M2522" s="3">
        <v>30</v>
      </c>
      <c r="N2522" s="3">
        <v>17</v>
      </c>
      <c r="O2522" s="3"/>
      <c r="P2522" s="3"/>
      <c r="Q2522" s="3"/>
    </row>
    <row r="2523" spans="1:17" ht="15" x14ac:dyDescent="0.25">
      <c r="A2523" s="3">
        <f>2516</f>
        <v>2516</v>
      </c>
      <c r="B2523" s="3" t="s">
        <v>2525</v>
      </c>
      <c r="C2523" s="3" t="s">
        <v>9</v>
      </c>
      <c r="D2523" s="3" t="s">
        <v>10</v>
      </c>
      <c r="E2523" s="3">
        <v>22</v>
      </c>
      <c r="F2523" s="3">
        <v>0</v>
      </c>
      <c r="G2523" s="3">
        <v>1</v>
      </c>
      <c r="H2523" s="3">
        <v>18</v>
      </c>
      <c r="I2523" s="3">
        <v>28</v>
      </c>
      <c r="J2523" s="3">
        <v>1</v>
      </c>
      <c r="K2523" s="3">
        <v>15</v>
      </c>
      <c r="L2523" s="3">
        <v>1</v>
      </c>
      <c r="M2523" s="3">
        <v>30</v>
      </c>
      <c r="N2523" s="3">
        <v>17</v>
      </c>
      <c r="O2523" s="3"/>
      <c r="P2523" s="3"/>
      <c r="Q2523" s="3"/>
    </row>
    <row r="2524" spans="1:17" ht="15" x14ac:dyDescent="0.25">
      <c r="A2524" s="3">
        <f>2517</f>
        <v>2517</v>
      </c>
      <c r="B2524" s="3" t="s">
        <v>2526</v>
      </c>
      <c r="C2524" s="3" t="s">
        <v>9</v>
      </c>
      <c r="D2524" s="3" t="s">
        <v>10</v>
      </c>
      <c r="E2524" s="3">
        <v>22</v>
      </c>
      <c r="F2524" s="3">
        <v>0</v>
      </c>
      <c r="G2524" s="3">
        <v>1</v>
      </c>
      <c r="H2524" s="3">
        <v>18</v>
      </c>
      <c r="I2524" s="3">
        <v>28</v>
      </c>
      <c r="J2524" s="3">
        <v>1</v>
      </c>
      <c r="K2524" s="3">
        <v>15</v>
      </c>
      <c r="L2524" s="3">
        <v>1</v>
      </c>
      <c r="M2524" s="3">
        <v>30</v>
      </c>
      <c r="N2524" s="3">
        <v>17</v>
      </c>
      <c r="O2524" s="3"/>
      <c r="P2524" s="3"/>
      <c r="Q2524" s="3"/>
    </row>
    <row r="2525" spans="1:17" ht="15" x14ac:dyDescent="0.25">
      <c r="A2525" s="3">
        <f>2518</f>
        <v>2518</v>
      </c>
      <c r="B2525" s="3" t="s">
        <v>2527</v>
      </c>
      <c r="C2525" s="3" t="s">
        <v>9</v>
      </c>
      <c r="D2525" s="3" t="s">
        <v>10</v>
      </c>
      <c r="E2525" s="3">
        <v>22</v>
      </c>
      <c r="F2525" s="3">
        <v>0</v>
      </c>
      <c r="G2525" s="3">
        <v>1</v>
      </c>
      <c r="H2525" s="3">
        <v>18</v>
      </c>
      <c r="I2525" s="3">
        <v>28</v>
      </c>
      <c r="J2525" s="3">
        <v>1</v>
      </c>
      <c r="K2525" s="3">
        <v>15</v>
      </c>
      <c r="L2525" s="3">
        <v>1</v>
      </c>
      <c r="M2525" s="3">
        <v>30</v>
      </c>
      <c r="N2525" s="3">
        <v>17</v>
      </c>
      <c r="O2525" s="3"/>
      <c r="P2525" s="3"/>
      <c r="Q2525" s="3"/>
    </row>
    <row r="2526" spans="1:17" ht="15" x14ac:dyDescent="0.25">
      <c r="A2526" s="3">
        <f>2519</f>
        <v>2519</v>
      </c>
      <c r="B2526" s="3" t="s">
        <v>2528</v>
      </c>
      <c r="C2526" s="3" t="s">
        <v>9</v>
      </c>
      <c r="D2526" s="3" t="s">
        <v>10</v>
      </c>
      <c r="E2526" s="3">
        <v>22</v>
      </c>
      <c r="F2526" s="3">
        <v>0</v>
      </c>
      <c r="G2526" s="3">
        <v>1</v>
      </c>
      <c r="H2526" s="3">
        <v>18</v>
      </c>
      <c r="I2526" s="3">
        <v>28</v>
      </c>
      <c r="J2526" s="3">
        <v>1</v>
      </c>
      <c r="K2526" s="3">
        <v>15</v>
      </c>
      <c r="L2526" s="3">
        <v>1</v>
      </c>
      <c r="M2526" s="3">
        <v>30</v>
      </c>
      <c r="N2526" s="3">
        <v>17</v>
      </c>
      <c r="O2526" s="3"/>
      <c r="P2526" s="3"/>
      <c r="Q2526" s="3"/>
    </row>
    <row r="2527" spans="1:17" ht="15" x14ac:dyDescent="0.25">
      <c r="A2527" s="3">
        <f>2520</f>
        <v>2520</v>
      </c>
      <c r="B2527" s="3" t="s">
        <v>2529</v>
      </c>
      <c r="C2527" s="3" t="s">
        <v>9</v>
      </c>
      <c r="D2527" s="3" t="s">
        <v>10</v>
      </c>
      <c r="E2527" s="3">
        <v>22</v>
      </c>
      <c r="F2527" s="3">
        <v>0</v>
      </c>
      <c r="G2527" s="3">
        <v>1</v>
      </c>
      <c r="H2527" s="3">
        <v>18</v>
      </c>
      <c r="I2527" s="3">
        <v>28</v>
      </c>
      <c r="J2527" s="3">
        <v>1</v>
      </c>
      <c r="K2527" s="3">
        <v>15</v>
      </c>
      <c r="L2527" s="3">
        <v>1</v>
      </c>
      <c r="M2527" s="3">
        <v>30</v>
      </c>
      <c r="N2527" s="3">
        <v>17</v>
      </c>
      <c r="O2527" s="3"/>
      <c r="P2527" s="3"/>
      <c r="Q2527" s="3"/>
    </row>
    <row r="2528" spans="1:17" ht="15" x14ac:dyDescent="0.25">
      <c r="A2528" s="3">
        <f>2521</f>
        <v>2521</v>
      </c>
      <c r="B2528" s="3" t="s">
        <v>2530</v>
      </c>
      <c r="C2528" s="3" t="s">
        <v>9</v>
      </c>
      <c r="D2528" s="3" t="s">
        <v>10</v>
      </c>
      <c r="E2528" s="3">
        <v>22</v>
      </c>
      <c r="F2528" s="3">
        <v>0</v>
      </c>
      <c r="G2528" s="3">
        <v>1</v>
      </c>
      <c r="H2528" s="3">
        <v>18</v>
      </c>
      <c r="I2528" s="3">
        <v>28</v>
      </c>
      <c r="J2528" s="3">
        <v>1</v>
      </c>
      <c r="K2528" s="3">
        <v>15</v>
      </c>
      <c r="L2528" s="3">
        <v>1</v>
      </c>
      <c r="M2528" s="3">
        <v>30</v>
      </c>
      <c r="N2528" s="3">
        <v>17</v>
      </c>
      <c r="O2528" s="3"/>
      <c r="P2528" s="3"/>
      <c r="Q2528" s="3"/>
    </row>
    <row r="2529" spans="1:17" ht="15" x14ac:dyDescent="0.25">
      <c r="A2529" s="3">
        <f>2522</f>
        <v>2522</v>
      </c>
      <c r="B2529" s="3" t="s">
        <v>2531</v>
      </c>
      <c r="C2529" s="3" t="s">
        <v>9</v>
      </c>
      <c r="D2529" s="3" t="s">
        <v>10</v>
      </c>
      <c r="E2529" s="3">
        <v>22</v>
      </c>
      <c r="F2529" s="3">
        <v>0</v>
      </c>
      <c r="G2529" s="3">
        <v>1</v>
      </c>
      <c r="H2529" s="3">
        <v>18</v>
      </c>
      <c r="I2529" s="3">
        <v>28</v>
      </c>
      <c r="J2529" s="3">
        <v>1</v>
      </c>
      <c r="K2529" s="3">
        <v>15</v>
      </c>
      <c r="L2529" s="3">
        <v>1</v>
      </c>
      <c r="M2529" s="3">
        <v>30</v>
      </c>
      <c r="N2529" s="3">
        <v>17</v>
      </c>
      <c r="O2529" s="3"/>
      <c r="P2529" s="3"/>
      <c r="Q2529" s="3"/>
    </row>
    <row r="2530" spans="1:17" ht="15" x14ac:dyDescent="0.25">
      <c r="A2530" s="3">
        <f>2523</f>
        <v>2523</v>
      </c>
      <c r="B2530" s="3" t="s">
        <v>2532</v>
      </c>
      <c r="C2530" s="3" t="s">
        <v>9</v>
      </c>
      <c r="D2530" s="3" t="s">
        <v>10</v>
      </c>
      <c r="E2530" s="3">
        <v>22</v>
      </c>
      <c r="F2530" s="3">
        <v>0</v>
      </c>
      <c r="G2530" s="3">
        <v>1</v>
      </c>
      <c r="H2530" s="3">
        <v>18</v>
      </c>
      <c r="I2530" s="3">
        <v>28</v>
      </c>
      <c r="J2530" s="3">
        <v>1</v>
      </c>
      <c r="K2530" s="3">
        <v>15</v>
      </c>
      <c r="L2530" s="3">
        <v>1</v>
      </c>
      <c r="M2530" s="3">
        <v>30</v>
      </c>
      <c r="N2530" s="3">
        <v>17</v>
      </c>
      <c r="O2530" s="3"/>
      <c r="P2530" s="3"/>
      <c r="Q2530" s="3"/>
    </row>
    <row r="2531" spans="1:17" ht="15" x14ac:dyDescent="0.25">
      <c r="A2531" s="3">
        <f>2524</f>
        <v>2524</v>
      </c>
      <c r="B2531" s="3" t="s">
        <v>2533</v>
      </c>
      <c r="C2531" s="3" t="s">
        <v>9</v>
      </c>
      <c r="D2531" s="3" t="s">
        <v>10</v>
      </c>
      <c r="E2531" s="3">
        <v>22</v>
      </c>
      <c r="F2531" s="3">
        <v>0</v>
      </c>
      <c r="G2531" s="3">
        <v>1</v>
      </c>
      <c r="H2531" s="3">
        <v>18</v>
      </c>
      <c r="I2531" s="3">
        <v>28</v>
      </c>
      <c r="J2531" s="3">
        <v>1</v>
      </c>
      <c r="K2531" s="3">
        <v>15</v>
      </c>
      <c r="L2531" s="3">
        <v>1</v>
      </c>
      <c r="M2531" s="3">
        <v>30</v>
      </c>
      <c r="N2531" s="3">
        <v>17</v>
      </c>
      <c r="O2531" s="3"/>
      <c r="P2531" s="3"/>
      <c r="Q2531" s="3"/>
    </row>
    <row r="2532" spans="1:17" ht="15" x14ac:dyDescent="0.25">
      <c r="A2532" s="3">
        <f>2525</f>
        <v>2525</v>
      </c>
      <c r="B2532" s="3" t="s">
        <v>2534</v>
      </c>
      <c r="C2532" s="3" t="s">
        <v>9</v>
      </c>
      <c r="D2532" s="3" t="s">
        <v>10</v>
      </c>
      <c r="E2532" s="3">
        <v>22</v>
      </c>
      <c r="F2532" s="3">
        <v>0</v>
      </c>
      <c r="G2532" s="3">
        <v>1</v>
      </c>
      <c r="H2532" s="3">
        <v>18</v>
      </c>
      <c r="I2532" s="3">
        <v>28</v>
      </c>
      <c r="J2532" s="3">
        <v>1</v>
      </c>
      <c r="K2532" s="3">
        <v>15</v>
      </c>
      <c r="L2532" s="3">
        <v>1</v>
      </c>
      <c r="M2532" s="3">
        <v>30</v>
      </c>
      <c r="N2532" s="3">
        <v>17</v>
      </c>
      <c r="O2532" s="3"/>
      <c r="P2532" s="3"/>
      <c r="Q2532" s="3"/>
    </row>
    <row r="2533" spans="1:17" ht="15" x14ac:dyDescent="0.25">
      <c r="A2533" s="3">
        <f>2526</f>
        <v>2526</v>
      </c>
      <c r="B2533" s="3" t="s">
        <v>2535</v>
      </c>
      <c r="C2533" s="3" t="s">
        <v>9</v>
      </c>
      <c r="D2533" s="3" t="s">
        <v>10</v>
      </c>
      <c r="E2533" s="3">
        <v>22</v>
      </c>
      <c r="F2533" s="3">
        <v>0</v>
      </c>
      <c r="G2533" s="3">
        <v>1</v>
      </c>
      <c r="H2533" s="3">
        <v>18</v>
      </c>
      <c r="I2533" s="3">
        <v>28</v>
      </c>
      <c r="J2533" s="3">
        <v>1</v>
      </c>
      <c r="K2533" s="3">
        <v>15</v>
      </c>
      <c r="L2533" s="3">
        <v>1</v>
      </c>
      <c r="M2533" s="3">
        <v>30</v>
      </c>
      <c r="N2533" s="3">
        <v>17</v>
      </c>
      <c r="O2533" s="3"/>
      <c r="P2533" s="3"/>
      <c r="Q2533" s="3"/>
    </row>
    <row r="2534" spans="1:17" ht="15" x14ac:dyDescent="0.25">
      <c r="A2534" s="3">
        <f>2527</f>
        <v>2527</v>
      </c>
      <c r="B2534" s="3" t="s">
        <v>2536</v>
      </c>
      <c r="C2534" s="3" t="s">
        <v>9</v>
      </c>
      <c r="D2534" s="3" t="s">
        <v>10</v>
      </c>
      <c r="E2534" s="3">
        <v>22</v>
      </c>
      <c r="F2534" s="3">
        <v>0</v>
      </c>
      <c r="G2534" s="3">
        <v>1</v>
      </c>
      <c r="H2534" s="3">
        <v>18</v>
      </c>
      <c r="I2534" s="3">
        <v>28</v>
      </c>
      <c r="J2534" s="3">
        <v>1</v>
      </c>
      <c r="K2534" s="3">
        <v>15</v>
      </c>
      <c r="L2534" s="3">
        <v>1</v>
      </c>
      <c r="M2534" s="3">
        <v>30</v>
      </c>
      <c r="N2534" s="3">
        <v>17</v>
      </c>
      <c r="O2534" s="3"/>
      <c r="P2534" s="3"/>
      <c r="Q2534" s="3"/>
    </row>
    <row r="2535" spans="1:17" ht="15" x14ac:dyDescent="0.25">
      <c r="A2535" s="3">
        <f>2528</f>
        <v>2528</v>
      </c>
      <c r="B2535" s="3" t="s">
        <v>2537</v>
      </c>
      <c r="C2535" s="3" t="s">
        <v>9</v>
      </c>
      <c r="D2535" s="3" t="s">
        <v>10</v>
      </c>
      <c r="E2535" s="3">
        <v>22</v>
      </c>
      <c r="F2535" s="3">
        <v>0</v>
      </c>
      <c r="G2535" s="3">
        <v>1</v>
      </c>
      <c r="H2535" s="3">
        <v>18</v>
      </c>
      <c r="I2535" s="3">
        <v>28</v>
      </c>
      <c r="J2535" s="3">
        <v>1</v>
      </c>
      <c r="K2535" s="3">
        <v>15</v>
      </c>
      <c r="L2535" s="3">
        <v>1</v>
      </c>
      <c r="M2535" s="3">
        <v>30</v>
      </c>
      <c r="N2535" s="3">
        <v>17</v>
      </c>
      <c r="O2535" s="3"/>
      <c r="P2535" s="3"/>
      <c r="Q2535" s="3"/>
    </row>
    <row r="2536" spans="1:17" ht="15" x14ac:dyDescent="0.25">
      <c r="A2536" s="3">
        <f>2529</f>
        <v>2529</v>
      </c>
      <c r="B2536" s="3" t="s">
        <v>2538</v>
      </c>
      <c r="C2536" s="3" t="s">
        <v>9</v>
      </c>
      <c r="D2536" s="3" t="s">
        <v>10</v>
      </c>
      <c r="E2536" s="3">
        <v>22</v>
      </c>
      <c r="F2536" s="3">
        <v>0</v>
      </c>
      <c r="G2536" s="3">
        <v>1</v>
      </c>
      <c r="H2536" s="3">
        <v>18</v>
      </c>
      <c r="I2536" s="3">
        <v>28</v>
      </c>
      <c r="J2536" s="3">
        <v>1</v>
      </c>
      <c r="K2536" s="3">
        <v>15</v>
      </c>
      <c r="L2536" s="3">
        <v>1</v>
      </c>
      <c r="M2536" s="3">
        <v>30</v>
      </c>
      <c r="N2536" s="3">
        <v>17</v>
      </c>
      <c r="O2536" s="3"/>
      <c r="P2536" s="3"/>
      <c r="Q2536" s="3"/>
    </row>
    <row r="2537" spans="1:17" ht="15" x14ac:dyDescent="0.25">
      <c r="A2537" s="3">
        <f>2530</f>
        <v>2530</v>
      </c>
      <c r="B2537" s="3" t="s">
        <v>2539</v>
      </c>
      <c r="C2537" s="3" t="s">
        <v>9</v>
      </c>
      <c r="D2537" s="3" t="s">
        <v>10</v>
      </c>
      <c r="E2537" s="3">
        <v>22</v>
      </c>
      <c r="F2537" s="3">
        <v>0</v>
      </c>
      <c r="G2537" s="3">
        <v>1</v>
      </c>
      <c r="H2537" s="3">
        <v>18</v>
      </c>
      <c r="I2537" s="3">
        <v>28</v>
      </c>
      <c r="J2537" s="3">
        <v>1</v>
      </c>
      <c r="K2537" s="3">
        <v>15</v>
      </c>
      <c r="L2537" s="3">
        <v>1</v>
      </c>
      <c r="M2537" s="3">
        <v>30</v>
      </c>
      <c r="N2537" s="3">
        <v>17</v>
      </c>
      <c r="O2537" s="3"/>
      <c r="P2537" s="3"/>
      <c r="Q2537" s="3"/>
    </row>
    <row r="2538" spans="1:17" ht="15" x14ac:dyDescent="0.25">
      <c r="A2538" s="3">
        <f>2531</f>
        <v>2531</v>
      </c>
      <c r="B2538" s="3" t="s">
        <v>2540</v>
      </c>
      <c r="C2538" s="3" t="s">
        <v>9</v>
      </c>
      <c r="D2538" s="3" t="s">
        <v>10</v>
      </c>
      <c r="E2538" s="3">
        <v>22</v>
      </c>
      <c r="F2538" s="3">
        <v>0</v>
      </c>
      <c r="G2538" s="3">
        <v>1</v>
      </c>
      <c r="H2538" s="3">
        <v>18</v>
      </c>
      <c r="I2538" s="3">
        <v>28</v>
      </c>
      <c r="J2538" s="3">
        <v>1</v>
      </c>
      <c r="K2538" s="3">
        <v>15</v>
      </c>
      <c r="L2538" s="3">
        <v>1</v>
      </c>
      <c r="M2538" s="3">
        <v>30</v>
      </c>
      <c r="N2538" s="3">
        <v>17</v>
      </c>
      <c r="O2538" s="3"/>
      <c r="P2538" s="3"/>
      <c r="Q2538" s="3"/>
    </row>
    <row r="2539" spans="1:17" ht="15" x14ac:dyDescent="0.25">
      <c r="A2539" s="3">
        <f>2532</f>
        <v>2532</v>
      </c>
      <c r="B2539" s="3" t="s">
        <v>2541</v>
      </c>
      <c r="C2539" s="3" t="s">
        <v>9</v>
      </c>
      <c r="D2539" s="3" t="s">
        <v>10</v>
      </c>
      <c r="E2539" s="3">
        <v>22</v>
      </c>
      <c r="F2539" s="3">
        <v>0</v>
      </c>
      <c r="G2539" s="3">
        <v>1</v>
      </c>
      <c r="H2539" s="3">
        <v>18</v>
      </c>
      <c r="I2539" s="3">
        <v>28</v>
      </c>
      <c r="J2539" s="3">
        <v>1</v>
      </c>
      <c r="K2539" s="3">
        <v>15</v>
      </c>
      <c r="L2539" s="3">
        <v>1</v>
      </c>
      <c r="M2539" s="3">
        <v>30</v>
      </c>
      <c r="N2539" s="3">
        <v>17</v>
      </c>
      <c r="O2539" s="3"/>
      <c r="P2539" s="3"/>
      <c r="Q2539" s="3"/>
    </row>
    <row r="2540" spans="1:17" ht="15" x14ac:dyDescent="0.25">
      <c r="A2540" s="3">
        <f>2533</f>
        <v>2533</v>
      </c>
      <c r="B2540" s="3" t="s">
        <v>2542</v>
      </c>
      <c r="C2540" s="3" t="s">
        <v>9</v>
      </c>
      <c r="D2540" s="3" t="s">
        <v>10</v>
      </c>
      <c r="E2540" s="3">
        <v>22</v>
      </c>
      <c r="F2540" s="3">
        <v>0</v>
      </c>
      <c r="G2540" s="3">
        <v>1</v>
      </c>
      <c r="H2540" s="3">
        <v>18</v>
      </c>
      <c r="I2540" s="3">
        <v>28</v>
      </c>
      <c r="J2540" s="3">
        <v>1</v>
      </c>
      <c r="K2540" s="3">
        <v>15</v>
      </c>
      <c r="L2540" s="3">
        <v>1</v>
      </c>
      <c r="M2540" s="3">
        <v>30</v>
      </c>
      <c r="N2540" s="3">
        <v>17</v>
      </c>
      <c r="O2540" s="3"/>
      <c r="P2540" s="3"/>
      <c r="Q2540" s="3"/>
    </row>
    <row r="2541" spans="1:17" ht="15" x14ac:dyDescent="0.25">
      <c r="A2541" s="3">
        <f>2534</f>
        <v>2534</v>
      </c>
      <c r="B2541" s="3" t="s">
        <v>2543</v>
      </c>
      <c r="C2541" s="3" t="s">
        <v>9</v>
      </c>
      <c r="D2541" s="3" t="s">
        <v>10</v>
      </c>
      <c r="E2541" s="3">
        <v>22</v>
      </c>
      <c r="F2541" s="3">
        <v>0</v>
      </c>
      <c r="G2541" s="3">
        <v>1</v>
      </c>
      <c r="H2541" s="3">
        <v>18</v>
      </c>
      <c r="I2541" s="3">
        <v>28</v>
      </c>
      <c r="J2541" s="3">
        <v>1</v>
      </c>
      <c r="K2541" s="3">
        <v>15</v>
      </c>
      <c r="L2541" s="3">
        <v>1</v>
      </c>
      <c r="M2541" s="3">
        <v>30</v>
      </c>
      <c r="N2541" s="3">
        <v>17</v>
      </c>
      <c r="O2541" s="3"/>
      <c r="P2541" s="3"/>
      <c r="Q2541" s="3"/>
    </row>
    <row r="2542" spans="1:17" ht="15" x14ac:dyDescent="0.25">
      <c r="A2542" s="3">
        <f>2535</f>
        <v>2535</v>
      </c>
      <c r="B2542" s="3" t="s">
        <v>2544</v>
      </c>
      <c r="C2542" s="3" t="s">
        <v>9</v>
      </c>
      <c r="D2542" s="3" t="s">
        <v>10</v>
      </c>
      <c r="E2542" s="3">
        <v>22</v>
      </c>
      <c r="F2542" s="3">
        <v>0</v>
      </c>
      <c r="G2542" s="3">
        <v>1</v>
      </c>
      <c r="H2542" s="3">
        <v>18</v>
      </c>
      <c r="I2542" s="3">
        <v>28</v>
      </c>
      <c r="J2542" s="3">
        <v>1</v>
      </c>
      <c r="K2542" s="3">
        <v>15</v>
      </c>
      <c r="L2542" s="3">
        <v>1</v>
      </c>
      <c r="M2542" s="3">
        <v>30</v>
      </c>
      <c r="N2542" s="3">
        <v>17</v>
      </c>
      <c r="O2542" s="3"/>
      <c r="P2542" s="3"/>
      <c r="Q2542" s="3"/>
    </row>
    <row r="2543" spans="1:17" ht="15" x14ac:dyDescent="0.25">
      <c r="A2543" s="3">
        <f>2536</f>
        <v>2536</v>
      </c>
      <c r="B2543" s="3" t="s">
        <v>2545</v>
      </c>
      <c r="C2543" s="3" t="s">
        <v>9</v>
      </c>
      <c r="D2543" s="3" t="s">
        <v>10</v>
      </c>
      <c r="E2543" s="3">
        <v>22</v>
      </c>
      <c r="F2543" s="3">
        <v>0</v>
      </c>
      <c r="G2543" s="3">
        <v>1</v>
      </c>
      <c r="H2543" s="3">
        <v>18</v>
      </c>
      <c r="I2543" s="3">
        <v>28</v>
      </c>
      <c r="J2543" s="3">
        <v>1</v>
      </c>
      <c r="K2543" s="3">
        <v>15</v>
      </c>
      <c r="L2543" s="3">
        <v>1</v>
      </c>
      <c r="M2543" s="3">
        <v>30</v>
      </c>
      <c r="N2543" s="3">
        <v>17</v>
      </c>
      <c r="O2543" s="3"/>
      <c r="P2543" s="3"/>
      <c r="Q2543" s="3"/>
    </row>
    <row r="2544" spans="1:17" ht="15" x14ac:dyDescent="0.25">
      <c r="A2544" s="3">
        <f>2537</f>
        <v>2537</v>
      </c>
      <c r="B2544" s="3" t="s">
        <v>2546</v>
      </c>
      <c r="C2544" s="3" t="s">
        <v>9</v>
      </c>
      <c r="D2544" s="3" t="s">
        <v>10</v>
      </c>
      <c r="E2544" s="3">
        <v>22</v>
      </c>
      <c r="F2544" s="3">
        <v>0</v>
      </c>
      <c r="G2544" s="3">
        <v>1</v>
      </c>
      <c r="H2544" s="3">
        <v>18</v>
      </c>
      <c r="I2544" s="3">
        <v>28</v>
      </c>
      <c r="J2544" s="3">
        <v>1</v>
      </c>
      <c r="K2544" s="3">
        <v>15</v>
      </c>
      <c r="L2544" s="3">
        <v>1</v>
      </c>
      <c r="M2544" s="3">
        <v>30</v>
      </c>
      <c r="N2544" s="3">
        <v>17</v>
      </c>
      <c r="O2544" s="3"/>
      <c r="P2544" s="3"/>
      <c r="Q2544" s="3"/>
    </row>
    <row r="2545" spans="1:17" ht="15" x14ac:dyDescent="0.25">
      <c r="A2545" s="3">
        <f>2538</f>
        <v>2538</v>
      </c>
      <c r="B2545" s="3" t="s">
        <v>2547</v>
      </c>
      <c r="C2545" s="3" t="s">
        <v>9</v>
      </c>
      <c r="D2545" s="3" t="s">
        <v>10</v>
      </c>
      <c r="E2545" s="3">
        <v>22</v>
      </c>
      <c r="F2545" s="3">
        <v>0</v>
      </c>
      <c r="G2545" s="3">
        <v>1</v>
      </c>
      <c r="H2545" s="3">
        <v>18</v>
      </c>
      <c r="I2545" s="3">
        <v>28</v>
      </c>
      <c r="J2545" s="3">
        <v>1</v>
      </c>
      <c r="K2545" s="3">
        <v>15</v>
      </c>
      <c r="L2545" s="3">
        <v>1</v>
      </c>
      <c r="M2545" s="3">
        <v>30</v>
      </c>
      <c r="N2545" s="3">
        <v>17</v>
      </c>
      <c r="O2545" s="3"/>
      <c r="P2545" s="3"/>
      <c r="Q2545" s="3"/>
    </row>
    <row r="2546" spans="1:17" ht="15" x14ac:dyDescent="0.25">
      <c r="A2546" s="3">
        <f>2539</f>
        <v>2539</v>
      </c>
      <c r="B2546" s="3" t="s">
        <v>2548</v>
      </c>
      <c r="C2546" s="3" t="s">
        <v>9</v>
      </c>
      <c r="D2546" s="3" t="s">
        <v>10</v>
      </c>
      <c r="E2546" s="3">
        <v>22</v>
      </c>
      <c r="F2546" s="3">
        <v>0</v>
      </c>
      <c r="G2546" s="3">
        <v>1</v>
      </c>
      <c r="H2546" s="3">
        <v>18</v>
      </c>
      <c r="I2546" s="3">
        <v>28</v>
      </c>
      <c r="J2546" s="3">
        <v>1</v>
      </c>
      <c r="K2546" s="3">
        <v>15</v>
      </c>
      <c r="L2546" s="3">
        <v>1</v>
      </c>
      <c r="M2546" s="3">
        <v>30</v>
      </c>
      <c r="N2546" s="3">
        <v>17</v>
      </c>
      <c r="O2546" s="3"/>
      <c r="P2546" s="3"/>
      <c r="Q2546" s="3"/>
    </row>
    <row r="2547" spans="1:17" ht="15" x14ac:dyDescent="0.25">
      <c r="A2547" s="3">
        <f>2540</f>
        <v>2540</v>
      </c>
      <c r="B2547" s="3" t="s">
        <v>2549</v>
      </c>
      <c r="C2547" s="3" t="s">
        <v>9</v>
      </c>
      <c r="D2547" s="3" t="s">
        <v>10</v>
      </c>
      <c r="E2547" s="3">
        <v>22</v>
      </c>
      <c r="F2547" s="3">
        <v>0</v>
      </c>
      <c r="G2547" s="3">
        <v>1</v>
      </c>
      <c r="H2547" s="3">
        <v>18</v>
      </c>
      <c r="I2547" s="3">
        <v>28</v>
      </c>
      <c r="J2547" s="3">
        <v>1</v>
      </c>
      <c r="K2547" s="3">
        <v>15</v>
      </c>
      <c r="L2547" s="3">
        <v>1</v>
      </c>
      <c r="M2547" s="3">
        <v>30</v>
      </c>
      <c r="N2547" s="3">
        <v>17</v>
      </c>
      <c r="O2547" s="3"/>
      <c r="P2547" s="3"/>
      <c r="Q2547" s="3"/>
    </row>
    <row r="2548" spans="1:17" ht="15" x14ac:dyDescent="0.25">
      <c r="A2548" s="3">
        <f>2541</f>
        <v>2541</v>
      </c>
      <c r="B2548" s="3" t="s">
        <v>2550</v>
      </c>
      <c r="C2548" s="3" t="s">
        <v>9</v>
      </c>
      <c r="D2548" s="3" t="s">
        <v>10</v>
      </c>
      <c r="E2548" s="3">
        <v>22</v>
      </c>
      <c r="F2548" s="3">
        <v>0</v>
      </c>
      <c r="G2548" s="3">
        <v>1</v>
      </c>
      <c r="H2548" s="3">
        <v>18</v>
      </c>
      <c r="I2548" s="3">
        <v>28</v>
      </c>
      <c r="J2548" s="3">
        <v>1</v>
      </c>
      <c r="K2548" s="3">
        <v>15</v>
      </c>
      <c r="L2548" s="3">
        <v>1</v>
      </c>
      <c r="M2548" s="3">
        <v>30</v>
      </c>
      <c r="N2548" s="3">
        <v>17</v>
      </c>
      <c r="O2548" s="3"/>
      <c r="P2548" s="3"/>
      <c r="Q2548" s="3"/>
    </row>
    <row r="2549" spans="1:17" ht="15" x14ac:dyDescent="0.25">
      <c r="A2549" s="3">
        <f>2542</f>
        <v>2542</v>
      </c>
      <c r="B2549" s="3" t="s">
        <v>2551</v>
      </c>
      <c r="C2549" s="3" t="s">
        <v>9</v>
      </c>
      <c r="D2549" s="3" t="s">
        <v>10</v>
      </c>
      <c r="E2549" s="3">
        <v>22</v>
      </c>
      <c r="F2549" s="3">
        <v>0</v>
      </c>
      <c r="G2549" s="3">
        <v>1</v>
      </c>
      <c r="H2549" s="3">
        <v>18</v>
      </c>
      <c r="I2549" s="3">
        <v>28</v>
      </c>
      <c r="J2549" s="3">
        <v>1</v>
      </c>
      <c r="K2549" s="3">
        <v>15</v>
      </c>
      <c r="L2549" s="3">
        <v>1</v>
      </c>
      <c r="M2549" s="3">
        <v>30</v>
      </c>
      <c r="N2549" s="3">
        <v>17</v>
      </c>
      <c r="O2549" s="3"/>
      <c r="P2549" s="3"/>
      <c r="Q2549" s="3"/>
    </row>
    <row r="2550" spans="1:17" ht="15" x14ac:dyDescent="0.25">
      <c r="A2550" s="3">
        <f>2543</f>
        <v>2543</v>
      </c>
      <c r="B2550" s="3" t="s">
        <v>2552</v>
      </c>
      <c r="C2550" s="3" t="s">
        <v>9</v>
      </c>
      <c r="D2550" s="3" t="s">
        <v>10</v>
      </c>
      <c r="E2550" s="3">
        <v>22</v>
      </c>
      <c r="F2550" s="3">
        <v>0</v>
      </c>
      <c r="G2550" s="3">
        <v>1</v>
      </c>
      <c r="H2550" s="3">
        <v>18</v>
      </c>
      <c r="I2550" s="3">
        <v>28</v>
      </c>
      <c r="J2550" s="3">
        <v>1</v>
      </c>
      <c r="K2550" s="3">
        <v>15</v>
      </c>
      <c r="L2550" s="3">
        <v>1</v>
      </c>
      <c r="M2550" s="3">
        <v>30</v>
      </c>
      <c r="N2550" s="3">
        <v>17</v>
      </c>
      <c r="O2550" s="3"/>
      <c r="P2550" s="3"/>
      <c r="Q2550" s="3"/>
    </row>
    <row r="2551" spans="1:17" ht="15" x14ac:dyDescent="0.25">
      <c r="A2551" s="3">
        <f>2544</f>
        <v>2544</v>
      </c>
      <c r="B2551" s="3" t="s">
        <v>2553</v>
      </c>
      <c r="C2551" s="3" t="s">
        <v>9</v>
      </c>
      <c r="D2551" s="3" t="s">
        <v>10</v>
      </c>
      <c r="E2551" s="3">
        <v>22</v>
      </c>
      <c r="F2551" s="3">
        <v>0</v>
      </c>
      <c r="G2551" s="3">
        <v>1</v>
      </c>
      <c r="H2551" s="3">
        <v>18</v>
      </c>
      <c r="I2551" s="3">
        <v>28</v>
      </c>
      <c r="J2551" s="3">
        <v>1</v>
      </c>
      <c r="K2551" s="3">
        <v>15</v>
      </c>
      <c r="L2551" s="3">
        <v>1</v>
      </c>
      <c r="M2551" s="3">
        <v>30</v>
      </c>
      <c r="N2551" s="3">
        <v>17</v>
      </c>
      <c r="O2551" s="3"/>
      <c r="P2551" s="3"/>
      <c r="Q2551" s="3"/>
    </row>
    <row r="2552" spans="1:17" ht="15" x14ac:dyDescent="0.25">
      <c r="A2552" s="3">
        <f>2545</f>
        <v>2545</v>
      </c>
      <c r="B2552" s="3" t="s">
        <v>2554</v>
      </c>
      <c r="C2552" s="3" t="s">
        <v>9</v>
      </c>
      <c r="D2552" s="3" t="s">
        <v>10</v>
      </c>
      <c r="E2552" s="3">
        <v>22</v>
      </c>
      <c r="F2552" s="3">
        <v>0</v>
      </c>
      <c r="G2552" s="3">
        <v>1</v>
      </c>
      <c r="H2552" s="3">
        <v>18</v>
      </c>
      <c r="I2552" s="3">
        <v>28</v>
      </c>
      <c r="J2552" s="3">
        <v>1</v>
      </c>
      <c r="K2552" s="3">
        <v>15</v>
      </c>
      <c r="L2552" s="3">
        <v>1</v>
      </c>
      <c r="M2552" s="3">
        <v>30</v>
      </c>
      <c r="N2552" s="3">
        <v>17</v>
      </c>
      <c r="O2552" s="3"/>
      <c r="P2552" s="3"/>
      <c r="Q2552" s="3"/>
    </row>
    <row r="2553" spans="1:17" ht="15" x14ac:dyDescent="0.25">
      <c r="A2553" s="3">
        <f>2546</f>
        <v>2546</v>
      </c>
      <c r="B2553" s="3" t="s">
        <v>2555</v>
      </c>
      <c r="C2553" s="3" t="s">
        <v>9</v>
      </c>
      <c r="D2553" s="3" t="s">
        <v>10</v>
      </c>
      <c r="E2553" s="3">
        <v>22</v>
      </c>
      <c r="F2553" s="3">
        <v>0</v>
      </c>
      <c r="G2553" s="3">
        <v>1</v>
      </c>
      <c r="H2553" s="3">
        <v>18</v>
      </c>
      <c r="I2553" s="3">
        <v>28</v>
      </c>
      <c r="J2553" s="3">
        <v>1</v>
      </c>
      <c r="K2553" s="3">
        <v>15</v>
      </c>
      <c r="L2553" s="3">
        <v>1</v>
      </c>
      <c r="M2553" s="3">
        <v>30</v>
      </c>
      <c r="N2553" s="3">
        <v>17</v>
      </c>
      <c r="O2553" s="3"/>
      <c r="P2553" s="3"/>
      <c r="Q2553" s="3"/>
    </row>
    <row r="2554" spans="1:17" ht="15" x14ac:dyDescent="0.25">
      <c r="A2554" s="3">
        <f>2547</f>
        <v>2547</v>
      </c>
      <c r="B2554" s="3" t="s">
        <v>2556</v>
      </c>
      <c r="C2554" s="3" t="s">
        <v>9</v>
      </c>
      <c r="D2554" s="3" t="s">
        <v>10</v>
      </c>
      <c r="E2554" s="3">
        <v>22</v>
      </c>
      <c r="F2554" s="3">
        <v>0</v>
      </c>
      <c r="G2554" s="3">
        <v>1</v>
      </c>
      <c r="H2554" s="3">
        <v>18</v>
      </c>
      <c r="I2554" s="3">
        <v>28</v>
      </c>
      <c r="J2554" s="3">
        <v>1</v>
      </c>
      <c r="K2554" s="3">
        <v>15</v>
      </c>
      <c r="L2554" s="3">
        <v>1</v>
      </c>
      <c r="M2554" s="3">
        <v>30</v>
      </c>
      <c r="N2554" s="3">
        <v>17</v>
      </c>
      <c r="O2554" s="3"/>
      <c r="P2554" s="3"/>
      <c r="Q2554" s="3"/>
    </row>
    <row r="2555" spans="1:17" ht="15" x14ac:dyDescent="0.25">
      <c r="A2555" s="3">
        <f>2548</f>
        <v>2548</v>
      </c>
      <c r="B2555" s="3" t="s">
        <v>2557</v>
      </c>
      <c r="C2555" s="3" t="s">
        <v>9</v>
      </c>
      <c r="D2555" s="3" t="s">
        <v>10</v>
      </c>
      <c r="E2555" s="3">
        <v>22</v>
      </c>
      <c r="F2555" s="3">
        <v>0</v>
      </c>
      <c r="G2555" s="3">
        <v>1</v>
      </c>
      <c r="H2555" s="3">
        <v>18</v>
      </c>
      <c r="I2555" s="3">
        <v>28</v>
      </c>
      <c r="J2555" s="3">
        <v>1</v>
      </c>
      <c r="K2555" s="3">
        <v>15</v>
      </c>
      <c r="L2555" s="3">
        <v>1</v>
      </c>
      <c r="M2555" s="3">
        <v>30</v>
      </c>
      <c r="N2555" s="3">
        <v>17</v>
      </c>
      <c r="O2555" s="3"/>
      <c r="P2555" s="3"/>
      <c r="Q2555" s="3"/>
    </row>
    <row r="2556" spans="1:17" ht="15" x14ac:dyDescent="0.25">
      <c r="A2556" s="3">
        <f>2549</f>
        <v>2549</v>
      </c>
      <c r="B2556" s="3" t="s">
        <v>2558</v>
      </c>
      <c r="C2556" s="3" t="s">
        <v>9</v>
      </c>
      <c r="D2556" s="3" t="s">
        <v>10</v>
      </c>
      <c r="E2556" s="3">
        <v>22</v>
      </c>
      <c r="F2556" s="3">
        <v>0</v>
      </c>
      <c r="G2556" s="3">
        <v>1</v>
      </c>
      <c r="H2556" s="3">
        <v>18</v>
      </c>
      <c r="I2556" s="3">
        <v>28</v>
      </c>
      <c r="J2556" s="3">
        <v>1</v>
      </c>
      <c r="K2556" s="3">
        <v>15</v>
      </c>
      <c r="L2556" s="3">
        <v>1</v>
      </c>
      <c r="M2556" s="3">
        <v>30</v>
      </c>
      <c r="N2556" s="3">
        <v>17</v>
      </c>
      <c r="O2556" s="3"/>
      <c r="P2556" s="3"/>
      <c r="Q2556" s="3"/>
    </row>
    <row r="2557" spans="1:17" ht="15" x14ac:dyDescent="0.25">
      <c r="A2557" s="3">
        <f>2550</f>
        <v>2550</v>
      </c>
      <c r="B2557" s="3" t="s">
        <v>2559</v>
      </c>
      <c r="C2557" s="3" t="s">
        <v>9</v>
      </c>
      <c r="D2557" s="3" t="s">
        <v>10</v>
      </c>
      <c r="E2557" s="3">
        <v>22</v>
      </c>
      <c r="F2557" s="3">
        <v>0</v>
      </c>
      <c r="G2557" s="3">
        <v>1</v>
      </c>
      <c r="H2557" s="3">
        <v>18</v>
      </c>
      <c r="I2557" s="3">
        <v>28</v>
      </c>
      <c r="J2557" s="3">
        <v>1</v>
      </c>
      <c r="K2557" s="3">
        <v>15</v>
      </c>
      <c r="L2557" s="3">
        <v>1</v>
      </c>
      <c r="M2557" s="3">
        <v>30</v>
      </c>
      <c r="N2557" s="3">
        <v>17</v>
      </c>
      <c r="O2557" s="3"/>
      <c r="P2557" s="3"/>
      <c r="Q2557" s="3"/>
    </row>
    <row r="2558" spans="1:17" ht="15" x14ac:dyDescent="0.25">
      <c r="A2558" s="3">
        <f>2551</f>
        <v>2551</v>
      </c>
      <c r="B2558" s="3" t="s">
        <v>2560</v>
      </c>
      <c r="C2558" s="3" t="s">
        <v>9</v>
      </c>
      <c r="D2558" s="3" t="s">
        <v>10</v>
      </c>
      <c r="E2558" s="3">
        <v>22</v>
      </c>
      <c r="F2558" s="3">
        <v>0</v>
      </c>
      <c r="G2558" s="3">
        <v>1</v>
      </c>
      <c r="H2558" s="3">
        <v>18</v>
      </c>
      <c r="I2558" s="3">
        <v>28</v>
      </c>
      <c r="J2558" s="3">
        <v>1</v>
      </c>
      <c r="K2558" s="3">
        <v>15</v>
      </c>
      <c r="L2558" s="3">
        <v>1</v>
      </c>
      <c r="M2558" s="3">
        <v>30</v>
      </c>
      <c r="N2558" s="3">
        <v>17</v>
      </c>
      <c r="O2558" s="3"/>
      <c r="P2558" s="3"/>
      <c r="Q2558" s="3"/>
    </row>
    <row r="2559" spans="1:17" ht="15" x14ac:dyDescent="0.25">
      <c r="A2559" s="3">
        <f>2552</f>
        <v>2552</v>
      </c>
      <c r="B2559" s="3" t="s">
        <v>2561</v>
      </c>
      <c r="C2559" s="3" t="s">
        <v>9</v>
      </c>
      <c r="D2559" s="3" t="s">
        <v>10</v>
      </c>
      <c r="E2559" s="3">
        <v>22</v>
      </c>
      <c r="F2559" s="3">
        <v>0</v>
      </c>
      <c r="G2559" s="3">
        <v>1</v>
      </c>
      <c r="H2559" s="3">
        <v>18</v>
      </c>
      <c r="I2559" s="3">
        <v>28</v>
      </c>
      <c r="J2559" s="3">
        <v>1</v>
      </c>
      <c r="K2559" s="3">
        <v>15</v>
      </c>
      <c r="L2559" s="3">
        <v>1</v>
      </c>
      <c r="M2559" s="3">
        <v>30</v>
      </c>
      <c r="N2559" s="3">
        <v>17</v>
      </c>
      <c r="O2559" s="3"/>
      <c r="P2559" s="3"/>
      <c r="Q2559" s="3"/>
    </row>
    <row r="2560" spans="1:17" ht="15" x14ac:dyDescent="0.25">
      <c r="A2560" s="3">
        <f>2553</f>
        <v>2553</v>
      </c>
      <c r="B2560" s="3" t="s">
        <v>2562</v>
      </c>
      <c r="C2560" s="3" t="s">
        <v>9</v>
      </c>
      <c r="D2560" s="3" t="s">
        <v>10</v>
      </c>
      <c r="E2560" s="3">
        <v>22</v>
      </c>
      <c r="F2560" s="3">
        <v>0</v>
      </c>
      <c r="G2560" s="3">
        <v>1</v>
      </c>
      <c r="H2560" s="3">
        <v>18</v>
      </c>
      <c r="I2560" s="3">
        <v>28</v>
      </c>
      <c r="J2560" s="3">
        <v>1</v>
      </c>
      <c r="K2560" s="3">
        <v>15</v>
      </c>
      <c r="L2560" s="3">
        <v>1</v>
      </c>
      <c r="M2560" s="3">
        <v>30</v>
      </c>
      <c r="N2560" s="3">
        <v>17</v>
      </c>
      <c r="O2560" s="3"/>
      <c r="P2560" s="3"/>
      <c r="Q2560" s="3"/>
    </row>
    <row r="2561" spans="1:17" ht="15" x14ac:dyDescent="0.25">
      <c r="A2561" s="3">
        <f>2554</f>
        <v>2554</v>
      </c>
      <c r="B2561" s="3" t="s">
        <v>2563</v>
      </c>
      <c r="C2561" s="3" t="s">
        <v>9</v>
      </c>
      <c r="D2561" s="3" t="s">
        <v>10</v>
      </c>
      <c r="E2561" s="3">
        <v>22</v>
      </c>
      <c r="F2561" s="3">
        <v>0</v>
      </c>
      <c r="G2561" s="3">
        <v>1</v>
      </c>
      <c r="H2561" s="3">
        <v>18</v>
      </c>
      <c r="I2561" s="3">
        <v>28</v>
      </c>
      <c r="J2561" s="3">
        <v>1</v>
      </c>
      <c r="K2561" s="3">
        <v>15</v>
      </c>
      <c r="L2561" s="3">
        <v>1</v>
      </c>
      <c r="M2561" s="3">
        <v>30</v>
      </c>
      <c r="N2561" s="3">
        <v>17</v>
      </c>
      <c r="O2561" s="3"/>
      <c r="P2561" s="3"/>
      <c r="Q2561" s="3"/>
    </row>
    <row r="2562" spans="1:17" ht="15" x14ac:dyDescent="0.25">
      <c r="A2562" s="3">
        <f>2555</f>
        <v>2555</v>
      </c>
      <c r="B2562" s="3" t="s">
        <v>2564</v>
      </c>
      <c r="C2562" s="3" t="s">
        <v>9</v>
      </c>
      <c r="D2562" s="3" t="s">
        <v>10</v>
      </c>
      <c r="E2562" s="3">
        <v>22</v>
      </c>
      <c r="F2562" s="3">
        <v>0</v>
      </c>
      <c r="G2562" s="3">
        <v>1</v>
      </c>
      <c r="H2562" s="3">
        <v>18</v>
      </c>
      <c r="I2562" s="3">
        <v>28</v>
      </c>
      <c r="J2562" s="3">
        <v>1</v>
      </c>
      <c r="K2562" s="3">
        <v>15</v>
      </c>
      <c r="L2562" s="3">
        <v>1</v>
      </c>
      <c r="M2562" s="3">
        <v>30</v>
      </c>
      <c r="N2562" s="3">
        <v>17</v>
      </c>
      <c r="O2562" s="3"/>
      <c r="P2562" s="3"/>
      <c r="Q2562" s="3"/>
    </row>
    <row r="2563" spans="1:17" ht="15" x14ac:dyDescent="0.25">
      <c r="A2563" s="3">
        <f>2556</f>
        <v>2556</v>
      </c>
      <c r="B2563" s="3" t="s">
        <v>2565</v>
      </c>
      <c r="C2563" s="3" t="s">
        <v>9</v>
      </c>
      <c r="D2563" s="3" t="s">
        <v>10</v>
      </c>
      <c r="E2563" s="3">
        <v>22</v>
      </c>
      <c r="F2563" s="3">
        <v>0</v>
      </c>
      <c r="G2563" s="3">
        <v>1</v>
      </c>
      <c r="H2563" s="3">
        <v>18</v>
      </c>
      <c r="I2563" s="3">
        <v>28</v>
      </c>
      <c r="J2563" s="3">
        <v>1</v>
      </c>
      <c r="K2563" s="3">
        <v>15</v>
      </c>
      <c r="L2563" s="3">
        <v>1</v>
      </c>
      <c r="M2563" s="3">
        <v>30</v>
      </c>
      <c r="N2563" s="3">
        <v>17</v>
      </c>
      <c r="O2563" s="3"/>
      <c r="P2563" s="3"/>
      <c r="Q2563" s="3"/>
    </row>
    <row r="2564" spans="1:17" ht="15" x14ac:dyDescent="0.25">
      <c r="A2564" s="3">
        <f>2557</f>
        <v>2557</v>
      </c>
      <c r="B2564" s="3" t="s">
        <v>2566</v>
      </c>
      <c r="C2564" s="3" t="s">
        <v>9</v>
      </c>
      <c r="D2564" s="3" t="s">
        <v>10</v>
      </c>
      <c r="E2564" s="3">
        <v>22</v>
      </c>
      <c r="F2564" s="3">
        <v>0</v>
      </c>
      <c r="G2564" s="3">
        <v>1</v>
      </c>
      <c r="H2564" s="3">
        <v>18</v>
      </c>
      <c r="I2564" s="3">
        <v>28</v>
      </c>
      <c r="J2564" s="3">
        <v>1</v>
      </c>
      <c r="K2564" s="3">
        <v>15</v>
      </c>
      <c r="L2564" s="3">
        <v>1</v>
      </c>
      <c r="M2564" s="3">
        <v>30</v>
      </c>
      <c r="N2564" s="3">
        <v>17</v>
      </c>
      <c r="O2564" s="3"/>
      <c r="P2564" s="3"/>
      <c r="Q2564" s="3"/>
    </row>
    <row r="2565" spans="1:17" ht="15" x14ac:dyDescent="0.25">
      <c r="A2565" s="3">
        <f>2558</f>
        <v>2558</v>
      </c>
      <c r="B2565" s="3" t="s">
        <v>2567</v>
      </c>
      <c r="C2565" s="3" t="s">
        <v>9</v>
      </c>
      <c r="D2565" s="3" t="s">
        <v>10</v>
      </c>
      <c r="E2565" s="3">
        <v>22</v>
      </c>
      <c r="F2565" s="3">
        <v>0</v>
      </c>
      <c r="G2565" s="3">
        <v>1</v>
      </c>
      <c r="H2565" s="3">
        <v>18</v>
      </c>
      <c r="I2565" s="3">
        <v>28</v>
      </c>
      <c r="J2565" s="3">
        <v>1</v>
      </c>
      <c r="K2565" s="3">
        <v>15</v>
      </c>
      <c r="L2565" s="3">
        <v>1</v>
      </c>
      <c r="M2565" s="3">
        <v>30</v>
      </c>
      <c r="N2565" s="3">
        <v>17</v>
      </c>
      <c r="O2565" s="3"/>
      <c r="P2565" s="3"/>
      <c r="Q2565" s="3"/>
    </row>
    <row r="2566" spans="1:17" ht="15" x14ac:dyDescent="0.25">
      <c r="A2566" s="3">
        <f>2559</f>
        <v>2559</v>
      </c>
      <c r="B2566" s="3" t="s">
        <v>2568</v>
      </c>
      <c r="C2566" s="3" t="s">
        <v>9</v>
      </c>
      <c r="D2566" s="3" t="s">
        <v>10</v>
      </c>
      <c r="E2566" s="3">
        <v>22</v>
      </c>
      <c r="F2566" s="3">
        <v>0</v>
      </c>
      <c r="G2566" s="3">
        <v>1</v>
      </c>
      <c r="H2566" s="3">
        <v>18</v>
      </c>
      <c r="I2566" s="3">
        <v>28</v>
      </c>
      <c r="J2566" s="3">
        <v>1</v>
      </c>
      <c r="K2566" s="3">
        <v>15</v>
      </c>
      <c r="L2566" s="3">
        <v>1</v>
      </c>
      <c r="M2566" s="3">
        <v>30</v>
      </c>
      <c r="N2566" s="3">
        <v>17</v>
      </c>
      <c r="O2566" s="3"/>
      <c r="P2566" s="3"/>
      <c r="Q2566" s="3"/>
    </row>
    <row r="2567" spans="1:17" ht="15" x14ac:dyDescent="0.25">
      <c r="A2567" s="3">
        <f>2560</f>
        <v>2560</v>
      </c>
      <c r="B2567" s="3" t="s">
        <v>2569</v>
      </c>
      <c r="C2567" s="3" t="s">
        <v>9</v>
      </c>
      <c r="D2567" s="3" t="s">
        <v>10</v>
      </c>
      <c r="E2567" s="3">
        <v>22</v>
      </c>
      <c r="F2567" s="3">
        <v>0</v>
      </c>
      <c r="G2567" s="3">
        <v>1</v>
      </c>
      <c r="H2567" s="3">
        <v>18</v>
      </c>
      <c r="I2567" s="3">
        <v>28</v>
      </c>
      <c r="J2567" s="3">
        <v>1</v>
      </c>
      <c r="K2567" s="3">
        <v>15</v>
      </c>
      <c r="L2567" s="3">
        <v>1</v>
      </c>
      <c r="M2567" s="3">
        <v>30</v>
      </c>
      <c r="N2567" s="3">
        <v>17</v>
      </c>
      <c r="O2567" s="3"/>
      <c r="P2567" s="3"/>
      <c r="Q2567" s="3"/>
    </row>
    <row r="2568" spans="1:17" ht="15" x14ac:dyDescent="0.25">
      <c r="A2568" s="3">
        <f>2561</f>
        <v>2561</v>
      </c>
      <c r="B2568" s="3" t="s">
        <v>2570</v>
      </c>
      <c r="C2568" s="3" t="s">
        <v>9</v>
      </c>
      <c r="D2568" s="3" t="s">
        <v>10</v>
      </c>
      <c r="E2568" s="3">
        <v>22</v>
      </c>
      <c r="F2568" s="3">
        <v>0</v>
      </c>
      <c r="G2568" s="3">
        <v>1</v>
      </c>
      <c r="H2568" s="3">
        <v>18</v>
      </c>
      <c r="I2568" s="3">
        <v>28</v>
      </c>
      <c r="J2568" s="3">
        <v>1</v>
      </c>
      <c r="K2568" s="3">
        <v>15</v>
      </c>
      <c r="L2568" s="3">
        <v>1</v>
      </c>
      <c r="M2568" s="3">
        <v>30</v>
      </c>
      <c r="N2568" s="3">
        <v>17</v>
      </c>
      <c r="O2568" s="3"/>
      <c r="P2568" s="3"/>
      <c r="Q2568" s="3"/>
    </row>
    <row r="2569" spans="1:17" ht="15" x14ac:dyDescent="0.25">
      <c r="A2569" s="3">
        <f>2562</f>
        <v>2562</v>
      </c>
      <c r="B2569" s="3" t="s">
        <v>2571</v>
      </c>
      <c r="C2569" s="3" t="s">
        <v>9</v>
      </c>
      <c r="D2569" s="3" t="s">
        <v>10</v>
      </c>
      <c r="E2569" s="3">
        <v>22</v>
      </c>
      <c r="F2569" s="3">
        <v>0</v>
      </c>
      <c r="G2569" s="3">
        <v>1</v>
      </c>
      <c r="H2569" s="3">
        <v>18</v>
      </c>
      <c r="I2569" s="3">
        <v>28</v>
      </c>
      <c r="J2569" s="3">
        <v>1</v>
      </c>
      <c r="K2569" s="3">
        <v>15</v>
      </c>
      <c r="L2569" s="3">
        <v>1</v>
      </c>
      <c r="M2569" s="3">
        <v>30</v>
      </c>
      <c r="N2569" s="3">
        <v>17</v>
      </c>
      <c r="O2569" s="3"/>
      <c r="P2569" s="3"/>
      <c r="Q2569" s="3"/>
    </row>
    <row r="2570" spans="1:17" ht="15" x14ac:dyDescent="0.25">
      <c r="A2570" s="3">
        <f>2563</f>
        <v>2563</v>
      </c>
      <c r="B2570" s="3" t="s">
        <v>2572</v>
      </c>
      <c r="C2570" s="3" t="s">
        <v>9</v>
      </c>
      <c r="D2570" s="3" t="s">
        <v>10</v>
      </c>
      <c r="E2570" s="3">
        <v>22</v>
      </c>
      <c r="F2570" s="3">
        <v>0</v>
      </c>
      <c r="G2570" s="3">
        <v>1</v>
      </c>
      <c r="H2570" s="3">
        <v>18</v>
      </c>
      <c r="I2570" s="3">
        <v>28</v>
      </c>
      <c r="J2570" s="3">
        <v>1</v>
      </c>
      <c r="K2570" s="3">
        <v>15</v>
      </c>
      <c r="L2570" s="3">
        <v>1</v>
      </c>
      <c r="M2570" s="3">
        <v>30</v>
      </c>
      <c r="N2570" s="3">
        <v>17</v>
      </c>
      <c r="O2570" s="3"/>
      <c r="P2570" s="3"/>
      <c r="Q2570" s="3"/>
    </row>
    <row r="2571" spans="1:17" ht="15" x14ac:dyDescent="0.25">
      <c r="A2571" s="3">
        <f>2564</f>
        <v>2564</v>
      </c>
      <c r="B2571" s="3" t="s">
        <v>2573</v>
      </c>
      <c r="C2571" s="3" t="s">
        <v>9</v>
      </c>
      <c r="D2571" s="3" t="s">
        <v>10</v>
      </c>
      <c r="E2571" s="3">
        <v>22</v>
      </c>
      <c r="F2571" s="3">
        <v>0</v>
      </c>
      <c r="G2571" s="3">
        <v>1</v>
      </c>
      <c r="H2571" s="3">
        <v>18</v>
      </c>
      <c r="I2571" s="3">
        <v>28</v>
      </c>
      <c r="J2571" s="3">
        <v>1</v>
      </c>
      <c r="K2571" s="3">
        <v>15</v>
      </c>
      <c r="L2571" s="3">
        <v>1</v>
      </c>
      <c r="M2571" s="3">
        <v>30</v>
      </c>
      <c r="N2571" s="3">
        <v>17</v>
      </c>
      <c r="O2571" s="3"/>
      <c r="P2571" s="3"/>
      <c r="Q2571" s="3"/>
    </row>
    <row r="2572" spans="1:17" ht="15" x14ac:dyDescent="0.25">
      <c r="A2572" s="3">
        <f>2565</f>
        <v>2565</v>
      </c>
      <c r="B2572" s="3" t="s">
        <v>2574</v>
      </c>
      <c r="C2572" s="3" t="s">
        <v>9</v>
      </c>
      <c r="D2572" s="3" t="s">
        <v>10</v>
      </c>
      <c r="E2572" s="3">
        <v>22</v>
      </c>
      <c r="F2572" s="3">
        <v>0</v>
      </c>
      <c r="G2572" s="3">
        <v>1</v>
      </c>
      <c r="H2572" s="3">
        <v>18</v>
      </c>
      <c r="I2572" s="3">
        <v>28</v>
      </c>
      <c r="J2572" s="3">
        <v>1</v>
      </c>
      <c r="K2572" s="3">
        <v>15</v>
      </c>
      <c r="L2572" s="3">
        <v>1</v>
      </c>
      <c r="M2572" s="3">
        <v>30</v>
      </c>
      <c r="N2572" s="3">
        <v>17</v>
      </c>
      <c r="O2572" s="3"/>
      <c r="P2572" s="3"/>
      <c r="Q2572" s="3"/>
    </row>
    <row r="2573" spans="1:17" ht="15" x14ac:dyDescent="0.25">
      <c r="A2573" s="3">
        <f>2566</f>
        <v>2566</v>
      </c>
      <c r="B2573" s="3" t="s">
        <v>2575</v>
      </c>
      <c r="C2573" s="3" t="s">
        <v>9</v>
      </c>
      <c r="D2573" s="3" t="s">
        <v>10</v>
      </c>
      <c r="E2573" s="3">
        <v>22</v>
      </c>
      <c r="F2573" s="3">
        <v>0</v>
      </c>
      <c r="G2573" s="3">
        <v>1</v>
      </c>
      <c r="H2573" s="3">
        <v>18</v>
      </c>
      <c r="I2573" s="3">
        <v>28</v>
      </c>
      <c r="J2573" s="3">
        <v>1</v>
      </c>
      <c r="K2573" s="3">
        <v>15</v>
      </c>
      <c r="L2573" s="3">
        <v>1</v>
      </c>
      <c r="M2573" s="3">
        <v>30</v>
      </c>
      <c r="N2573" s="3">
        <v>17</v>
      </c>
      <c r="O2573" s="3"/>
      <c r="P2573" s="3"/>
      <c r="Q2573" s="3"/>
    </row>
    <row r="2574" spans="1:17" ht="15" x14ac:dyDescent="0.25">
      <c r="A2574" s="3">
        <f>2567</f>
        <v>2567</v>
      </c>
      <c r="B2574" s="3" t="s">
        <v>2576</v>
      </c>
      <c r="C2574" s="3" t="s">
        <v>9</v>
      </c>
      <c r="D2574" s="3" t="s">
        <v>10</v>
      </c>
      <c r="E2574" s="3">
        <v>22</v>
      </c>
      <c r="F2574" s="3">
        <v>0</v>
      </c>
      <c r="G2574" s="3">
        <v>1</v>
      </c>
      <c r="H2574" s="3">
        <v>18</v>
      </c>
      <c r="I2574" s="3">
        <v>28</v>
      </c>
      <c r="J2574" s="3">
        <v>1</v>
      </c>
      <c r="K2574" s="3">
        <v>15</v>
      </c>
      <c r="L2574" s="3">
        <v>1</v>
      </c>
      <c r="M2574" s="3">
        <v>30</v>
      </c>
      <c r="N2574" s="3">
        <v>17</v>
      </c>
      <c r="O2574" s="3"/>
      <c r="P2574" s="3"/>
      <c r="Q2574" s="3"/>
    </row>
    <row r="2575" spans="1:17" ht="15" x14ac:dyDescent="0.25">
      <c r="A2575" s="3">
        <f>2568</f>
        <v>2568</v>
      </c>
      <c r="B2575" s="3" t="s">
        <v>2577</v>
      </c>
      <c r="C2575" s="3" t="s">
        <v>9</v>
      </c>
      <c r="D2575" s="3" t="s">
        <v>10</v>
      </c>
      <c r="E2575" s="3">
        <v>22</v>
      </c>
      <c r="F2575" s="3">
        <v>0</v>
      </c>
      <c r="G2575" s="3">
        <v>1</v>
      </c>
      <c r="H2575" s="3">
        <v>18</v>
      </c>
      <c r="I2575" s="3">
        <v>28</v>
      </c>
      <c r="J2575" s="3">
        <v>1</v>
      </c>
      <c r="K2575" s="3">
        <v>15</v>
      </c>
      <c r="L2575" s="3">
        <v>1</v>
      </c>
      <c r="M2575" s="3">
        <v>30</v>
      </c>
      <c r="N2575" s="3">
        <v>17</v>
      </c>
      <c r="O2575" s="3"/>
      <c r="P2575" s="3"/>
      <c r="Q2575" s="3"/>
    </row>
    <row r="2576" spans="1:17" ht="15" x14ac:dyDescent="0.25">
      <c r="A2576" s="3">
        <f>2569</f>
        <v>2569</v>
      </c>
      <c r="B2576" s="3" t="s">
        <v>2578</v>
      </c>
      <c r="C2576" s="3" t="s">
        <v>9</v>
      </c>
      <c r="D2576" s="3" t="s">
        <v>10</v>
      </c>
      <c r="E2576" s="3">
        <v>22</v>
      </c>
      <c r="F2576" s="3">
        <v>0</v>
      </c>
      <c r="G2576" s="3">
        <v>1</v>
      </c>
      <c r="H2576" s="3">
        <v>18</v>
      </c>
      <c r="I2576" s="3">
        <v>28</v>
      </c>
      <c r="J2576" s="3">
        <v>1</v>
      </c>
      <c r="K2576" s="3">
        <v>15</v>
      </c>
      <c r="L2576" s="3">
        <v>1</v>
      </c>
      <c r="M2576" s="3">
        <v>30</v>
      </c>
      <c r="N2576" s="3">
        <v>17</v>
      </c>
      <c r="O2576" s="3"/>
      <c r="P2576" s="3"/>
      <c r="Q2576" s="3"/>
    </row>
    <row r="2577" spans="1:17" ht="15" x14ac:dyDescent="0.25">
      <c r="A2577" s="3">
        <f>2570</f>
        <v>2570</v>
      </c>
      <c r="B2577" s="3" t="s">
        <v>2579</v>
      </c>
      <c r="C2577" s="3" t="s">
        <v>9</v>
      </c>
      <c r="D2577" s="3" t="s">
        <v>10</v>
      </c>
      <c r="E2577" s="3">
        <v>22</v>
      </c>
      <c r="F2577" s="3">
        <v>0</v>
      </c>
      <c r="G2577" s="3">
        <v>1</v>
      </c>
      <c r="H2577" s="3">
        <v>18</v>
      </c>
      <c r="I2577" s="3">
        <v>28</v>
      </c>
      <c r="J2577" s="3">
        <v>1</v>
      </c>
      <c r="K2577" s="3">
        <v>15</v>
      </c>
      <c r="L2577" s="3">
        <v>1</v>
      </c>
      <c r="M2577" s="3">
        <v>30</v>
      </c>
      <c r="N2577" s="3">
        <v>17</v>
      </c>
      <c r="O2577" s="3"/>
      <c r="P2577" s="3"/>
      <c r="Q2577" s="3"/>
    </row>
    <row r="2578" spans="1:17" ht="15" x14ac:dyDescent="0.25">
      <c r="A2578" s="3">
        <f>2571</f>
        <v>2571</v>
      </c>
      <c r="B2578" s="3" t="s">
        <v>2580</v>
      </c>
      <c r="C2578" s="3" t="s">
        <v>9</v>
      </c>
      <c r="D2578" s="3" t="s">
        <v>10</v>
      </c>
      <c r="E2578" s="3">
        <v>22</v>
      </c>
      <c r="F2578" s="3">
        <v>0</v>
      </c>
      <c r="G2578" s="3">
        <v>1</v>
      </c>
      <c r="H2578" s="3">
        <v>18</v>
      </c>
      <c r="I2578" s="3">
        <v>28</v>
      </c>
      <c r="J2578" s="3">
        <v>1</v>
      </c>
      <c r="K2578" s="3">
        <v>15</v>
      </c>
      <c r="L2578" s="3">
        <v>1</v>
      </c>
      <c r="M2578" s="3">
        <v>30</v>
      </c>
      <c r="N2578" s="3">
        <v>17</v>
      </c>
      <c r="O2578" s="3"/>
      <c r="P2578" s="3"/>
      <c r="Q2578" s="3"/>
    </row>
    <row r="2579" spans="1:17" ht="15" x14ac:dyDescent="0.25">
      <c r="A2579" s="3">
        <f>2572</f>
        <v>2572</v>
      </c>
      <c r="B2579" s="3" t="s">
        <v>2581</v>
      </c>
      <c r="C2579" s="3" t="s">
        <v>9</v>
      </c>
      <c r="D2579" s="3" t="s">
        <v>10</v>
      </c>
      <c r="E2579" s="3">
        <v>22</v>
      </c>
      <c r="F2579" s="3">
        <v>0</v>
      </c>
      <c r="G2579" s="3">
        <v>1</v>
      </c>
      <c r="H2579" s="3">
        <v>18</v>
      </c>
      <c r="I2579" s="3">
        <v>28</v>
      </c>
      <c r="J2579" s="3">
        <v>1</v>
      </c>
      <c r="K2579" s="3">
        <v>15</v>
      </c>
      <c r="L2579" s="3">
        <v>1</v>
      </c>
      <c r="M2579" s="3">
        <v>30</v>
      </c>
      <c r="N2579" s="3">
        <v>17</v>
      </c>
      <c r="O2579" s="3"/>
      <c r="P2579" s="3"/>
      <c r="Q2579" s="3"/>
    </row>
    <row r="2580" spans="1:17" ht="15" x14ac:dyDescent="0.25">
      <c r="A2580" s="3">
        <f>2573</f>
        <v>2573</v>
      </c>
      <c r="B2580" s="3" t="s">
        <v>2582</v>
      </c>
      <c r="C2580" s="3" t="s">
        <v>9</v>
      </c>
      <c r="D2580" s="3" t="s">
        <v>10</v>
      </c>
      <c r="E2580" s="3">
        <v>22</v>
      </c>
      <c r="F2580" s="3">
        <v>0</v>
      </c>
      <c r="G2580" s="3">
        <v>1</v>
      </c>
      <c r="H2580" s="3">
        <v>18</v>
      </c>
      <c r="I2580" s="3">
        <v>28</v>
      </c>
      <c r="J2580" s="3">
        <v>1</v>
      </c>
      <c r="K2580" s="3">
        <v>15</v>
      </c>
      <c r="L2580" s="3">
        <v>1</v>
      </c>
      <c r="M2580" s="3">
        <v>30</v>
      </c>
      <c r="N2580" s="3">
        <v>17</v>
      </c>
      <c r="O2580" s="3"/>
      <c r="P2580" s="3"/>
      <c r="Q2580" s="3"/>
    </row>
    <row r="2581" spans="1:17" ht="15" x14ac:dyDescent="0.25">
      <c r="A2581" s="3">
        <f>2574</f>
        <v>2574</v>
      </c>
      <c r="B2581" s="3" t="s">
        <v>2583</v>
      </c>
      <c r="C2581" s="3" t="s">
        <v>9</v>
      </c>
      <c r="D2581" s="3" t="s">
        <v>10</v>
      </c>
      <c r="E2581" s="3">
        <v>22</v>
      </c>
      <c r="F2581" s="3">
        <v>0</v>
      </c>
      <c r="G2581" s="3">
        <v>1</v>
      </c>
      <c r="H2581" s="3">
        <v>18</v>
      </c>
      <c r="I2581" s="3">
        <v>28</v>
      </c>
      <c r="J2581" s="3">
        <v>1</v>
      </c>
      <c r="K2581" s="3">
        <v>15</v>
      </c>
      <c r="L2581" s="3">
        <v>1</v>
      </c>
      <c r="M2581" s="3">
        <v>30</v>
      </c>
      <c r="N2581" s="3">
        <v>17</v>
      </c>
      <c r="O2581" s="3"/>
      <c r="P2581" s="3"/>
      <c r="Q2581" s="3"/>
    </row>
    <row r="2582" spans="1:17" ht="15" x14ac:dyDescent="0.25">
      <c r="A2582" s="3">
        <f>2575</f>
        <v>2575</v>
      </c>
      <c r="B2582" s="3" t="s">
        <v>2584</v>
      </c>
      <c r="C2582" s="3" t="s">
        <v>9</v>
      </c>
      <c r="D2582" s="3" t="s">
        <v>10</v>
      </c>
      <c r="E2582" s="3">
        <v>22</v>
      </c>
      <c r="F2582" s="3">
        <v>0</v>
      </c>
      <c r="G2582" s="3">
        <v>1</v>
      </c>
      <c r="H2582" s="3">
        <v>18</v>
      </c>
      <c r="I2582" s="3">
        <v>28</v>
      </c>
      <c r="J2582" s="3">
        <v>1</v>
      </c>
      <c r="K2582" s="3">
        <v>15</v>
      </c>
      <c r="L2582" s="3">
        <v>1</v>
      </c>
      <c r="M2582" s="3">
        <v>30</v>
      </c>
      <c r="N2582" s="3">
        <v>17</v>
      </c>
      <c r="O2582" s="3"/>
      <c r="P2582" s="3"/>
      <c r="Q2582" s="3"/>
    </row>
    <row r="2583" spans="1:17" ht="15" x14ac:dyDescent="0.25">
      <c r="A2583" s="3">
        <f>2576</f>
        <v>2576</v>
      </c>
      <c r="B2583" s="3" t="s">
        <v>2585</v>
      </c>
      <c r="C2583" s="3" t="s">
        <v>9</v>
      </c>
      <c r="D2583" s="3" t="s">
        <v>10</v>
      </c>
      <c r="E2583" s="3">
        <v>22</v>
      </c>
      <c r="F2583" s="3">
        <v>0</v>
      </c>
      <c r="G2583" s="3">
        <v>1</v>
      </c>
      <c r="H2583" s="3">
        <v>18</v>
      </c>
      <c r="I2583" s="3">
        <v>28</v>
      </c>
      <c r="J2583" s="3">
        <v>1</v>
      </c>
      <c r="K2583" s="3">
        <v>15</v>
      </c>
      <c r="L2583" s="3">
        <v>1</v>
      </c>
      <c r="M2583" s="3">
        <v>30</v>
      </c>
      <c r="N2583" s="3">
        <v>17</v>
      </c>
      <c r="O2583" s="3"/>
      <c r="P2583" s="3"/>
      <c r="Q2583" s="3"/>
    </row>
    <row r="2584" spans="1:17" ht="15" x14ac:dyDescent="0.25">
      <c r="A2584" s="3">
        <f>2577</f>
        <v>2577</v>
      </c>
      <c r="B2584" s="3" t="s">
        <v>2586</v>
      </c>
      <c r="C2584" s="3" t="s">
        <v>9</v>
      </c>
      <c r="D2584" s="3" t="s">
        <v>10</v>
      </c>
      <c r="E2584" s="3">
        <v>22</v>
      </c>
      <c r="F2584" s="3">
        <v>0</v>
      </c>
      <c r="G2584" s="3">
        <v>1</v>
      </c>
      <c r="H2584" s="3">
        <v>18</v>
      </c>
      <c r="I2584" s="3">
        <v>28</v>
      </c>
      <c r="J2584" s="3">
        <v>1</v>
      </c>
      <c r="K2584" s="3">
        <v>15</v>
      </c>
      <c r="L2584" s="3">
        <v>1</v>
      </c>
      <c r="M2584" s="3">
        <v>30</v>
      </c>
      <c r="N2584" s="3">
        <v>17</v>
      </c>
      <c r="O2584" s="3"/>
      <c r="P2584" s="3"/>
      <c r="Q2584" s="3"/>
    </row>
    <row r="2585" spans="1:17" ht="15" x14ac:dyDescent="0.25">
      <c r="A2585" s="3">
        <f>2578</f>
        <v>2578</v>
      </c>
      <c r="B2585" s="3" t="s">
        <v>2587</v>
      </c>
      <c r="C2585" s="3" t="s">
        <v>9</v>
      </c>
      <c r="D2585" s="3" t="s">
        <v>10</v>
      </c>
      <c r="E2585" s="3">
        <v>22</v>
      </c>
      <c r="F2585" s="3">
        <v>0</v>
      </c>
      <c r="G2585" s="3">
        <v>1</v>
      </c>
      <c r="H2585" s="3">
        <v>18</v>
      </c>
      <c r="I2585" s="3">
        <v>28</v>
      </c>
      <c r="J2585" s="3">
        <v>1</v>
      </c>
      <c r="K2585" s="3">
        <v>15</v>
      </c>
      <c r="L2585" s="3">
        <v>1</v>
      </c>
      <c r="M2585" s="3">
        <v>30</v>
      </c>
      <c r="N2585" s="3">
        <v>17</v>
      </c>
      <c r="O2585" s="3"/>
      <c r="P2585" s="3"/>
      <c r="Q2585" s="3"/>
    </row>
    <row r="2586" spans="1:17" ht="15" x14ac:dyDescent="0.25">
      <c r="A2586" s="3">
        <f>2579</f>
        <v>2579</v>
      </c>
      <c r="B2586" s="3" t="s">
        <v>2588</v>
      </c>
      <c r="C2586" s="3" t="s">
        <v>9</v>
      </c>
      <c r="D2586" s="3" t="s">
        <v>10</v>
      </c>
      <c r="E2586" s="3">
        <v>22</v>
      </c>
      <c r="F2586" s="3">
        <v>0</v>
      </c>
      <c r="G2586" s="3">
        <v>1</v>
      </c>
      <c r="H2586" s="3">
        <v>18</v>
      </c>
      <c r="I2586" s="3">
        <v>28</v>
      </c>
      <c r="J2586" s="3">
        <v>1</v>
      </c>
      <c r="K2586" s="3">
        <v>15</v>
      </c>
      <c r="L2586" s="3">
        <v>1</v>
      </c>
      <c r="M2586" s="3">
        <v>30</v>
      </c>
      <c r="N2586" s="3">
        <v>17</v>
      </c>
      <c r="O2586" s="3"/>
      <c r="P2586" s="3"/>
      <c r="Q2586" s="3"/>
    </row>
    <row r="2587" spans="1:17" ht="15" x14ac:dyDescent="0.25">
      <c r="A2587" s="3">
        <f>2580</f>
        <v>2580</v>
      </c>
      <c r="B2587" s="3" t="s">
        <v>2589</v>
      </c>
      <c r="C2587" s="3" t="s">
        <v>9</v>
      </c>
      <c r="D2587" s="3" t="s">
        <v>10</v>
      </c>
      <c r="E2587" s="3">
        <v>22</v>
      </c>
      <c r="F2587" s="3">
        <v>0</v>
      </c>
      <c r="G2587" s="3">
        <v>1</v>
      </c>
      <c r="H2587" s="3">
        <v>18</v>
      </c>
      <c r="I2587" s="3">
        <v>28</v>
      </c>
      <c r="J2587" s="3">
        <v>1</v>
      </c>
      <c r="K2587" s="3">
        <v>15</v>
      </c>
      <c r="L2587" s="3">
        <v>1</v>
      </c>
      <c r="M2587" s="3">
        <v>30</v>
      </c>
      <c r="N2587" s="3">
        <v>17</v>
      </c>
      <c r="O2587" s="3"/>
      <c r="P2587" s="3"/>
      <c r="Q2587" s="3"/>
    </row>
    <row r="2588" spans="1:17" ht="15" x14ac:dyDescent="0.25">
      <c r="A2588" s="3">
        <f>2581</f>
        <v>2581</v>
      </c>
      <c r="B2588" s="3" t="s">
        <v>2590</v>
      </c>
      <c r="C2588" s="3" t="s">
        <v>9</v>
      </c>
      <c r="D2588" s="3" t="s">
        <v>10</v>
      </c>
      <c r="E2588" s="3">
        <v>22</v>
      </c>
      <c r="F2588" s="3">
        <v>0</v>
      </c>
      <c r="G2588" s="3">
        <v>1</v>
      </c>
      <c r="H2588" s="3">
        <v>18</v>
      </c>
      <c r="I2588" s="3">
        <v>28</v>
      </c>
      <c r="J2588" s="3">
        <v>1</v>
      </c>
      <c r="K2588" s="3">
        <v>15</v>
      </c>
      <c r="L2588" s="3">
        <v>1</v>
      </c>
      <c r="M2588" s="3">
        <v>30</v>
      </c>
      <c r="N2588" s="3">
        <v>17</v>
      </c>
      <c r="O2588" s="3"/>
      <c r="P2588" s="3"/>
      <c r="Q2588" s="3"/>
    </row>
    <row r="2589" spans="1:17" ht="15" x14ac:dyDescent="0.25">
      <c r="A2589" s="3">
        <f>2582</f>
        <v>2582</v>
      </c>
      <c r="B2589" s="3" t="s">
        <v>2591</v>
      </c>
      <c r="C2589" s="3" t="s">
        <v>9</v>
      </c>
      <c r="D2589" s="3" t="s">
        <v>10</v>
      </c>
      <c r="E2589" s="3">
        <v>22</v>
      </c>
      <c r="F2589" s="3">
        <v>0</v>
      </c>
      <c r="G2589" s="3">
        <v>1</v>
      </c>
      <c r="H2589" s="3">
        <v>18</v>
      </c>
      <c r="I2589" s="3">
        <v>28</v>
      </c>
      <c r="J2589" s="3">
        <v>1</v>
      </c>
      <c r="K2589" s="3">
        <v>15</v>
      </c>
      <c r="L2589" s="3">
        <v>1</v>
      </c>
      <c r="M2589" s="3">
        <v>30</v>
      </c>
      <c r="N2589" s="3">
        <v>17</v>
      </c>
      <c r="O2589" s="3"/>
      <c r="P2589" s="3"/>
      <c r="Q2589" s="3"/>
    </row>
    <row r="2590" spans="1:17" ht="15" x14ac:dyDescent="0.25">
      <c r="A2590" s="3">
        <f>2583</f>
        <v>2583</v>
      </c>
      <c r="B2590" s="3" t="s">
        <v>2592</v>
      </c>
      <c r="C2590" s="3" t="s">
        <v>9</v>
      </c>
      <c r="D2590" s="3" t="s">
        <v>10</v>
      </c>
      <c r="E2590" s="3">
        <v>22</v>
      </c>
      <c r="F2590" s="3">
        <v>0</v>
      </c>
      <c r="G2590" s="3">
        <v>1</v>
      </c>
      <c r="H2590" s="3">
        <v>18</v>
      </c>
      <c r="I2590" s="3">
        <v>28</v>
      </c>
      <c r="J2590" s="3">
        <v>1</v>
      </c>
      <c r="K2590" s="3">
        <v>15</v>
      </c>
      <c r="L2590" s="3">
        <v>1</v>
      </c>
      <c r="M2590" s="3">
        <v>30</v>
      </c>
      <c r="N2590" s="3">
        <v>17</v>
      </c>
      <c r="O2590" s="3"/>
      <c r="P2590" s="3"/>
      <c r="Q2590" s="3"/>
    </row>
    <row r="2591" spans="1:17" ht="15" x14ac:dyDescent="0.25">
      <c r="A2591" s="3">
        <f>2584</f>
        <v>2584</v>
      </c>
      <c r="B2591" s="3" t="s">
        <v>2593</v>
      </c>
      <c r="C2591" s="3" t="s">
        <v>9</v>
      </c>
      <c r="D2591" s="3" t="s">
        <v>10</v>
      </c>
      <c r="E2591" s="3">
        <v>22</v>
      </c>
      <c r="F2591" s="3">
        <v>0</v>
      </c>
      <c r="G2591" s="3">
        <v>1</v>
      </c>
      <c r="H2591" s="3">
        <v>18</v>
      </c>
      <c r="I2591" s="3">
        <v>28</v>
      </c>
      <c r="J2591" s="3">
        <v>1</v>
      </c>
      <c r="K2591" s="3">
        <v>15</v>
      </c>
      <c r="L2591" s="3">
        <v>1</v>
      </c>
      <c r="M2591" s="3">
        <v>30</v>
      </c>
      <c r="N2591" s="3">
        <v>17</v>
      </c>
      <c r="O2591" s="3"/>
      <c r="P2591" s="3"/>
      <c r="Q2591" s="3"/>
    </row>
    <row r="2592" spans="1:17" ht="15" x14ac:dyDescent="0.25">
      <c r="A2592" s="3">
        <f>2585</f>
        <v>2585</v>
      </c>
      <c r="B2592" s="3" t="s">
        <v>2594</v>
      </c>
      <c r="C2592" s="3" t="s">
        <v>9</v>
      </c>
      <c r="D2592" s="3" t="s">
        <v>10</v>
      </c>
      <c r="E2592" s="3">
        <v>22</v>
      </c>
      <c r="F2592" s="3">
        <v>0</v>
      </c>
      <c r="G2592" s="3">
        <v>1</v>
      </c>
      <c r="H2592" s="3">
        <v>18</v>
      </c>
      <c r="I2592" s="3">
        <v>28</v>
      </c>
      <c r="J2592" s="3">
        <v>1</v>
      </c>
      <c r="K2592" s="3">
        <v>15</v>
      </c>
      <c r="L2592" s="3">
        <v>1</v>
      </c>
      <c r="M2592" s="3">
        <v>30</v>
      </c>
      <c r="N2592" s="3">
        <v>17</v>
      </c>
      <c r="O2592" s="3"/>
      <c r="P2592" s="3"/>
      <c r="Q2592" s="3"/>
    </row>
    <row r="2593" spans="1:17" ht="15" x14ac:dyDescent="0.25">
      <c r="A2593" s="3">
        <f>2586</f>
        <v>2586</v>
      </c>
      <c r="B2593" s="3" t="s">
        <v>2595</v>
      </c>
      <c r="C2593" s="3" t="s">
        <v>9</v>
      </c>
      <c r="D2593" s="3" t="s">
        <v>10</v>
      </c>
      <c r="E2593" s="3">
        <v>22</v>
      </c>
      <c r="F2593" s="3">
        <v>0</v>
      </c>
      <c r="G2593" s="3">
        <v>1</v>
      </c>
      <c r="H2593" s="3">
        <v>18</v>
      </c>
      <c r="I2593" s="3">
        <v>28</v>
      </c>
      <c r="J2593" s="3">
        <v>1</v>
      </c>
      <c r="K2593" s="3">
        <v>15</v>
      </c>
      <c r="L2593" s="3">
        <v>1</v>
      </c>
      <c r="M2593" s="3">
        <v>30</v>
      </c>
      <c r="N2593" s="3">
        <v>17</v>
      </c>
      <c r="O2593" s="3"/>
      <c r="P2593" s="3"/>
      <c r="Q2593" s="3"/>
    </row>
    <row r="2594" spans="1:17" ht="15" x14ac:dyDescent="0.25">
      <c r="A2594" s="3">
        <f>2587</f>
        <v>2587</v>
      </c>
      <c r="B2594" s="3" t="s">
        <v>2596</v>
      </c>
      <c r="C2594" s="3" t="s">
        <v>9</v>
      </c>
      <c r="D2594" s="3" t="s">
        <v>10</v>
      </c>
      <c r="E2594" s="3">
        <v>22</v>
      </c>
      <c r="F2594" s="3">
        <v>0</v>
      </c>
      <c r="G2594" s="3">
        <v>1</v>
      </c>
      <c r="H2594" s="3">
        <v>18</v>
      </c>
      <c r="I2594" s="3">
        <v>28</v>
      </c>
      <c r="J2594" s="3">
        <v>1</v>
      </c>
      <c r="K2594" s="3">
        <v>15</v>
      </c>
      <c r="L2594" s="3">
        <v>1</v>
      </c>
      <c r="M2594" s="3">
        <v>30</v>
      </c>
      <c r="N2594" s="3">
        <v>17</v>
      </c>
      <c r="O2594" s="3"/>
      <c r="P2594" s="3"/>
      <c r="Q2594" s="3"/>
    </row>
    <row r="2595" spans="1:17" ht="15" x14ac:dyDescent="0.25">
      <c r="A2595" s="3">
        <f>2588</f>
        <v>2588</v>
      </c>
      <c r="B2595" s="3" t="s">
        <v>2597</v>
      </c>
      <c r="C2595" s="3" t="s">
        <v>9</v>
      </c>
      <c r="D2595" s="3" t="s">
        <v>10</v>
      </c>
      <c r="E2595" s="3">
        <v>22</v>
      </c>
      <c r="F2595" s="3">
        <v>0</v>
      </c>
      <c r="G2595" s="3">
        <v>1</v>
      </c>
      <c r="H2595" s="3">
        <v>18</v>
      </c>
      <c r="I2595" s="3">
        <v>28</v>
      </c>
      <c r="J2595" s="3">
        <v>1</v>
      </c>
      <c r="K2595" s="3">
        <v>15</v>
      </c>
      <c r="L2595" s="3">
        <v>1</v>
      </c>
      <c r="M2595" s="3">
        <v>30</v>
      </c>
      <c r="N2595" s="3">
        <v>17</v>
      </c>
      <c r="O2595" s="3"/>
      <c r="P2595" s="3"/>
      <c r="Q2595" s="3"/>
    </row>
    <row r="2596" spans="1:17" ht="15" x14ac:dyDescent="0.25">
      <c r="A2596" s="3">
        <f>2589</f>
        <v>2589</v>
      </c>
      <c r="B2596" s="3" t="s">
        <v>2598</v>
      </c>
      <c r="C2596" s="3" t="s">
        <v>9</v>
      </c>
      <c r="D2596" s="3" t="s">
        <v>10</v>
      </c>
      <c r="E2596" s="3">
        <v>22</v>
      </c>
      <c r="F2596" s="3">
        <v>0</v>
      </c>
      <c r="G2596" s="3">
        <v>1</v>
      </c>
      <c r="H2596" s="3">
        <v>18</v>
      </c>
      <c r="I2596" s="3">
        <v>28</v>
      </c>
      <c r="J2596" s="3">
        <v>1</v>
      </c>
      <c r="K2596" s="3">
        <v>15</v>
      </c>
      <c r="L2596" s="3">
        <v>1</v>
      </c>
      <c r="M2596" s="3">
        <v>30</v>
      </c>
      <c r="N2596" s="3">
        <v>17</v>
      </c>
      <c r="O2596" s="3"/>
      <c r="P2596" s="3"/>
      <c r="Q2596" s="3"/>
    </row>
    <row r="2597" spans="1:17" ht="15" x14ac:dyDescent="0.25">
      <c r="A2597" s="3">
        <f>2590</f>
        <v>2590</v>
      </c>
      <c r="B2597" s="3" t="s">
        <v>2599</v>
      </c>
      <c r="C2597" s="3" t="s">
        <v>9</v>
      </c>
      <c r="D2597" s="3" t="s">
        <v>10</v>
      </c>
      <c r="E2597" s="3">
        <v>22</v>
      </c>
      <c r="F2597" s="3">
        <v>0</v>
      </c>
      <c r="G2597" s="3">
        <v>1</v>
      </c>
      <c r="H2597" s="3">
        <v>18</v>
      </c>
      <c r="I2597" s="3">
        <v>28</v>
      </c>
      <c r="J2597" s="3">
        <v>1</v>
      </c>
      <c r="K2597" s="3">
        <v>15</v>
      </c>
      <c r="L2597" s="3">
        <v>1</v>
      </c>
      <c r="M2597" s="3">
        <v>30</v>
      </c>
      <c r="N2597" s="3">
        <v>17</v>
      </c>
      <c r="O2597" s="3"/>
      <c r="P2597" s="3"/>
      <c r="Q2597" s="3"/>
    </row>
    <row r="2598" spans="1:17" ht="15" x14ac:dyDescent="0.25">
      <c r="A2598" s="3">
        <f>2591</f>
        <v>2591</v>
      </c>
      <c r="B2598" s="3" t="s">
        <v>2600</v>
      </c>
      <c r="C2598" s="3" t="s">
        <v>9</v>
      </c>
      <c r="D2598" s="3" t="s">
        <v>10</v>
      </c>
      <c r="E2598" s="3">
        <v>22</v>
      </c>
      <c r="F2598" s="3">
        <v>0</v>
      </c>
      <c r="G2598" s="3">
        <v>1</v>
      </c>
      <c r="H2598" s="3">
        <v>18</v>
      </c>
      <c r="I2598" s="3">
        <v>28</v>
      </c>
      <c r="J2598" s="3">
        <v>1</v>
      </c>
      <c r="K2598" s="3">
        <v>15</v>
      </c>
      <c r="L2598" s="3">
        <v>1</v>
      </c>
      <c r="M2598" s="3">
        <v>30</v>
      </c>
      <c r="N2598" s="3">
        <v>17</v>
      </c>
      <c r="O2598" s="3"/>
      <c r="P2598" s="3"/>
      <c r="Q2598" s="3"/>
    </row>
    <row r="2599" spans="1:17" ht="15" x14ac:dyDescent="0.25">
      <c r="A2599" s="3">
        <f>2592</f>
        <v>2592</v>
      </c>
      <c r="B2599" s="3" t="s">
        <v>2601</v>
      </c>
      <c r="C2599" s="3" t="s">
        <v>9</v>
      </c>
      <c r="D2599" s="3" t="s">
        <v>10</v>
      </c>
      <c r="E2599" s="3">
        <v>22</v>
      </c>
      <c r="F2599" s="3">
        <v>0</v>
      </c>
      <c r="G2599" s="3">
        <v>1</v>
      </c>
      <c r="H2599" s="3">
        <v>18</v>
      </c>
      <c r="I2599" s="3">
        <v>28</v>
      </c>
      <c r="J2599" s="3">
        <v>1</v>
      </c>
      <c r="K2599" s="3">
        <v>15</v>
      </c>
      <c r="L2599" s="3">
        <v>1</v>
      </c>
      <c r="M2599" s="3">
        <v>30</v>
      </c>
      <c r="N2599" s="3">
        <v>17</v>
      </c>
      <c r="O2599" s="3"/>
      <c r="P2599" s="3"/>
      <c r="Q2599" s="3"/>
    </row>
    <row r="2600" spans="1:17" ht="15" x14ac:dyDescent="0.25">
      <c r="A2600" s="3">
        <f>2593</f>
        <v>2593</v>
      </c>
      <c r="B2600" s="3" t="s">
        <v>2602</v>
      </c>
      <c r="C2600" s="3" t="s">
        <v>9</v>
      </c>
      <c r="D2600" s="3" t="s">
        <v>10</v>
      </c>
      <c r="E2600" s="3">
        <v>22</v>
      </c>
      <c r="F2600" s="3">
        <v>0</v>
      </c>
      <c r="G2600" s="3">
        <v>1</v>
      </c>
      <c r="H2600" s="3">
        <v>18</v>
      </c>
      <c r="I2600" s="3">
        <v>28</v>
      </c>
      <c r="J2600" s="3">
        <v>1</v>
      </c>
      <c r="K2600" s="3">
        <v>15</v>
      </c>
      <c r="L2600" s="3">
        <v>1</v>
      </c>
      <c r="M2600" s="3">
        <v>30</v>
      </c>
      <c r="N2600" s="3">
        <v>17</v>
      </c>
      <c r="O2600" s="3"/>
      <c r="P2600" s="3"/>
      <c r="Q2600" s="3"/>
    </row>
    <row r="2601" spans="1:17" ht="15" x14ac:dyDescent="0.25">
      <c r="A2601" s="3">
        <f>2594</f>
        <v>2594</v>
      </c>
      <c r="B2601" s="3" t="s">
        <v>2603</v>
      </c>
      <c r="C2601" s="3" t="s">
        <v>9</v>
      </c>
      <c r="D2601" s="3" t="s">
        <v>10</v>
      </c>
      <c r="E2601" s="3">
        <v>22</v>
      </c>
      <c r="F2601" s="3">
        <v>0</v>
      </c>
      <c r="G2601" s="3">
        <v>1</v>
      </c>
      <c r="H2601" s="3">
        <v>18</v>
      </c>
      <c r="I2601" s="3">
        <v>28</v>
      </c>
      <c r="J2601" s="3">
        <v>1</v>
      </c>
      <c r="K2601" s="3">
        <v>15</v>
      </c>
      <c r="L2601" s="3">
        <v>1</v>
      </c>
      <c r="M2601" s="3">
        <v>30</v>
      </c>
      <c r="N2601" s="3">
        <v>17</v>
      </c>
      <c r="O2601" s="3"/>
      <c r="P2601" s="3"/>
      <c r="Q2601" s="3"/>
    </row>
    <row r="2602" spans="1:17" ht="15" x14ac:dyDescent="0.25">
      <c r="A2602" s="3">
        <f>2595</f>
        <v>2595</v>
      </c>
      <c r="B2602" s="3" t="s">
        <v>2604</v>
      </c>
      <c r="C2602" s="3" t="s">
        <v>9</v>
      </c>
      <c r="D2602" s="3" t="s">
        <v>10</v>
      </c>
      <c r="E2602" s="3">
        <v>22</v>
      </c>
      <c r="F2602" s="3">
        <v>0</v>
      </c>
      <c r="G2602" s="3">
        <v>1</v>
      </c>
      <c r="H2602" s="3">
        <v>18</v>
      </c>
      <c r="I2602" s="3">
        <v>28</v>
      </c>
      <c r="J2602" s="3">
        <v>1</v>
      </c>
      <c r="K2602" s="3">
        <v>15</v>
      </c>
      <c r="L2602" s="3">
        <v>1</v>
      </c>
      <c r="M2602" s="3">
        <v>30</v>
      </c>
      <c r="N2602" s="3">
        <v>17</v>
      </c>
      <c r="O2602" s="3"/>
      <c r="P2602" s="3"/>
      <c r="Q2602" s="3"/>
    </row>
    <row r="2603" spans="1:17" ht="15" x14ac:dyDescent="0.25">
      <c r="A2603" s="3">
        <f>2596</f>
        <v>2596</v>
      </c>
      <c r="B2603" s="3" t="s">
        <v>2605</v>
      </c>
      <c r="C2603" s="3" t="s">
        <v>9</v>
      </c>
      <c r="D2603" s="3" t="s">
        <v>10</v>
      </c>
      <c r="E2603" s="3">
        <v>22</v>
      </c>
      <c r="F2603" s="3">
        <v>0</v>
      </c>
      <c r="G2603" s="3">
        <v>1</v>
      </c>
      <c r="H2603" s="3">
        <v>18</v>
      </c>
      <c r="I2603" s="3">
        <v>28</v>
      </c>
      <c r="J2603" s="3">
        <v>1</v>
      </c>
      <c r="K2603" s="3">
        <v>15</v>
      </c>
      <c r="L2603" s="3">
        <v>1</v>
      </c>
      <c r="M2603" s="3">
        <v>30</v>
      </c>
      <c r="N2603" s="3">
        <v>17</v>
      </c>
      <c r="O2603" s="3"/>
      <c r="P2603" s="3"/>
      <c r="Q2603" s="3"/>
    </row>
    <row r="2604" spans="1:17" ht="15" x14ac:dyDescent="0.25">
      <c r="A2604" s="3">
        <f>2597</f>
        <v>2597</v>
      </c>
      <c r="B2604" s="3" t="s">
        <v>2606</v>
      </c>
      <c r="C2604" s="3" t="s">
        <v>9</v>
      </c>
      <c r="D2604" s="3" t="s">
        <v>10</v>
      </c>
      <c r="E2604" s="3">
        <v>22</v>
      </c>
      <c r="F2604" s="3">
        <v>0</v>
      </c>
      <c r="G2604" s="3">
        <v>1</v>
      </c>
      <c r="H2604" s="3">
        <v>18</v>
      </c>
      <c r="I2604" s="3">
        <v>28</v>
      </c>
      <c r="J2604" s="3">
        <v>1</v>
      </c>
      <c r="K2604" s="3">
        <v>15</v>
      </c>
      <c r="L2604" s="3">
        <v>1</v>
      </c>
      <c r="M2604" s="3">
        <v>30</v>
      </c>
      <c r="N2604" s="3">
        <v>17</v>
      </c>
      <c r="O2604" s="3"/>
      <c r="P2604" s="3"/>
      <c r="Q2604" s="3"/>
    </row>
    <row r="2605" spans="1:17" ht="15" x14ac:dyDescent="0.25">
      <c r="A2605" s="3">
        <f>2598</f>
        <v>2598</v>
      </c>
      <c r="B2605" s="3" t="s">
        <v>2607</v>
      </c>
      <c r="C2605" s="3" t="s">
        <v>9</v>
      </c>
      <c r="D2605" s="3" t="s">
        <v>10</v>
      </c>
      <c r="E2605" s="3">
        <v>22</v>
      </c>
      <c r="F2605" s="3">
        <v>0</v>
      </c>
      <c r="G2605" s="3">
        <v>1</v>
      </c>
      <c r="H2605" s="3">
        <v>18</v>
      </c>
      <c r="I2605" s="3">
        <v>28</v>
      </c>
      <c r="J2605" s="3">
        <v>1</v>
      </c>
      <c r="K2605" s="3">
        <v>15</v>
      </c>
      <c r="L2605" s="3">
        <v>1</v>
      </c>
      <c r="M2605" s="3">
        <v>30</v>
      </c>
      <c r="N2605" s="3">
        <v>17</v>
      </c>
      <c r="O2605" s="3"/>
      <c r="P2605" s="3"/>
      <c r="Q2605" s="3"/>
    </row>
    <row r="2606" spans="1:17" ht="15" x14ac:dyDescent="0.25">
      <c r="A2606" s="3">
        <f>2599</f>
        <v>2599</v>
      </c>
      <c r="B2606" s="3" t="s">
        <v>2608</v>
      </c>
      <c r="C2606" s="3" t="s">
        <v>9</v>
      </c>
      <c r="D2606" s="3" t="s">
        <v>10</v>
      </c>
      <c r="E2606" s="3">
        <v>22</v>
      </c>
      <c r="F2606" s="3">
        <v>0</v>
      </c>
      <c r="G2606" s="3">
        <v>1</v>
      </c>
      <c r="H2606" s="3">
        <v>18</v>
      </c>
      <c r="I2606" s="3">
        <v>28</v>
      </c>
      <c r="J2606" s="3">
        <v>1</v>
      </c>
      <c r="K2606" s="3">
        <v>15</v>
      </c>
      <c r="L2606" s="3">
        <v>1</v>
      </c>
      <c r="M2606" s="3">
        <v>30</v>
      </c>
      <c r="N2606" s="3">
        <v>17</v>
      </c>
      <c r="O2606" s="3"/>
      <c r="P2606" s="3"/>
      <c r="Q2606" s="3"/>
    </row>
    <row r="2607" spans="1:17" ht="15" x14ac:dyDescent="0.25">
      <c r="A2607" s="3">
        <f>2600</f>
        <v>2600</v>
      </c>
      <c r="B2607" s="3" t="s">
        <v>2609</v>
      </c>
      <c r="C2607" s="3" t="s">
        <v>9</v>
      </c>
      <c r="D2607" s="3" t="s">
        <v>10</v>
      </c>
      <c r="E2607" s="3">
        <v>22</v>
      </c>
      <c r="F2607" s="3">
        <v>0</v>
      </c>
      <c r="G2607" s="3">
        <v>1</v>
      </c>
      <c r="H2607" s="3">
        <v>18</v>
      </c>
      <c r="I2607" s="3">
        <v>28</v>
      </c>
      <c r="J2607" s="3">
        <v>1</v>
      </c>
      <c r="K2607" s="3">
        <v>15</v>
      </c>
      <c r="L2607" s="3">
        <v>1</v>
      </c>
      <c r="M2607" s="3">
        <v>30</v>
      </c>
      <c r="N2607" s="3">
        <v>17</v>
      </c>
      <c r="O2607" s="3"/>
      <c r="P2607" s="3"/>
      <c r="Q2607" s="3"/>
    </row>
    <row r="2608" spans="1:17" ht="15" x14ac:dyDescent="0.25">
      <c r="A2608" s="3">
        <f>2601</f>
        <v>2601</v>
      </c>
      <c r="B2608" s="3" t="s">
        <v>2610</v>
      </c>
      <c r="C2608" s="3" t="s">
        <v>9</v>
      </c>
      <c r="D2608" s="3" t="s">
        <v>10</v>
      </c>
      <c r="E2608" s="3">
        <v>22</v>
      </c>
      <c r="F2608" s="3">
        <v>0</v>
      </c>
      <c r="G2608" s="3">
        <v>1</v>
      </c>
      <c r="H2608" s="3">
        <v>18</v>
      </c>
      <c r="I2608" s="3">
        <v>28</v>
      </c>
      <c r="J2608" s="3">
        <v>1</v>
      </c>
      <c r="K2608" s="3">
        <v>15</v>
      </c>
      <c r="L2608" s="3">
        <v>1</v>
      </c>
      <c r="M2608" s="3">
        <v>30</v>
      </c>
      <c r="N2608" s="3">
        <v>17</v>
      </c>
      <c r="O2608" s="3"/>
      <c r="P2608" s="3"/>
      <c r="Q2608" s="3"/>
    </row>
    <row r="2609" spans="1:17" ht="15" x14ac:dyDescent="0.25">
      <c r="A2609" s="3">
        <f>2602</f>
        <v>2602</v>
      </c>
      <c r="B2609" s="3" t="s">
        <v>2611</v>
      </c>
      <c r="C2609" s="3" t="s">
        <v>9</v>
      </c>
      <c r="D2609" s="3" t="s">
        <v>10</v>
      </c>
      <c r="E2609" s="3">
        <v>22</v>
      </c>
      <c r="F2609" s="3">
        <v>0</v>
      </c>
      <c r="G2609" s="3">
        <v>1</v>
      </c>
      <c r="H2609" s="3">
        <v>18</v>
      </c>
      <c r="I2609" s="3">
        <v>28</v>
      </c>
      <c r="J2609" s="3">
        <v>1</v>
      </c>
      <c r="K2609" s="3">
        <v>15</v>
      </c>
      <c r="L2609" s="3">
        <v>1</v>
      </c>
      <c r="M2609" s="3">
        <v>30</v>
      </c>
      <c r="N2609" s="3">
        <v>17</v>
      </c>
      <c r="O2609" s="3"/>
      <c r="P2609" s="3"/>
      <c r="Q2609" s="3"/>
    </row>
    <row r="2610" spans="1:17" ht="15" x14ac:dyDescent="0.25">
      <c r="A2610" s="3">
        <f>2603</f>
        <v>2603</v>
      </c>
      <c r="B2610" s="3" t="s">
        <v>2612</v>
      </c>
      <c r="C2610" s="3" t="s">
        <v>9</v>
      </c>
      <c r="D2610" s="3" t="s">
        <v>10</v>
      </c>
      <c r="E2610" s="3">
        <v>22</v>
      </c>
      <c r="F2610" s="3">
        <v>0</v>
      </c>
      <c r="G2610" s="3">
        <v>1</v>
      </c>
      <c r="H2610" s="3">
        <v>18</v>
      </c>
      <c r="I2610" s="3">
        <v>28</v>
      </c>
      <c r="J2610" s="3">
        <v>1</v>
      </c>
      <c r="K2610" s="3">
        <v>15</v>
      </c>
      <c r="L2610" s="3">
        <v>1</v>
      </c>
      <c r="M2610" s="3">
        <v>30</v>
      </c>
      <c r="N2610" s="3">
        <v>17</v>
      </c>
      <c r="O2610" s="3"/>
      <c r="P2610" s="3"/>
      <c r="Q2610" s="3"/>
    </row>
    <row r="2611" spans="1:17" ht="15" x14ac:dyDescent="0.25">
      <c r="A2611" s="3">
        <f>2604</f>
        <v>2604</v>
      </c>
      <c r="B2611" s="3" t="s">
        <v>2613</v>
      </c>
      <c r="C2611" s="3" t="s">
        <v>9</v>
      </c>
      <c r="D2611" s="3" t="s">
        <v>10</v>
      </c>
      <c r="E2611" s="3">
        <v>22</v>
      </c>
      <c r="F2611" s="3">
        <v>0</v>
      </c>
      <c r="G2611" s="3">
        <v>1</v>
      </c>
      <c r="H2611" s="3">
        <v>18</v>
      </c>
      <c r="I2611" s="3">
        <v>28</v>
      </c>
      <c r="J2611" s="3">
        <v>1</v>
      </c>
      <c r="K2611" s="3">
        <v>15</v>
      </c>
      <c r="L2611" s="3">
        <v>1</v>
      </c>
      <c r="M2611" s="3">
        <v>30</v>
      </c>
      <c r="N2611" s="3">
        <v>17</v>
      </c>
      <c r="O2611" s="3"/>
      <c r="P2611" s="3"/>
      <c r="Q2611" s="3"/>
    </row>
    <row r="2612" spans="1:17" ht="15" x14ac:dyDescent="0.25">
      <c r="A2612" s="3">
        <f>2605</f>
        <v>2605</v>
      </c>
      <c r="B2612" s="3" t="s">
        <v>2614</v>
      </c>
      <c r="C2612" s="3" t="s">
        <v>9</v>
      </c>
      <c r="D2612" s="3" t="s">
        <v>10</v>
      </c>
      <c r="E2612" s="3">
        <v>22</v>
      </c>
      <c r="F2612" s="3">
        <v>0</v>
      </c>
      <c r="G2612" s="3">
        <v>1</v>
      </c>
      <c r="H2612" s="3">
        <v>18</v>
      </c>
      <c r="I2612" s="3">
        <v>28</v>
      </c>
      <c r="J2612" s="3">
        <v>1</v>
      </c>
      <c r="K2612" s="3">
        <v>15</v>
      </c>
      <c r="L2612" s="3">
        <v>1</v>
      </c>
      <c r="M2612" s="3">
        <v>30</v>
      </c>
      <c r="N2612" s="3">
        <v>17</v>
      </c>
      <c r="O2612" s="3"/>
      <c r="P2612" s="3"/>
      <c r="Q2612" s="3"/>
    </row>
    <row r="2613" spans="1:17" ht="15" x14ac:dyDescent="0.25">
      <c r="A2613" s="3">
        <f>2606</f>
        <v>2606</v>
      </c>
      <c r="B2613" s="3" t="s">
        <v>2615</v>
      </c>
      <c r="C2613" s="3" t="s">
        <v>9</v>
      </c>
      <c r="D2613" s="3" t="s">
        <v>10</v>
      </c>
      <c r="E2613" s="3">
        <v>22</v>
      </c>
      <c r="F2613" s="3">
        <v>0</v>
      </c>
      <c r="G2613" s="3">
        <v>1</v>
      </c>
      <c r="H2613" s="3">
        <v>18</v>
      </c>
      <c r="I2613" s="3">
        <v>28</v>
      </c>
      <c r="J2613" s="3">
        <v>1</v>
      </c>
      <c r="K2613" s="3">
        <v>15</v>
      </c>
      <c r="L2613" s="3">
        <v>1</v>
      </c>
      <c r="M2613" s="3">
        <v>30</v>
      </c>
      <c r="N2613" s="3">
        <v>17</v>
      </c>
      <c r="O2613" s="3"/>
      <c r="P2613" s="3"/>
      <c r="Q2613" s="3"/>
    </row>
    <row r="2614" spans="1:17" ht="15" x14ac:dyDescent="0.25">
      <c r="A2614" s="3">
        <f>2607</f>
        <v>2607</v>
      </c>
      <c r="B2614" s="3" t="s">
        <v>2616</v>
      </c>
      <c r="C2614" s="3" t="s">
        <v>9</v>
      </c>
      <c r="D2614" s="3" t="s">
        <v>10</v>
      </c>
      <c r="E2614" s="3">
        <v>22</v>
      </c>
      <c r="F2614" s="3">
        <v>0</v>
      </c>
      <c r="G2614" s="3">
        <v>1</v>
      </c>
      <c r="H2614" s="3">
        <v>18</v>
      </c>
      <c r="I2614" s="3">
        <v>28</v>
      </c>
      <c r="J2614" s="3">
        <v>1</v>
      </c>
      <c r="K2614" s="3">
        <v>15</v>
      </c>
      <c r="L2614" s="3">
        <v>1</v>
      </c>
      <c r="M2614" s="3">
        <v>30</v>
      </c>
      <c r="N2614" s="3">
        <v>17</v>
      </c>
      <c r="O2614" s="3"/>
      <c r="P2614" s="3"/>
      <c r="Q2614" s="3"/>
    </row>
    <row r="2615" spans="1:17" ht="15" x14ac:dyDescent="0.25">
      <c r="A2615" s="3">
        <f>2608</f>
        <v>2608</v>
      </c>
      <c r="B2615" s="3" t="s">
        <v>2617</v>
      </c>
      <c r="C2615" s="3" t="s">
        <v>9</v>
      </c>
      <c r="D2615" s="3" t="s">
        <v>10</v>
      </c>
      <c r="E2615" s="3">
        <v>22</v>
      </c>
      <c r="F2615" s="3">
        <v>0</v>
      </c>
      <c r="G2615" s="3">
        <v>1</v>
      </c>
      <c r="H2615" s="3">
        <v>18</v>
      </c>
      <c r="I2615" s="3">
        <v>28</v>
      </c>
      <c r="J2615" s="3">
        <v>1</v>
      </c>
      <c r="K2615" s="3">
        <v>15</v>
      </c>
      <c r="L2615" s="3">
        <v>1</v>
      </c>
      <c r="M2615" s="3">
        <v>30</v>
      </c>
      <c r="N2615" s="3">
        <v>17</v>
      </c>
      <c r="O2615" s="3"/>
      <c r="P2615" s="3"/>
      <c r="Q2615" s="3"/>
    </row>
    <row r="2616" spans="1:17" ht="15" x14ac:dyDescent="0.25">
      <c r="A2616" s="3">
        <f>2609</f>
        <v>2609</v>
      </c>
      <c r="B2616" s="3" t="s">
        <v>2618</v>
      </c>
      <c r="C2616" s="3" t="s">
        <v>9</v>
      </c>
      <c r="D2616" s="3" t="s">
        <v>10</v>
      </c>
      <c r="E2616" s="3">
        <v>22</v>
      </c>
      <c r="F2616" s="3">
        <v>0</v>
      </c>
      <c r="G2616" s="3">
        <v>1</v>
      </c>
      <c r="H2616" s="3">
        <v>18</v>
      </c>
      <c r="I2616" s="3">
        <v>28</v>
      </c>
      <c r="J2616" s="3">
        <v>1</v>
      </c>
      <c r="K2616" s="3">
        <v>15</v>
      </c>
      <c r="L2616" s="3">
        <v>1</v>
      </c>
      <c r="M2616" s="3">
        <v>30</v>
      </c>
      <c r="N2616" s="3">
        <v>17</v>
      </c>
      <c r="O2616" s="3"/>
      <c r="P2616" s="3"/>
      <c r="Q2616" s="3"/>
    </row>
    <row r="2617" spans="1:17" ht="15" x14ac:dyDescent="0.25">
      <c r="A2617" s="3">
        <f>2610</f>
        <v>2610</v>
      </c>
      <c r="B2617" s="3" t="s">
        <v>2619</v>
      </c>
      <c r="C2617" s="3" t="s">
        <v>9</v>
      </c>
      <c r="D2617" s="3" t="s">
        <v>10</v>
      </c>
      <c r="E2617" s="3">
        <v>22</v>
      </c>
      <c r="F2617" s="3">
        <v>0</v>
      </c>
      <c r="G2617" s="3">
        <v>1</v>
      </c>
      <c r="H2617" s="3">
        <v>18</v>
      </c>
      <c r="I2617" s="3">
        <v>28</v>
      </c>
      <c r="J2617" s="3">
        <v>1</v>
      </c>
      <c r="K2617" s="3">
        <v>15</v>
      </c>
      <c r="L2617" s="3">
        <v>1</v>
      </c>
      <c r="M2617" s="3">
        <v>30</v>
      </c>
      <c r="N2617" s="3">
        <v>17</v>
      </c>
      <c r="O2617" s="3"/>
      <c r="P2617" s="3"/>
      <c r="Q2617" s="3"/>
    </row>
    <row r="2618" spans="1:17" ht="15" x14ac:dyDescent="0.25">
      <c r="A2618" s="3">
        <f>2611</f>
        <v>2611</v>
      </c>
      <c r="B2618" s="3" t="s">
        <v>2620</v>
      </c>
      <c r="C2618" s="3" t="s">
        <v>9</v>
      </c>
      <c r="D2618" s="3" t="s">
        <v>10</v>
      </c>
      <c r="E2618" s="3">
        <v>22</v>
      </c>
      <c r="F2618" s="3">
        <v>0</v>
      </c>
      <c r="G2618" s="3">
        <v>1</v>
      </c>
      <c r="H2618" s="3">
        <v>18</v>
      </c>
      <c r="I2618" s="3">
        <v>28</v>
      </c>
      <c r="J2618" s="3">
        <v>1</v>
      </c>
      <c r="K2618" s="3">
        <v>15</v>
      </c>
      <c r="L2618" s="3">
        <v>1</v>
      </c>
      <c r="M2618" s="3">
        <v>30</v>
      </c>
      <c r="N2618" s="3">
        <v>17</v>
      </c>
      <c r="O2618" s="3"/>
      <c r="P2618" s="3"/>
      <c r="Q2618" s="3"/>
    </row>
    <row r="2619" spans="1:17" ht="15" x14ac:dyDescent="0.25">
      <c r="A2619" s="3">
        <f>2612</f>
        <v>2612</v>
      </c>
      <c r="B2619" s="3" t="s">
        <v>2621</v>
      </c>
      <c r="C2619" s="3" t="s">
        <v>9</v>
      </c>
      <c r="D2619" s="3" t="s">
        <v>10</v>
      </c>
      <c r="E2619" s="3">
        <v>22</v>
      </c>
      <c r="F2619" s="3">
        <v>0</v>
      </c>
      <c r="G2619" s="3">
        <v>1</v>
      </c>
      <c r="H2619" s="3">
        <v>18</v>
      </c>
      <c r="I2619" s="3">
        <v>28</v>
      </c>
      <c r="J2619" s="3">
        <v>1</v>
      </c>
      <c r="K2619" s="3">
        <v>15</v>
      </c>
      <c r="L2619" s="3">
        <v>1</v>
      </c>
      <c r="M2619" s="3">
        <v>30</v>
      </c>
      <c r="N2619" s="3">
        <v>17</v>
      </c>
      <c r="O2619" s="3"/>
      <c r="P2619" s="3"/>
      <c r="Q2619" s="3"/>
    </row>
    <row r="2620" spans="1:17" ht="15" x14ac:dyDescent="0.25">
      <c r="A2620" s="3">
        <f>2613</f>
        <v>2613</v>
      </c>
      <c r="B2620" s="3" t="s">
        <v>2622</v>
      </c>
      <c r="C2620" s="3" t="s">
        <v>9</v>
      </c>
      <c r="D2620" s="3" t="s">
        <v>10</v>
      </c>
      <c r="E2620" s="3">
        <v>22</v>
      </c>
      <c r="F2620" s="3">
        <v>0</v>
      </c>
      <c r="G2620" s="3">
        <v>1</v>
      </c>
      <c r="H2620" s="3">
        <v>18</v>
      </c>
      <c r="I2620" s="3">
        <v>28</v>
      </c>
      <c r="J2620" s="3">
        <v>1</v>
      </c>
      <c r="K2620" s="3">
        <v>15</v>
      </c>
      <c r="L2620" s="3">
        <v>1</v>
      </c>
      <c r="M2620" s="3">
        <v>30</v>
      </c>
      <c r="N2620" s="3">
        <v>17</v>
      </c>
      <c r="O2620" s="3"/>
      <c r="P2620" s="3"/>
      <c r="Q2620" s="3"/>
    </row>
    <row r="2621" spans="1:17" ht="15" x14ac:dyDescent="0.25">
      <c r="A2621" s="3">
        <f>2614</f>
        <v>2614</v>
      </c>
      <c r="B2621" s="3" t="s">
        <v>2623</v>
      </c>
      <c r="C2621" s="3" t="s">
        <v>9</v>
      </c>
      <c r="D2621" s="3" t="s">
        <v>10</v>
      </c>
      <c r="E2621" s="3">
        <v>22</v>
      </c>
      <c r="F2621" s="3">
        <v>0</v>
      </c>
      <c r="G2621" s="3">
        <v>1</v>
      </c>
      <c r="H2621" s="3">
        <v>18</v>
      </c>
      <c r="I2621" s="3">
        <v>28</v>
      </c>
      <c r="J2621" s="3">
        <v>1</v>
      </c>
      <c r="K2621" s="3">
        <v>15</v>
      </c>
      <c r="L2621" s="3">
        <v>1</v>
      </c>
      <c r="M2621" s="3">
        <v>30</v>
      </c>
      <c r="N2621" s="3">
        <v>17</v>
      </c>
      <c r="O2621" s="3"/>
      <c r="P2621" s="3"/>
      <c r="Q2621" s="3"/>
    </row>
    <row r="2622" spans="1:17" ht="15" x14ac:dyDescent="0.25">
      <c r="A2622" s="3">
        <f>2615</f>
        <v>2615</v>
      </c>
      <c r="B2622" s="3" t="s">
        <v>2624</v>
      </c>
      <c r="C2622" s="3" t="s">
        <v>9</v>
      </c>
      <c r="D2622" s="3" t="s">
        <v>10</v>
      </c>
      <c r="E2622" s="3">
        <v>22</v>
      </c>
      <c r="F2622" s="3">
        <v>0</v>
      </c>
      <c r="G2622" s="3">
        <v>1</v>
      </c>
      <c r="H2622" s="3">
        <v>18</v>
      </c>
      <c r="I2622" s="3">
        <v>28</v>
      </c>
      <c r="J2622" s="3">
        <v>1</v>
      </c>
      <c r="K2622" s="3">
        <v>15</v>
      </c>
      <c r="L2622" s="3">
        <v>1</v>
      </c>
      <c r="M2622" s="3">
        <v>30</v>
      </c>
      <c r="N2622" s="3">
        <v>17</v>
      </c>
      <c r="O2622" s="3"/>
      <c r="P2622" s="3"/>
      <c r="Q2622" s="3"/>
    </row>
    <row r="2623" spans="1:17" ht="15" x14ac:dyDescent="0.25">
      <c r="A2623" s="3">
        <f>2616</f>
        <v>2616</v>
      </c>
      <c r="B2623" s="3" t="s">
        <v>2625</v>
      </c>
      <c r="C2623" s="3" t="s">
        <v>9</v>
      </c>
      <c r="D2623" s="3" t="s">
        <v>10</v>
      </c>
      <c r="E2623" s="3">
        <v>22</v>
      </c>
      <c r="F2623" s="3">
        <v>0</v>
      </c>
      <c r="G2623" s="3">
        <v>1</v>
      </c>
      <c r="H2623" s="3">
        <v>18</v>
      </c>
      <c r="I2623" s="3">
        <v>28</v>
      </c>
      <c r="J2623" s="3">
        <v>1</v>
      </c>
      <c r="K2623" s="3">
        <v>15</v>
      </c>
      <c r="L2623" s="3">
        <v>1</v>
      </c>
      <c r="M2623" s="3">
        <v>30</v>
      </c>
      <c r="N2623" s="3">
        <v>17</v>
      </c>
      <c r="O2623" s="3"/>
      <c r="P2623" s="3"/>
      <c r="Q2623" s="3"/>
    </row>
    <row r="2624" spans="1:17" ht="15" x14ac:dyDescent="0.25">
      <c r="A2624" s="3">
        <f>2617</f>
        <v>2617</v>
      </c>
      <c r="B2624" s="3" t="s">
        <v>2626</v>
      </c>
      <c r="C2624" s="3" t="s">
        <v>9</v>
      </c>
      <c r="D2624" s="3" t="s">
        <v>10</v>
      </c>
      <c r="E2624" s="3">
        <v>22</v>
      </c>
      <c r="F2624" s="3">
        <v>0</v>
      </c>
      <c r="G2624" s="3">
        <v>1</v>
      </c>
      <c r="H2624" s="3">
        <v>18</v>
      </c>
      <c r="I2624" s="3">
        <v>28</v>
      </c>
      <c r="J2624" s="3">
        <v>1</v>
      </c>
      <c r="K2624" s="3">
        <v>15</v>
      </c>
      <c r="L2624" s="3">
        <v>1</v>
      </c>
      <c r="M2624" s="3">
        <v>30</v>
      </c>
      <c r="N2624" s="3">
        <v>17</v>
      </c>
      <c r="O2624" s="3"/>
      <c r="P2624" s="3"/>
      <c r="Q2624" s="3"/>
    </row>
    <row r="2625" spans="1:17" ht="15" x14ac:dyDescent="0.25">
      <c r="A2625" s="3">
        <f>2618</f>
        <v>2618</v>
      </c>
      <c r="B2625" s="3" t="s">
        <v>2627</v>
      </c>
      <c r="C2625" s="3" t="s">
        <v>9</v>
      </c>
      <c r="D2625" s="3" t="s">
        <v>10</v>
      </c>
      <c r="E2625" s="3">
        <v>22</v>
      </c>
      <c r="F2625" s="3">
        <v>0</v>
      </c>
      <c r="G2625" s="3">
        <v>1</v>
      </c>
      <c r="H2625" s="3">
        <v>18</v>
      </c>
      <c r="I2625" s="3">
        <v>28</v>
      </c>
      <c r="J2625" s="3">
        <v>1</v>
      </c>
      <c r="K2625" s="3">
        <v>15</v>
      </c>
      <c r="L2625" s="3">
        <v>1</v>
      </c>
      <c r="M2625" s="3">
        <v>30</v>
      </c>
      <c r="N2625" s="3">
        <v>17</v>
      </c>
      <c r="O2625" s="3"/>
      <c r="P2625" s="3"/>
      <c r="Q2625" s="3"/>
    </row>
    <row r="2626" spans="1:17" ht="15" x14ac:dyDescent="0.25">
      <c r="A2626" s="3">
        <f>2619</f>
        <v>2619</v>
      </c>
      <c r="B2626" s="3" t="s">
        <v>2628</v>
      </c>
      <c r="C2626" s="3" t="s">
        <v>9</v>
      </c>
      <c r="D2626" s="3" t="s">
        <v>10</v>
      </c>
      <c r="E2626" s="3">
        <v>22</v>
      </c>
      <c r="F2626" s="3">
        <v>0</v>
      </c>
      <c r="G2626" s="3">
        <v>1</v>
      </c>
      <c r="H2626" s="3">
        <v>18</v>
      </c>
      <c r="I2626" s="3">
        <v>28</v>
      </c>
      <c r="J2626" s="3">
        <v>1</v>
      </c>
      <c r="K2626" s="3">
        <v>15</v>
      </c>
      <c r="L2626" s="3">
        <v>1</v>
      </c>
      <c r="M2626" s="3">
        <v>30</v>
      </c>
      <c r="N2626" s="3">
        <v>17</v>
      </c>
      <c r="O2626" s="3"/>
      <c r="P2626" s="3"/>
      <c r="Q2626" s="3"/>
    </row>
    <row r="2627" spans="1:17" ht="15" x14ac:dyDescent="0.25">
      <c r="A2627" s="3">
        <f>2620</f>
        <v>2620</v>
      </c>
      <c r="B2627" s="3" t="s">
        <v>2629</v>
      </c>
      <c r="C2627" s="3" t="s">
        <v>9</v>
      </c>
      <c r="D2627" s="3" t="s">
        <v>10</v>
      </c>
      <c r="E2627" s="3">
        <v>22</v>
      </c>
      <c r="F2627" s="3">
        <v>0</v>
      </c>
      <c r="G2627" s="3">
        <v>1</v>
      </c>
      <c r="H2627" s="3">
        <v>18</v>
      </c>
      <c r="I2627" s="3">
        <v>28</v>
      </c>
      <c r="J2627" s="3">
        <v>1</v>
      </c>
      <c r="K2627" s="3">
        <v>15</v>
      </c>
      <c r="L2627" s="3">
        <v>1</v>
      </c>
      <c r="M2627" s="3">
        <v>30</v>
      </c>
      <c r="N2627" s="3">
        <v>17</v>
      </c>
      <c r="O2627" s="3"/>
      <c r="P2627" s="3"/>
      <c r="Q2627" s="3"/>
    </row>
    <row r="2628" spans="1:17" ht="15" x14ac:dyDescent="0.25">
      <c r="A2628" s="3">
        <f>2621</f>
        <v>2621</v>
      </c>
      <c r="B2628" s="3" t="s">
        <v>2630</v>
      </c>
      <c r="C2628" s="3" t="s">
        <v>9</v>
      </c>
      <c r="D2628" s="3" t="s">
        <v>10</v>
      </c>
      <c r="E2628" s="3">
        <v>22</v>
      </c>
      <c r="F2628" s="3">
        <v>0</v>
      </c>
      <c r="G2628" s="3">
        <v>1</v>
      </c>
      <c r="H2628" s="3">
        <v>18</v>
      </c>
      <c r="I2628" s="3">
        <v>28</v>
      </c>
      <c r="J2628" s="3">
        <v>1</v>
      </c>
      <c r="K2628" s="3">
        <v>15</v>
      </c>
      <c r="L2628" s="3">
        <v>1</v>
      </c>
      <c r="M2628" s="3">
        <v>30</v>
      </c>
      <c r="N2628" s="3">
        <v>17</v>
      </c>
      <c r="O2628" s="3"/>
      <c r="P2628" s="3"/>
      <c r="Q2628" s="3"/>
    </row>
    <row r="2629" spans="1:17" ht="15" x14ac:dyDescent="0.25">
      <c r="A2629" s="3">
        <f>2622</f>
        <v>2622</v>
      </c>
      <c r="B2629" s="3" t="s">
        <v>2631</v>
      </c>
      <c r="C2629" s="3" t="s">
        <v>9</v>
      </c>
      <c r="D2629" s="3" t="s">
        <v>10</v>
      </c>
      <c r="E2629" s="3">
        <v>22</v>
      </c>
      <c r="F2629" s="3">
        <v>0</v>
      </c>
      <c r="G2629" s="3">
        <v>1</v>
      </c>
      <c r="H2629" s="3">
        <v>18</v>
      </c>
      <c r="I2629" s="3">
        <v>28</v>
      </c>
      <c r="J2629" s="3">
        <v>1</v>
      </c>
      <c r="K2629" s="3">
        <v>15</v>
      </c>
      <c r="L2629" s="3">
        <v>1</v>
      </c>
      <c r="M2629" s="3">
        <v>30</v>
      </c>
      <c r="N2629" s="3">
        <v>17</v>
      </c>
      <c r="O2629" s="3"/>
      <c r="P2629" s="3"/>
      <c r="Q2629" s="3"/>
    </row>
    <row r="2630" spans="1:17" ht="15" x14ac:dyDescent="0.25">
      <c r="A2630" s="3">
        <f>2623</f>
        <v>2623</v>
      </c>
      <c r="B2630" s="3" t="s">
        <v>2632</v>
      </c>
      <c r="C2630" s="3" t="s">
        <v>9</v>
      </c>
      <c r="D2630" s="3" t="s">
        <v>10</v>
      </c>
      <c r="E2630" s="3">
        <v>22</v>
      </c>
      <c r="F2630" s="3">
        <v>0</v>
      </c>
      <c r="G2630" s="3">
        <v>1</v>
      </c>
      <c r="H2630" s="3">
        <v>18</v>
      </c>
      <c r="I2630" s="3">
        <v>28</v>
      </c>
      <c r="J2630" s="3">
        <v>1</v>
      </c>
      <c r="K2630" s="3">
        <v>15</v>
      </c>
      <c r="L2630" s="3">
        <v>1</v>
      </c>
      <c r="M2630" s="3">
        <v>30</v>
      </c>
      <c r="N2630" s="3">
        <v>17</v>
      </c>
      <c r="O2630" s="3"/>
      <c r="P2630" s="3"/>
      <c r="Q2630" s="3"/>
    </row>
    <row r="2631" spans="1:17" ht="15" x14ac:dyDescent="0.25">
      <c r="A2631" s="3">
        <f>2624</f>
        <v>2624</v>
      </c>
      <c r="B2631" s="3" t="s">
        <v>2633</v>
      </c>
      <c r="C2631" s="3" t="s">
        <v>9</v>
      </c>
      <c r="D2631" s="3" t="s">
        <v>10</v>
      </c>
      <c r="E2631" s="3">
        <v>22</v>
      </c>
      <c r="F2631" s="3">
        <v>0</v>
      </c>
      <c r="G2631" s="3">
        <v>1</v>
      </c>
      <c r="H2631" s="3">
        <v>18</v>
      </c>
      <c r="I2631" s="3">
        <v>28</v>
      </c>
      <c r="J2631" s="3">
        <v>1</v>
      </c>
      <c r="K2631" s="3">
        <v>15</v>
      </c>
      <c r="L2631" s="3">
        <v>1</v>
      </c>
      <c r="M2631" s="3">
        <v>30</v>
      </c>
      <c r="N2631" s="3">
        <v>17</v>
      </c>
      <c r="O2631" s="3"/>
      <c r="P2631" s="3"/>
      <c r="Q2631" s="3"/>
    </row>
    <row r="2632" spans="1:17" ht="15" x14ac:dyDescent="0.25">
      <c r="A2632" s="3">
        <f>2625</f>
        <v>2625</v>
      </c>
      <c r="B2632" s="3" t="s">
        <v>2634</v>
      </c>
      <c r="C2632" s="3" t="s">
        <v>9</v>
      </c>
      <c r="D2632" s="3" t="s">
        <v>10</v>
      </c>
      <c r="E2632" s="3">
        <v>22</v>
      </c>
      <c r="F2632" s="3">
        <v>0</v>
      </c>
      <c r="G2632" s="3">
        <v>1</v>
      </c>
      <c r="H2632" s="3">
        <v>18</v>
      </c>
      <c r="I2632" s="3">
        <v>28</v>
      </c>
      <c r="J2632" s="3">
        <v>1</v>
      </c>
      <c r="K2632" s="3">
        <v>15</v>
      </c>
      <c r="L2632" s="3">
        <v>1</v>
      </c>
      <c r="M2632" s="3">
        <v>30</v>
      </c>
      <c r="N2632" s="3">
        <v>17</v>
      </c>
      <c r="O2632" s="3"/>
      <c r="P2632" s="3"/>
      <c r="Q2632" s="3"/>
    </row>
    <row r="2633" spans="1:17" ht="15" x14ac:dyDescent="0.25">
      <c r="A2633" s="3">
        <f>2626</f>
        <v>2626</v>
      </c>
      <c r="B2633" s="3" t="s">
        <v>2635</v>
      </c>
      <c r="C2633" s="3" t="s">
        <v>9</v>
      </c>
      <c r="D2633" s="3" t="s">
        <v>10</v>
      </c>
      <c r="E2633" s="3">
        <v>22</v>
      </c>
      <c r="F2633" s="3">
        <v>0</v>
      </c>
      <c r="G2633" s="3">
        <v>1</v>
      </c>
      <c r="H2633" s="3">
        <v>18</v>
      </c>
      <c r="I2633" s="3">
        <v>28</v>
      </c>
      <c r="J2633" s="3">
        <v>1</v>
      </c>
      <c r="K2633" s="3">
        <v>15</v>
      </c>
      <c r="L2633" s="3">
        <v>1</v>
      </c>
      <c r="M2633" s="3">
        <v>30</v>
      </c>
      <c r="N2633" s="3">
        <v>17</v>
      </c>
      <c r="O2633" s="3"/>
      <c r="P2633" s="3"/>
      <c r="Q2633" s="3"/>
    </row>
    <row r="2634" spans="1:17" ht="15" x14ac:dyDescent="0.25">
      <c r="A2634" s="3">
        <f>2627</f>
        <v>2627</v>
      </c>
      <c r="B2634" s="3" t="s">
        <v>2636</v>
      </c>
      <c r="C2634" s="3" t="s">
        <v>9</v>
      </c>
      <c r="D2634" s="3" t="s">
        <v>10</v>
      </c>
      <c r="E2634" s="3">
        <v>22</v>
      </c>
      <c r="F2634" s="3">
        <v>0</v>
      </c>
      <c r="G2634" s="3">
        <v>1</v>
      </c>
      <c r="H2634" s="3">
        <v>18</v>
      </c>
      <c r="I2634" s="3">
        <v>28</v>
      </c>
      <c r="J2634" s="3">
        <v>1</v>
      </c>
      <c r="K2634" s="3">
        <v>15</v>
      </c>
      <c r="L2634" s="3">
        <v>1</v>
      </c>
      <c r="M2634" s="3">
        <v>30</v>
      </c>
      <c r="N2634" s="3">
        <v>17</v>
      </c>
      <c r="O2634" s="3"/>
      <c r="P2634" s="3"/>
      <c r="Q2634" s="3"/>
    </row>
    <row r="2635" spans="1:17" ht="15" x14ac:dyDescent="0.25">
      <c r="A2635" s="3">
        <f>2628</f>
        <v>2628</v>
      </c>
      <c r="B2635" s="3" t="s">
        <v>2637</v>
      </c>
      <c r="C2635" s="3" t="s">
        <v>9</v>
      </c>
      <c r="D2635" s="3" t="s">
        <v>10</v>
      </c>
      <c r="E2635" s="3">
        <v>22</v>
      </c>
      <c r="F2635" s="3">
        <v>0</v>
      </c>
      <c r="G2635" s="3">
        <v>1</v>
      </c>
      <c r="H2635" s="3">
        <v>18</v>
      </c>
      <c r="I2635" s="3">
        <v>28</v>
      </c>
      <c r="J2635" s="3">
        <v>1</v>
      </c>
      <c r="K2635" s="3">
        <v>15</v>
      </c>
      <c r="L2635" s="3">
        <v>1</v>
      </c>
      <c r="M2635" s="3">
        <v>30</v>
      </c>
      <c r="N2635" s="3">
        <v>17</v>
      </c>
      <c r="O2635" s="3"/>
      <c r="P2635" s="3"/>
      <c r="Q2635" s="3"/>
    </row>
    <row r="2636" spans="1:17" ht="15" x14ac:dyDescent="0.25">
      <c r="A2636" s="3">
        <f>2629</f>
        <v>2629</v>
      </c>
      <c r="B2636" s="3" t="s">
        <v>2638</v>
      </c>
      <c r="C2636" s="3" t="s">
        <v>9</v>
      </c>
      <c r="D2636" s="3" t="s">
        <v>10</v>
      </c>
      <c r="E2636" s="3">
        <v>22</v>
      </c>
      <c r="F2636" s="3">
        <v>0</v>
      </c>
      <c r="G2636" s="3">
        <v>1</v>
      </c>
      <c r="H2636" s="3">
        <v>18</v>
      </c>
      <c r="I2636" s="3">
        <v>28</v>
      </c>
      <c r="J2636" s="3">
        <v>1</v>
      </c>
      <c r="K2636" s="3">
        <v>15</v>
      </c>
      <c r="L2636" s="3">
        <v>1</v>
      </c>
      <c r="M2636" s="3">
        <v>30</v>
      </c>
      <c r="N2636" s="3">
        <v>17</v>
      </c>
      <c r="O2636" s="3"/>
      <c r="P2636" s="3"/>
      <c r="Q2636" s="3"/>
    </row>
    <row r="2637" spans="1:17" ht="15" x14ac:dyDescent="0.25">
      <c r="A2637" s="3">
        <f>2630</f>
        <v>2630</v>
      </c>
      <c r="B2637" s="3" t="s">
        <v>2639</v>
      </c>
      <c r="C2637" s="3" t="s">
        <v>9</v>
      </c>
      <c r="D2637" s="3" t="s">
        <v>10</v>
      </c>
      <c r="E2637" s="3">
        <v>22</v>
      </c>
      <c r="F2637" s="3">
        <v>0</v>
      </c>
      <c r="G2637" s="3">
        <v>1</v>
      </c>
      <c r="H2637" s="3">
        <v>18</v>
      </c>
      <c r="I2637" s="3">
        <v>28</v>
      </c>
      <c r="J2637" s="3">
        <v>1</v>
      </c>
      <c r="K2637" s="3">
        <v>15</v>
      </c>
      <c r="L2637" s="3">
        <v>1</v>
      </c>
      <c r="M2637" s="3">
        <v>30</v>
      </c>
      <c r="N2637" s="3">
        <v>17</v>
      </c>
      <c r="O2637" s="3"/>
      <c r="P2637" s="3"/>
      <c r="Q2637" s="3"/>
    </row>
    <row r="2638" spans="1:17" ht="15" x14ac:dyDescent="0.25">
      <c r="A2638" s="3">
        <f>2631</f>
        <v>2631</v>
      </c>
      <c r="B2638" s="3" t="s">
        <v>2640</v>
      </c>
      <c r="C2638" s="3" t="s">
        <v>9</v>
      </c>
      <c r="D2638" s="3" t="s">
        <v>10</v>
      </c>
      <c r="E2638" s="3">
        <v>22</v>
      </c>
      <c r="F2638" s="3">
        <v>0</v>
      </c>
      <c r="G2638" s="3">
        <v>1</v>
      </c>
      <c r="H2638" s="3">
        <v>18</v>
      </c>
      <c r="I2638" s="3">
        <v>28</v>
      </c>
      <c r="J2638" s="3">
        <v>1</v>
      </c>
      <c r="K2638" s="3">
        <v>15</v>
      </c>
      <c r="L2638" s="3">
        <v>1</v>
      </c>
      <c r="M2638" s="3">
        <v>30</v>
      </c>
      <c r="N2638" s="3">
        <v>17</v>
      </c>
      <c r="O2638" s="3"/>
      <c r="P2638" s="3"/>
      <c r="Q2638" s="3"/>
    </row>
    <row r="2639" spans="1:17" ht="15" x14ac:dyDescent="0.25">
      <c r="A2639" s="3">
        <f>2632</f>
        <v>2632</v>
      </c>
      <c r="B2639" s="3" t="s">
        <v>2641</v>
      </c>
      <c r="C2639" s="3" t="s">
        <v>9</v>
      </c>
      <c r="D2639" s="3" t="s">
        <v>10</v>
      </c>
      <c r="E2639" s="3">
        <v>22</v>
      </c>
      <c r="F2639" s="3">
        <v>0</v>
      </c>
      <c r="G2639" s="3">
        <v>1</v>
      </c>
      <c r="H2639" s="3">
        <v>18</v>
      </c>
      <c r="I2639" s="3">
        <v>28</v>
      </c>
      <c r="J2639" s="3">
        <v>1</v>
      </c>
      <c r="K2639" s="3">
        <v>15</v>
      </c>
      <c r="L2639" s="3">
        <v>1</v>
      </c>
      <c r="M2639" s="3">
        <v>30</v>
      </c>
      <c r="N2639" s="3">
        <v>17</v>
      </c>
      <c r="O2639" s="3"/>
      <c r="P2639" s="3"/>
      <c r="Q2639" s="3"/>
    </row>
    <row r="2640" spans="1:17" ht="15" x14ac:dyDescent="0.25">
      <c r="A2640" s="3">
        <f>2633</f>
        <v>2633</v>
      </c>
      <c r="B2640" s="3" t="s">
        <v>2642</v>
      </c>
      <c r="C2640" s="3" t="s">
        <v>9</v>
      </c>
      <c r="D2640" s="3" t="s">
        <v>10</v>
      </c>
      <c r="E2640" s="3">
        <v>22</v>
      </c>
      <c r="F2640" s="3">
        <v>0</v>
      </c>
      <c r="G2640" s="3">
        <v>1</v>
      </c>
      <c r="H2640" s="3">
        <v>18</v>
      </c>
      <c r="I2640" s="3">
        <v>28</v>
      </c>
      <c r="J2640" s="3">
        <v>1</v>
      </c>
      <c r="K2640" s="3">
        <v>15</v>
      </c>
      <c r="L2640" s="3">
        <v>1</v>
      </c>
      <c r="M2640" s="3">
        <v>30</v>
      </c>
      <c r="N2640" s="3">
        <v>17</v>
      </c>
      <c r="O2640" s="3"/>
      <c r="P2640" s="3"/>
      <c r="Q2640" s="3"/>
    </row>
    <row r="2641" spans="1:17" ht="15" x14ac:dyDescent="0.25">
      <c r="A2641" s="3">
        <f>2634</f>
        <v>2634</v>
      </c>
      <c r="B2641" s="3" t="s">
        <v>2643</v>
      </c>
      <c r="C2641" s="3" t="s">
        <v>9</v>
      </c>
      <c r="D2641" s="3" t="s">
        <v>10</v>
      </c>
      <c r="E2641" s="3">
        <v>22</v>
      </c>
      <c r="F2641" s="3">
        <v>0</v>
      </c>
      <c r="G2641" s="3">
        <v>1</v>
      </c>
      <c r="H2641" s="3">
        <v>18</v>
      </c>
      <c r="I2641" s="3">
        <v>28</v>
      </c>
      <c r="J2641" s="3">
        <v>1</v>
      </c>
      <c r="K2641" s="3">
        <v>15</v>
      </c>
      <c r="L2641" s="3">
        <v>1</v>
      </c>
      <c r="M2641" s="3">
        <v>30</v>
      </c>
      <c r="N2641" s="3">
        <v>17</v>
      </c>
      <c r="O2641" s="3"/>
      <c r="P2641" s="3"/>
      <c r="Q2641" s="3"/>
    </row>
    <row r="2642" spans="1:17" ht="15" x14ac:dyDescent="0.25">
      <c r="A2642" s="3">
        <f>2635</f>
        <v>2635</v>
      </c>
      <c r="B2642" s="3" t="s">
        <v>2644</v>
      </c>
      <c r="C2642" s="3" t="s">
        <v>9</v>
      </c>
      <c r="D2642" s="3" t="s">
        <v>10</v>
      </c>
      <c r="E2642" s="3">
        <v>22</v>
      </c>
      <c r="F2642" s="3">
        <v>0</v>
      </c>
      <c r="G2642" s="3">
        <v>1</v>
      </c>
      <c r="H2642" s="3">
        <v>18</v>
      </c>
      <c r="I2642" s="3">
        <v>28</v>
      </c>
      <c r="J2642" s="3">
        <v>1</v>
      </c>
      <c r="K2642" s="3">
        <v>15</v>
      </c>
      <c r="L2642" s="3">
        <v>1</v>
      </c>
      <c r="M2642" s="3">
        <v>30</v>
      </c>
      <c r="N2642" s="3">
        <v>17</v>
      </c>
      <c r="O2642" s="3"/>
      <c r="P2642" s="3"/>
      <c r="Q2642" s="3"/>
    </row>
    <row r="2643" spans="1:17" ht="15" x14ac:dyDescent="0.25">
      <c r="A2643" s="3">
        <f>2636</f>
        <v>2636</v>
      </c>
      <c r="B2643" s="3" t="s">
        <v>2645</v>
      </c>
      <c r="C2643" s="3" t="s">
        <v>9</v>
      </c>
      <c r="D2643" s="3" t="s">
        <v>10</v>
      </c>
      <c r="E2643" s="3">
        <v>22</v>
      </c>
      <c r="F2643" s="3">
        <v>0</v>
      </c>
      <c r="G2643" s="3">
        <v>1</v>
      </c>
      <c r="H2643" s="3">
        <v>18</v>
      </c>
      <c r="I2643" s="3">
        <v>28</v>
      </c>
      <c r="J2643" s="3">
        <v>1</v>
      </c>
      <c r="K2643" s="3">
        <v>15</v>
      </c>
      <c r="L2643" s="3">
        <v>1</v>
      </c>
      <c r="M2643" s="3">
        <v>30</v>
      </c>
      <c r="N2643" s="3">
        <v>17</v>
      </c>
      <c r="O2643" s="3"/>
      <c r="P2643" s="3"/>
      <c r="Q2643" s="3"/>
    </row>
    <row r="2644" spans="1:17" ht="15" x14ac:dyDescent="0.25">
      <c r="A2644" s="3">
        <f>2637</f>
        <v>2637</v>
      </c>
      <c r="B2644" s="3" t="s">
        <v>2646</v>
      </c>
      <c r="C2644" s="3" t="s">
        <v>9</v>
      </c>
      <c r="D2644" s="3" t="s">
        <v>10</v>
      </c>
      <c r="E2644" s="3">
        <v>22</v>
      </c>
      <c r="F2644" s="3">
        <v>0</v>
      </c>
      <c r="G2644" s="3">
        <v>1</v>
      </c>
      <c r="H2644" s="3">
        <v>18</v>
      </c>
      <c r="I2644" s="3">
        <v>28</v>
      </c>
      <c r="J2644" s="3">
        <v>1</v>
      </c>
      <c r="K2644" s="3">
        <v>15</v>
      </c>
      <c r="L2644" s="3">
        <v>1</v>
      </c>
      <c r="M2644" s="3">
        <v>30</v>
      </c>
      <c r="N2644" s="3">
        <v>17</v>
      </c>
      <c r="O2644" s="3"/>
      <c r="P2644" s="3"/>
      <c r="Q2644" s="3"/>
    </row>
    <row r="2645" spans="1:17" ht="15" x14ac:dyDescent="0.25">
      <c r="A2645" s="3">
        <f>2638</f>
        <v>2638</v>
      </c>
      <c r="B2645" s="3" t="s">
        <v>2647</v>
      </c>
      <c r="C2645" s="3" t="s">
        <v>9</v>
      </c>
      <c r="D2645" s="3" t="s">
        <v>10</v>
      </c>
      <c r="E2645" s="3">
        <v>22</v>
      </c>
      <c r="F2645" s="3">
        <v>0</v>
      </c>
      <c r="G2645" s="3">
        <v>1</v>
      </c>
      <c r="H2645" s="3">
        <v>18</v>
      </c>
      <c r="I2645" s="3">
        <v>28</v>
      </c>
      <c r="J2645" s="3">
        <v>1</v>
      </c>
      <c r="K2645" s="3">
        <v>15</v>
      </c>
      <c r="L2645" s="3">
        <v>1</v>
      </c>
      <c r="M2645" s="3">
        <v>30</v>
      </c>
      <c r="N2645" s="3">
        <v>17</v>
      </c>
      <c r="O2645" s="3"/>
      <c r="P2645" s="3"/>
      <c r="Q2645" s="3"/>
    </row>
    <row r="2646" spans="1:17" ht="15" x14ac:dyDescent="0.25">
      <c r="A2646" s="3">
        <f>2639</f>
        <v>2639</v>
      </c>
      <c r="B2646" s="3" t="s">
        <v>2648</v>
      </c>
      <c r="C2646" s="3" t="s">
        <v>9</v>
      </c>
      <c r="D2646" s="3" t="s">
        <v>10</v>
      </c>
      <c r="E2646" s="3">
        <v>22</v>
      </c>
      <c r="F2646" s="3">
        <v>0</v>
      </c>
      <c r="G2646" s="3">
        <v>1</v>
      </c>
      <c r="H2646" s="3">
        <v>18</v>
      </c>
      <c r="I2646" s="3">
        <v>28</v>
      </c>
      <c r="J2646" s="3">
        <v>1</v>
      </c>
      <c r="K2646" s="3">
        <v>15</v>
      </c>
      <c r="L2646" s="3">
        <v>1</v>
      </c>
      <c r="M2646" s="3">
        <v>30</v>
      </c>
      <c r="N2646" s="3">
        <v>17</v>
      </c>
      <c r="O2646" s="3"/>
      <c r="P2646" s="3"/>
      <c r="Q2646" s="3"/>
    </row>
    <row r="2647" spans="1:17" ht="15" x14ac:dyDescent="0.25">
      <c r="A2647" s="3">
        <f>2640</f>
        <v>2640</v>
      </c>
      <c r="B2647" s="3" t="s">
        <v>2649</v>
      </c>
      <c r="C2647" s="3" t="s">
        <v>9</v>
      </c>
      <c r="D2647" s="3" t="s">
        <v>10</v>
      </c>
      <c r="E2647" s="3">
        <v>22</v>
      </c>
      <c r="F2647" s="3">
        <v>0</v>
      </c>
      <c r="G2647" s="3">
        <v>1</v>
      </c>
      <c r="H2647" s="3">
        <v>18</v>
      </c>
      <c r="I2647" s="3">
        <v>28</v>
      </c>
      <c r="J2647" s="3">
        <v>1</v>
      </c>
      <c r="K2647" s="3">
        <v>15</v>
      </c>
      <c r="L2647" s="3">
        <v>1</v>
      </c>
      <c r="M2647" s="3">
        <v>30</v>
      </c>
      <c r="N2647" s="3">
        <v>17</v>
      </c>
      <c r="O2647" s="3"/>
      <c r="P2647" s="3"/>
      <c r="Q2647" s="3"/>
    </row>
    <row r="2648" spans="1:17" ht="15" x14ac:dyDescent="0.25">
      <c r="A2648" s="3">
        <f>2641</f>
        <v>2641</v>
      </c>
      <c r="B2648" s="3" t="s">
        <v>2650</v>
      </c>
      <c r="C2648" s="3" t="s">
        <v>9</v>
      </c>
      <c r="D2648" s="3" t="s">
        <v>10</v>
      </c>
      <c r="E2648" s="3">
        <v>22</v>
      </c>
      <c r="F2648" s="3">
        <v>0</v>
      </c>
      <c r="G2648" s="3">
        <v>1</v>
      </c>
      <c r="H2648" s="3">
        <v>18</v>
      </c>
      <c r="I2648" s="3">
        <v>28</v>
      </c>
      <c r="J2648" s="3">
        <v>1</v>
      </c>
      <c r="K2648" s="3">
        <v>15</v>
      </c>
      <c r="L2648" s="3">
        <v>1</v>
      </c>
      <c r="M2648" s="3">
        <v>30</v>
      </c>
      <c r="N2648" s="3">
        <v>17</v>
      </c>
      <c r="O2648" s="3"/>
      <c r="P2648" s="3"/>
      <c r="Q2648" s="3"/>
    </row>
    <row r="2649" spans="1:17" ht="15" x14ac:dyDescent="0.25">
      <c r="A2649" s="3">
        <f>2642</f>
        <v>2642</v>
      </c>
      <c r="B2649" s="3" t="s">
        <v>2651</v>
      </c>
      <c r="C2649" s="3" t="s">
        <v>9</v>
      </c>
      <c r="D2649" s="3" t="s">
        <v>10</v>
      </c>
      <c r="E2649" s="3">
        <v>22</v>
      </c>
      <c r="F2649" s="3">
        <v>0</v>
      </c>
      <c r="G2649" s="3">
        <v>1</v>
      </c>
      <c r="H2649" s="3">
        <v>18</v>
      </c>
      <c r="I2649" s="3">
        <v>28</v>
      </c>
      <c r="J2649" s="3">
        <v>1</v>
      </c>
      <c r="K2649" s="3">
        <v>15</v>
      </c>
      <c r="L2649" s="3">
        <v>1</v>
      </c>
      <c r="M2649" s="3">
        <v>30</v>
      </c>
      <c r="N2649" s="3">
        <v>17</v>
      </c>
      <c r="O2649" s="3"/>
      <c r="P2649" s="3"/>
      <c r="Q2649" s="3"/>
    </row>
    <row r="2650" spans="1:17" ht="15" x14ac:dyDescent="0.25">
      <c r="A2650" s="3">
        <f>2643</f>
        <v>2643</v>
      </c>
      <c r="B2650" s="3" t="s">
        <v>2652</v>
      </c>
      <c r="C2650" s="3" t="s">
        <v>9</v>
      </c>
      <c r="D2650" s="3" t="s">
        <v>10</v>
      </c>
      <c r="E2650" s="3">
        <v>22</v>
      </c>
      <c r="F2650" s="3">
        <v>0</v>
      </c>
      <c r="G2650" s="3">
        <v>1</v>
      </c>
      <c r="H2650" s="3">
        <v>18</v>
      </c>
      <c r="I2650" s="3">
        <v>28</v>
      </c>
      <c r="J2650" s="3">
        <v>1</v>
      </c>
      <c r="K2650" s="3">
        <v>15</v>
      </c>
      <c r="L2650" s="3">
        <v>1</v>
      </c>
      <c r="M2650" s="3">
        <v>30</v>
      </c>
      <c r="N2650" s="3">
        <v>17</v>
      </c>
      <c r="O2650" s="3"/>
      <c r="P2650" s="3"/>
      <c r="Q2650" s="3"/>
    </row>
    <row r="2651" spans="1:17" ht="15" x14ac:dyDescent="0.25">
      <c r="A2651" s="3">
        <f>2644</f>
        <v>2644</v>
      </c>
      <c r="B2651" s="3" t="s">
        <v>2653</v>
      </c>
      <c r="C2651" s="3" t="s">
        <v>9</v>
      </c>
      <c r="D2651" s="3" t="s">
        <v>10</v>
      </c>
      <c r="E2651" s="3">
        <v>22</v>
      </c>
      <c r="F2651" s="3">
        <v>0</v>
      </c>
      <c r="G2651" s="3">
        <v>1</v>
      </c>
      <c r="H2651" s="3">
        <v>18</v>
      </c>
      <c r="I2651" s="3">
        <v>28</v>
      </c>
      <c r="J2651" s="3">
        <v>1</v>
      </c>
      <c r="K2651" s="3">
        <v>15</v>
      </c>
      <c r="L2651" s="3">
        <v>1</v>
      </c>
      <c r="M2651" s="3">
        <v>30</v>
      </c>
      <c r="N2651" s="3">
        <v>17</v>
      </c>
      <c r="O2651" s="3"/>
      <c r="P2651" s="3"/>
      <c r="Q2651" s="3"/>
    </row>
    <row r="2652" spans="1:17" ht="15" x14ac:dyDescent="0.25">
      <c r="A2652" s="3">
        <f>2645</f>
        <v>2645</v>
      </c>
      <c r="B2652" s="3" t="s">
        <v>2654</v>
      </c>
      <c r="C2652" s="3" t="s">
        <v>9</v>
      </c>
      <c r="D2652" s="3" t="s">
        <v>10</v>
      </c>
      <c r="E2652" s="3">
        <v>22</v>
      </c>
      <c r="F2652" s="3">
        <v>0</v>
      </c>
      <c r="G2652" s="3">
        <v>1</v>
      </c>
      <c r="H2652" s="3">
        <v>18</v>
      </c>
      <c r="I2652" s="3">
        <v>28</v>
      </c>
      <c r="J2652" s="3">
        <v>1</v>
      </c>
      <c r="K2652" s="3">
        <v>15</v>
      </c>
      <c r="L2652" s="3">
        <v>1</v>
      </c>
      <c r="M2652" s="3">
        <v>30</v>
      </c>
      <c r="N2652" s="3">
        <v>17</v>
      </c>
      <c r="O2652" s="3"/>
      <c r="P2652" s="3"/>
      <c r="Q2652" s="3"/>
    </row>
    <row r="2653" spans="1:17" ht="15" x14ac:dyDescent="0.25">
      <c r="A2653" s="3">
        <f>2646</f>
        <v>2646</v>
      </c>
      <c r="B2653" s="3" t="s">
        <v>2655</v>
      </c>
      <c r="C2653" s="3" t="s">
        <v>9</v>
      </c>
      <c r="D2653" s="3" t="s">
        <v>10</v>
      </c>
      <c r="E2653" s="3">
        <v>22</v>
      </c>
      <c r="F2653" s="3">
        <v>0</v>
      </c>
      <c r="G2653" s="3">
        <v>1</v>
      </c>
      <c r="H2653" s="3">
        <v>18</v>
      </c>
      <c r="I2653" s="3">
        <v>28</v>
      </c>
      <c r="J2653" s="3">
        <v>1</v>
      </c>
      <c r="K2653" s="3">
        <v>15</v>
      </c>
      <c r="L2653" s="3">
        <v>1</v>
      </c>
      <c r="M2653" s="3">
        <v>30</v>
      </c>
      <c r="N2653" s="3">
        <v>17</v>
      </c>
      <c r="O2653" s="3"/>
      <c r="P2653" s="3"/>
      <c r="Q2653" s="3"/>
    </row>
    <row r="2654" spans="1:17" ht="15" x14ac:dyDescent="0.25">
      <c r="A2654" s="3">
        <f>2647</f>
        <v>2647</v>
      </c>
      <c r="B2654" s="3" t="s">
        <v>2656</v>
      </c>
      <c r="C2654" s="3" t="s">
        <v>9</v>
      </c>
      <c r="D2654" s="3" t="s">
        <v>10</v>
      </c>
      <c r="E2654" s="3">
        <v>22</v>
      </c>
      <c r="F2654" s="3">
        <v>0</v>
      </c>
      <c r="G2654" s="3">
        <v>1</v>
      </c>
      <c r="H2654" s="3">
        <v>18</v>
      </c>
      <c r="I2654" s="3">
        <v>28</v>
      </c>
      <c r="J2654" s="3">
        <v>1</v>
      </c>
      <c r="K2654" s="3">
        <v>15</v>
      </c>
      <c r="L2654" s="3">
        <v>1</v>
      </c>
      <c r="M2654" s="3">
        <v>30</v>
      </c>
      <c r="N2654" s="3">
        <v>17</v>
      </c>
      <c r="O2654" s="3"/>
      <c r="P2654" s="3"/>
      <c r="Q2654" s="3"/>
    </row>
    <row r="2655" spans="1:17" ht="15" x14ac:dyDescent="0.25">
      <c r="A2655" s="3">
        <f>2648</f>
        <v>2648</v>
      </c>
      <c r="B2655" s="3" t="s">
        <v>2657</v>
      </c>
      <c r="C2655" s="3" t="s">
        <v>9</v>
      </c>
      <c r="D2655" s="3" t="s">
        <v>10</v>
      </c>
      <c r="E2655" s="3">
        <v>22</v>
      </c>
      <c r="F2655" s="3">
        <v>0</v>
      </c>
      <c r="G2655" s="3">
        <v>1</v>
      </c>
      <c r="H2655" s="3">
        <v>18</v>
      </c>
      <c r="I2655" s="3">
        <v>28</v>
      </c>
      <c r="J2655" s="3">
        <v>1</v>
      </c>
      <c r="K2655" s="3">
        <v>15</v>
      </c>
      <c r="L2655" s="3">
        <v>1</v>
      </c>
      <c r="M2655" s="3">
        <v>30</v>
      </c>
      <c r="N2655" s="3">
        <v>17</v>
      </c>
      <c r="O2655" s="3"/>
      <c r="P2655" s="3"/>
      <c r="Q2655" s="3"/>
    </row>
    <row r="2656" spans="1:17" ht="15" x14ac:dyDescent="0.25">
      <c r="A2656" s="3">
        <f>2649</f>
        <v>2649</v>
      </c>
      <c r="B2656" s="3" t="s">
        <v>2658</v>
      </c>
      <c r="C2656" s="3" t="s">
        <v>9</v>
      </c>
      <c r="D2656" s="3" t="s">
        <v>10</v>
      </c>
      <c r="E2656" s="3">
        <v>22</v>
      </c>
      <c r="F2656" s="3">
        <v>0</v>
      </c>
      <c r="G2656" s="3">
        <v>1</v>
      </c>
      <c r="H2656" s="3">
        <v>18</v>
      </c>
      <c r="I2656" s="3">
        <v>28</v>
      </c>
      <c r="J2656" s="3">
        <v>1</v>
      </c>
      <c r="K2656" s="3">
        <v>15</v>
      </c>
      <c r="L2656" s="3">
        <v>1</v>
      </c>
      <c r="M2656" s="3">
        <v>30</v>
      </c>
      <c r="N2656" s="3">
        <v>17</v>
      </c>
      <c r="O2656" s="3"/>
      <c r="P2656" s="3"/>
      <c r="Q2656" s="3"/>
    </row>
    <row r="2657" spans="1:17" ht="15" x14ac:dyDescent="0.25">
      <c r="A2657" s="3">
        <f>2650</f>
        <v>2650</v>
      </c>
      <c r="B2657" s="3" t="s">
        <v>2659</v>
      </c>
      <c r="C2657" s="3" t="s">
        <v>9</v>
      </c>
      <c r="D2657" s="3" t="s">
        <v>10</v>
      </c>
      <c r="E2657" s="3">
        <v>22</v>
      </c>
      <c r="F2657" s="3">
        <v>0</v>
      </c>
      <c r="G2657" s="3">
        <v>1</v>
      </c>
      <c r="H2657" s="3">
        <v>18</v>
      </c>
      <c r="I2657" s="3">
        <v>28</v>
      </c>
      <c r="J2657" s="3">
        <v>1</v>
      </c>
      <c r="K2657" s="3">
        <v>15</v>
      </c>
      <c r="L2657" s="3">
        <v>1</v>
      </c>
      <c r="M2657" s="3">
        <v>30</v>
      </c>
      <c r="N2657" s="3">
        <v>17</v>
      </c>
      <c r="O2657" s="3"/>
      <c r="P2657" s="3"/>
      <c r="Q2657" s="3"/>
    </row>
    <row r="2658" spans="1:17" ht="15" x14ac:dyDescent="0.25">
      <c r="A2658" s="3">
        <f>2651</f>
        <v>2651</v>
      </c>
      <c r="B2658" s="3" t="s">
        <v>2660</v>
      </c>
      <c r="C2658" s="3" t="s">
        <v>9</v>
      </c>
      <c r="D2658" s="3" t="s">
        <v>10</v>
      </c>
      <c r="E2658" s="3">
        <v>22</v>
      </c>
      <c r="F2658" s="3">
        <v>0</v>
      </c>
      <c r="G2658" s="3">
        <v>1</v>
      </c>
      <c r="H2658" s="3">
        <v>18</v>
      </c>
      <c r="I2658" s="3">
        <v>28</v>
      </c>
      <c r="J2658" s="3">
        <v>1</v>
      </c>
      <c r="K2658" s="3">
        <v>15</v>
      </c>
      <c r="L2658" s="3">
        <v>1</v>
      </c>
      <c r="M2658" s="3">
        <v>30</v>
      </c>
      <c r="N2658" s="3">
        <v>17</v>
      </c>
      <c r="O2658" s="3"/>
      <c r="P2658" s="3"/>
      <c r="Q2658" s="3"/>
    </row>
    <row r="2659" spans="1:17" ht="15" x14ac:dyDescent="0.25">
      <c r="A2659" s="3">
        <f>2652</f>
        <v>2652</v>
      </c>
      <c r="B2659" s="3" t="s">
        <v>2661</v>
      </c>
      <c r="C2659" s="3" t="s">
        <v>9</v>
      </c>
      <c r="D2659" s="3" t="s">
        <v>10</v>
      </c>
      <c r="E2659" s="3">
        <v>22</v>
      </c>
      <c r="F2659" s="3">
        <v>0</v>
      </c>
      <c r="G2659" s="3">
        <v>1</v>
      </c>
      <c r="H2659" s="3">
        <v>18</v>
      </c>
      <c r="I2659" s="3">
        <v>28</v>
      </c>
      <c r="J2659" s="3">
        <v>1</v>
      </c>
      <c r="K2659" s="3">
        <v>15</v>
      </c>
      <c r="L2659" s="3">
        <v>1</v>
      </c>
      <c r="M2659" s="3">
        <v>30</v>
      </c>
      <c r="N2659" s="3">
        <v>17</v>
      </c>
      <c r="O2659" s="3"/>
      <c r="P2659" s="3"/>
      <c r="Q2659" s="3"/>
    </row>
    <row r="2660" spans="1:17" ht="15" x14ac:dyDescent="0.25">
      <c r="A2660" s="3">
        <f>2653</f>
        <v>2653</v>
      </c>
      <c r="B2660" s="3" t="s">
        <v>2662</v>
      </c>
      <c r="C2660" s="3" t="s">
        <v>9</v>
      </c>
      <c r="D2660" s="3" t="s">
        <v>10</v>
      </c>
      <c r="E2660" s="3">
        <v>22</v>
      </c>
      <c r="F2660" s="3">
        <v>0</v>
      </c>
      <c r="G2660" s="3">
        <v>1</v>
      </c>
      <c r="H2660" s="3">
        <v>18</v>
      </c>
      <c r="I2660" s="3">
        <v>28</v>
      </c>
      <c r="J2660" s="3">
        <v>1</v>
      </c>
      <c r="K2660" s="3">
        <v>15</v>
      </c>
      <c r="L2660" s="3">
        <v>1</v>
      </c>
      <c r="M2660" s="3">
        <v>30</v>
      </c>
      <c r="N2660" s="3">
        <v>17</v>
      </c>
      <c r="O2660" s="3"/>
      <c r="P2660" s="3"/>
      <c r="Q2660" s="3"/>
    </row>
    <row r="2661" spans="1:17" ht="15" x14ac:dyDescent="0.25">
      <c r="A2661" s="3">
        <f>2654</f>
        <v>2654</v>
      </c>
      <c r="B2661" s="3" t="s">
        <v>2663</v>
      </c>
      <c r="C2661" s="3" t="s">
        <v>9</v>
      </c>
      <c r="D2661" s="3" t="s">
        <v>10</v>
      </c>
      <c r="E2661" s="3">
        <v>22</v>
      </c>
      <c r="F2661" s="3">
        <v>0</v>
      </c>
      <c r="G2661" s="3">
        <v>1</v>
      </c>
      <c r="H2661" s="3">
        <v>18</v>
      </c>
      <c r="I2661" s="3">
        <v>28</v>
      </c>
      <c r="J2661" s="3">
        <v>1</v>
      </c>
      <c r="K2661" s="3">
        <v>15</v>
      </c>
      <c r="L2661" s="3">
        <v>1</v>
      </c>
      <c r="M2661" s="3">
        <v>30</v>
      </c>
      <c r="N2661" s="3">
        <v>17</v>
      </c>
      <c r="O2661" s="3"/>
      <c r="P2661" s="3"/>
      <c r="Q2661" s="3"/>
    </row>
    <row r="2662" spans="1:17" ht="15" x14ac:dyDescent="0.25">
      <c r="A2662" s="3">
        <f>2655</f>
        <v>2655</v>
      </c>
      <c r="B2662" s="3" t="s">
        <v>2664</v>
      </c>
      <c r="C2662" s="3" t="s">
        <v>9</v>
      </c>
      <c r="D2662" s="3" t="s">
        <v>10</v>
      </c>
      <c r="E2662" s="3">
        <v>22</v>
      </c>
      <c r="F2662" s="3">
        <v>0</v>
      </c>
      <c r="G2662" s="3">
        <v>1</v>
      </c>
      <c r="H2662" s="3">
        <v>18</v>
      </c>
      <c r="I2662" s="3">
        <v>28</v>
      </c>
      <c r="J2662" s="3">
        <v>1</v>
      </c>
      <c r="K2662" s="3">
        <v>15</v>
      </c>
      <c r="L2662" s="3">
        <v>1</v>
      </c>
      <c r="M2662" s="3">
        <v>30</v>
      </c>
      <c r="N2662" s="3">
        <v>17</v>
      </c>
      <c r="O2662" s="3"/>
      <c r="P2662" s="3"/>
      <c r="Q2662" s="3"/>
    </row>
    <row r="2663" spans="1:17" ht="15" x14ac:dyDescent="0.25">
      <c r="A2663" s="3">
        <f>2656</f>
        <v>2656</v>
      </c>
      <c r="B2663" s="3" t="s">
        <v>2665</v>
      </c>
      <c r="C2663" s="3" t="s">
        <v>9</v>
      </c>
      <c r="D2663" s="3" t="s">
        <v>10</v>
      </c>
      <c r="E2663" s="3">
        <v>22</v>
      </c>
      <c r="F2663" s="3">
        <v>0</v>
      </c>
      <c r="G2663" s="3">
        <v>1</v>
      </c>
      <c r="H2663" s="3">
        <v>18</v>
      </c>
      <c r="I2663" s="3">
        <v>28</v>
      </c>
      <c r="J2663" s="3">
        <v>1</v>
      </c>
      <c r="K2663" s="3">
        <v>15</v>
      </c>
      <c r="L2663" s="3">
        <v>1</v>
      </c>
      <c r="M2663" s="3">
        <v>30</v>
      </c>
      <c r="N2663" s="3">
        <v>17</v>
      </c>
      <c r="O2663" s="3"/>
      <c r="P2663" s="3"/>
      <c r="Q2663" s="3"/>
    </row>
    <row r="2664" spans="1:17" ht="15" x14ac:dyDescent="0.25">
      <c r="A2664" s="3">
        <f>2657</f>
        <v>2657</v>
      </c>
      <c r="B2664" s="3" t="s">
        <v>2666</v>
      </c>
      <c r="C2664" s="3" t="s">
        <v>9</v>
      </c>
      <c r="D2664" s="3" t="s">
        <v>10</v>
      </c>
      <c r="E2664" s="3">
        <v>22</v>
      </c>
      <c r="F2664" s="3">
        <v>0</v>
      </c>
      <c r="G2664" s="3">
        <v>1</v>
      </c>
      <c r="H2664" s="3">
        <v>18</v>
      </c>
      <c r="I2664" s="3">
        <v>28</v>
      </c>
      <c r="J2664" s="3">
        <v>1</v>
      </c>
      <c r="K2664" s="3">
        <v>15</v>
      </c>
      <c r="L2664" s="3">
        <v>1</v>
      </c>
      <c r="M2664" s="3">
        <v>30</v>
      </c>
      <c r="N2664" s="3">
        <v>17</v>
      </c>
      <c r="O2664" s="3"/>
      <c r="P2664" s="3"/>
      <c r="Q2664" s="3"/>
    </row>
    <row r="2665" spans="1:17" ht="15" x14ac:dyDescent="0.25">
      <c r="A2665" s="3">
        <f>2658</f>
        <v>2658</v>
      </c>
      <c r="B2665" s="3" t="s">
        <v>2667</v>
      </c>
      <c r="C2665" s="3" t="s">
        <v>9</v>
      </c>
      <c r="D2665" s="3" t="s">
        <v>10</v>
      </c>
      <c r="E2665" s="3">
        <v>22</v>
      </c>
      <c r="F2665" s="3">
        <v>0</v>
      </c>
      <c r="G2665" s="3">
        <v>1</v>
      </c>
      <c r="H2665" s="3">
        <v>18</v>
      </c>
      <c r="I2665" s="3">
        <v>28</v>
      </c>
      <c r="J2665" s="3">
        <v>1</v>
      </c>
      <c r="K2665" s="3">
        <v>15</v>
      </c>
      <c r="L2665" s="3">
        <v>1</v>
      </c>
      <c r="M2665" s="3">
        <v>30</v>
      </c>
      <c r="N2665" s="3">
        <v>17</v>
      </c>
      <c r="O2665" s="3"/>
      <c r="P2665" s="3"/>
      <c r="Q2665" s="3"/>
    </row>
    <row r="2666" spans="1:17" ht="15" x14ac:dyDescent="0.25">
      <c r="A2666" s="3">
        <f>2659</f>
        <v>2659</v>
      </c>
      <c r="B2666" s="3" t="s">
        <v>2668</v>
      </c>
      <c r="C2666" s="3" t="s">
        <v>9</v>
      </c>
      <c r="D2666" s="3" t="s">
        <v>10</v>
      </c>
      <c r="E2666" s="3">
        <v>22</v>
      </c>
      <c r="F2666" s="3">
        <v>0</v>
      </c>
      <c r="G2666" s="3">
        <v>1</v>
      </c>
      <c r="H2666" s="3">
        <v>18</v>
      </c>
      <c r="I2666" s="3">
        <v>28</v>
      </c>
      <c r="J2666" s="3">
        <v>1</v>
      </c>
      <c r="K2666" s="3">
        <v>15</v>
      </c>
      <c r="L2666" s="3">
        <v>1</v>
      </c>
      <c r="M2666" s="3">
        <v>30</v>
      </c>
      <c r="N2666" s="3">
        <v>17</v>
      </c>
      <c r="O2666" s="3"/>
      <c r="P2666" s="3"/>
      <c r="Q2666" s="3"/>
    </row>
    <row r="2667" spans="1:17" ht="15" x14ac:dyDescent="0.25">
      <c r="A2667" s="3">
        <f>2660</f>
        <v>2660</v>
      </c>
      <c r="B2667" s="3" t="s">
        <v>2669</v>
      </c>
      <c r="C2667" s="3" t="s">
        <v>9</v>
      </c>
      <c r="D2667" s="3" t="s">
        <v>10</v>
      </c>
      <c r="E2667" s="3">
        <v>22</v>
      </c>
      <c r="F2667" s="3">
        <v>0</v>
      </c>
      <c r="G2667" s="3">
        <v>1</v>
      </c>
      <c r="H2667" s="3">
        <v>18</v>
      </c>
      <c r="I2667" s="3">
        <v>28</v>
      </c>
      <c r="J2667" s="3">
        <v>1</v>
      </c>
      <c r="K2667" s="3">
        <v>15</v>
      </c>
      <c r="L2667" s="3">
        <v>1</v>
      </c>
      <c r="M2667" s="3">
        <v>30</v>
      </c>
      <c r="N2667" s="3">
        <v>17</v>
      </c>
      <c r="O2667" s="3"/>
      <c r="P2667" s="3"/>
      <c r="Q2667" s="3"/>
    </row>
    <row r="2668" spans="1:17" ht="15" x14ac:dyDescent="0.25">
      <c r="A2668" s="3">
        <f>2661</f>
        <v>2661</v>
      </c>
      <c r="B2668" s="3" t="s">
        <v>2670</v>
      </c>
      <c r="C2668" s="3" t="s">
        <v>9</v>
      </c>
      <c r="D2668" s="3" t="s">
        <v>10</v>
      </c>
      <c r="E2668" s="3">
        <v>22</v>
      </c>
      <c r="F2668" s="3">
        <v>0</v>
      </c>
      <c r="G2668" s="3">
        <v>1</v>
      </c>
      <c r="H2668" s="3">
        <v>18</v>
      </c>
      <c r="I2668" s="3">
        <v>28</v>
      </c>
      <c r="J2668" s="3">
        <v>1</v>
      </c>
      <c r="K2668" s="3">
        <v>15</v>
      </c>
      <c r="L2668" s="3">
        <v>1</v>
      </c>
      <c r="M2668" s="3">
        <v>30</v>
      </c>
      <c r="N2668" s="3">
        <v>17</v>
      </c>
      <c r="O2668" s="3"/>
      <c r="P2668" s="3"/>
      <c r="Q2668" s="3"/>
    </row>
    <row r="2669" spans="1:17" ht="15" x14ac:dyDescent="0.25">
      <c r="A2669" s="3">
        <f>2662</f>
        <v>2662</v>
      </c>
      <c r="B2669" s="3" t="s">
        <v>2671</v>
      </c>
      <c r="C2669" s="3" t="s">
        <v>9</v>
      </c>
      <c r="D2669" s="3" t="s">
        <v>10</v>
      </c>
      <c r="E2669" s="3">
        <v>22</v>
      </c>
      <c r="F2669" s="3">
        <v>0</v>
      </c>
      <c r="G2669" s="3">
        <v>1</v>
      </c>
      <c r="H2669" s="3">
        <v>18</v>
      </c>
      <c r="I2669" s="3">
        <v>28</v>
      </c>
      <c r="J2669" s="3">
        <v>1</v>
      </c>
      <c r="K2669" s="3">
        <v>15</v>
      </c>
      <c r="L2669" s="3">
        <v>1</v>
      </c>
      <c r="M2669" s="3">
        <v>30</v>
      </c>
      <c r="N2669" s="3">
        <v>17</v>
      </c>
      <c r="O2669" s="3"/>
      <c r="P2669" s="3"/>
      <c r="Q2669" s="3"/>
    </row>
    <row r="2670" spans="1:17" ht="15" x14ac:dyDescent="0.25">
      <c r="A2670" s="3">
        <f>2663</f>
        <v>2663</v>
      </c>
      <c r="B2670" s="3" t="s">
        <v>2672</v>
      </c>
      <c r="C2670" s="3" t="s">
        <v>9</v>
      </c>
      <c r="D2670" s="3" t="s">
        <v>10</v>
      </c>
      <c r="E2670" s="3">
        <v>22</v>
      </c>
      <c r="F2670" s="3">
        <v>0</v>
      </c>
      <c r="G2670" s="3">
        <v>1</v>
      </c>
      <c r="H2670" s="3">
        <v>18</v>
      </c>
      <c r="I2670" s="3">
        <v>28</v>
      </c>
      <c r="J2670" s="3">
        <v>1</v>
      </c>
      <c r="K2670" s="3">
        <v>15</v>
      </c>
      <c r="L2670" s="3">
        <v>1</v>
      </c>
      <c r="M2670" s="3">
        <v>30</v>
      </c>
      <c r="N2670" s="3">
        <v>17</v>
      </c>
      <c r="O2670" s="3"/>
      <c r="P2670" s="3"/>
      <c r="Q2670" s="3"/>
    </row>
    <row r="2671" spans="1:17" ht="15" x14ac:dyDescent="0.25">
      <c r="A2671" s="3">
        <f>2664</f>
        <v>2664</v>
      </c>
      <c r="B2671" s="3" t="s">
        <v>2673</v>
      </c>
      <c r="C2671" s="3" t="s">
        <v>9</v>
      </c>
      <c r="D2671" s="3" t="s">
        <v>10</v>
      </c>
      <c r="E2671" s="3">
        <v>22</v>
      </c>
      <c r="F2671" s="3">
        <v>0</v>
      </c>
      <c r="G2671" s="3">
        <v>1</v>
      </c>
      <c r="H2671" s="3">
        <v>18</v>
      </c>
      <c r="I2671" s="3">
        <v>28</v>
      </c>
      <c r="J2671" s="3">
        <v>1</v>
      </c>
      <c r="K2671" s="3">
        <v>15</v>
      </c>
      <c r="L2671" s="3">
        <v>1</v>
      </c>
      <c r="M2671" s="3">
        <v>30</v>
      </c>
      <c r="N2671" s="3">
        <v>17</v>
      </c>
      <c r="O2671" s="3"/>
      <c r="P2671" s="3"/>
      <c r="Q2671" s="3"/>
    </row>
    <row r="2672" spans="1:17" ht="15" x14ac:dyDescent="0.25">
      <c r="A2672" s="3">
        <f>2665</f>
        <v>2665</v>
      </c>
      <c r="B2672" s="3" t="s">
        <v>2674</v>
      </c>
      <c r="C2672" s="3" t="s">
        <v>9</v>
      </c>
      <c r="D2672" s="3" t="s">
        <v>10</v>
      </c>
      <c r="E2672" s="3">
        <v>22</v>
      </c>
      <c r="F2672" s="3">
        <v>0</v>
      </c>
      <c r="G2672" s="3">
        <v>1</v>
      </c>
      <c r="H2672" s="3">
        <v>18</v>
      </c>
      <c r="I2672" s="3">
        <v>28</v>
      </c>
      <c r="J2672" s="3">
        <v>1</v>
      </c>
      <c r="K2672" s="3">
        <v>15</v>
      </c>
      <c r="L2672" s="3">
        <v>1</v>
      </c>
      <c r="M2672" s="3">
        <v>30</v>
      </c>
      <c r="N2672" s="3">
        <v>17</v>
      </c>
      <c r="O2672" s="3"/>
      <c r="P2672" s="3"/>
      <c r="Q2672" s="3"/>
    </row>
    <row r="2673" spans="1:17" ht="15" x14ac:dyDescent="0.25">
      <c r="A2673" s="3">
        <f>2666</f>
        <v>2666</v>
      </c>
      <c r="B2673" s="3" t="s">
        <v>2675</v>
      </c>
      <c r="C2673" s="3" t="s">
        <v>9</v>
      </c>
      <c r="D2673" s="3" t="s">
        <v>10</v>
      </c>
      <c r="E2673" s="3">
        <v>22</v>
      </c>
      <c r="F2673" s="3">
        <v>0</v>
      </c>
      <c r="G2673" s="3">
        <v>1</v>
      </c>
      <c r="H2673" s="3">
        <v>18</v>
      </c>
      <c r="I2673" s="3">
        <v>28</v>
      </c>
      <c r="J2673" s="3">
        <v>1</v>
      </c>
      <c r="K2673" s="3">
        <v>15</v>
      </c>
      <c r="L2673" s="3">
        <v>1</v>
      </c>
      <c r="M2673" s="3">
        <v>30</v>
      </c>
      <c r="N2673" s="3">
        <v>17</v>
      </c>
      <c r="O2673" s="3"/>
      <c r="P2673" s="3"/>
      <c r="Q2673" s="3"/>
    </row>
    <row r="2674" spans="1:17" ht="15" x14ac:dyDescent="0.25">
      <c r="A2674" s="3">
        <f>2667</f>
        <v>2667</v>
      </c>
      <c r="B2674" s="3" t="s">
        <v>2676</v>
      </c>
      <c r="C2674" s="3" t="s">
        <v>9</v>
      </c>
      <c r="D2674" s="3" t="s">
        <v>10</v>
      </c>
      <c r="E2674" s="3">
        <v>22</v>
      </c>
      <c r="F2674" s="3">
        <v>0</v>
      </c>
      <c r="G2674" s="3">
        <v>1</v>
      </c>
      <c r="H2674" s="3">
        <v>18</v>
      </c>
      <c r="I2674" s="3">
        <v>28</v>
      </c>
      <c r="J2674" s="3">
        <v>1</v>
      </c>
      <c r="K2674" s="3">
        <v>15</v>
      </c>
      <c r="L2674" s="3">
        <v>1</v>
      </c>
      <c r="M2674" s="3">
        <v>30</v>
      </c>
      <c r="N2674" s="3">
        <v>17</v>
      </c>
      <c r="O2674" s="3"/>
      <c r="P2674" s="3"/>
      <c r="Q2674" s="3"/>
    </row>
    <row r="2675" spans="1:17" ht="15" x14ac:dyDescent="0.25">
      <c r="A2675" s="3">
        <f>2668</f>
        <v>2668</v>
      </c>
      <c r="B2675" s="3" t="s">
        <v>2677</v>
      </c>
      <c r="C2675" s="3" t="s">
        <v>9</v>
      </c>
      <c r="D2675" s="3" t="s">
        <v>10</v>
      </c>
      <c r="E2675" s="3">
        <v>22</v>
      </c>
      <c r="F2675" s="3">
        <v>0</v>
      </c>
      <c r="G2675" s="3">
        <v>1</v>
      </c>
      <c r="H2675" s="3">
        <v>18</v>
      </c>
      <c r="I2675" s="3">
        <v>28</v>
      </c>
      <c r="J2675" s="3">
        <v>1</v>
      </c>
      <c r="K2675" s="3">
        <v>15</v>
      </c>
      <c r="L2675" s="3">
        <v>1</v>
      </c>
      <c r="M2675" s="3">
        <v>30</v>
      </c>
      <c r="N2675" s="3">
        <v>17</v>
      </c>
      <c r="O2675" s="3"/>
      <c r="P2675" s="3"/>
      <c r="Q2675" s="3"/>
    </row>
    <row r="2676" spans="1:17" ht="15" x14ac:dyDescent="0.25">
      <c r="A2676" s="3">
        <f>2669</f>
        <v>2669</v>
      </c>
      <c r="B2676" s="3" t="s">
        <v>2678</v>
      </c>
      <c r="C2676" s="3" t="s">
        <v>9</v>
      </c>
      <c r="D2676" s="3" t="s">
        <v>10</v>
      </c>
      <c r="E2676" s="3">
        <v>22</v>
      </c>
      <c r="F2676" s="3">
        <v>0</v>
      </c>
      <c r="G2676" s="3">
        <v>1</v>
      </c>
      <c r="H2676" s="3">
        <v>18</v>
      </c>
      <c r="I2676" s="3">
        <v>28</v>
      </c>
      <c r="J2676" s="3">
        <v>1</v>
      </c>
      <c r="K2676" s="3">
        <v>15</v>
      </c>
      <c r="L2676" s="3">
        <v>1</v>
      </c>
      <c r="M2676" s="3">
        <v>30</v>
      </c>
      <c r="N2676" s="3">
        <v>17</v>
      </c>
      <c r="O2676" s="3"/>
      <c r="P2676" s="3"/>
      <c r="Q2676" s="3"/>
    </row>
    <row r="2677" spans="1:17" ht="15" x14ac:dyDescent="0.25">
      <c r="A2677" s="3">
        <f>2670</f>
        <v>2670</v>
      </c>
      <c r="B2677" s="3" t="s">
        <v>2679</v>
      </c>
      <c r="C2677" s="3" t="s">
        <v>9</v>
      </c>
      <c r="D2677" s="3" t="s">
        <v>10</v>
      </c>
      <c r="E2677" s="3">
        <v>22</v>
      </c>
      <c r="F2677" s="3">
        <v>0</v>
      </c>
      <c r="G2677" s="3">
        <v>1</v>
      </c>
      <c r="H2677" s="3">
        <v>18</v>
      </c>
      <c r="I2677" s="3">
        <v>28</v>
      </c>
      <c r="J2677" s="3">
        <v>1</v>
      </c>
      <c r="K2677" s="3">
        <v>15</v>
      </c>
      <c r="L2677" s="3">
        <v>1</v>
      </c>
      <c r="M2677" s="3">
        <v>30</v>
      </c>
      <c r="N2677" s="3">
        <v>17</v>
      </c>
      <c r="O2677" s="3"/>
      <c r="P2677" s="3"/>
      <c r="Q2677" s="3"/>
    </row>
    <row r="2678" spans="1:17" ht="15" x14ac:dyDescent="0.25">
      <c r="A2678" s="3">
        <f>2671</f>
        <v>2671</v>
      </c>
      <c r="B2678" s="3" t="s">
        <v>2680</v>
      </c>
      <c r="C2678" s="3" t="s">
        <v>9</v>
      </c>
      <c r="D2678" s="3" t="s">
        <v>10</v>
      </c>
      <c r="E2678" s="3">
        <v>22</v>
      </c>
      <c r="F2678" s="3">
        <v>0</v>
      </c>
      <c r="G2678" s="3">
        <v>1</v>
      </c>
      <c r="H2678" s="3">
        <v>18</v>
      </c>
      <c r="I2678" s="3">
        <v>28</v>
      </c>
      <c r="J2678" s="3">
        <v>1</v>
      </c>
      <c r="K2678" s="3">
        <v>15</v>
      </c>
      <c r="L2678" s="3">
        <v>1</v>
      </c>
      <c r="M2678" s="3">
        <v>30</v>
      </c>
      <c r="N2678" s="3">
        <v>17</v>
      </c>
      <c r="O2678" s="3"/>
      <c r="P2678" s="3"/>
      <c r="Q2678" s="3"/>
    </row>
    <row r="2679" spans="1:17" ht="15" x14ac:dyDescent="0.25">
      <c r="A2679" s="3">
        <f>2672</f>
        <v>2672</v>
      </c>
      <c r="B2679" s="3" t="s">
        <v>2681</v>
      </c>
      <c r="C2679" s="3" t="s">
        <v>9</v>
      </c>
      <c r="D2679" s="3" t="s">
        <v>10</v>
      </c>
      <c r="E2679" s="3">
        <v>22</v>
      </c>
      <c r="F2679" s="3">
        <v>0</v>
      </c>
      <c r="G2679" s="3">
        <v>1</v>
      </c>
      <c r="H2679" s="3">
        <v>18</v>
      </c>
      <c r="I2679" s="3">
        <v>28</v>
      </c>
      <c r="J2679" s="3">
        <v>1</v>
      </c>
      <c r="K2679" s="3">
        <v>15</v>
      </c>
      <c r="L2679" s="3">
        <v>1</v>
      </c>
      <c r="M2679" s="3">
        <v>30</v>
      </c>
      <c r="N2679" s="3">
        <v>17</v>
      </c>
      <c r="O2679" s="3"/>
      <c r="P2679" s="3"/>
      <c r="Q2679" s="3"/>
    </row>
    <row r="2680" spans="1:17" ht="15" x14ac:dyDescent="0.25">
      <c r="A2680" s="3">
        <f>2673</f>
        <v>2673</v>
      </c>
      <c r="B2680" s="3" t="s">
        <v>2682</v>
      </c>
      <c r="C2680" s="3" t="s">
        <v>9</v>
      </c>
      <c r="D2680" s="3" t="s">
        <v>10</v>
      </c>
      <c r="E2680" s="3">
        <v>22</v>
      </c>
      <c r="F2680" s="3">
        <v>0</v>
      </c>
      <c r="G2680" s="3">
        <v>1</v>
      </c>
      <c r="H2680" s="3">
        <v>18</v>
      </c>
      <c r="I2680" s="3">
        <v>28</v>
      </c>
      <c r="J2680" s="3">
        <v>1</v>
      </c>
      <c r="K2680" s="3">
        <v>15</v>
      </c>
      <c r="L2680" s="3">
        <v>1</v>
      </c>
      <c r="M2680" s="3">
        <v>30</v>
      </c>
      <c r="N2680" s="3">
        <v>17</v>
      </c>
      <c r="O2680" s="3"/>
      <c r="P2680" s="3"/>
      <c r="Q2680" s="3"/>
    </row>
    <row r="2681" spans="1:17" ht="15" x14ac:dyDescent="0.25">
      <c r="A2681" s="3">
        <f>2674</f>
        <v>2674</v>
      </c>
      <c r="B2681" s="3" t="s">
        <v>2683</v>
      </c>
      <c r="C2681" s="3" t="s">
        <v>9</v>
      </c>
      <c r="D2681" s="3" t="s">
        <v>10</v>
      </c>
      <c r="E2681" s="3">
        <v>22</v>
      </c>
      <c r="F2681" s="3">
        <v>0</v>
      </c>
      <c r="G2681" s="3">
        <v>1</v>
      </c>
      <c r="H2681" s="3">
        <v>18</v>
      </c>
      <c r="I2681" s="3">
        <v>28</v>
      </c>
      <c r="J2681" s="3">
        <v>1</v>
      </c>
      <c r="K2681" s="3">
        <v>15</v>
      </c>
      <c r="L2681" s="3">
        <v>1</v>
      </c>
      <c r="M2681" s="3">
        <v>30</v>
      </c>
      <c r="N2681" s="3">
        <v>17</v>
      </c>
      <c r="O2681" s="3"/>
      <c r="P2681" s="3"/>
      <c r="Q2681" s="3"/>
    </row>
    <row r="2682" spans="1:17" ht="15" x14ac:dyDescent="0.25">
      <c r="A2682" s="3">
        <f>2675</f>
        <v>2675</v>
      </c>
      <c r="B2682" s="3" t="s">
        <v>2684</v>
      </c>
      <c r="C2682" s="3" t="s">
        <v>9</v>
      </c>
      <c r="D2682" s="3" t="s">
        <v>10</v>
      </c>
      <c r="E2682" s="3">
        <v>22</v>
      </c>
      <c r="F2682" s="3">
        <v>0</v>
      </c>
      <c r="G2682" s="3">
        <v>1</v>
      </c>
      <c r="H2682" s="3">
        <v>18</v>
      </c>
      <c r="I2682" s="3">
        <v>28</v>
      </c>
      <c r="J2682" s="3">
        <v>1</v>
      </c>
      <c r="K2682" s="3">
        <v>15</v>
      </c>
      <c r="L2682" s="3">
        <v>1</v>
      </c>
      <c r="M2682" s="3">
        <v>30</v>
      </c>
      <c r="N2682" s="3">
        <v>17</v>
      </c>
      <c r="O2682" s="3"/>
      <c r="P2682" s="3"/>
      <c r="Q2682" s="3"/>
    </row>
    <row r="2683" spans="1:17" ht="15" x14ac:dyDescent="0.25">
      <c r="A2683" s="3">
        <f>2676</f>
        <v>2676</v>
      </c>
      <c r="B2683" s="3" t="s">
        <v>2685</v>
      </c>
      <c r="C2683" s="3" t="s">
        <v>9</v>
      </c>
      <c r="D2683" s="3" t="s">
        <v>10</v>
      </c>
      <c r="E2683" s="3">
        <v>22</v>
      </c>
      <c r="F2683" s="3">
        <v>0</v>
      </c>
      <c r="G2683" s="3">
        <v>1</v>
      </c>
      <c r="H2683" s="3">
        <v>18</v>
      </c>
      <c r="I2683" s="3">
        <v>28</v>
      </c>
      <c r="J2683" s="3">
        <v>1</v>
      </c>
      <c r="K2683" s="3">
        <v>15</v>
      </c>
      <c r="L2683" s="3">
        <v>1</v>
      </c>
      <c r="M2683" s="3">
        <v>30</v>
      </c>
      <c r="N2683" s="3">
        <v>17</v>
      </c>
      <c r="O2683" s="3"/>
      <c r="P2683" s="3"/>
      <c r="Q2683" s="3"/>
    </row>
    <row r="2684" spans="1:17" ht="15" x14ac:dyDescent="0.25">
      <c r="A2684" s="3">
        <f>2677</f>
        <v>2677</v>
      </c>
      <c r="B2684" s="3" t="s">
        <v>2686</v>
      </c>
      <c r="C2684" s="3" t="s">
        <v>9</v>
      </c>
      <c r="D2684" s="3" t="s">
        <v>10</v>
      </c>
      <c r="E2684" s="3">
        <v>22</v>
      </c>
      <c r="F2684" s="3">
        <v>0</v>
      </c>
      <c r="G2684" s="3">
        <v>1</v>
      </c>
      <c r="H2684" s="3">
        <v>18</v>
      </c>
      <c r="I2684" s="3">
        <v>28</v>
      </c>
      <c r="J2684" s="3">
        <v>1</v>
      </c>
      <c r="K2684" s="3">
        <v>15</v>
      </c>
      <c r="L2684" s="3">
        <v>1</v>
      </c>
      <c r="M2684" s="3">
        <v>30</v>
      </c>
      <c r="N2684" s="3">
        <v>17</v>
      </c>
      <c r="O2684" s="3"/>
      <c r="P2684" s="3"/>
      <c r="Q2684" s="3"/>
    </row>
    <row r="2685" spans="1:17" ht="15" x14ac:dyDescent="0.25">
      <c r="A2685" s="3">
        <f>2678</f>
        <v>2678</v>
      </c>
      <c r="B2685" s="3" t="s">
        <v>2687</v>
      </c>
      <c r="C2685" s="3" t="s">
        <v>9</v>
      </c>
      <c r="D2685" s="3" t="s">
        <v>10</v>
      </c>
      <c r="E2685" s="3">
        <v>22</v>
      </c>
      <c r="F2685" s="3">
        <v>0</v>
      </c>
      <c r="G2685" s="3">
        <v>1</v>
      </c>
      <c r="H2685" s="3">
        <v>18</v>
      </c>
      <c r="I2685" s="3">
        <v>28</v>
      </c>
      <c r="J2685" s="3">
        <v>1</v>
      </c>
      <c r="K2685" s="3">
        <v>15</v>
      </c>
      <c r="L2685" s="3">
        <v>1</v>
      </c>
      <c r="M2685" s="3">
        <v>30</v>
      </c>
      <c r="N2685" s="3">
        <v>17</v>
      </c>
      <c r="O2685" s="3"/>
      <c r="P2685" s="3"/>
      <c r="Q2685" s="3"/>
    </row>
    <row r="2686" spans="1:17" ht="15" x14ac:dyDescent="0.25">
      <c r="A2686" s="3">
        <f>2679</f>
        <v>2679</v>
      </c>
      <c r="B2686" s="3" t="s">
        <v>2688</v>
      </c>
      <c r="C2686" s="3" t="s">
        <v>9</v>
      </c>
      <c r="D2686" s="3" t="s">
        <v>10</v>
      </c>
      <c r="E2686" s="3">
        <v>22</v>
      </c>
      <c r="F2686" s="3">
        <v>0</v>
      </c>
      <c r="G2686" s="3">
        <v>1</v>
      </c>
      <c r="H2686" s="3">
        <v>18</v>
      </c>
      <c r="I2686" s="3">
        <v>28</v>
      </c>
      <c r="J2686" s="3">
        <v>1</v>
      </c>
      <c r="K2686" s="3">
        <v>15</v>
      </c>
      <c r="L2686" s="3">
        <v>1</v>
      </c>
      <c r="M2686" s="3">
        <v>30</v>
      </c>
      <c r="N2686" s="3">
        <v>17</v>
      </c>
      <c r="O2686" s="3"/>
      <c r="P2686" s="3"/>
      <c r="Q2686" s="3"/>
    </row>
    <row r="2687" spans="1:17" ht="15" x14ac:dyDescent="0.25">
      <c r="A2687" s="3">
        <f>2680</f>
        <v>2680</v>
      </c>
      <c r="B2687" s="3" t="s">
        <v>2689</v>
      </c>
      <c r="C2687" s="3" t="s">
        <v>9</v>
      </c>
      <c r="D2687" s="3" t="s">
        <v>10</v>
      </c>
      <c r="E2687" s="3">
        <v>22</v>
      </c>
      <c r="F2687" s="3">
        <v>0</v>
      </c>
      <c r="G2687" s="3">
        <v>1</v>
      </c>
      <c r="H2687" s="3">
        <v>18</v>
      </c>
      <c r="I2687" s="3">
        <v>28</v>
      </c>
      <c r="J2687" s="3">
        <v>1</v>
      </c>
      <c r="K2687" s="3">
        <v>15</v>
      </c>
      <c r="L2687" s="3">
        <v>1</v>
      </c>
      <c r="M2687" s="3">
        <v>30</v>
      </c>
      <c r="N2687" s="3">
        <v>17</v>
      </c>
      <c r="O2687" s="3"/>
      <c r="P2687" s="3"/>
      <c r="Q2687" s="3"/>
    </row>
    <row r="2688" spans="1:17" ht="15" x14ac:dyDescent="0.25">
      <c r="A2688" s="3">
        <f>2681</f>
        <v>2681</v>
      </c>
      <c r="B2688" s="3" t="s">
        <v>2690</v>
      </c>
      <c r="C2688" s="3" t="s">
        <v>9</v>
      </c>
      <c r="D2688" s="3" t="s">
        <v>10</v>
      </c>
      <c r="E2688" s="3">
        <v>22</v>
      </c>
      <c r="F2688" s="3">
        <v>0</v>
      </c>
      <c r="G2688" s="3">
        <v>1</v>
      </c>
      <c r="H2688" s="3">
        <v>18</v>
      </c>
      <c r="I2688" s="3">
        <v>28</v>
      </c>
      <c r="J2688" s="3">
        <v>1</v>
      </c>
      <c r="K2688" s="3">
        <v>15</v>
      </c>
      <c r="L2688" s="3">
        <v>1</v>
      </c>
      <c r="M2688" s="3">
        <v>30</v>
      </c>
      <c r="N2688" s="3">
        <v>17</v>
      </c>
      <c r="O2688" s="3"/>
      <c r="P2688" s="3"/>
      <c r="Q2688" s="3"/>
    </row>
    <row r="2689" spans="1:17" ht="15" x14ac:dyDescent="0.25">
      <c r="A2689" s="3">
        <f>2682</f>
        <v>2682</v>
      </c>
      <c r="B2689" s="3" t="s">
        <v>2691</v>
      </c>
      <c r="C2689" s="3" t="s">
        <v>9</v>
      </c>
      <c r="D2689" s="3" t="s">
        <v>10</v>
      </c>
      <c r="E2689" s="3">
        <v>22</v>
      </c>
      <c r="F2689" s="3">
        <v>0</v>
      </c>
      <c r="G2689" s="3">
        <v>1</v>
      </c>
      <c r="H2689" s="3">
        <v>18</v>
      </c>
      <c r="I2689" s="3">
        <v>28</v>
      </c>
      <c r="J2689" s="3">
        <v>1</v>
      </c>
      <c r="K2689" s="3">
        <v>15</v>
      </c>
      <c r="L2689" s="3">
        <v>1</v>
      </c>
      <c r="M2689" s="3">
        <v>30</v>
      </c>
      <c r="N2689" s="3">
        <v>17</v>
      </c>
      <c r="O2689" s="3"/>
      <c r="P2689" s="3"/>
      <c r="Q2689" s="3"/>
    </row>
    <row r="2690" spans="1:17" ht="15" x14ac:dyDescent="0.25">
      <c r="A2690" s="3">
        <f>2683</f>
        <v>2683</v>
      </c>
      <c r="B2690" s="3" t="s">
        <v>2692</v>
      </c>
      <c r="C2690" s="3" t="s">
        <v>9</v>
      </c>
      <c r="D2690" s="3" t="s">
        <v>10</v>
      </c>
      <c r="E2690" s="3">
        <v>22</v>
      </c>
      <c r="F2690" s="3">
        <v>0</v>
      </c>
      <c r="G2690" s="3">
        <v>1</v>
      </c>
      <c r="H2690" s="3">
        <v>18</v>
      </c>
      <c r="I2690" s="3">
        <v>28</v>
      </c>
      <c r="J2690" s="3">
        <v>1</v>
      </c>
      <c r="K2690" s="3">
        <v>15</v>
      </c>
      <c r="L2690" s="3">
        <v>1</v>
      </c>
      <c r="M2690" s="3">
        <v>30</v>
      </c>
      <c r="N2690" s="3">
        <v>17</v>
      </c>
      <c r="O2690" s="3"/>
      <c r="P2690" s="3"/>
      <c r="Q2690" s="3"/>
    </row>
    <row r="2691" spans="1:17" ht="15" x14ac:dyDescent="0.25">
      <c r="A2691" s="3">
        <f>2684</f>
        <v>2684</v>
      </c>
      <c r="B2691" s="3" t="s">
        <v>2693</v>
      </c>
      <c r="C2691" s="3" t="s">
        <v>9</v>
      </c>
      <c r="D2691" s="3" t="s">
        <v>10</v>
      </c>
      <c r="E2691" s="3">
        <v>22</v>
      </c>
      <c r="F2691" s="3">
        <v>0</v>
      </c>
      <c r="G2691" s="3">
        <v>1</v>
      </c>
      <c r="H2691" s="3">
        <v>18</v>
      </c>
      <c r="I2691" s="3">
        <v>28</v>
      </c>
      <c r="J2691" s="3">
        <v>1</v>
      </c>
      <c r="K2691" s="3">
        <v>15</v>
      </c>
      <c r="L2691" s="3">
        <v>1</v>
      </c>
      <c r="M2691" s="3">
        <v>30</v>
      </c>
      <c r="N2691" s="3">
        <v>17</v>
      </c>
      <c r="O2691" s="3"/>
      <c r="P2691" s="3"/>
      <c r="Q2691" s="3"/>
    </row>
    <row r="2692" spans="1:17" ht="15" x14ac:dyDescent="0.25">
      <c r="A2692" s="3">
        <f>2685</f>
        <v>2685</v>
      </c>
      <c r="B2692" s="3" t="s">
        <v>2694</v>
      </c>
      <c r="C2692" s="3" t="s">
        <v>9</v>
      </c>
      <c r="D2692" s="3" t="s">
        <v>10</v>
      </c>
      <c r="E2692" s="3">
        <v>22</v>
      </c>
      <c r="F2692" s="3">
        <v>0</v>
      </c>
      <c r="G2692" s="3">
        <v>1</v>
      </c>
      <c r="H2692" s="3">
        <v>18</v>
      </c>
      <c r="I2692" s="3">
        <v>28</v>
      </c>
      <c r="J2692" s="3">
        <v>1</v>
      </c>
      <c r="K2692" s="3">
        <v>15</v>
      </c>
      <c r="L2692" s="3">
        <v>1</v>
      </c>
      <c r="M2692" s="3">
        <v>30</v>
      </c>
      <c r="N2692" s="3">
        <v>17</v>
      </c>
      <c r="O2692" s="3"/>
      <c r="P2692" s="3"/>
      <c r="Q2692" s="3"/>
    </row>
    <row r="2693" spans="1:17" ht="15" x14ac:dyDescent="0.25">
      <c r="A2693" s="3">
        <f>2686</f>
        <v>2686</v>
      </c>
      <c r="B2693" s="3" t="s">
        <v>2695</v>
      </c>
      <c r="C2693" s="3" t="s">
        <v>9</v>
      </c>
      <c r="D2693" s="3" t="s">
        <v>10</v>
      </c>
      <c r="E2693" s="3">
        <v>22</v>
      </c>
      <c r="F2693" s="3">
        <v>0</v>
      </c>
      <c r="G2693" s="3">
        <v>1</v>
      </c>
      <c r="H2693" s="3">
        <v>18</v>
      </c>
      <c r="I2693" s="3">
        <v>28</v>
      </c>
      <c r="J2693" s="3">
        <v>1</v>
      </c>
      <c r="K2693" s="3">
        <v>15</v>
      </c>
      <c r="L2693" s="3">
        <v>1</v>
      </c>
      <c r="M2693" s="3">
        <v>30</v>
      </c>
      <c r="N2693" s="3">
        <v>17</v>
      </c>
      <c r="O2693" s="3"/>
      <c r="P2693" s="3"/>
      <c r="Q2693" s="3"/>
    </row>
    <row r="2694" spans="1:17" ht="15" x14ac:dyDescent="0.25">
      <c r="A2694" s="3">
        <f>2687</f>
        <v>2687</v>
      </c>
      <c r="B2694" s="3" t="s">
        <v>2696</v>
      </c>
      <c r="C2694" s="3" t="s">
        <v>9</v>
      </c>
      <c r="D2694" s="3" t="s">
        <v>10</v>
      </c>
      <c r="E2694" s="3">
        <v>22</v>
      </c>
      <c r="F2694" s="3">
        <v>0</v>
      </c>
      <c r="G2694" s="3">
        <v>1</v>
      </c>
      <c r="H2694" s="3">
        <v>18</v>
      </c>
      <c r="I2694" s="3">
        <v>28</v>
      </c>
      <c r="J2694" s="3">
        <v>1</v>
      </c>
      <c r="K2694" s="3">
        <v>15</v>
      </c>
      <c r="L2694" s="3">
        <v>1</v>
      </c>
      <c r="M2694" s="3">
        <v>30</v>
      </c>
      <c r="N2694" s="3">
        <v>17</v>
      </c>
      <c r="O2694" s="3"/>
      <c r="P2694" s="3"/>
      <c r="Q2694" s="3"/>
    </row>
    <row r="2695" spans="1:17" ht="15" x14ac:dyDescent="0.25">
      <c r="A2695" s="3">
        <f>2688</f>
        <v>2688</v>
      </c>
      <c r="B2695" s="3" t="s">
        <v>2697</v>
      </c>
      <c r="C2695" s="3" t="s">
        <v>9</v>
      </c>
      <c r="D2695" s="3" t="s">
        <v>10</v>
      </c>
      <c r="E2695" s="3">
        <v>22</v>
      </c>
      <c r="F2695" s="3">
        <v>0</v>
      </c>
      <c r="G2695" s="3">
        <v>1</v>
      </c>
      <c r="H2695" s="3">
        <v>18</v>
      </c>
      <c r="I2695" s="3">
        <v>28</v>
      </c>
      <c r="J2695" s="3">
        <v>1</v>
      </c>
      <c r="K2695" s="3">
        <v>15</v>
      </c>
      <c r="L2695" s="3">
        <v>1</v>
      </c>
      <c r="M2695" s="3">
        <v>30</v>
      </c>
      <c r="N2695" s="3">
        <v>17</v>
      </c>
      <c r="O2695" s="3"/>
      <c r="P2695" s="3"/>
      <c r="Q2695" s="3"/>
    </row>
    <row r="2696" spans="1:17" ht="15" x14ac:dyDescent="0.25">
      <c r="A2696" s="3">
        <f>2689</f>
        <v>2689</v>
      </c>
      <c r="B2696" s="3" t="s">
        <v>2698</v>
      </c>
      <c r="C2696" s="3" t="s">
        <v>9</v>
      </c>
      <c r="D2696" s="3" t="s">
        <v>10</v>
      </c>
      <c r="E2696" s="3">
        <v>22</v>
      </c>
      <c r="F2696" s="3">
        <v>0</v>
      </c>
      <c r="G2696" s="3">
        <v>1</v>
      </c>
      <c r="H2696" s="3">
        <v>18</v>
      </c>
      <c r="I2696" s="3">
        <v>28</v>
      </c>
      <c r="J2696" s="3">
        <v>1</v>
      </c>
      <c r="K2696" s="3">
        <v>15</v>
      </c>
      <c r="L2696" s="3">
        <v>1</v>
      </c>
      <c r="M2696" s="3">
        <v>30</v>
      </c>
      <c r="N2696" s="3">
        <v>17</v>
      </c>
      <c r="O2696" s="3"/>
      <c r="P2696" s="3"/>
      <c r="Q2696" s="3"/>
    </row>
    <row r="2697" spans="1:17" ht="15" x14ac:dyDescent="0.25">
      <c r="A2697" s="3">
        <f>2690</f>
        <v>2690</v>
      </c>
      <c r="B2697" s="3" t="s">
        <v>2699</v>
      </c>
      <c r="C2697" s="3" t="s">
        <v>9</v>
      </c>
      <c r="D2697" s="3" t="s">
        <v>10</v>
      </c>
      <c r="E2697" s="3">
        <v>22</v>
      </c>
      <c r="F2697" s="3">
        <v>0</v>
      </c>
      <c r="G2697" s="3">
        <v>1</v>
      </c>
      <c r="H2697" s="3">
        <v>18</v>
      </c>
      <c r="I2697" s="3">
        <v>28</v>
      </c>
      <c r="J2697" s="3">
        <v>1</v>
      </c>
      <c r="K2697" s="3">
        <v>15</v>
      </c>
      <c r="L2697" s="3">
        <v>1</v>
      </c>
      <c r="M2697" s="3">
        <v>30</v>
      </c>
      <c r="N2697" s="3">
        <v>17</v>
      </c>
      <c r="O2697" s="3"/>
      <c r="P2697" s="3"/>
      <c r="Q2697" s="3"/>
    </row>
    <row r="2698" spans="1:17" ht="15" x14ac:dyDescent="0.25">
      <c r="A2698" s="3">
        <f>2691</f>
        <v>2691</v>
      </c>
      <c r="B2698" s="3" t="s">
        <v>2700</v>
      </c>
      <c r="C2698" s="3" t="s">
        <v>9</v>
      </c>
      <c r="D2698" s="3" t="s">
        <v>10</v>
      </c>
      <c r="E2698" s="3">
        <v>22</v>
      </c>
      <c r="F2698" s="3">
        <v>0</v>
      </c>
      <c r="G2698" s="3">
        <v>1</v>
      </c>
      <c r="H2698" s="3">
        <v>18</v>
      </c>
      <c r="I2698" s="3">
        <v>28</v>
      </c>
      <c r="J2698" s="3">
        <v>1</v>
      </c>
      <c r="K2698" s="3">
        <v>15</v>
      </c>
      <c r="L2698" s="3">
        <v>1</v>
      </c>
      <c r="M2698" s="3">
        <v>30</v>
      </c>
      <c r="N2698" s="3">
        <v>17</v>
      </c>
      <c r="O2698" s="3"/>
      <c r="P2698" s="3"/>
      <c r="Q2698" s="3"/>
    </row>
    <row r="2699" spans="1:17" ht="15" x14ac:dyDescent="0.25">
      <c r="A2699" s="3">
        <f>2692</f>
        <v>2692</v>
      </c>
      <c r="B2699" s="3" t="s">
        <v>2701</v>
      </c>
      <c r="C2699" s="3" t="s">
        <v>9</v>
      </c>
      <c r="D2699" s="3" t="s">
        <v>10</v>
      </c>
      <c r="E2699" s="3">
        <v>22</v>
      </c>
      <c r="F2699" s="3">
        <v>0</v>
      </c>
      <c r="G2699" s="3">
        <v>1</v>
      </c>
      <c r="H2699" s="3">
        <v>18</v>
      </c>
      <c r="I2699" s="3">
        <v>28</v>
      </c>
      <c r="J2699" s="3">
        <v>1</v>
      </c>
      <c r="K2699" s="3">
        <v>15</v>
      </c>
      <c r="L2699" s="3">
        <v>1</v>
      </c>
      <c r="M2699" s="3">
        <v>30</v>
      </c>
      <c r="N2699" s="3">
        <v>17</v>
      </c>
      <c r="O2699" s="3"/>
      <c r="P2699" s="3"/>
      <c r="Q2699" s="3"/>
    </row>
    <row r="2700" spans="1:17" ht="15" x14ac:dyDescent="0.25">
      <c r="A2700" s="3">
        <f>2693</f>
        <v>2693</v>
      </c>
      <c r="B2700" s="3" t="s">
        <v>2702</v>
      </c>
      <c r="C2700" s="3" t="s">
        <v>9</v>
      </c>
      <c r="D2700" s="3" t="s">
        <v>10</v>
      </c>
      <c r="E2700" s="3">
        <v>22</v>
      </c>
      <c r="F2700" s="3">
        <v>0</v>
      </c>
      <c r="G2700" s="3">
        <v>1</v>
      </c>
      <c r="H2700" s="3">
        <v>18</v>
      </c>
      <c r="I2700" s="3">
        <v>28</v>
      </c>
      <c r="J2700" s="3">
        <v>1</v>
      </c>
      <c r="K2700" s="3">
        <v>15</v>
      </c>
      <c r="L2700" s="3">
        <v>1</v>
      </c>
      <c r="M2700" s="3">
        <v>30</v>
      </c>
      <c r="N2700" s="3">
        <v>17</v>
      </c>
      <c r="O2700" s="3"/>
      <c r="P2700" s="3"/>
      <c r="Q2700" s="3"/>
    </row>
    <row r="2701" spans="1:17" ht="15" x14ac:dyDescent="0.25">
      <c r="A2701" s="3">
        <f>2694</f>
        <v>2694</v>
      </c>
      <c r="B2701" s="3" t="s">
        <v>2703</v>
      </c>
      <c r="C2701" s="3" t="s">
        <v>9</v>
      </c>
      <c r="D2701" s="3" t="s">
        <v>10</v>
      </c>
      <c r="E2701" s="3">
        <v>22</v>
      </c>
      <c r="F2701" s="3">
        <v>0</v>
      </c>
      <c r="G2701" s="3">
        <v>1</v>
      </c>
      <c r="H2701" s="3">
        <v>18</v>
      </c>
      <c r="I2701" s="3">
        <v>28</v>
      </c>
      <c r="J2701" s="3">
        <v>1</v>
      </c>
      <c r="K2701" s="3">
        <v>15</v>
      </c>
      <c r="L2701" s="3">
        <v>1</v>
      </c>
      <c r="M2701" s="3">
        <v>30</v>
      </c>
      <c r="N2701" s="3">
        <v>17</v>
      </c>
      <c r="O2701" s="3"/>
      <c r="P2701" s="3"/>
      <c r="Q2701" s="3"/>
    </row>
    <row r="2702" spans="1:17" ht="15" x14ac:dyDescent="0.25">
      <c r="A2702" s="3">
        <f>2695</f>
        <v>2695</v>
      </c>
      <c r="B2702" s="3" t="s">
        <v>2704</v>
      </c>
      <c r="C2702" s="3" t="s">
        <v>9</v>
      </c>
      <c r="D2702" s="3" t="s">
        <v>10</v>
      </c>
      <c r="E2702" s="3">
        <v>22</v>
      </c>
      <c r="F2702" s="3">
        <v>0</v>
      </c>
      <c r="G2702" s="3">
        <v>1</v>
      </c>
      <c r="H2702" s="3">
        <v>18</v>
      </c>
      <c r="I2702" s="3">
        <v>28</v>
      </c>
      <c r="J2702" s="3">
        <v>1</v>
      </c>
      <c r="K2702" s="3">
        <v>15</v>
      </c>
      <c r="L2702" s="3">
        <v>1</v>
      </c>
      <c r="M2702" s="3">
        <v>30</v>
      </c>
      <c r="N2702" s="3">
        <v>17</v>
      </c>
      <c r="O2702" s="3"/>
      <c r="P2702" s="3"/>
      <c r="Q2702" s="3"/>
    </row>
    <row r="2703" spans="1:17" ht="15" x14ac:dyDescent="0.25">
      <c r="A2703" s="3">
        <f>2696</f>
        <v>2696</v>
      </c>
      <c r="B2703" s="3" t="s">
        <v>2705</v>
      </c>
      <c r="C2703" s="3" t="s">
        <v>9</v>
      </c>
      <c r="D2703" s="3" t="s">
        <v>9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/>
      <c r="P2703" s="3"/>
      <c r="Q2703" s="3"/>
    </row>
    <row r="2704" spans="1:17" ht="15" x14ac:dyDescent="0.25">
      <c r="A2704" s="3">
        <f>2697</f>
        <v>2697</v>
      </c>
      <c r="B2704" s="3" t="s">
        <v>2706</v>
      </c>
      <c r="C2704" s="3" t="s">
        <v>10</v>
      </c>
      <c r="D2704" s="3" t="s">
        <v>9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/>
      <c r="P2704" s="3"/>
      <c r="Q2704" s="3"/>
    </row>
    <row r="2705" spans="1:17" ht="15" x14ac:dyDescent="0.25">
      <c r="A2705" s="3">
        <f>2698</f>
        <v>2698</v>
      </c>
      <c r="B2705" s="3" t="s">
        <v>2707</v>
      </c>
      <c r="C2705" s="3" t="s">
        <v>10</v>
      </c>
      <c r="D2705" s="3" t="s">
        <v>9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/>
      <c r="P2705" s="3"/>
      <c r="Q2705" s="3"/>
    </row>
    <row r="2706" spans="1:17" ht="15" x14ac:dyDescent="0.25">
      <c r="A2706" s="3">
        <f>2699</f>
        <v>2699</v>
      </c>
      <c r="B2706" s="3" t="s">
        <v>2708</v>
      </c>
      <c r="C2706" s="3" t="s">
        <v>10</v>
      </c>
      <c r="D2706" s="3" t="s">
        <v>9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/>
      <c r="P2706" s="3"/>
      <c r="Q2706" s="3"/>
    </row>
    <row r="2707" spans="1:17" ht="15" x14ac:dyDescent="0.25">
      <c r="A2707" s="3">
        <f>2700</f>
        <v>2700</v>
      </c>
      <c r="B2707" s="3" t="s">
        <v>2709</v>
      </c>
      <c r="C2707" s="3" t="s">
        <v>10</v>
      </c>
      <c r="D2707" s="3" t="s">
        <v>9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/>
      <c r="P2707" s="3"/>
      <c r="Q2707" s="3"/>
    </row>
    <row r="2708" spans="1:17" ht="15" x14ac:dyDescent="0.25">
      <c r="A2708" s="3">
        <f>2701</f>
        <v>2701</v>
      </c>
      <c r="B2708" s="3" t="s">
        <v>2710</v>
      </c>
      <c r="C2708" s="3" t="s">
        <v>10</v>
      </c>
      <c r="D2708" s="3" t="s">
        <v>9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/>
      <c r="P2708" s="3"/>
      <c r="Q2708" s="3"/>
    </row>
    <row r="2709" spans="1:17" ht="15" x14ac:dyDescent="0.25">
      <c r="A2709" s="3">
        <f>2702</f>
        <v>2702</v>
      </c>
      <c r="B2709" s="3" t="s">
        <v>2711</v>
      </c>
      <c r="C2709" s="3" t="s">
        <v>10</v>
      </c>
      <c r="D2709" s="3" t="s">
        <v>9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/>
      <c r="P2709" s="3"/>
      <c r="Q2709" s="3"/>
    </row>
    <row r="2710" spans="1:17" ht="15" x14ac:dyDescent="0.25">
      <c r="A2710" s="3">
        <f>2703</f>
        <v>2703</v>
      </c>
      <c r="B2710" s="3" t="s">
        <v>2712</v>
      </c>
      <c r="C2710" s="3" t="s">
        <v>10</v>
      </c>
      <c r="D2710" s="3" t="s">
        <v>9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/>
      <c r="P2710" s="3"/>
      <c r="Q2710" s="3"/>
    </row>
    <row r="2711" spans="1:17" ht="15" x14ac:dyDescent="0.25">
      <c r="A2711" s="3">
        <f>2704</f>
        <v>2704</v>
      </c>
      <c r="B2711" s="3" t="s">
        <v>2713</v>
      </c>
      <c r="C2711" s="3" t="s">
        <v>10</v>
      </c>
      <c r="D2711" s="3" t="s">
        <v>9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/>
      <c r="P2711" s="3"/>
      <c r="Q2711" s="3"/>
    </row>
    <row r="2712" spans="1:17" ht="15" x14ac:dyDescent="0.25">
      <c r="A2712" s="3">
        <f>2705</f>
        <v>2705</v>
      </c>
      <c r="B2712" s="3" t="s">
        <v>2714</v>
      </c>
      <c r="C2712" s="3" t="s">
        <v>10</v>
      </c>
      <c r="D2712" s="3" t="s">
        <v>9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/>
      <c r="P2712" s="3"/>
      <c r="Q2712" s="3"/>
    </row>
    <row r="2713" spans="1:17" ht="15" x14ac:dyDescent="0.25">
      <c r="A2713" s="3">
        <f>2706</f>
        <v>2706</v>
      </c>
      <c r="B2713" s="3" t="s">
        <v>2715</v>
      </c>
      <c r="C2713" s="3" t="s">
        <v>10</v>
      </c>
      <c r="D2713" s="3" t="s">
        <v>9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/>
      <c r="P2713" s="3"/>
      <c r="Q2713" s="3"/>
    </row>
    <row r="2714" spans="1:17" ht="15" x14ac:dyDescent="0.25">
      <c r="A2714" s="3">
        <f>2707</f>
        <v>2707</v>
      </c>
      <c r="B2714" s="3" t="s">
        <v>2716</v>
      </c>
      <c r="C2714" s="3" t="s">
        <v>10</v>
      </c>
      <c r="D2714" s="3" t="s">
        <v>9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/>
      <c r="P2714" s="3"/>
      <c r="Q2714" s="3"/>
    </row>
    <row r="2715" spans="1:17" ht="15" x14ac:dyDescent="0.25">
      <c r="A2715" s="3">
        <f>2708</f>
        <v>2708</v>
      </c>
      <c r="B2715" s="3" t="s">
        <v>2717</v>
      </c>
      <c r="C2715" s="3" t="s">
        <v>10</v>
      </c>
      <c r="D2715" s="3" t="s">
        <v>9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/>
      <c r="P2715" s="3"/>
      <c r="Q2715" s="3"/>
    </row>
    <row r="2716" spans="1:17" ht="15" x14ac:dyDescent="0.25">
      <c r="A2716" s="3">
        <f>2709</f>
        <v>2709</v>
      </c>
      <c r="B2716" s="3" t="s">
        <v>2718</v>
      </c>
      <c r="C2716" s="3" t="s">
        <v>10</v>
      </c>
      <c r="D2716" s="3" t="s">
        <v>9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/>
      <c r="P2716" s="3"/>
      <c r="Q2716" s="3"/>
    </row>
    <row r="2717" spans="1:17" ht="15" x14ac:dyDescent="0.25">
      <c r="A2717" s="3">
        <f>2710</f>
        <v>2710</v>
      </c>
      <c r="B2717" s="3" t="s">
        <v>2719</v>
      </c>
      <c r="C2717" s="3" t="s">
        <v>10</v>
      </c>
      <c r="D2717" s="3" t="s">
        <v>9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/>
      <c r="P2717" s="3"/>
      <c r="Q2717" s="3"/>
    </row>
    <row r="2718" spans="1:17" ht="15" x14ac:dyDescent="0.25">
      <c r="A2718" s="3">
        <f>2711</f>
        <v>2711</v>
      </c>
      <c r="B2718" s="3" t="s">
        <v>2720</v>
      </c>
      <c r="C2718" s="3" t="s">
        <v>10</v>
      </c>
      <c r="D2718" s="3" t="s">
        <v>9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/>
      <c r="P2718" s="3"/>
      <c r="Q2718" s="3"/>
    </row>
    <row r="2719" spans="1:17" ht="15" x14ac:dyDescent="0.25">
      <c r="A2719" s="3">
        <f>2712</f>
        <v>2712</v>
      </c>
      <c r="B2719" s="3" t="s">
        <v>2721</v>
      </c>
      <c r="C2719" s="3" t="s">
        <v>10</v>
      </c>
      <c r="D2719" s="3" t="s">
        <v>9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/>
      <c r="P2719" s="3"/>
      <c r="Q2719" s="3"/>
    </row>
    <row r="2720" spans="1:17" ht="15" x14ac:dyDescent="0.25">
      <c r="A2720" s="3">
        <f>2713</f>
        <v>2713</v>
      </c>
      <c r="B2720" s="3" t="s">
        <v>2722</v>
      </c>
      <c r="C2720" s="3" t="s">
        <v>10</v>
      </c>
      <c r="D2720" s="3" t="s">
        <v>9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/>
      <c r="P2720" s="3"/>
      <c r="Q2720" s="3"/>
    </row>
    <row r="2721" spans="1:17" ht="15" x14ac:dyDescent="0.25">
      <c r="A2721" s="3">
        <f>2714</f>
        <v>2714</v>
      </c>
      <c r="B2721" s="3" t="s">
        <v>2723</v>
      </c>
      <c r="C2721" s="3" t="s">
        <v>10</v>
      </c>
      <c r="D2721" s="3" t="s">
        <v>9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/>
      <c r="P2721" s="3"/>
      <c r="Q2721" s="3"/>
    </row>
    <row r="2722" spans="1:17" ht="15" x14ac:dyDescent="0.25">
      <c r="A2722" s="3">
        <f>2715</f>
        <v>2715</v>
      </c>
      <c r="B2722" s="3" t="s">
        <v>2724</v>
      </c>
      <c r="C2722" s="3" t="s">
        <v>10</v>
      </c>
      <c r="D2722" s="3" t="s">
        <v>9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/>
      <c r="P2722" s="3"/>
      <c r="Q2722" s="3"/>
    </row>
    <row r="2723" spans="1:17" ht="15" x14ac:dyDescent="0.25">
      <c r="A2723" s="3">
        <f>2716</f>
        <v>2716</v>
      </c>
      <c r="B2723" s="3" t="s">
        <v>2725</v>
      </c>
      <c r="C2723" s="3" t="s">
        <v>10</v>
      </c>
      <c r="D2723" s="3" t="s">
        <v>9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/>
      <c r="P2723" s="3"/>
      <c r="Q2723" s="3"/>
    </row>
    <row r="2724" spans="1:17" ht="15" x14ac:dyDescent="0.25">
      <c r="A2724" s="3">
        <f>2717</f>
        <v>2717</v>
      </c>
      <c r="B2724" s="3" t="s">
        <v>2726</v>
      </c>
      <c r="C2724" s="3" t="s">
        <v>10</v>
      </c>
      <c r="D2724" s="3" t="s">
        <v>9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/>
      <c r="P2724" s="3"/>
      <c r="Q2724" s="3"/>
    </row>
    <row r="2725" spans="1:17" ht="15" x14ac:dyDescent="0.25">
      <c r="A2725" s="3">
        <f>2718</f>
        <v>2718</v>
      </c>
      <c r="B2725" s="3" t="s">
        <v>2727</v>
      </c>
      <c r="C2725" s="3" t="s">
        <v>10</v>
      </c>
      <c r="D2725" s="3" t="s">
        <v>9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/>
      <c r="P2725" s="3"/>
      <c r="Q2725" s="3"/>
    </row>
    <row r="2726" spans="1:17" ht="15" x14ac:dyDescent="0.25">
      <c r="A2726" s="3">
        <f>2719</f>
        <v>2719</v>
      </c>
      <c r="B2726" s="3" t="s">
        <v>2728</v>
      </c>
      <c r="C2726" s="3" t="s">
        <v>10</v>
      </c>
      <c r="D2726" s="3" t="s">
        <v>9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/>
      <c r="P2726" s="3"/>
      <c r="Q2726" s="3"/>
    </row>
    <row r="2727" spans="1:17" ht="15" x14ac:dyDescent="0.25">
      <c r="A2727" s="3">
        <f>2720</f>
        <v>2720</v>
      </c>
      <c r="B2727" s="3" t="s">
        <v>2729</v>
      </c>
      <c r="C2727" s="3" t="s">
        <v>10</v>
      </c>
      <c r="D2727" s="3" t="s">
        <v>9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/>
      <c r="P2727" s="3"/>
      <c r="Q2727" s="3"/>
    </row>
    <row r="2728" spans="1:17" ht="15" x14ac:dyDescent="0.25">
      <c r="A2728" s="3">
        <f>2721</f>
        <v>2721</v>
      </c>
      <c r="B2728" s="3" t="s">
        <v>2730</v>
      </c>
      <c r="C2728" s="3" t="s">
        <v>10</v>
      </c>
      <c r="D2728" s="3" t="s">
        <v>9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/>
      <c r="P2728" s="3"/>
      <c r="Q2728" s="3"/>
    </row>
    <row r="2729" spans="1:17" ht="15" x14ac:dyDescent="0.25">
      <c r="A2729" s="3">
        <f>2722</f>
        <v>2722</v>
      </c>
      <c r="B2729" s="3" t="s">
        <v>2731</v>
      </c>
      <c r="C2729" s="3" t="s">
        <v>10</v>
      </c>
      <c r="D2729" s="3" t="s">
        <v>9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/>
      <c r="P2729" s="3"/>
      <c r="Q2729" s="3"/>
    </row>
    <row r="2730" spans="1:17" ht="15" x14ac:dyDescent="0.25">
      <c r="A2730" s="3">
        <f>2723</f>
        <v>2723</v>
      </c>
      <c r="B2730" s="3" t="s">
        <v>2732</v>
      </c>
      <c r="C2730" s="3" t="s">
        <v>10</v>
      </c>
      <c r="D2730" s="3" t="s">
        <v>9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/>
      <c r="P2730" s="3"/>
      <c r="Q2730" s="3"/>
    </row>
    <row r="2731" spans="1:17" ht="15" x14ac:dyDescent="0.25">
      <c r="A2731" s="3">
        <f>2724</f>
        <v>2724</v>
      </c>
      <c r="B2731" s="3" t="s">
        <v>2733</v>
      </c>
      <c r="C2731" s="3" t="s">
        <v>10</v>
      </c>
      <c r="D2731" s="3" t="s">
        <v>9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/>
      <c r="P2731" s="3"/>
      <c r="Q2731" s="3"/>
    </row>
    <row r="2732" spans="1:17" ht="15" x14ac:dyDescent="0.25">
      <c r="A2732" s="3">
        <f>2725</f>
        <v>2725</v>
      </c>
      <c r="B2732" s="3" t="s">
        <v>2734</v>
      </c>
      <c r="C2732" s="3" t="s">
        <v>10</v>
      </c>
      <c r="D2732" s="3" t="s">
        <v>9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/>
      <c r="P2732" s="3"/>
      <c r="Q2732" s="3"/>
    </row>
    <row r="2733" spans="1:17" ht="15" x14ac:dyDescent="0.25">
      <c r="A2733" s="3">
        <f>2726</f>
        <v>2726</v>
      </c>
      <c r="B2733" s="3" t="s">
        <v>2735</v>
      </c>
      <c r="C2733" s="3" t="s">
        <v>10</v>
      </c>
      <c r="D2733" s="3" t="s">
        <v>9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/>
      <c r="P2733" s="3"/>
      <c r="Q2733" s="3"/>
    </row>
    <row r="2734" spans="1:17" ht="15" x14ac:dyDescent="0.25">
      <c r="A2734" s="3">
        <f>2727</f>
        <v>2727</v>
      </c>
      <c r="B2734" s="3" t="s">
        <v>2736</v>
      </c>
      <c r="C2734" s="3" t="s">
        <v>10</v>
      </c>
      <c r="D2734" s="3" t="s">
        <v>9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/>
      <c r="P2734" s="3"/>
      <c r="Q2734" s="3"/>
    </row>
    <row r="2735" spans="1:17" ht="15" x14ac:dyDescent="0.25">
      <c r="A2735" s="3">
        <f>2728</f>
        <v>2728</v>
      </c>
      <c r="B2735" s="3" t="s">
        <v>2737</v>
      </c>
      <c r="C2735" s="3" t="s">
        <v>10</v>
      </c>
      <c r="D2735" s="3" t="s">
        <v>9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/>
      <c r="P2735" s="3"/>
      <c r="Q2735" s="3"/>
    </row>
    <row r="2736" spans="1:17" ht="15" x14ac:dyDescent="0.25">
      <c r="A2736" s="3">
        <f>2729</f>
        <v>2729</v>
      </c>
      <c r="B2736" s="3" t="s">
        <v>2738</v>
      </c>
      <c r="C2736" s="3" t="s">
        <v>10</v>
      </c>
      <c r="D2736" s="3" t="s">
        <v>9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/>
      <c r="P2736" s="3"/>
      <c r="Q2736" s="3"/>
    </row>
    <row r="2737" spans="1:17" ht="15" x14ac:dyDescent="0.25">
      <c r="A2737" s="3">
        <f>2730</f>
        <v>2730</v>
      </c>
      <c r="B2737" s="3" t="s">
        <v>2739</v>
      </c>
      <c r="C2737" s="3" t="s">
        <v>9</v>
      </c>
      <c r="D2737" s="3" t="s">
        <v>10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/>
      <c r="P2737" s="3"/>
      <c r="Q2737" s="3"/>
    </row>
    <row r="2738" spans="1:17" ht="15" x14ac:dyDescent="0.25">
      <c r="A2738" s="3">
        <f>2731</f>
        <v>2731</v>
      </c>
      <c r="B2738" s="3" t="s">
        <v>2740</v>
      </c>
      <c r="C2738" s="3" t="s">
        <v>10</v>
      </c>
      <c r="D2738" s="3" t="s">
        <v>9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/>
      <c r="P2738" s="3"/>
      <c r="Q2738" s="3"/>
    </row>
    <row r="2739" spans="1:17" ht="15" x14ac:dyDescent="0.25">
      <c r="A2739" s="3">
        <f>2732</f>
        <v>2732</v>
      </c>
      <c r="B2739" s="3" t="s">
        <v>2741</v>
      </c>
      <c r="C2739" s="3" t="s">
        <v>10</v>
      </c>
      <c r="D2739" s="3" t="s">
        <v>9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/>
      <c r="P2739" s="3"/>
      <c r="Q2739" s="3"/>
    </row>
    <row r="2740" spans="1:17" ht="15" x14ac:dyDescent="0.25">
      <c r="A2740" s="3">
        <f>2733</f>
        <v>2733</v>
      </c>
      <c r="B2740" s="3" t="s">
        <v>2742</v>
      </c>
      <c r="C2740" s="3" t="s">
        <v>10</v>
      </c>
      <c r="D2740" s="3" t="s">
        <v>9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/>
      <c r="P2740" s="3"/>
      <c r="Q2740" s="3"/>
    </row>
    <row r="2741" spans="1:17" ht="15" x14ac:dyDescent="0.25">
      <c r="A2741" s="3">
        <f>2734</f>
        <v>2734</v>
      </c>
      <c r="B2741" s="3" t="s">
        <v>2743</v>
      </c>
      <c r="C2741" s="3" t="s">
        <v>10</v>
      </c>
      <c r="D2741" s="3" t="s">
        <v>9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/>
      <c r="P2741" s="3"/>
      <c r="Q2741" s="3"/>
    </row>
    <row r="2742" spans="1:17" ht="15" x14ac:dyDescent="0.25">
      <c r="A2742" s="3">
        <f>2735</f>
        <v>2735</v>
      </c>
      <c r="B2742" s="3" t="s">
        <v>2744</v>
      </c>
      <c r="C2742" s="3" t="s">
        <v>10</v>
      </c>
      <c r="D2742" s="3" t="s">
        <v>9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/>
      <c r="P2742" s="3"/>
      <c r="Q2742" s="3"/>
    </row>
    <row r="2743" spans="1:17" ht="15" x14ac:dyDescent="0.25">
      <c r="A2743" s="3">
        <f>2736</f>
        <v>2736</v>
      </c>
      <c r="B2743" s="3" t="s">
        <v>2745</v>
      </c>
      <c r="C2743" s="3" t="s">
        <v>10</v>
      </c>
      <c r="D2743" s="3" t="s">
        <v>9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/>
      <c r="P2743" s="3"/>
      <c r="Q2743" s="3"/>
    </row>
    <row r="2744" spans="1:17" ht="15" x14ac:dyDescent="0.25">
      <c r="A2744" s="3">
        <f>2737</f>
        <v>2737</v>
      </c>
      <c r="B2744" s="3" t="s">
        <v>2746</v>
      </c>
      <c r="C2744" s="3" t="s">
        <v>10</v>
      </c>
      <c r="D2744" s="3" t="s">
        <v>9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/>
      <c r="P2744" s="3"/>
      <c r="Q2744" s="3"/>
    </row>
    <row r="2745" spans="1:17" ht="15" x14ac:dyDescent="0.25">
      <c r="A2745" s="3">
        <f>2738</f>
        <v>2738</v>
      </c>
      <c r="B2745" s="3" t="s">
        <v>2747</v>
      </c>
      <c r="C2745" s="3" t="s">
        <v>10</v>
      </c>
      <c r="D2745" s="3" t="s">
        <v>9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/>
      <c r="P2745" s="3"/>
      <c r="Q2745" s="3"/>
    </row>
    <row r="2746" spans="1:17" ht="15" x14ac:dyDescent="0.25">
      <c r="A2746" s="3">
        <f>2739</f>
        <v>2739</v>
      </c>
      <c r="B2746" s="3" t="s">
        <v>2748</v>
      </c>
      <c r="C2746" s="3" t="s">
        <v>10</v>
      </c>
      <c r="D2746" s="3" t="s">
        <v>9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/>
      <c r="P2746" s="3"/>
      <c r="Q2746" s="3"/>
    </row>
    <row r="2747" spans="1:17" ht="15" x14ac:dyDescent="0.25">
      <c r="A2747" s="3">
        <f>2740</f>
        <v>2740</v>
      </c>
      <c r="B2747" s="3" t="s">
        <v>2749</v>
      </c>
      <c r="C2747" s="3" t="s">
        <v>10</v>
      </c>
      <c r="D2747" s="3" t="s">
        <v>9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/>
      <c r="P2747" s="3"/>
      <c r="Q2747" s="3"/>
    </row>
    <row r="2748" spans="1:17" ht="15" x14ac:dyDescent="0.25">
      <c r="A2748" s="3">
        <f>2741</f>
        <v>2741</v>
      </c>
      <c r="B2748" s="3" t="s">
        <v>2750</v>
      </c>
      <c r="C2748" s="3" t="s">
        <v>10</v>
      </c>
      <c r="D2748" s="3" t="s">
        <v>9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/>
      <c r="P2748" s="3"/>
      <c r="Q2748" s="3"/>
    </row>
    <row r="2749" spans="1:17" ht="15" x14ac:dyDescent="0.25">
      <c r="A2749" s="3">
        <f>2742</f>
        <v>2742</v>
      </c>
      <c r="B2749" s="3" t="s">
        <v>2751</v>
      </c>
      <c r="C2749" s="3" t="s">
        <v>10</v>
      </c>
      <c r="D2749" s="3" t="s">
        <v>9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/>
      <c r="P2749" s="3"/>
      <c r="Q2749" s="3"/>
    </row>
    <row r="2750" spans="1:17" ht="15" x14ac:dyDescent="0.25">
      <c r="A2750" s="3">
        <f>2743</f>
        <v>2743</v>
      </c>
      <c r="B2750" s="3" t="s">
        <v>2752</v>
      </c>
      <c r="C2750" s="3" t="s">
        <v>10</v>
      </c>
      <c r="D2750" s="3" t="s">
        <v>9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/>
      <c r="P2750" s="3"/>
      <c r="Q2750" s="3"/>
    </row>
    <row r="2751" spans="1:17" ht="15" x14ac:dyDescent="0.25">
      <c r="A2751" s="3">
        <f>2744</f>
        <v>2744</v>
      </c>
      <c r="B2751" s="3" t="s">
        <v>2753</v>
      </c>
      <c r="C2751" s="3" t="s">
        <v>10</v>
      </c>
      <c r="D2751" s="3" t="s">
        <v>9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/>
      <c r="P2751" s="3"/>
      <c r="Q2751" s="3"/>
    </row>
    <row r="2752" spans="1:17" ht="15" x14ac:dyDescent="0.25">
      <c r="A2752" s="3">
        <f>2745</f>
        <v>2745</v>
      </c>
      <c r="B2752" s="3" t="s">
        <v>2754</v>
      </c>
      <c r="C2752" s="3" t="s">
        <v>10</v>
      </c>
      <c r="D2752" s="3" t="s">
        <v>9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/>
      <c r="P2752" s="3"/>
      <c r="Q2752" s="3"/>
    </row>
    <row r="2753" spans="1:17" ht="15" x14ac:dyDescent="0.25">
      <c r="A2753" s="3">
        <f>2746</f>
        <v>2746</v>
      </c>
      <c r="B2753" s="3" t="s">
        <v>2755</v>
      </c>
      <c r="C2753" s="3" t="s">
        <v>10</v>
      </c>
      <c r="D2753" s="3" t="s">
        <v>9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/>
      <c r="P2753" s="3"/>
      <c r="Q2753" s="3"/>
    </row>
    <row r="2754" spans="1:17" ht="15" x14ac:dyDescent="0.25">
      <c r="A2754" s="3">
        <f>2747</f>
        <v>2747</v>
      </c>
      <c r="B2754" s="3" t="s">
        <v>2756</v>
      </c>
      <c r="C2754" s="3" t="s">
        <v>10</v>
      </c>
      <c r="D2754" s="3" t="s">
        <v>9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/>
      <c r="P2754" s="3"/>
      <c r="Q2754" s="3"/>
    </row>
    <row r="2755" spans="1:17" ht="15" x14ac:dyDescent="0.25">
      <c r="A2755" s="3">
        <f>2748</f>
        <v>2748</v>
      </c>
      <c r="B2755" s="3" t="s">
        <v>2757</v>
      </c>
      <c r="C2755" s="3" t="s">
        <v>10</v>
      </c>
      <c r="D2755" s="3" t="s">
        <v>9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/>
      <c r="P2755" s="3"/>
      <c r="Q2755" s="3"/>
    </row>
    <row r="2756" spans="1:17" ht="15" x14ac:dyDescent="0.25">
      <c r="A2756" s="3">
        <f>2749</f>
        <v>2749</v>
      </c>
      <c r="B2756" s="3" t="s">
        <v>2758</v>
      </c>
      <c r="C2756" s="3" t="s">
        <v>10</v>
      </c>
      <c r="D2756" s="3" t="s">
        <v>9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/>
      <c r="P2756" s="3"/>
      <c r="Q2756" s="3"/>
    </row>
    <row r="2757" spans="1:17" ht="15" x14ac:dyDescent="0.25">
      <c r="A2757" s="3">
        <f>2750</f>
        <v>2750</v>
      </c>
      <c r="B2757" s="3" t="s">
        <v>2759</v>
      </c>
      <c r="C2757" s="3" t="s">
        <v>10</v>
      </c>
      <c r="D2757" s="3" t="s">
        <v>9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/>
      <c r="P2757" s="3"/>
      <c r="Q2757" s="3"/>
    </row>
    <row r="2758" spans="1:17" ht="15" x14ac:dyDescent="0.25">
      <c r="A2758" s="3">
        <f>2751</f>
        <v>2751</v>
      </c>
      <c r="B2758" s="3" t="s">
        <v>2760</v>
      </c>
      <c r="C2758" s="3" t="s">
        <v>10</v>
      </c>
      <c r="D2758" s="3" t="s">
        <v>9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/>
      <c r="P2758" s="3"/>
      <c r="Q2758" s="3"/>
    </row>
    <row r="2759" spans="1:17" ht="15" x14ac:dyDescent="0.25">
      <c r="A2759" s="3">
        <f>2752</f>
        <v>2752</v>
      </c>
      <c r="B2759" s="3" t="s">
        <v>2761</v>
      </c>
      <c r="C2759" s="3" t="s">
        <v>10</v>
      </c>
      <c r="D2759" s="3" t="s">
        <v>9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/>
      <c r="P2759" s="3"/>
      <c r="Q2759" s="3"/>
    </row>
    <row r="2760" spans="1:17" ht="15" x14ac:dyDescent="0.25">
      <c r="A2760" s="3">
        <f>2753</f>
        <v>2753</v>
      </c>
      <c r="B2760" s="3" t="s">
        <v>2762</v>
      </c>
      <c r="C2760" s="3" t="s">
        <v>10</v>
      </c>
      <c r="D2760" s="3" t="s">
        <v>9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/>
      <c r="P2760" s="3"/>
      <c r="Q2760" s="3"/>
    </row>
    <row r="2761" spans="1:17" ht="15" x14ac:dyDescent="0.25">
      <c r="A2761" s="3">
        <f>2754</f>
        <v>2754</v>
      </c>
      <c r="B2761" s="3" t="s">
        <v>2763</v>
      </c>
      <c r="C2761" s="3" t="s">
        <v>10</v>
      </c>
      <c r="D2761" s="3" t="s">
        <v>9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/>
      <c r="P2761" s="3"/>
      <c r="Q2761" s="3"/>
    </row>
    <row r="2762" spans="1:17" ht="15" x14ac:dyDescent="0.25">
      <c r="A2762" s="3">
        <f>2755</f>
        <v>2755</v>
      </c>
      <c r="B2762" s="3" t="s">
        <v>2764</v>
      </c>
      <c r="C2762" s="3" t="s">
        <v>10</v>
      </c>
      <c r="D2762" s="3" t="s">
        <v>9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/>
      <c r="P2762" s="3"/>
      <c r="Q2762" s="3"/>
    </row>
    <row r="2763" spans="1:17" ht="15" x14ac:dyDescent="0.25">
      <c r="A2763" s="3">
        <f>2756</f>
        <v>2756</v>
      </c>
      <c r="B2763" s="3" t="s">
        <v>2765</v>
      </c>
      <c r="C2763" s="3" t="s">
        <v>10</v>
      </c>
      <c r="D2763" s="3" t="s">
        <v>9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/>
      <c r="P2763" s="3"/>
      <c r="Q2763" s="3"/>
    </row>
    <row r="2764" spans="1:17" ht="15" x14ac:dyDescent="0.25">
      <c r="A2764" s="3">
        <f>2757</f>
        <v>2757</v>
      </c>
      <c r="B2764" s="3" t="s">
        <v>2766</v>
      </c>
      <c r="C2764" s="3" t="s">
        <v>10</v>
      </c>
      <c r="D2764" s="3" t="s">
        <v>9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/>
      <c r="P2764" s="3"/>
      <c r="Q2764" s="3"/>
    </row>
    <row r="2765" spans="1:17" ht="15" x14ac:dyDescent="0.25">
      <c r="A2765" s="3">
        <f>2758</f>
        <v>2758</v>
      </c>
      <c r="B2765" s="3" t="s">
        <v>2767</v>
      </c>
      <c r="C2765" s="3" t="s">
        <v>10</v>
      </c>
      <c r="D2765" s="3" t="s">
        <v>9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/>
      <c r="P2765" s="3"/>
      <c r="Q2765" s="3"/>
    </row>
    <row r="2766" spans="1:17" ht="15" x14ac:dyDescent="0.25">
      <c r="A2766" s="3">
        <f>2759</f>
        <v>2759</v>
      </c>
      <c r="B2766" s="3" t="s">
        <v>2768</v>
      </c>
      <c r="C2766" s="3" t="s">
        <v>10</v>
      </c>
      <c r="D2766" s="3" t="s">
        <v>9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/>
      <c r="P2766" s="3"/>
      <c r="Q2766" s="3"/>
    </row>
    <row r="2767" spans="1:17" ht="15" x14ac:dyDescent="0.25">
      <c r="A2767" s="3">
        <f>2760</f>
        <v>2760</v>
      </c>
      <c r="B2767" s="3" t="s">
        <v>2769</v>
      </c>
      <c r="C2767" s="3" t="s">
        <v>10</v>
      </c>
      <c r="D2767" s="3" t="s">
        <v>9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/>
      <c r="P2767" s="3"/>
      <c r="Q2767" s="3"/>
    </row>
    <row r="2768" spans="1:17" ht="15" x14ac:dyDescent="0.25">
      <c r="A2768" s="3">
        <f>2761</f>
        <v>2761</v>
      </c>
      <c r="B2768" s="3" t="s">
        <v>2770</v>
      </c>
      <c r="C2768" s="3" t="s">
        <v>10</v>
      </c>
      <c r="D2768" s="3" t="s">
        <v>9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/>
      <c r="P2768" s="3"/>
      <c r="Q2768" s="3"/>
    </row>
    <row r="2769" spans="1:17" ht="15" x14ac:dyDescent="0.25">
      <c r="A2769" s="3">
        <f>2762</f>
        <v>2762</v>
      </c>
      <c r="B2769" s="3" t="s">
        <v>2771</v>
      </c>
      <c r="C2769" s="3" t="s">
        <v>10</v>
      </c>
      <c r="D2769" s="3" t="s">
        <v>9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/>
      <c r="P2769" s="3"/>
      <c r="Q2769" s="3"/>
    </row>
    <row r="2770" spans="1:17" ht="15" x14ac:dyDescent="0.25">
      <c r="A2770" s="3">
        <f>2763</f>
        <v>2763</v>
      </c>
      <c r="B2770" s="3" t="s">
        <v>2772</v>
      </c>
      <c r="C2770" s="3" t="s">
        <v>10</v>
      </c>
      <c r="D2770" s="3" t="s">
        <v>9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/>
      <c r="P2770" s="3"/>
      <c r="Q2770" s="3"/>
    </row>
    <row r="2771" spans="1:17" ht="15" x14ac:dyDescent="0.25">
      <c r="A2771" s="3">
        <f>2764</f>
        <v>2764</v>
      </c>
      <c r="B2771" s="3" t="s">
        <v>2773</v>
      </c>
      <c r="C2771" s="3" t="s">
        <v>10</v>
      </c>
      <c r="D2771" s="3" t="s">
        <v>9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/>
      <c r="P2771" s="3"/>
      <c r="Q2771" s="3"/>
    </row>
    <row r="2772" spans="1:17" ht="15" x14ac:dyDescent="0.25">
      <c r="A2772" s="3">
        <f>2765</f>
        <v>2765</v>
      </c>
      <c r="B2772" s="3" t="s">
        <v>2774</v>
      </c>
      <c r="C2772" s="3" t="s">
        <v>10</v>
      </c>
      <c r="D2772" s="3" t="s">
        <v>9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/>
      <c r="P2772" s="3"/>
      <c r="Q2772" s="3"/>
    </row>
    <row r="2773" spans="1:17" ht="15" x14ac:dyDescent="0.25">
      <c r="A2773" s="3">
        <f>2766</f>
        <v>2766</v>
      </c>
      <c r="B2773" s="3" t="s">
        <v>2775</v>
      </c>
      <c r="C2773" s="3" t="s">
        <v>10</v>
      </c>
      <c r="D2773" s="3" t="s">
        <v>9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/>
      <c r="P2773" s="3"/>
      <c r="Q2773" s="3"/>
    </row>
    <row r="2774" spans="1:17" ht="15" x14ac:dyDescent="0.25">
      <c r="A2774" s="3">
        <f>2767</f>
        <v>2767</v>
      </c>
      <c r="B2774" s="3" t="s">
        <v>2776</v>
      </c>
      <c r="C2774" s="3" t="s">
        <v>10</v>
      </c>
      <c r="D2774" s="3" t="s">
        <v>9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/>
      <c r="P2774" s="3"/>
      <c r="Q2774" s="3"/>
    </row>
    <row r="2775" spans="1:17" ht="15" x14ac:dyDescent="0.25">
      <c r="A2775" s="3">
        <f>2768</f>
        <v>2768</v>
      </c>
      <c r="B2775" s="3" t="s">
        <v>2777</v>
      </c>
      <c r="C2775" s="3" t="s">
        <v>10</v>
      </c>
      <c r="D2775" s="3" t="s">
        <v>9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/>
      <c r="P2775" s="3"/>
      <c r="Q2775" s="3"/>
    </row>
    <row r="2776" spans="1:17" ht="15" x14ac:dyDescent="0.25">
      <c r="A2776" s="3">
        <f>2769</f>
        <v>2769</v>
      </c>
      <c r="B2776" s="3" t="s">
        <v>2778</v>
      </c>
      <c r="C2776" s="3" t="s">
        <v>10</v>
      </c>
      <c r="D2776" s="3" t="s">
        <v>9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/>
      <c r="P2776" s="3"/>
      <c r="Q2776" s="3"/>
    </row>
    <row r="2777" spans="1:17" ht="15" x14ac:dyDescent="0.25">
      <c r="A2777" s="3">
        <f>2770</f>
        <v>2770</v>
      </c>
      <c r="B2777" s="3" t="s">
        <v>2779</v>
      </c>
      <c r="C2777" s="3" t="s">
        <v>10</v>
      </c>
      <c r="D2777" s="3" t="s">
        <v>9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/>
      <c r="P2777" s="3"/>
      <c r="Q2777" s="3"/>
    </row>
    <row r="2778" spans="1:17" ht="15" x14ac:dyDescent="0.25">
      <c r="A2778" s="3">
        <f>2771</f>
        <v>2771</v>
      </c>
      <c r="B2778" s="3" t="s">
        <v>2780</v>
      </c>
      <c r="C2778" s="3" t="s">
        <v>10</v>
      </c>
      <c r="D2778" s="3" t="s">
        <v>9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/>
      <c r="P2778" s="3"/>
      <c r="Q2778" s="3"/>
    </row>
    <row r="2779" spans="1:17" ht="15" x14ac:dyDescent="0.25">
      <c r="A2779" s="3">
        <f>2772</f>
        <v>2772</v>
      </c>
      <c r="B2779" s="3" t="s">
        <v>2781</v>
      </c>
      <c r="C2779" s="3" t="s">
        <v>10</v>
      </c>
      <c r="D2779" s="3" t="s">
        <v>9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/>
      <c r="P2779" s="3"/>
      <c r="Q2779" s="3"/>
    </row>
    <row r="2780" spans="1:17" ht="15" x14ac:dyDescent="0.25">
      <c r="A2780" s="3">
        <f>2773</f>
        <v>2773</v>
      </c>
      <c r="B2780" s="3" t="s">
        <v>2782</v>
      </c>
      <c r="C2780" s="3" t="s">
        <v>10</v>
      </c>
      <c r="D2780" s="3" t="s">
        <v>9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/>
      <c r="P2780" s="3"/>
      <c r="Q2780" s="3"/>
    </row>
    <row r="2781" spans="1:17" ht="15" x14ac:dyDescent="0.25">
      <c r="A2781" s="3">
        <f>2774</f>
        <v>2774</v>
      </c>
      <c r="B2781" s="3" t="s">
        <v>2783</v>
      </c>
      <c r="C2781" s="3" t="s">
        <v>10</v>
      </c>
      <c r="D2781" s="3" t="s">
        <v>9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/>
      <c r="P2781" s="3"/>
      <c r="Q2781" s="3"/>
    </row>
    <row r="2782" spans="1:17" ht="15" x14ac:dyDescent="0.25">
      <c r="A2782" s="3">
        <f>2775</f>
        <v>2775</v>
      </c>
      <c r="B2782" s="3" t="s">
        <v>2784</v>
      </c>
      <c r="C2782" s="3" t="s">
        <v>10</v>
      </c>
      <c r="D2782" s="3" t="s">
        <v>9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/>
      <c r="P2782" s="3"/>
      <c r="Q2782" s="3"/>
    </row>
    <row r="2783" spans="1:17" ht="15" x14ac:dyDescent="0.25">
      <c r="A2783" s="3">
        <f>2776</f>
        <v>2776</v>
      </c>
      <c r="B2783" s="3" t="s">
        <v>2785</v>
      </c>
      <c r="C2783" s="3" t="s">
        <v>10</v>
      </c>
      <c r="D2783" s="3" t="s">
        <v>9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/>
      <c r="P2783" s="3"/>
      <c r="Q2783" s="3"/>
    </row>
    <row r="2784" spans="1:17" ht="15" x14ac:dyDescent="0.25">
      <c r="A2784" s="3">
        <f>2777</f>
        <v>2777</v>
      </c>
      <c r="B2784" s="3" t="s">
        <v>2786</v>
      </c>
      <c r="C2784" s="3" t="s">
        <v>10</v>
      </c>
      <c r="D2784" s="3" t="s">
        <v>9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/>
      <c r="P2784" s="3"/>
      <c r="Q2784" s="3"/>
    </row>
    <row r="2785" spans="1:17" ht="15" x14ac:dyDescent="0.25">
      <c r="A2785" s="3">
        <f>2778</f>
        <v>2778</v>
      </c>
      <c r="B2785" s="3" t="s">
        <v>2787</v>
      </c>
      <c r="C2785" s="3" t="s">
        <v>10</v>
      </c>
      <c r="D2785" s="3" t="s">
        <v>9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/>
      <c r="P2785" s="3"/>
      <c r="Q2785" s="3"/>
    </row>
    <row r="2786" spans="1:17" ht="15" x14ac:dyDescent="0.25">
      <c r="A2786" s="3">
        <f>2779</f>
        <v>2779</v>
      </c>
      <c r="B2786" s="3" t="s">
        <v>2788</v>
      </c>
      <c r="C2786" s="3" t="s">
        <v>10</v>
      </c>
      <c r="D2786" s="3" t="s">
        <v>9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/>
      <c r="P2786" s="3"/>
      <c r="Q2786" s="3"/>
    </row>
    <row r="2787" spans="1:17" ht="15" x14ac:dyDescent="0.25">
      <c r="A2787" s="3">
        <f>2780</f>
        <v>2780</v>
      </c>
      <c r="B2787" s="3" t="s">
        <v>2789</v>
      </c>
      <c r="C2787" s="3" t="s">
        <v>10</v>
      </c>
      <c r="D2787" s="3" t="s">
        <v>9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/>
      <c r="P2787" s="3"/>
      <c r="Q2787" s="3"/>
    </row>
    <row r="2788" spans="1:17" ht="15" x14ac:dyDescent="0.25">
      <c r="A2788" s="3">
        <f>2781</f>
        <v>2781</v>
      </c>
      <c r="B2788" s="3" t="s">
        <v>2790</v>
      </c>
      <c r="C2788" s="3" t="s">
        <v>10</v>
      </c>
      <c r="D2788" s="3" t="s">
        <v>9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/>
      <c r="P2788" s="3"/>
      <c r="Q2788" s="3"/>
    </row>
    <row r="2789" spans="1:17" ht="15" x14ac:dyDescent="0.25">
      <c r="A2789" s="3">
        <f>2782</f>
        <v>2782</v>
      </c>
      <c r="B2789" s="3" t="s">
        <v>2791</v>
      </c>
      <c r="C2789" s="3" t="s">
        <v>10</v>
      </c>
      <c r="D2789" s="3" t="s">
        <v>9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/>
      <c r="P2789" s="3"/>
      <c r="Q2789" s="3"/>
    </row>
    <row r="2790" spans="1:17" ht="15" x14ac:dyDescent="0.25">
      <c r="A2790" s="3">
        <f>2783</f>
        <v>2783</v>
      </c>
      <c r="B2790" s="3" t="s">
        <v>2792</v>
      </c>
      <c r="C2790" s="3" t="s">
        <v>10</v>
      </c>
      <c r="D2790" s="3" t="s">
        <v>9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/>
      <c r="P2790" s="3"/>
      <c r="Q2790" s="3"/>
    </row>
    <row r="2791" spans="1:17" ht="15" x14ac:dyDescent="0.25">
      <c r="A2791" s="3">
        <f>2784</f>
        <v>2784</v>
      </c>
      <c r="B2791" s="3" t="s">
        <v>2793</v>
      </c>
      <c r="C2791" s="3" t="s">
        <v>10</v>
      </c>
      <c r="D2791" s="3" t="s">
        <v>9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/>
      <c r="P2791" s="3"/>
      <c r="Q2791" s="3"/>
    </row>
    <row r="2792" spans="1:17" ht="15" x14ac:dyDescent="0.25">
      <c r="A2792" s="3">
        <f>2785</f>
        <v>2785</v>
      </c>
      <c r="B2792" s="3" t="s">
        <v>2794</v>
      </c>
      <c r="C2792" s="3" t="s">
        <v>10</v>
      </c>
      <c r="D2792" s="3" t="s">
        <v>9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/>
      <c r="P2792" s="3"/>
      <c r="Q2792" s="3"/>
    </row>
    <row r="2793" spans="1:17" ht="15" x14ac:dyDescent="0.25">
      <c r="A2793" s="3">
        <f>2786</f>
        <v>2786</v>
      </c>
      <c r="B2793" s="3" t="s">
        <v>2795</v>
      </c>
      <c r="C2793" s="3" t="s">
        <v>10</v>
      </c>
      <c r="D2793" s="3" t="s">
        <v>9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/>
      <c r="P2793" s="3"/>
      <c r="Q2793" s="3"/>
    </row>
    <row r="2794" spans="1:17" ht="15" x14ac:dyDescent="0.25">
      <c r="A2794" s="3">
        <f>2787</f>
        <v>2787</v>
      </c>
      <c r="B2794" s="3" t="s">
        <v>2796</v>
      </c>
      <c r="C2794" s="3" t="s">
        <v>10</v>
      </c>
      <c r="D2794" s="3" t="s">
        <v>9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/>
      <c r="P2794" s="3"/>
      <c r="Q2794" s="3"/>
    </row>
    <row r="2795" spans="1:17" ht="15" x14ac:dyDescent="0.25">
      <c r="A2795" s="3">
        <f>2788</f>
        <v>2788</v>
      </c>
      <c r="B2795" s="3" t="s">
        <v>2797</v>
      </c>
      <c r="C2795" s="3" t="s">
        <v>10</v>
      </c>
      <c r="D2795" s="3" t="s">
        <v>9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/>
      <c r="P2795" s="3"/>
      <c r="Q2795" s="3"/>
    </row>
    <row r="2796" spans="1:17" ht="15" x14ac:dyDescent="0.25">
      <c r="A2796" s="3">
        <f>2789</f>
        <v>2789</v>
      </c>
      <c r="B2796" s="3" t="s">
        <v>2798</v>
      </c>
      <c r="C2796" s="3" t="s">
        <v>10</v>
      </c>
      <c r="D2796" s="3" t="s">
        <v>9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/>
      <c r="P2796" s="3"/>
      <c r="Q2796" s="3"/>
    </row>
    <row r="2797" spans="1:17" ht="15" x14ac:dyDescent="0.25">
      <c r="A2797" s="3">
        <f>2790</f>
        <v>2790</v>
      </c>
      <c r="B2797" s="3" t="s">
        <v>2799</v>
      </c>
      <c r="C2797" s="3" t="s">
        <v>10</v>
      </c>
      <c r="D2797" s="3" t="s">
        <v>9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/>
      <c r="P2797" s="3"/>
      <c r="Q2797" s="3"/>
    </row>
    <row r="2798" spans="1:17" ht="15" x14ac:dyDescent="0.25">
      <c r="A2798" s="3">
        <f>2791</f>
        <v>2791</v>
      </c>
      <c r="B2798" s="3" t="s">
        <v>2800</v>
      </c>
      <c r="C2798" s="3" t="s">
        <v>10</v>
      </c>
      <c r="D2798" s="3" t="s">
        <v>9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/>
      <c r="P2798" s="3"/>
      <c r="Q2798" s="3"/>
    </row>
    <row r="2799" spans="1:17" ht="15" x14ac:dyDescent="0.25">
      <c r="A2799" s="3">
        <f>2792</f>
        <v>2792</v>
      </c>
      <c r="B2799" s="3" t="s">
        <v>2801</v>
      </c>
      <c r="C2799" s="3" t="s">
        <v>10</v>
      </c>
      <c r="D2799" s="3" t="s">
        <v>9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/>
      <c r="P2799" s="3"/>
      <c r="Q2799" s="3"/>
    </row>
    <row r="2800" spans="1:17" ht="15" x14ac:dyDescent="0.25">
      <c r="A2800" s="3">
        <f>2793</f>
        <v>2793</v>
      </c>
      <c r="B2800" s="3" t="s">
        <v>2802</v>
      </c>
      <c r="C2800" s="3" t="s">
        <v>10</v>
      </c>
      <c r="D2800" s="3" t="s">
        <v>9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/>
      <c r="P2800" s="3"/>
      <c r="Q2800" s="3"/>
    </row>
    <row r="2801" spans="1:17" ht="15" x14ac:dyDescent="0.25">
      <c r="A2801" s="3">
        <f>2794</f>
        <v>2794</v>
      </c>
      <c r="B2801" s="3" t="s">
        <v>2803</v>
      </c>
      <c r="C2801" s="3" t="s">
        <v>9</v>
      </c>
      <c r="D2801" s="3" t="s">
        <v>9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/>
      <c r="P2801" s="3"/>
      <c r="Q2801" s="3"/>
    </row>
    <row r="2802" spans="1:17" ht="15" x14ac:dyDescent="0.25">
      <c r="A2802" s="3">
        <f>2795</f>
        <v>2795</v>
      </c>
      <c r="B2802" s="3" t="s">
        <v>2804</v>
      </c>
      <c r="C2802" s="3" t="s">
        <v>9</v>
      </c>
      <c r="D2802" s="3" t="s">
        <v>9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/>
      <c r="P2802" s="3"/>
      <c r="Q2802" s="3"/>
    </row>
    <row r="2803" spans="1:17" ht="15" x14ac:dyDescent="0.25">
      <c r="A2803" s="3">
        <f>2796</f>
        <v>2796</v>
      </c>
      <c r="B2803" s="3" t="s">
        <v>2805</v>
      </c>
      <c r="C2803" s="3" t="s">
        <v>10</v>
      </c>
      <c r="D2803" s="3" t="s">
        <v>9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/>
      <c r="P2803" s="3"/>
      <c r="Q2803" s="3"/>
    </row>
    <row r="2804" spans="1:17" ht="15" x14ac:dyDescent="0.25">
      <c r="A2804" s="3">
        <f>2797</f>
        <v>2797</v>
      </c>
      <c r="B2804" s="3" t="s">
        <v>2806</v>
      </c>
      <c r="C2804" s="3" t="s">
        <v>10</v>
      </c>
      <c r="D2804" s="3" t="s">
        <v>9</v>
      </c>
      <c r="E2804" s="3">
        <v>21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/>
      <c r="P2804" s="3"/>
      <c r="Q2804" s="3"/>
    </row>
    <row r="2805" spans="1:17" ht="15" x14ac:dyDescent="0.25">
      <c r="A2805" s="3">
        <f>2798</f>
        <v>2798</v>
      </c>
      <c r="B2805" s="3" t="s">
        <v>2807</v>
      </c>
      <c r="C2805" s="3" t="s">
        <v>10</v>
      </c>
      <c r="D2805" s="3" t="s">
        <v>9</v>
      </c>
      <c r="E2805" s="3">
        <v>21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/>
      <c r="P2805" s="3"/>
      <c r="Q2805" s="3"/>
    </row>
    <row r="2806" spans="1:17" ht="15" x14ac:dyDescent="0.25">
      <c r="A2806" s="3">
        <f>2799</f>
        <v>2799</v>
      </c>
      <c r="B2806" s="3" t="s">
        <v>2808</v>
      </c>
      <c r="C2806" s="3" t="s">
        <v>10</v>
      </c>
      <c r="D2806" s="3" t="s">
        <v>9</v>
      </c>
      <c r="E2806" s="3">
        <v>21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/>
      <c r="P2806" s="3"/>
      <c r="Q2806" s="3"/>
    </row>
    <row r="2807" spans="1:17" ht="15" x14ac:dyDescent="0.25">
      <c r="A2807" s="3">
        <f>2800</f>
        <v>2800</v>
      </c>
      <c r="B2807" s="3" t="s">
        <v>2809</v>
      </c>
      <c r="C2807" s="3" t="s">
        <v>10</v>
      </c>
      <c r="D2807" s="3" t="s">
        <v>9</v>
      </c>
      <c r="E2807" s="3">
        <v>21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/>
      <c r="P2807" s="3"/>
      <c r="Q2807" s="3"/>
    </row>
    <row r="2808" spans="1:17" ht="15" x14ac:dyDescent="0.25">
      <c r="A2808" s="3">
        <f>2801</f>
        <v>2801</v>
      </c>
      <c r="B2808" s="3" t="s">
        <v>2810</v>
      </c>
      <c r="C2808" s="3" t="s">
        <v>10</v>
      </c>
      <c r="D2808" s="3" t="s">
        <v>9</v>
      </c>
      <c r="E2808" s="3">
        <v>21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/>
      <c r="P2808" s="3"/>
      <c r="Q2808" s="3"/>
    </row>
    <row r="2809" spans="1:17" ht="15" x14ac:dyDescent="0.25">
      <c r="A2809" s="3">
        <f>2802</f>
        <v>2802</v>
      </c>
      <c r="B2809" s="3" t="s">
        <v>2811</v>
      </c>
      <c r="C2809" s="3" t="s">
        <v>10</v>
      </c>
      <c r="D2809" s="3" t="s">
        <v>9</v>
      </c>
      <c r="E2809" s="3">
        <v>21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/>
      <c r="P2809" s="3"/>
      <c r="Q2809" s="3"/>
    </row>
    <row r="2810" spans="1:17" ht="15" x14ac:dyDescent="0.25">
      <c r="A2810" s="3">
        <f>2803</f>
        <v>2803</v>
      </c>
      <c r="B2810" s="3" t="s">
        <v>2812</v>
      </c>
      <c r="C2810" s="3" t="s">
        <v>10</v>
      </c>
      <c r="D2810" s="3" t="s">
        <v>9</v>
      </c>
      <c r="E2810" s="3">
        <v>21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/>
      <c r="P2810" s="3"/>
      <c r="Q2810" s="3"/>
    </row>
    <row r="2811" spans="1:17" ht="15" x14ac:dyDescent="0.25">
      <c r="A2811" s="3">
        <f>2804</f>
        <v>2804</v>
      </c>
      <c r="B2811" s="3" t="s">
        <v>2813</v>
      </c>
      <c r="C2811" s="3" t="s">
        <v>10</v>
      </c>
      <c r="D2811" s="3" t="s">
        <v>9</v>
      </c>
      <c r="E2811" s="3">
        <v>21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/>
      <c r="P2811" s="3"/>
      <c r="Q2811" s="3"/>
    </row>
    <row r="2812" spans="1:17" ht="15" x14ac:dyDescent="0.25">
      <c r="A2812" s="3">
        <f>2805</f>
        <v>2805</v>
      </c>
      <c r="B2812" s="3" t="s">
        <v>2814</v>
      </c>
      <c r="C2812" s="3" t="s">
        <v>10</v>
      </c>
      <c r="D2812" s="3" t="s">
        <v>9</v>
      </c>
      <c r="E2812" s="3">
        <v>21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/>
      <c r="P2812" s="3"/>
      <c r="Q2812" s="3"/>
    </row>
    <row r="2813" spans="1:17" ht="15" x14ac:dyDescent="0.25">
      <c r="A2813" s="3">
        <f>2806</f>
        <v>2806</v>
      </c>
      <c r="B2813" s="3" t="s">
        <v>2815</v>
      </c>
      <c r="C2813" s="3" t="s">
        <v>10</v>
      </c>
      <c r="D2813" s="3" t="s">
        <v>9</v>
      </c>
      <c r="E2813" s="3">
        <v>21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/>
      <c r="P2813" s="3"/>
      <c r="Q2813" s="3"/>
    </row>
    <row r="2814" spans="1:17" ht="15" x14ac:dyDescent="0.25">
      <c r="A2814" s="3">
        <f>2807</f>
        <v>2807</v>
      </c>
      <c r="B2814" s="3" t="s">
        <v>2816</v>
      </c>
      <c r="C2814" s="3" t="s">
        <v>10</v>
      </c>
      <c r="D2814" s="3" t="s">
        <v>9</v>
      </c>
      <c r="E2814" s="3">
        <v>21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/>
      <c r="P2814" s="3"/>
      <c r="Q2814" s="3"/>
    </row>
    <row r="2815" spans="1:17" ht="15" x14ac:dyDescent="0.25">
      <c r="A2815" s="3">
        <f>2808</f>
        <v>2808</v>
      </c>
      <c r="B2815" s="3" t="s">
        <v>2817</v>
      </c>
      <c r="C2815" s="3" t="s">
        <v>10</v>
      </c>
      <c r="D2815" s="3" t="s">
        <v>9</v>
      </c>
      <c r="E2815" s="3">
        <v>21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/>
      <c r="P2815" s="3"/>
      <c r="Q2815" s="3"/>
    </row>
    <row r="2816" spans="1:17" ht="15" x14ac:dyDescent="0.25">
      <c r="A2816" s="3">
        <f>2809</f>
        <v>2809</v>
      </c>
      <c r="B2816" s="3" t="s">
        <v>2818</v>
      </c>
      <c r="C2816" s="3" t="s">
        <v>10</v>
      </c>
      <c r="D2816" s="3" t="s">
        <v>9</v>
      </c>
      <c r="E2816" s="3">
        <v>21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/>
      <c r="P2816" s="3"/>
      <c r="Q2816" s="3"/>
    </row>
    <row r="2817" spans="1:17" ht="15" x14ac:dyDescent="0.25">
      <c r="A2817" s="3">
        <f>2810</f>
        <v>2810</v>
      </c>
      <c r="B2817" s="3" t="s">
        <v>2819</v>
      </c>
      <c r="C2817" s="3" t="s">
        <v>10</v>
      </c>
      <c r="D2817" s="3" t="s">
        <v>9</v>
      </c>
      <c r="E2817" s="3">
        <v>21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/>
      <c r="P2817" s="3"/>
      <c r="Q2817" s="3"/>
    </row>
    <row r="2818" spans="1:17" ht="15" x14ac:dyDescent="0.25">
      <c r="A2818" s="3">
        <f>2811</f>
        <v>2811</v>
      </c>
      <c r="B2818" s="3" t="s">
        <v>2820</v>
      </c>
      <c r="C2818" s="3" t="s">
        <v>10</v>
      </c>
      <c r="D2818" s="3" t="s">
        <v>9</v>
      </c>
      <c r="E2818" s="3">
        <v>21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/>
      <c r="P2818" s="3"/>
      <c r="Q2818" s="3"/>
    </row>
    <row r="2819" spans="1:17" ht="15" x14ac:dyDescent="0.25">
      <c r="A2819" s="3">
        <f>2812</f>
        <v>2812</v>
      </c>
      <c r="B2819" s="3" t="s">
        <v>2821</v>
      </c>
      <c r="C2819" s="3" t="s">
        <v>10</v>
      </c>
      <c r="D2819" s="3" t="s">
        <v>9</v>
      </c>
      <c r="E2819" s="3">
        <v>21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/>
      <c r="P2819" s="3"/>
      <c r="Q2819" s="3"/>
    </row>
    <row r="2820" spans="1:17" ht="15" x14ac:dyDescent="0.25">
      <c r="A2820" s="3">
        <f>2813</f>
        <v>2813</v>
      </c>
      <c r="B2820" s="3" t="s">
        <v>2822</v>
      </c>
      <c r="C2820" s="3" t="s">
        <v>10</v>
      </c>
      <c r="D2820" s="3" t="s">
        <v>9</v>
      </c>
      <c r="E2820" s="3">
        <v>21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/>
      <c r="P2820" s="3"/>
      <c r="Q2820" s="3"/>
    </row>
    <row r="2821" spans="1:17" ht="15" x14ac:dyDescent="0.25">
      <c r="A2821" s="3">
        <f>2814</f>
        <v>2814</v>
      </c>
      <c r="B2821" s="3" t="s">
        <v>2823</v>
      </c>
      <c r="C2821" s="3" t="s">
        <v>10</v>
      </c>
      <c r="D2821" s="3" t="s">
        <v>9</v>
      </c>
      <c r="E2821" s="3">
        <v>21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/>
      <c r="P2821" s="3"/>
      <c r="Q2821" s="3"/>
    </row>
    <row r="2822" spans="1:17" ht="15" x14ac:dyDescent="0.25">
      <c r="A2822" s="3">
        <f>2815</f>
        <v>2815</v>
      </c>
      <c r="B2822" s="3" t="s">
        <v>2824</v>
      </c>
      <c r="C2822" s="3" t="s">
        <v>10</v>
      </c>
      <c r="D2822" s="3" t="s">
        <v>9</v>
      </c>
      <c r="E2822" s="3">
        <v>21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/>
      <c r="P2822" s="3"/>
      <c r="Q2822" s="3"/>
    </row>
    <row r="2823" spans="1:17" ht="15" x14ac:dyDescent="0.25">
      <c r="A2823" s="3">
        <f>2816</f>
        <v>2816</v>
      </c>
      <c r="B2823" s="3" t="s">
        <v>2825</v>
      </c>
      <c r="C2823" s="3" t="s">
        <v>10</v>
      </c>
      <c r="D2823" s="3" t="s">
        <v>9</v>
      </c>
      <c r="E2823" s="3">
        <v>21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/>
      <c r="P2823" s="3"/>
      <c r="Q2823" s="3"/>
    </row>
    <row r="2824" spans="1:17" ht="15" x14ac:dyDescent="0.25">
      <c r="A2824" s="3">
        <f>2817</f>
        <v>2817</v>
      </c>
      <c r="B2824" s="3" t="s">
        <v>2826</v>
      </c>
      <c r="C2824" s="3" t="s">
        <v>10</v>
      </c>
      <c r="D2824" s="3" t="s">
        <v>9</v>
      </c>
      <c r="E2824" s="3">
        <v>21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/>
      <c r="P2824" s="3"/>
      <c r="Q2824" s="3"/>
    </row>
    <row r="2825" spans="1:17" ht="15" x14ac:dyDescent="0.25">
      <c r="A2825" s="3">
        <f>2818</f>
        <v>2818</v>
      </c>
      <c r="B2825" s="3" t="s">
        <v>2827</v>
      </c>
      <c r="C2825" s="3" t="s">
        <v>10</v>
      </c>
      <c r="D2825" s="3" t="s">
        <v>9</v>
      </c>
      <c r="E2825" s="3">
        <v>21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/>
      <c r="P2825" s="3"/>
      <c r="Q2825" s="3"/>
    </row>
    <row r="2826" spans="1:17" ht="15" x14ac:dyDescent="0.25">
      <c r="A2826" s="3">
        <f>2819</f>
        <v>2819</v>
      </c>
      <c r="B2826" s="3" t="s">
        <v>2828</v>
      </c>
      <c r="C2826" s="3" t="s">
        <v>10</v>
      </c>
      <c r="D2826" s="3" t="s">
        <v>9</v>
      </c>
      <c r="E2826" s="3">
        <v>21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/>
      <c r="P2826" s="3"/>
      <c r="Q2826" s="3"/>
    </row>
    <row r="2827" spans="1:17" ht="15" x14ac:dyDescent="0.25">
      <c r="A2827" s="3">
        <f>2820</f>
        <v>2820</v>
      </c>
      <c r="B2827" s="3" t="s">
        <v>2829</v>
      </c>
      <c r="C2827" s="3" t="s">
        <v>10</v>
      </c>
      <c r="D2827" s="3" t="s">
        <v>9</v>
      </c>
      <c r="E2827" s="3">
        <v>21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/>
      <c r="P2827" s="3"/>
      <c r="Q2827" s="3"/>
    </row>
    <row r="2828" spans="1:17" ht="15" x14ac:dyDescent="0.25">
      <c r="A2828" s="3">
        <f>2821</f>
        <v>2821</v>
      </c>
      <c r="B2828" s="3" t="s">
        <v>2830</v>
      </c>
      <c r="C2828" s="3" t="s">
        <v>10</v>
      </c>
      <c r="D2828" s="3" t="s">
        <v>9</v>
      </c>
      <c r="E2828" s="3">
        <v>21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/>
      <c r="P2828" s="3"/>
      <c r="Q2828" s="3"/>
    </row>
    <row r="2829" spans="1:17" ht="15" x14ac:dyDescent="0.25">
      <c r="A2829" s="3">
        <f>2822</f>
        <v>2822</v>
      </c>
      <c r="B2829" s="3" t="s">
        <v>2831</v>
      </c>
      <c r="C2829" s="3" t="s">
        <v>10</v>
      </c>
      <c r="D2829" s="3" t="s">
        <v>9</v>
      </c>
      <c r="E2829" s="3">
        <v>21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/>
      <c r="P2829" s="3"/>
      <c r="Q2829" s="3"/>
    </row>
    <row r="2830" spans="1:17" ht="15" x14ac:dyDescent="0.25">
      <c r="A2830" s="3">
        <f>2823</f>
        <v>2823</v>
      </c>
      <c r="B2830" s="3" t="s">
        <v>2832</v>
      </c>
      <c r="C2830" s="3" t="s">
        <v>10</v>
      </c>
      <c r="D2830" s="3" t="s">
        <v>9</v>
      </c>
      <c r="E2830" s="3">
        <v>21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/>
      <c r="P2830" s="3"/>
      <c r="Q2830" s="3"/>
    </row>
    <row r="2831" spans="1:17" ht="15" x14ac:dyDescent="0.25">
      <c r="A2831" s="3">
        <f>2824</f>
        <v>2824</v>
      </c>
      <c r="B2831" s="3" t="s">
        <v>2833</v>
      </c>
      <c r="C2831" s="3" t="s">
        <v>10</v>
      </c>
      <c r="D2831" s="3" t="s">
        <v>9</v>
      </c>
      <c r="E2831" s="3">
        <v>21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/>
      <c r="P2831" s="3"/>
      <c r="Q2831" s="3"/>
    </row>
    <row r="2832" spans="1:17" ht="15" x14ac:dyDescent="0.25">
      <c r="A2832" s="3">
        <f>2825</f>
        <v>2825</v>
      </c>
      <c r="B2832" s="3" t="s">
        <v>2834</v>
      </c>
      <c r="C2832" s="3" t="s">
        <v>10</v>
      </c>
      <c r="D2832" s="3" t="s">
        <v>9</v>
      </c>
      <c r="E2832" s="3">
        <v>21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/>
      <c r="P2832" s="3"/>
      <c r="Q2832" s="3"/>
    </row>
    <row r="2833" spans="1:17" ht="15" x14ac:dyDescent="0.25">
      <c r="A2833" s="3">
        <f>2826</f>
        <v>2826</v>
      </c>
      <c r="B2833" s="3" t="s">
        <v>2835</v>
      </c>
      <c r="C2833" s="3" t="s">
        <v>10</v>
      </c>
      <c r="D2833" s="3" t="s">
        <v>9</v>
      </c>
      <c r="E2833" s="3">
        <v>21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/>
      <c r="P2833" s="3"/>
      <c r="Q2833" s="3"/>
    </row>
    <row r="2834" spans="1:17" ht="15" x14ac:dyDescent="0.25">
      <c r="A2834" s="3">
        <f>2827</f>
        <v>2827</v>
      </c>
      <c r="B2834" s="3" t="s">
        <v>2836</v>
      </c>
      <c r="C2834" s="3" t="s">
        <v>10</v>
      </c>
      <c r="D2834" s="3" t="s">
        <v>9</v>
      </c>
      <c r="E2834" s="3">
        <v>21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/>
      <c r="P2834" s="3"/>
      <c r="Q2834" s="3"/>
    </row>
    <row r="2835" spans="1:17" ht="15" x14ac:dyDescent="0.25">
      <c r="A2835" s="3">
        <f>2828</f>
        <v>2828</v>
      </c>
      <c r="B2835" s="3" t="s">
        <v>2837</v>
      </c>
      <c r="C2835" s="3" t="s">
        <v>10</v>
      </c>
      <c r="D2835" s="3" t="s">
        <v>9</v>
      </c>
      <c r="E2835" s="3">
        <v>21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/>
      <c r="P2835" s="3"/>
      <c r="Q2835" s="3"/>
    </row>
    <row r="2836" spans="1:17" ht="15" x14ac:dyDescent="0.25">
      <c r="A2836" s="3">
        <f>2829</f>
        <v>2829</v>
      </c>
      <c r="B2836" s="3" t="s">
        <v>2838</v>
      </c>
      <c r="C2836" s="3" t="s">
        <v>10</v>
      </c>
      <c r="D2836" s="3" t="s">
        <v>9</v>
      </c>
      <c r="E2836" s="3">
        <v>21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/>
      <c r="P2836" s="3"/>
      <c r="Q2836" s="3"/>
    </row>
    <row r="2837" spans="1:17" ht="15" x14ac:dyDescent="0.25">
      <c r="A2837" s="3">
        <f>2830</f>
        <v>2830</v>
      </c>
      <c r="B2837" s="3" t="s">
        <v>2839</v>
      </c>
      <c r="C2837" s="3" t="s">
        <v>10</v>
      </c>
      <c r="D2837" s="3" t="s">
        <v>9</v>
      </c>
      <c r="E2837" s="3">
        <v>21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/>
      <c r="P2837" s="3"/>
      <c r="Q2837" s="3"/>
    </row>
    <row r="2838" spans="1:17" ht="15" x14ac:dyDescent="0.25">
      <c r="A2838" s="3">
        <f>2831</f>
        <v>2831</v>
      </c>
      <c r="B2838" s="3" t="s">
        <v>2840</v>
      </c>
      <c r="C2838" s="3" t="s">
        <v>10</v>
      </c>
      <c r="D2838" s="3" t="s">
        <v>9</v>
      </c>
      <c r="E2838" s="3">
        <v>21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/>
      <c r="P2838" s="3"/>
      <c r="Q2838" s="3"/>
    </row>
    <row r="2839" spans="1:17" ht="15" x14ac:dyDescent="0.25">
      <c r="A2839" s="3">
        <f>2832</f>
        <v>2832</v>
      </c>
      <c r="B2839" s="3" t="s">
        <v>2841</v>
      </c>
      <c r="C2839" s="3" t="s">
        <v>10</v>
      </c>
      <c r="D2839" s="3" t="s">
        <v>9</v>
      </c>
      <c r="E2839" s="3">
        <v>21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/>
      <c r="P2839" s="3"/>
      <c r="Q2839" s="3"/>
    </row>
    <row r="2840" spans="1:17" ht="15" x14ac:dyDescent="0.25">
      <c r="A2840" s="3">
        <f>2833</f>
        <v>2833</v>
      </c>
      <c r="B2840" s="3" t="s">
        <v>2842</v>
      </c>
      <c r="C2840" s="3" t="s">
        <v>10</v>
      </c>
      <c r="D2840" s="3" t="s">
        <v>9</v>
      </c>
      <c r="E2840" s="3">
        <v>21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/>
      <c r="P2840" s="3"/>
      <c r="Q2840" s="3"/>
    </row>
    <row r="2841" spans="1:17" ht="15" x14ac:dyDescent="0.25">
      <c r="A2841" s="3">
        <f>2834</f>
        <v>2834</v>
      </c>
      <c r="B2841" s="3" t="s">
        <v>2843</v>
      </c>
      <c r="C2841" s="3" t="s">
        <v>10</v>
      </c>
      <c r="D2841" s="3" t="s">
        <v>9</v>
      </c>
      <c r="E2841" s="3">
        <v>21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/>
      <c r="P2841" s="3"/>
      <c r="Q2841" s="3"/>
    </row>
    <row r="2842" spans="1:17" ht="15" x14ac:dyDescent="0.25">
      <c r="A2842" s="3">
        <f>2835</f>
        <v>2835</v>
      </c>
      <c r="B2842" s="3" t="s">
        <v>2844</v>
      </c>
      <c r="C2842" s="3" t="s">
        <v>10</v>
      </c>
      <c r="D2842" s="3" t="s">
        <v>9</v>
      </c>
      <c r="E2842" s="3">
        <v>21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/>
      <c r="P2842" s="3"/>
      <c r="Q2842" s="3"/>
    </row>
    <row r="2843" spans="1:17" ht="15" x14ac:dyDescent="0.25">
      <c r="A2843" s="3">
        <f>2836</f>
        <v>2836</v>
      </c>
      <c r="B2843" s="3" t="s">
        <v>2845</v>
      </c>
      <c r="C2843" s="3" t="s">
        <v>10</v>
      </c>
      <c r="D2843" s="3" t="s">
        <v>9</v>
      </c>
      <c r="E2843" s="3">
        <v>21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/>
      <c r="P2843" s="3"/>
      <c r="Q2843" s="3"/>
    </row>
    <row r="2844" spans="1:17" ht="15" x14ac:dyDescent="0.25">
      <c r="A2844" s="3">
        <f>2837</f>
        <v>2837</v>
      </c>
      <c r="B2844" s="3" t="s">
        <v>2846</v>
      </c>
      <c r="C2844" s="3" t="s">
        <v>10</v>
      </c>
      <c r="D2844" s="3" t="s">
        <v>9</v>
      </c>
      <c r="E2844" s="3">
        <v>21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/>
      <c r="P2844" s="3"/>
      <c r="Q2844" s="3"/>
    </row>
    <row r="2845" spans="1:17" ht="15" x14ac:dyDescent="0.25">
      <c r="A2845" s="3">
        <f>2838</f>
        <v>2838</v>
      </c>
      <c r="B2845" s="3" t="s">
        <v>2847</v>
      </c>
      <c r="C2845" s="3" t="s">
        <v>10</v>
      </c>
      <c r="D2845" s="3" t="s">
        <v>9</v>
      </c>
      <c r="E2845" s="3">
        <v>21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/>
      <c r="P2845" s="3"/>
      <c r="Q2845" s="3"/>
    </row>
    <row r="2846" spans="1:17" ht="15" x14ac:dyDescent="0.25">
      <c r="A2846" s="3">
        <f>2839</f>
        <v>2839</v>
      </c>
      <c r="B2846" s="3" t="s">
        <v>2848</v>
      </c>
      <c r="C2846" s="3" t="s">
        <v>10</v>
      </c>
      <c r="D2846" s="3" t="s">
        <v>9</v>
      </c>
      <c r="E2846" s="3">
        <v>21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/>
      <c r="P2846" s="3"/>
      <c r="Q2846" s="3"/>
    </row>
    <row r="2847" spans="1:17" ht="15" x14ac:dyDescent="0.25">
      <c r="A2847" s="3">
        <f>2840</f>
        <v>2840</v>
      </c>
      <c r="B2847" s="3" t="s">
        <v>2849</v>
      </c>
      <c r="C2847" s="3" t="s">
        <v>10</v>
      </c>
      <c r="D2847" s="3" t="s">
        <v>9</v>
      </c>
      <c r="E2847" s="3">
        <v>21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/>
      <c r="P2847" s="3"/>
      <c r="Q2847" s="3"/>
    </row>
    <row r="2848" spans="1:17" ht="15" x14ac:dyDescent="0.25">
      <c r="A2848" s="3">
        <f>2841</f>
        <v>2841</v>
      </c>
      <c r="B2848" s="3" t="s">
        <v>2850</v>
      </c>
      <c r="C2848" s="3" t="s">
        <v>10</v>
      </c>
      <c r="D2848" s="3" t="s">
        <v>9</v>
      </c>
      <c r="E2848" s="3">
        <v>21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/>
      <c r="P2848" s="3"/>
      <c r="Q2848" s="3"/>
    </row>
    <row r="2849" spans="1:17" ht="15" x14ac:dyDescent="0.25">
      <c r="A2849" s="3">
        <f>2842</f>
        <v>2842</v>
      </c>
      <c r="B2849" s="3" t="s">
        <v>2851</v>
      </c>
      <c r="C2849" s="3" t="s">
        <v>10</v>
      </c>
      <c r="D2849" s="3" t="s">
        <v>9</v>
      </c>
      <c r="E2849" s="3">
        <v>21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/>
      <c r="P2849" s="3"/>
      <c r="Q2849" s="3"/>
    </row>
    <row r="2850" spans="1:17" ht="15" x14ac:dyDescent="0.25">
      <c r="A2850" s="3">
        <f>2843</f>
        <v>2843</v>
      </c>
      <c r="B2850" s="3" t="s">
        <v>2852</v>
      </c>
      <c r="C2850" s="3" t="s">
        <v>10</v>
      </c>
      <c r="D2850" s="3" t="s">
        <v>9</v>
      </c>
      <c r="E2850" s="3">
        <v>21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/>
      <c r="P2850" s="3"/>
      <c r="Q2850" s="3"/>
    </row>
    <row r="2851" spans="1:17" ht="15" x14ac:dyDescent="0.25">
      <c r="A2851" s="3">
        <f>2844</f>
        <v>2844</v>
      </c>
      <c r="B2851" s="3" t="s">
        <v>2853</v>
      </c>
      <c r="C2851" s="3" t="s">
        <v>10</v>
      </c>
      <c r="D2851" s="3" t="s">
        <v>9</v>
      </c>
      <c r="E2851" s="3">
        <v>21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/>
      <c r="P2851" s="3"/>
      <c r="Q2851" s="3"/>
    </row>
    <row r="2852" spans="1:17" ht="15" x14ac:dyDescent="0.25">
      <c r="A2852" s="3">
        <f>2845</f>
        <v>2845</v>
      </c>
      <c r="B2852" s="3" t="s">
        <v>2854</v>
      </c>
      <c r="C2852" s="3" t="s">
        <v>10</v>
      </c>
      <c r="D2852" s="3" t="s">
        <v>9</v>
      </c>
      <c r="E2852" s="3">
        <v>21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/>
      <c r="P2852" s="3"/>
      <c r="Q2852" s="3"/>
    </row>
    <row r="2853" spans="1:17" ht="15" x14ac:dyDescent="0.25">
      <c r="A2853" s="3">
        <f>2846</f>
        <v>2846</v>
      </c>
      <c r="B2853" s="3" t="s">
        <v>2855</v>
      </c>
      <c r="C2853" s="3" t="s">
        <v>10</v>
      </c>
      <c r="D2853" s="3" t="s">
        <v>9</v>
      </c>
      <c r="E2853" s="3">
        <v>21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/>
      <c r="P2853" s="3"/>
      <c r="Q2853" s="3"/>
    </row>
    <row r="2854" spans="1:17" ht="15" x14ac:dyDescent="0.25">
      <c r="A2854" s="3">
        <f>2847</f>
        <v>2847</v>
      </c>
      <c r="B2854" s="3" t="s">
        <v>2856</v>
      </c>
      <c r="C2854" s="3" t="s">
        <v>10</v>
      </c>
      <c r="D2854" s="3" t="s">
        <v>9</v>
      </c>
      <c r="E2854" s="3">
        <v>21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/>
      <c r="P2854" s="3"/>
      <c r="Q2854" s="3"/>
    </row>
    <row r="2855" spans="1:17" ht="15" x14ac:dyDescent="0.25">
      <c r="A2855" s="3">
        <f>2848</f>
        <v>2848</v>
      </c>
      <c r="B2855" s="3" t="s">
        <v>2857</v>
      </c>
      <c r="C2855" s="3" t="s">
        <v>10</v>
      </c>
      <c r="D2855" s="3" t="s">
        <v>9</v>
      </c>
      <c r="E2855" s="3">
        <v>21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/>
      <c r="P2855" s="3"/>
      <c r="Q2855" s="3"/>
    </row>
    <row r="2856" spans="1:17" ht="15" x14ac:dyDescent="0.25">
      <c r="A2856" s="3">
        <f>2849</f>
        <v>2849</v>
      </c>
      <c r="B2856" s="3" t="s">
        <v>2858</v>
      </c>
      <c r="C2856" s="3" t="s">
        <v>10</v>
      </c>
      <c r="D2856" s="3" t="s">
        <v>9</v>
      </c>
      <c r="E2856" s="3">
        <v>21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/>
      <c r="P2856" s="3"/>
      <c r="Q2856" s="3"/>
    </row>
    <row r="2857" spans="1:17" ht="15" x14ac:dyDescent="0.25">
      <c r="A2857" s="3">
        <f>2850</f>
        <v>2850</v>
      </c>
      <c r="B2857" s="3" t="s">
        <v>2859</v>
      </c>
      <c r="C2857" s="3" t="s">
        <v>10</v>
      </c>
      <c r="D2857" s="3" t="s">
        <v>9</v>
      </c>
      <c r="E2857" s="3">
        <v>21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/>
      <c r="P2857" s="3"/>
      <c r="Q2857" s="3"/>
    </row>
    <row r="2858" spans="1:17" ht="15" x14ac:dyDescent="0.25">
      <c r="A2858" s="3">
        <f>2851</f>
        <v>2851</v>
      </c>
      <c r="B2858" s="3" t="s">
        <v>2860</v>
      </c>
      <c r="C2858" s="3" t="s">
        <v>10</v>
      </c>
      <c r="D2858" s="3" t="s">
        <v>9</v>
      </c>
      <c r="E2858" s="3">
        <v>21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/>
      <c r="P2858" s="3"/>
      <c r="Q2858" s="3"/>
    </row>
    <row r="2859" spans="1:17" ht="15" x14ac:dyDescent="0.25">
      <c r="A2859" s="3">
        <f>2852</f>
        <v>2852</v>
      </c>
      <c r="B2859" s="3" t="s">
        <v>2861</v>
      </c>
      <c r="C2859" s="3" t="s">
        <v>10</v>
      </c>
      <c r="D2859" s="3" t="s">
        <v>9</v>
      </c>
      <c r="E2859" s="3">
        <v>21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/>
      <c r="P2859" s="3"/>
      <c r="Q2859" s="3"/>
    </row>
    <row r="2860" spans="1:17" ht="15" x14ac:dyDescent="0.25">
      <c r="A2860" s="3">
        <f>2853</f>
        <v>2853</v>
      </c>
      <c r="B2860" s="3" t="s">
        <v>2862</v>
      </c>
      <c r="C2860" s="3" t="s">
        <v>10</v>
      </c>
      <c r="D2860" s="3" t="s">
        <v>9</v>
      </c>
      <c r="E2860" s="3">
        <v>21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/>
      <c r="P2860" s="3"/>
      <c r="Q2860" s="3"/>
    </row>
    <row r="2861" spans="1:17" ht="15" x14ac:dyDescent="0.25">
      <c r="A2861" s="3">
        <f>2854</f>
        <v>2854</v>
      </c>
      <c r="B2861" s="3" t="s">
        <v>2863</v>
      </c>
      <c r="C2861" s="3" t="s">
        <v>10</v>
      </c>
      <c r="D2861" s="3" t="s">
        <v>9</v>
      </c>
      <c r="E2861" s="3">
        <v>21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/>
      <c r="P2861" s="3"/>
      <c r="Q2861" s="3"/>
    </row>
    <row r="2862" spans="1:17" ht="15" x14ac:dyDescent="0.25">
      <c r="A2862" s="3">
        <f>2855</f>
        <v>2855</v>
      </c>
      <c r="B2862" s="3" t="s">
        <v>2864</v>
      </c>
      <c r="C2862" s="3" t="s">
        <v>10</v>
      </c>
      <c r="D2862" s="3" t="s">
        <v>9</v>
      </c>
      <c r="E2862" s="3">
        <v>21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/>
      <c r="P2862" s="3"/>
      <c r="Q2862" s="3"/>
    </row>
    <row r="2863" spans="1:17" ht="15" x14ac:dyDescent="0.25">
      <c r="A2863" s="3">
        <f>2856</f>
        <v>2856</v>
      </c>
      <c r="B2863" s="3" t="s">
        <v>2865</v>
      </c>
      <c r="C2863" s="3" t="s">
        <v>10</v>
      </c>
      <c r="D2863" s="3" t="s">
        <v>9</v>
      </c>
      <c r="E2863" s="3">
        <v>21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/>
      <c r="P2863" s="3"/>
      <c r="Q2863" s="3"/>
    </row>
    <row r="2864" spans="1:17" ht="15" x14ac:dyDescent="0.25">
      <c r="A2864" s="3">
        <f>2857</f>
        <v>2857</v>
      </c>
      <c r="B2864" s="3" t="s">
        <v>2866</v>
      </c>
      <c r="C2864" s="3" t="s">
        <v>10</v>
      </c>
      <c r="D2864" s="3" t="s">
        <v>9</v>
      </c>
      <c r="E2864" s="3">
        <v>21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/>
      <c r="P2864" s="3"/>
      <c r="Q2864" s="3"/>
    </row>
    <row r="2865" spans="1:17" ht="15" x14ac:dyDescent="0.25">
      <c r="A2865" s="3">
        <f>2858</f>
        <v>2858</v>
      </c>
      <c r="B2865" s="3" t="s">
        <v>2867</v>
      </c>
      <c r="C2865" s="3" t="s">
        <v>10</v>
      </c>
      <c r="D2865" s="3" t="s">
        <v>9</v>
      </c>
      <c r="E2865" s="3">
        <v>21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/>
      <c r="P2865" s="3"/>
      <c r="Q2865" s="3"/>
    </row>
    <row r="2866" spans="1:17" ht="15" x14ac:dyDescent="0.25">
      <c r="A2866" s="3">
        <f>2859</f>
        <v>2859</v>
      </c>
      <c r="B2866" s="3" t="s">
        <v>2868</v>
      </c>
      <c r="C2866" s="3" t="s">
        <v>10</v>
      </c>
      <c r="D2866" s="3" t="s">
        <v>9</v>
      </c>
      <c r="E2866" s="3">
        <v>21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/>
      <c r="P2866" s="3"/>
      <c r="Q2866" s="3"/>
    </row>
    <row r="2867" spans="1:17" ht="15" x14ac:dyDescent="0.25">
      <c r="A2867" s="3">
        <f>2860</f>
        <v>2860</v>
      </c>
      <c r="B2867" s="3" t="s">
        <v>2869</v>
      </c>
      <c r="C2867" s="3" t="s">
        <v>10</v>
      </c>
      <c r="D2867" s="3" t="s">
        <v>9</v>
      </c>
      <c r="E2867" s="3">
        <v>21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/>
      <c r="P2867" s="3"/>
      <c r="Q2867" s="3"/>
    </row>
    <row r="2868" spans="1:17" ht="15" x14ac:dyDescent="0.25">
      <c r="A2868" s="3">
        <f>2861</f>
        <v>2861</v>
      </c>
      <c r="B2868" s="3" t="s">
        <v>2870</v>
      </c>
      <c r="C2868" s="3" t="s">
        <v>10</v>
      </c>
      <c r="D2868" s="3" t="s">
        <v>9</v>
      </c>
      <c r="E2868" s="3">
        <v>21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/>
      <c r="P2868" s="3"/>
      <c r="Q2868" s="3"/>
    </row>
    <row r="2869" spans="1:17" ht="15" x14ac:dyDescent="0.25">
      <c r="A2869" s="3">
        <f>2862</f>
        <v>2862</v>
      </c>
      <c r="B2869" s="3" t="s">
        <v>2871</v>
      </c>
      <c r="C2869" s="3" t="s">
        <v>10</v>
      </c>
      <c r="D2869" s="3" t="s">
        <v>9</v>
      </c>
      <c r="E2869" s="3">
        <v>21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/>
      <c r="P2869" s="3"/>
      <c r="Q2869" s="3"/>
    </row>
    <row r="2870" spans="1:17" ht="15" x14ac:dyDescent="0.25">
      <c r="A2870" s="3">
        <f>2863</f>
        <v>2863</v>
      </c>
      <c r="B2870" s="3" t="s">
        <v>2872</v>
      </c>
      <c r="C2870" s="3" t="s">
        <v>10</v>
      </c>
      <c r="D2870" s="3" t="s">
        <v>9</v>
      </c>
      <c r="E2870" s="3">
        <v>21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/>
      <c r="P2870" s="3"/>
      <c r="Q2870" s="3"/>
    </row>
    <row r="2871" spans="1:17" ht="15" x14ac:dyDescent="0.25">
      <c r="A2871" s="3">
        <f>2864</f>
        <v>2864</v>
      </c>
      <c r="B2871" s="3" t="s">
        <v>2873</v>
      </c>
      <c r="C2871" s="3" t="s">
        <v>10</v>
      </c>
      <c r="D2871" s="3" t="s">
        <v>9</v>
      </c>
      <c r="E2871" s="3">
        <v>21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/>
      <c r="P2871" s="3"/>
      <c r="Q2871" s="3"/>
    </row>
    <row r="2872" spans="1:17" ht="15" x14ac:dyDescent="0.25">
      <c r="A2872" s="3">
        <f>2865</f>
        <v>2865</v>
      </c>
      <c r="B2872" s="3" t="s">
        <v>2874</v>
      </c>
      <c r="C2872" s="3" t="s">
        <v>10</v>
      </c>
      <c r="D2872" s="3" t="s">
        <v>9</v>
      </c>
      <c r="E2872" s="3">
        <v>21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/>
      <c r="P2872" s="3"/>
      <c r="Q2872" s="3"/>
    </row>
    <row r="2873" spans="1:17" ht="15" x14ac:dyDescent="0.25">
      <c r="A2873" s="3">
        <f>2866</f>
        <v>2866</v>
      </c>
      <c r="B2873" s="3" t="s">
        <v>2875</v>
      </c>
      <c r="C2873" s="3" t="s">
        <v>10</v>
      </c>
      <c r="D2873" s="3" t="s">
        <v>9</v>
      </c>
      <c r="E2873" s="3">
        <v>21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/>
      <c r="P2873" s="3"/>
      <c r="Q2873" s="3"/>
    </row>
    <row r="2874" spans="1:17" ht="15" x14ac:dyDescent="0.25">
      <c r="A2874" s="3">
        <f>2867</f>
        <v>2867</v>
      </c>
      <c r="B2874" s="3" t="s">
        <v>2876</v>
      </c>
      <c r="C2874" s="3" t="s">
        <v>10</v>
      </c>
      <c r="D2874" s="3" t="s">
        <v>9</v>
      </c>
      <c r="E2874" s="3">
        <v>21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/>
      <c r="P2874" s="3"/>
      <c r="Q2874" s="3"/>
    </row>
    <row r="2875" spans="1:17" ht="15" x14ac:dyDescent="0.25">
      <c r="A2875" s="3">
        <f>2868</f>
        <v>2868</v>
      </c>
      <c r="B2875" s="3" t="s">
        <v>2877</v>
      </c>
      <c r="C2875" s="3" t="s">
        <v>10</v>
      </c>
      <c r="D2875" s="3" t="s">
        <v>9</v>
      </c>
      <c r="E2875" s="3">
        <v>21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/>
      <c r="P2875" s="3"/>
      <c r="Q2875" s="3"/>
    </row>
    <row r="2876" spans="1:17" ht="15" x14ac:dyDescent="0.25">
      <c r="A2876" s="3">
        <f>2869</f>
        <v>2869</v>
      </c>
      <c r="B2876" s="3" t="s">
        <v>2878</v>
      </c>
      <c r="C2876" s="3" t="s">
        <v>10</v>
      </c>
      <c r="D2876" s="3" t="s">
        <v>9</v>
      </c>
      <c r="E2876" s="3">
        <v>21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/>
      <c r="P2876" s="3"/>
      <c r="Q2876" s="3"/>
    </row>
    <row r="2877" spans="1:17" ht="15" x14ac:dyDescent="0.25">
      <c r="A2877" s="3">
        <f>2870</f>
        <v>2870</v>
      </c>
      <c r="B2877" s="3" t="s">
        <v>2879</v>
      </c>
      <c r="C2877" s="3" t="s">
        <v>10</v>
      </c>
      <c r="D2877" s="3" t="s">
        <v>9</v>
      </c>
      <c r="E2877" s="3">
        <v>21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/>
      <c r="P2877" s="3"/>
      <c r="Q2877" s="3"/>
    </row>
    <row r="2878" spans="1:17" ht="15" x14ac:dyDescent="0.25">
      <c r="A2878" s="3">
        <f>2871</f>
        <v>2871</v>
      </c>
      <c r="B2878" s="3" t="s">
        <v>2880</v>
      </c>
      <c r="C2878" s="3" t="s">
        <v>10</v>
      </c>
      <c r="D2878" s="3" t="s">
        <v>9</v>
      </c>
      <c r="E2878" s="3">
        <v>21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/>
      <c r="P2878" s="3"/>
      <c r="Q2878" s="3"/>
    </row>
    <row r="2879" spans="1:17" ht="15" x14ac:dyDescent="0.25">
      <c r="A2879" s="3">
        <f>2872</f>
        <v>2872</v>
      </c>
      <c r="B2879" s="3" t="s">
        <v>2881</v>
      </c>
      <c r="C2879" s="3" t="s">
        <v>10</v>
      </c>
      <c r="D2879" s="3" t="s">
        <v>9</v>
      </c>
      <c r="E2879" s="3">
        <v>21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/>
      <c r="P2879" s="3"/>
      <c r="Q2879" s="3"/>
    </row>
    <row r="2880" spans="1:17" ht="15" x14ac:dyDescent="0.25">
      <c r="A2880" s="3">
        <f>2873</f>
        <v>2873</v>
      </c>
      <c r="B2880" s="3" t="s">
        <v>2882</v>
      </c>
      <c r="C2880" s="3" t="s">
        <v>10</v>
      </c>
      <c r="D2880" s="3" t="s">
        <v>9</v>
      </c>
      <c r="E2880" s="3">
        <v>21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/>
      <c r="P2880" s="3"/>
      <c r="Q2880" s="3"/>
    </row>
    <row r="2881" spans="1:17" ht="15" x14ac:dyDescent="0.25">
      <c r="A2881" s="3">
        <f>2874</f>
        <v>2874</v>
      </c>
      <c r="B2881" s="3" t="s">
        <v>2883</v>
      </c>
      <c r="C2881" s="3" t="s">
        <v>10</v>
      </c>
      <c r="D2881" s="3" t="s">
        <v>9</v>
      </c>
      <c r="E2881" s="3">
        <v>21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/>
      <c r="P2881" s="3"/>
      <c r="Q2881" s="3"/>
    </row>
    <row r="2882" spans="1:17" ht="15" x14ac:dyDescent="0.25">
      <c r="A2882" s="3">
        <f>2875</f>
        <v>2875</v>
      </c>
      <c r="B2882" s="3" t="s">
        <v>2884</v>
      </c>
      <c r="C2882" s="3" t="s">
        <v>10</v>
      </c>
      <c r="D2882" s="3" t="s">
        <v>9</v>
      </c>
      <c r="E2882" s="3">
        <v>21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/>
      <c r="P2882" s="3"/>
      <c r="Q2882" s="3"/>
    </row>
    <row r="2883" spans="1:17" ht="15" x14ac:dyDescent="0.25">
      <c r="A2883" s="3">
        <f>2876</f>
        <v>2876</v>
      </c>
      <c r="B2883" s="3" t="s">
        <v>2885</v>
      </c>
      <c r="C2883" s="3" t="s">
        <v>10</v>
      </c>
      <c r="D2883" s="3" t="s">
        <v>9</v>
      </c>
      <c r="E2883" s="3">
        <v>21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/>
      <c r="P2883" s="3"/>
      <c r="Q2883" s="3"/>
    </row>
    <row r="2884" spans="1:17" ht="15" x14ac:dyDescent="0.25">
      <c r="A2884" s="3">
        <f>2877</f>
        <v>2877</v>
      </c>
      <c r="B2884" s="3" t="s">
        <v>2886</v>
      </c>
      <c r="C2884" s="3" t="s">
        <v>10</v>
      </c>
      <c r="D2884" s="3" t="s">
        <v>9</v>
      </c>
      <c r="E2884" s="3">
        <v>21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/>
      <c r="P2884" s="3"/>
      <c r="Q2884" s="3"/>
    </row>
    <row r="2885" spans="1:17" ht="15" x14ac:dyDescent="0.25">
      <c r="A2885" s="3">
        <f>2878</f>
        <v>2878</v>
      </c>
      <c r="B2885" s="3" t="s">
        <v>2887</v>
      </c>
      <c r="C2885" s="3" t="s">
        <v>10</v>
      </c>
      <c r="D2885" s="3" t="s">
        <v>9</v>
      </c>
      <c r="E2885" s="3">
        <v>21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/>
      <c r="P2885" s="3"/>
      <c r="Q2885" s="3"/>
    </row>
    <row r="2886" spans="1:17" ht="15" x14ac:dyDescent="0.25">
      <c r="A2886" s="3">
        <f>2879</f>
        <v>2879</v>
      </c>
      <c r="B2886" s="3" t="s">
        <v>2888</v>
      </c>
      <c r="C2886" s="3" t="s">
        <v>10</v>
      </c>
      <c r="D2886" s="3" t="s">
        <v>9</v>
      </c>
      <c r="E2886" s="3">
        <v>21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/>
      <c r="P2886" s="3"/>
      <c r="Q2886" s="3"/>
    </row>
    <row r="2887" spans="1:17" ht="15" x14ac:dyDescent="0.25">
      <c r="A2887" s="3">
        <f>2880</f>
        <v>2880</v>
      </c>
      <c r="B2887" s="3" t="s">
        <v>2889</v>
      </c>
      <c r="C2887" s="3" t="s">
        <v>10</v>
      </c>
      <c r="D2887" s="3" t="s">
        <v>9</v>
      </c>
      <c r="E2887" s="3">
        <v>21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/>
      <c r="P2887" s="3"/>
      <c r="Q2887" s="3"/>
    </row>
    <row r="2888" spans="1:17" ht="15" x14ac:dyDescent="0.25">
      <c r="A2888" s="3">
        <f>2881</f>
        <v>2881</v>
      </c>
      <c r="B2888" s="3" t="s">
        <v>2890</v>
      </c>
      <c r="C2888" s="3" t="s">
        <v>10</v>
      </c>
      <c r="D2888" s="3" t="s">
        <v>9</v>
      </c>
      <c r="E2888" s="3">
        <v>21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/>
      <c r="P2888" s="3"/>
      <c r="Q2888" s="3"/>
    </row>
    <row r="2889" spans="1:17" ht="15" x14ac:dyDescent="0.25">
      <c r="A2889" s="3">
        <f>2882</f>
        <v>2882</v>
      </c>
      <c r="B2889" s="3" t="s">
        <v>2891</v>
      </c>
      <c r="C2889" s="3" t="s">
        <v>10</v>
      </c>
      <c r="D2889" s="3" t="s">
        <v>9</v>
      </c>
      <c r="E2889" s="3">
        <v>21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/>
      <c r="P2889" s="3"/>
      <c r="Q2889" s="3"/>
    </row>
    <row r="2890" spans="1:17" ht="15" x14ac:dyDescent="0.25">
      <c r="A2890" s="3">
        <f>2883</f>
        <v>2883</v>
      </c>
      <c r="B2890" s="3" t="s">
        <v>2892</v>
      </c>
      <c r="C2890" s="3" t="s">
        <v>10</v>
      </c>
      <c r="D2890" s="3" t="s">
        <v>9</v>
      </c>
      <c r="E2890" s="3">
        <v>21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/>
      <c r="P2890" s="3"/>
      <c r="Q2890" s="3"/>
    </row>
    <row r="2891" spans="1:17" ht="15" x14ac:dyDescent="0.25">
      <c r="A2891" s="3">
        <f>2884</f>
        <v>2884</v>
      </c>
      <c r="B2891" s="3" t="s">
        <v>2893</v>
      </c>
      <c r="C2891" s="3" t="s">
        <v>10</v>
      </c>
      <c r="D2891" s="3" t="s">
        <v>9</v>
      </c>
      <c r="E2891" s="3">
        <v>21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/>
      <c r="P2891" s="3"/>
      <c r="Q2891" s="3"/>
    </row>
    <row r="2892" spans="1:17" ht="15" x14ac:dyDescent="0.25">
      <c r="A2892" s="3">
        <f>2885</f>
        <v>2885</v>
      </c>
      <c r="B2892" s="3" t="s">
        <v>2894</v>
      </c>
      <c r="C2892" s="3" t="s">
        <v>10</v>
      </c>
      <c r="D2892" s="3" t="s">
        <v>9</v>
      </c>
      <c r="E2892" s="3">
        <v>21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/>
      <c r="P2892" s="3"/>
      <c r="Q2892" s="3"/>
    </row>
    <row r="2893" spans="1:17" ht="15" x14ac:dyDescent="0.25">
      <c r="A2893" s="3">
        <f>2886</f>
        <v>2886</v>
      </c>
      <c r="B2893" s="3" t="s">
        <v>2895</v>
      </c>
      <c r="C2893" s="3" t="s">
        <v>10</v>
      </c>
      <c r="D2893" s="3" t="s">
        <v>9</v>
      </c>
      <c r="E2893" s="3">
        <v>21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/>
      <c r="P2893" s="3"/>
      <c r="Q2893" s="3"/>
    </row>
    <row r="2894" spans="1:17" ht="15" x14ac:dyDescent="0.25">
      <c r="A2894" s="3">
        <f>2887</f>
        <v>2887</v>
      </c>
      <c r="B2894" s="3" t="s">
        <v>2896</v>
      </c>
      <c r="C2894" s="3" t="s">
        <v>10</v>
      </c>
      <c r="D2894" s="3" t="s">
        <v>9</v>
      </c>
      <c r="E2894" s="3">
        <v>21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/>
      <c r="P2894" s="3"/>
      <c r="Q2894" s="3"/>
    </row>
    <row r="2895" spans="1:17" ht="15" x14ac:dyDescent="0.25">
      <c r="A2895" s="3">
        <f>2888</f>
        <v>2888</v>
      </c>
      <c r="B2895" s="3" t="s">
        <v>2897</v>
      </c>
      <c r="C2895" s="3" t="s">
        <v>10</v>
      </c>
      <c r="D2895" s="3" t="s">
        <v>9</v>
      </c>
      <c r="E2895" s="3">
        <v>21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/>
      <c r="P2895" s="3"/>
      <c r="Q2895" s="3"/>
    </row>
    <row r="2896" spans="1:17" ht="15" x14ac:dyDescent="0.25">
      <c r="A2896" s="3">
        <f>2889</f>
        <v>2889</v>
      </c>
      <c r="B2896" s="3" t="s">
        <v>2898</v>
      </c>
      <c r="C2896" s="3" t="s">
        <v>10</v>
      </c>
      <c r="D2896" s="3" t="s">
        <v>9</v>
      </c>
      <c r="E2896" s="3">
        <v>21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/>
      <c r="P2896" s="3"/>
      <c r="Q2896" s="3"/>
    </row>
    <row r="2897" spans="1:17" ht="15" x14ac:dyDescent="0.25">
      <c r="A2897" s="3">
        <f>2890</f>
        <v>2890</v>
      </c>
      <c r="B2897" s="3" t="s">
        <v>2899</v>
      </c>
      <c r="C2897" s="3" t="s">
        <v>10</v>
      </c>
      <c r="D2897" s="3" t="s">
        <v>9</v>
      </c>
      <c r="E2897" s="3">
        <v>21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/>
      <c r="P2897" s="3"/>
      <c r="Q2897" s="3"/>
    </row>
    <row r="2898" spans="1:17" ht="15" x14ac:dyDescent="0.25">
      <c r="A2898" s="3">
        <f>2891</f>
        <v>2891</v>
      </c>
      <c r="B2898" s="3" t="s">
        <v>2900</v>
      </c>
      <c r="C2898" s="3" t="s">
        <v>10</v>
      </c>
      <c r="D2898" s="3" t="s">
        <v>9</v>
      </c>
      <c r="E2898" s="3">
        <v>21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/>
      <c r="P2898" s="3"/>
      <c r="Q2898" s="3"/>
    </row>
    <row r="2899" spans="1:17" ht="15" x14ac:dyDescent="0.25">
      <c r="A2899" s="3">
        <f>2892</f>
        <v>2892</v>
      </c>
      <c r="B2899" s="3" t="s">
        <v>2901</v>
      </c>
      <c r="C2899" s="3" t="s">
        <v>10</v>
      </c>
      <c r="D2899" s="3" t="s">
        <v>9</v>
      </c>
      <c r="E2899" s="3">
        <v>21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/>
      <c r="P2899" s="3"/>
      <c r="Q2899" s="3"/>
    </row>
    <row r="2900" spans="1:17" ht="15" x14ac:dyDescent="0.25">
      <c r="A2900" s="3">
        <f>2893</f>
        <v>2893</v>
      </c>
      <c r="B2900" s="3" t="s">
        <v>2902</v>
      </c>
      <c r="C2900" s="3" t="s">
        <v>10</v>
      </c>
      <c r="D2900" s="3" t="s">
        <v>9</v>
      </c>
      <c r="E2900" s="3">
        <v>21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/>
      <c r="P2900" s="3"/>
      <c r="Q2900" s="3"/>
    </row>
    <row r="2901" spans="1:17" ht="15" x14ac:dyDescent="0.25">
      <c r="A2901" s="3">
        <f>2894</f>
        <v>2894</v>
      </c>
      <c r="B2901" s="3" t="s">
        <v>2903</v>
      </c>
      <c r="C2901" s="3" t="s">
        <v>10</v>
      </c>
      <c r="D2901" s="3" t="s">
        <v>9</v>
      </c>
      <c r="E2901" s="3">
        <v>21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/>
      <c r="P2901" s="3"/>
      <c r="Q2901" s="3"/>
    </row>
    <row r="2902" spans="1:17" ht="15" x14ac:dyDescent="0.25">
      <c r="A2902" s="3">
        <f>2895</f>
        <v>2895</v>
      </c>
      <c r="B2902" s="3" t="s">
        <v>2904</v>
      </c>
      <c r="C2902" s="3" t="s">
        <v>10</v>
      </c>
      <c r="D2902" s="3" t="s">
        <v>9</v>
      </c>
      <c r="E2902" s="3">
        <v>21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/>
      <c r="P2902" s="3"/>
      <c r="Q2902" s="3"/>
    </row>
    <row r="2903" spans="1:17" ht="15" x14ac:dyDescent="0.25">
      <c r="A2903" s="3">
        <f>2896</f>
        <v>2896</v>
      </c>
      <c r="B2903" s="3" t="s">
        <v>2905</v>
      </c>
      <c r="C2903" s="3" t="s">
        <v>10</v>
      </c>
      <c r="D2903" s="3" t="s">
        <v>9</v>
      </c>
      <c r="E2903" s="3">
        <v>21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/>
      <c r="P2903" s="3"/>
      <c r="Q2903" s="3"/>
    </row>
    <row r="2904" spans="1:17" ht="15" x14ac:dyDescent="0.25">
      <c r="A2904" s="3">
        <f>2897</f>
        <v>2897</v>
      </c>
      <c r="B2904" s="3" t="s">
        <v>2906</v>
      </c>
      <c r="C2904" s="3" t="s">
        <v>10</v>
      </c>
      <c r="D2904" s="3" t="s">
        <v>9</v>
      </c>
      <c r="E2904" s="3">
        <v>21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/>
      <c r="P2904" s="3"/>
      <c r="Q2904" s="3"/>
    </row>
    <row r="2905" spans="1:17" ht="15" x14ac:dyDescent="0.25">
      <c r="A2905" s="3">
        <f>2898</f>
        <v>2898</v>
      </c>
      <c r="B2905" s="3" t="s">
        <v>2907</v>
      </c>
      <c r="C2905" s="3" t="s">
        <v>10</v>
      </c>
      <c r="D2905" s="3" t="s">
        <v>9</v>
      </c>
      <c r="E2905" s="3">
        <v>21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/>
      <c r="P2905" s="3"/>
      <c r="Q2905" s="3"/>
    </row>
    <row r="2906" spans="1:17" ht="15" x14ac:dyDescent="0.25">
      <c r="A2906" s="3">
        <f>2899</f>
        <v>2899</v>
      </c>
      <c r="B2906" s="3" t="s">
        <v>2908</v>
      </c>
      <c r="C2906" s="3" t="s">
        <v>10</v>
      </c>
      <c r="D2906" s="3" t="s">
        <v>9</v>
      </c>
      <c r="E2906" s="3">
        <v>21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/>
      <c r="P2906" s="3"/>
      <c r="Q2906" s="3"/>
    </row>
    <row r="2907" spans="1:17" ht="15" x14ac:dyDescent="0.25">
      <c r="A2907" s="3">
        <f>2900</f>
        <v>2900</v>
      </c>
      <c r="B2907" s="3" t="s">
        <v>2909</v>
      </c>
      <c r="C2907" s="3" t="s">
        <v>10</v>
      </c>
      <c r="D2907" s="3" t="s">
        <v>9</v>
      </c>
      <c r="E2907" s="3">
        <v>21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/>
      <c r="P2907" s="3"/>
      <c r="Q2907" s="3"/>
    </row>
    <row r="2908" spans="1:17" ht="15" x14ac:dyDescent="0.25">
      <c r="A2908" s="3">
        <f>2901</f>
        <v>2901</v>
      </c>
      <c r="B2908" s="3" t="s">
        <v>2910</v>
      </c>
      <c r="C2908" s="3" t="s">
        <v>10</v>
      </c>
      <c r="D2908" s="3" t="s">
        <v>9</v>
      </c>
      <c r="E2908" s="3">
        <v>21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/>
      <c r="P2908" s="3"/>
      <c r="Q2908" s="3"/>
    </row>
    <row r="2909" spans="1:17" ht="15" x14ac:dyDescent="0.25">
      <c r="A2909" s="3">
        <f>2902</f>
        <v>2902</v>
      </c>
      <c r="B2909" s="3" t="s">
        <v>2911</v>
      </c>
      <c r="C2909" s="3" t="s">
        <v>10</v>
      </c>
      <c r="D2909" s="3" t="s">
        <v>9</v>
      </c>
      <c r="E2909" s="3">
        <v>21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/>
      <c r="P2909" s="3"/>
      <c r="Q2909" s="3"/>
    </row>
    <row r="2910" spans="1:17" ht="15" x14ac:dyDescent="0.25">
      <c r="A2910" s="3">
        <f>2903</f>
        <v>2903</v>
      </c>
      <c r="B2910" s="3" t="s">
        <v>2912</v>
      </c>
      <c r="C2910" s="3" t="s">
        <v>10</v>
      </c>
      <c r="D2910" s="3" t="s">
        <v>9</v>
      </c>
      <c r="E2910" s="3">
        <v>21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/>
      <c r="P2910" s="3"/>
      <c r="Q2910" s="3"/>
    </row>
    <row r="2911" spans="1:17" ht="15" x14ac:dyDescent="0.25">
      <c r="A2911" s="3">
        <f>2904</f>
        <v>2904</v>
      </c>
      <c r="B2911" s="3" t="s">
        <v>2913</v>
      </c>
      <c r="C2911" s="3" t="s">
        <v>10</v>
      </c>
      <c r="D2911" s="3" t="s">
        <v>9</v>
      </c>
      <c r="E2911" s="3">
        <v>21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/>
      <c r="P2911" s="3"/>
      <c r="Q2911" s="3"/>
    </row>
    <row r="2912" spans="1:17" ht="15" x14ac:dyDescent="0.25">
      <c r="A2912" s="3">
        <f>2905</f>
        <v>2905</v>
      </c>
      <c r="B2912" s="3" t="s">
        <v>2914</v>
      </c>
      <c r="C2912" s="3" t="s">
        <v>10</v>
      </c>
      <c r="D2912" s="3" t="s">
        <v>9</v>
      </c>
      <c r="E2912" s="3">
        <v>21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/>
      <c r="P2912" s="3"/>
      <c r="Q2912" s="3"/>
    </row>
    <row r="2913" spans="1:17" ht="15" x14ac:dyDescent="0.25">
      <c r="A2913" s="3">
        <f>2906</f>
        <v>2906</v>
      </c>
      <c r="B2913" s="3" t="s">
        <v>2915</v>
      </c>
      <c r="C2913" s="3" t="s">
        <v>10</v>
      </c>
      <c r="D2913" s="3" t="s">
        <v>9</v>
      </c>
      <c r="E2913" s="3">
        <v>21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/>
      <c r="P2913" s="3"/>
      <c r="Q2913" s="3"/>
    </row>
    <row r="2914" spans="1:17" ht="15" x14ac:dyDescent="0.25">
      <c r="A2914" s="3">
        <f>2907</f>
        <v>2907</v>
      </c>
      <c r="B2914" s="3" t="s">
        <v>2916</v>
      </c>
      <c r="C2914" s="3" t="s">
        <v>10</v>
      </c>
      <c r="D2914" s="3" t="s">
        <v>9</v>
      </c>
      <c r="E2914" s="3">
        <v>21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/>
      <c r="P2914" s="3"/>
      <c r="Q2914" s="3"/>
    </row>
    <row r="2915" spans="1:17" ht="15" x14ac:dyDescent="0.25">
      <c r="A2915" s="3">
        <f>2908</f>
        <v>2908</v>
      </c>
      <c r="B2915" s="3" t="s">
        <v>2917</v>
      </c>
      <c r="C2915" s="3" t="s">
        <v>10</v>
      </c>
      <c r="D2915" s="3" t="s">
        <v>9</v>
      </c>
      <c r="E2915" s="3">
        <v>21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/>
      <c r="P2915" s="3"/>
      <c r="Q2915" s="3"/>
    </row>
    <row r="2916" spans="1:17" ht="15" x14ac:dyDescent="0.25">
      <c r="A2916" s="3">
        <f>2909</f>
        <v>2909</v>
      </c>
      <c r="B2916" s="3" t="s">
        <v>2918</v>
      </c>
      <c r="C2916" s="3" t="s">
        <v>10</v>
      </c>
      <c r="D2916" s="3" t="s">
        <v>9</v>
      </c>
      <c r="E2916" s="3">
        <v>21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/>
      <c r="P2916" s="3"/>
      <c r="Q2916" s="3"/>
    </row>
    <row r="2917" spans="1:17" ht="15" x14ac:dyDescent="0.25">
      <c r="A2917" s="3">
        <f>2910</f>
        <v>2910</v>
      </c>
      <c r="B2917" s="3" t="s">
        <v>2919</v>
      </c>
      <c r="C2917" s="3" t="s">
        <v>10</v>
      </c>
      <c r="D2917" s="3" t="s">
        <v>9</v>
      </c>
      <c r="E2917" s="3">
        <v>21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/>
      <c r="P2917" s="3"/>
      <c r="Q2917" s="3"/>
    </row>
    <row r="2918" spans="1:17" ht="15" x14ac:dyDescent="0.25">
      <c r="A2918" s="3">
        <f>2911</f>
        <v>2911</v>
      </c>
      <c r="B2918" s="3" t="s">
        <v>2920</v>
      </c>
      <c r="C2918" s="3" t="s">
        <v>10</v>
      </c>
      <c r="D2918" s="3" t="s">
        <v>9</v>
      </c>
      <c r="E2918" s="3">
        <v>21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/>
      <c r="P2918" s="3"/>
      <c r="Q2918" s="3"/>
    </row>
    <row r="2919" spans="1:17" ht="15" x14ac:dyDescent="0.25">
      <c r="A2919" s="3">
        <f>2912</f>
        <v>2912</v>
      </c>
      <c r="B2919" s="3" t="s">
        <v>2921</v>
      </c>
      <c r="C2919" s="3" t="s">
        <v>10</v>
      </c>
      <c r="D2919" s="3" t="s">
        <v>9</v>
      </c>
      <c r="E2919" s="3">
        <v>21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/>
      <c r="P2919" s="3"/>
      <c r="Q2919" s="3"/>
    </row>
    <row r="2920" spans="1:17" ht="15" x14ac:dyDescent="0.25">
      <c r="A2920" s="3">
        <f>2913</f>
        <v>2913</v>
      </c>
      <c r="B2920" s="3" t="s">
        <v>2922</v>
      </c>
      <c r="C2920" s="3" t="s">
        <v>10</v>
      </c>
      <c r="D2920" s="3" t="s">
        <v>9</v>
      </c>
      <c r="E2920" s="3">
        <v>21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/>
      <c r="P2920" s="3"/>
      <c r="Q2920" s="3"/>
    </row>
    <row r="2921" spans="1:17" ht="15" x14ac:dyDescent="0.25">
      <c r="A2921" s="3">
        <f>2914</f>
        <v>2914</v>
      </c>
      <c r="B2921" s="3" t="s">
        <v>2923</v>
      </c>
      <c r="C2921" s="3" t="s">
        <v>10</v>
      </c>
      <c r="D2921" s="3" t="s">
        <v>9</v>
      </c>
      <c r="E2921" s="3">
        <v>21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/>
      <c r="P2921" s="3"/>
      <c r="Q2921" s="3"/>
    </row>
    <row r="2922" spans="1:17" ht="15" x14ac:dyDescent="0.25">
      <c r="A2922" s="3">
        <f>2915</f>
        <v>2915</v>
      </c>
      <c r="B2922" s="3" t="s">
        <v>2924</v>
      </c>
      <c r="C2922" s="3" t="s">
        <v>10</v>
      </c>
      <c r="D2922" s="3" t="s">
        <v>9</v>
      </c>
      <c r="E2922" s="3">
        <v>21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/>
      <c r="P2922" s="3"/>
      <c r="Q2922" s="3"/>
    </row>
    <row r="2923" spans="1:17" ht="15" x14ac:dyDescent="0.25">
      <c r="A2923" s="3">
        <f>2916</f>
        <v>2916</v>
      </c>
      <c r="B2923" s="3" t="s">
        <v>2925</v>
      </c>
      <c r="C2923" s="3" t="s">
        <v>10</v>
      </c>
      <c r="D2923" s="3" t="s">
        <v>9</v>
      </c>
      <c r="E2923" s="3">
        <v>21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/>
      <c r="P2923" s="3"/>
      <c r="Q2923" s="3"/>
    </row>
    <row r="2924" spans="1:17" ht="15" x14ac:dyDescent="0.25">
      <c r="A2924" s="3">
        <f>2917</f>
        <v>2917</v>
      </c>
      <c r="B2924" s="3" t="s">
        <v>2926</v>
      </c>
      <c r="C2924" s="3" t="s">
        <v>10</v>
      </c>
      <c r="D2924" s="3" t="s">
        <v>9</v>
      </c>
      <c r="E2924" s="3">
        <v>21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/>
      <c r="P2924" s="3"/>
      <c r="Q2924" s="3"/>
    </row>
    <row r="2925" spans="1:17" ht="15" x14ac:dyDescent="0.25">
      <c r="A2925" s="3">
        <f>2918</f>
        <v>2918</v>
      </c>
      <c r="B2925" s="3" t="s">
        <v>2927</v>
      </c>
      <c r="C2925" s="3" t="s">
        <v>10</v>
      </c>
      <c r="D2925" s="3" t="s">
        <v>9</v>
      </c>
      <c r="E2925" s="3">
        <v>21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/>
      <c r="P2925" s="3"/>
      <c r="Q2925" s="3"/>
    </row>
    <row r="2926" spans="1:17" ht="15" x14ac:dyDescent="0.25">
      <c r="A2926" s="3">
        <f>2919</f>
        <v>2919</v>
      </c>
      <c r="B2926" s="3" t="s">
        <v>2928</v>
      </c>
      <c r="C2926" s="3" t="s">
        <v>10</v>
      </c>
      <c r="D2926" s="3" t="s">
        <v>9</v>
      </c>
      <c r="E2926" s="3">
        <v>21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/>
      <c r="P2926" s="3"/>
      <c r="Q2926" s="3"/>
    </row>
    <row r="2927" spans="1:17" ht="15" x14ac:dyDescent="0.25">
      <c r="A2927" s="3">
        <f>2920</f>
        <v>2920</v>
      </c>
      <c r="B2927" s="3" t="s">
        <v>2929</v>
      </c>
      <c r="C2927" s="3" t="s">
        <v>10</v>
      </c>
      <c r="D2927" s="3" t="s">
        <v>9</v>
      </c>
      <c r="E2927" s="3">
        <v>21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/>
      <c r="P2927" s="3"/>
      <c r="Q2927" s="3"/>
    </row>
    <row r="2928" spans="1:17" ht="15" x14ac:dyDescent="0.25">
      <c r="A2928" s="3">
        <f>2921</f>
        <v>2921</v>
      </c>
      <c r="B2928" s="3" t="s">
        <v>2930</v>
      </c>
      <c r="C2928" s="3" t="s">
        <v>10</v>
      </c>
      <c r="D2928" s="3" t="s">
        <v>9</v>
      </c>
      <c r="E2928" s="3">
        <v>21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/>
      <c r="P2928" s="3"/>
      <c r="Q2928" s="3"/>
    </row>
    <row r="2929" spans="1:17" ht="15" x14ac:dyDescent="0.25">
      <c r="A2929" s="3">
        <f>2922</f>
        <v>2922</v>
      </c>
      <c r="B2929" s="3" t="s">
        <v>2931</v>
      </c>
      <c r="C2929" s="3" t="s">
        <v>10</v>
      </c>
      <c r="D2929" s="3" t="s">
        <v>9</v>
      </c>
      <c r="E2929" s="3">
        <v>21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/>
      <c r="P2929" s="3"/>
      <c r="Q2929" s="3"/>
    </row>
    <row r="2930" spans="1:17" ht="15" x14ac:dyDescent="0.25">
      <c r="A2930" s="3">
        <f>2923</f>
        <v>2923</v>
      </c>
      <c r="B2930" s="3" t="s">
        <v>2932</v>
      </c>
      <c r="C2930" s="3" t="s">
        <v>10</v>
      </c>
      <c r="D2930" s="3" t="s">
        <v>9</v>
      </c>
      <c r="E2930" s="3">
        <v>21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/>
      <c r="P2930" s="3"/>
      <c r="Q2930" s="3"/>
    </row>
    <row r="2931" spans="1:17" ht="15" x14ac:dyDescent="0.25">
      <c r="A2931" s="3">
        <f>2924</f>
        <v>2924</v>
      </c>
      <c r="B2931" s="3" t="s">
        <v>2933</v>
      </c>
      <c r="C2931" s="3" t="s">
        <v>10</v>
      </c>
      <c r="D2931" s="3" t="s">
        <v>9</v>
      </c>
      <c r="E2931" s="3">
        <v>21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/>
      <c r="P2931" s="3"/>
      <c r="Q2931" s="3"/>
    </row>
    <row r="2932" spans="1:17" ht="15" x14ac:dyDescent="0.25">
      <c r="A2932" s="3">
        <f>2925</f>
        <v>2925</v>
      </c>
      <c r="B2932" s="3" t="s">
        <v>2934</v>
      </c>
      <c r="C2932" s="3" t="s">
        <v>10</v>
      </c>
      <c r="D2932" s="3" t="s">
        <v>9</v>
      </c>
      <c r="E2932" s="3">
        <v>21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/>
      <c r="P2932" s="3"/>
      <c r="Q2932" s="3"/>
    </row>
    <row r="2933" spans="1:17" ht="15" x14ac:dyDescent="0.25">
      <c r="A2933" s="3">
        <f>2926</f>
        <v>2926</v>
      </c>
      <c r="B2933" s="3" t="s">
        <v>2935</v>
      </c>
      <c r="C2933" s="3" t="s">
        <v>10</v>
      </c>
      <c r="D2933" s="3" t="s">
        <v>9</v>
      </c>
      <c r="E2933" s="3">
        <v>21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/>
      <c r="P2933" s="3"/>
      <c r="Q2933" s="3"/>
    </row>
    <row r="2934" spans="1:17" ht="15" x14ac:dyDescent="0.25">
      <c r="A2934" s="3">
        <f>2927</f>
        <v>2927</v>
      </c>
      <c r="B2934" s="3" t="s">
        <v>2936</v>
      </c>
      <c r="C2934" s="3" t="s">
        <v>10</v>
      </c>
      <c r="D2934" s="3" t="s">
        <v>9</v>
      </c>
      <c r="E2934" s="3">
        <v>21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/>
      <c r="P2934" s="3"/>
      <c r="Q2934" s="3"/>
    </row>
    <row r="2935" spans="1:17" ht="15" x14ac:dyDescent="0.25">
      <c r="A2935" s="3">
        <f>2928</f>
        <v>2928</v>
      </c>
      <c r="B2935" s="3" t="s">
        <v>2937</v>
      </c>
      <c r="C2935" s="3" t="s">
        <v>10</v>
      </c>
      <c r="D2935" s="3" t="s">
        <v>9</v>
      </c>
      <c r="E2935" s="3">
        <v>21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/>
      <c r="P2935" s="3"/>
      <c r="Q2935" s="3"/>
    </row>
    <row r="2936" spans="1:17" ht="15" x14ac:dyDescent="0.25">
      <c r="A2936" s="3">
        <f>2929</f>
        <v>2929</v>
      </c>
      <c r="B2936" s="3" t="s">
        <v>2938</v>
      </c>
      <c r="C2936" s="3" t="s">
        <v>10</v>
      </c>
      <c r="D2936" s="3" t="s">
        <v>9</v>
      </c>
      <c r="E2936" s="3">
        <v>21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/>
      <c r="P2936" s="3"/>
      <c r="Q2936" s="3"/>
    </row>
    <row r="2937" spans="1:17" ht="15" x14ac:dyDescent="0.25">
      <c r="A2937" s="3">
        <f>2930</f>
        <v>2930</v>
      </c>
      <c r="B2937" s="3" t="s">
        <v>2939</v>
      </c>
      <c r="C2937" s="3" t="s">
        <v>10</v>
      </c>
      <c r="D2937" s="3" t="s">
        <v>9</v>
      </c>
      <c r="E2937" s="3">
        <v>21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/>
      <c r="P2937" s="3"/>
      <c r="Q2937" s="3"/>
    </row>
    <row r="2938" spans="1:17" ht="15" x14ac:dyDescent="0.25">
      <c r="A2938" s="3">
        <f>2931</f>
        <v>2931</v>
      </c>
      <c r="B2938" s="3" t="s">
        <v>2940</v>
      </c>
      <c r="C2938" s="3" t="s">
        <v>10</v>
      </c>
      <c r="D2938" s="3" t="s">
        <v>9</v>
      </c>
      <c r="E2938" s="3">
        <v>21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/>
      <c r="P2938" s="3"/>
      <c r="Q2938" s="3"/>
    </row>
    <row r="2939" spans="1:17" ht="15" x14ac:dyDescent="0.25">
      <c r="A2939" s="3">
        <f>2932</f>
        <v>2932</v>
      </c>
      <c r="B2939" s="3" t="s">
        <v>2941</v>
      </c>
      <c r="C2939" s="3" t="s">
        <v>10</v>
      </c>
      <c r="D2939" s="3" t="s">
        <v>9</v>
      </c>
      <c r="E2939" s="3">
        <v>21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/>
      <c r="P2939" s="3"/>
      <c r="Q2939" s="3"/>
    </row>
    <row r="2940" spans="1:17" ht="15" x14ac:dyDescent="0.25">
      <c r="A2940" s="3">
        <f>2933</f>
        <v>2933</v>
      </c>
      <c r="B2940" s="3" t="s">
        <v>2942</v>
      </c>
      <c r="C2940" s="3" t="s">
        <v>10</v>
      </c>
      <c r="D2940" s="3" t="s">
        <v>9</v>
      </c>
      <c r="E2940" s="3">
        <v>21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/>
      <c r="P2940" s="3"/>
      <c r="Q2940" s="3"/>
    </row>
    <row r="2941" spans="1:17" ht="15" x14ac:dyDescent="0.25">
      <c r="A2941" s="3">
        <f>2934</f>
        <v>2934</v>
      </c>
      <c r="B2941" s="3" t="s">
        <v>2943</v>
      </c>
      <c r="C2941" s="3" t="s">
        <v>10</v>
      </c>
      <c r="D2941" s="3" t="s">
        <v>9</v>
      </c>
      <c r="E2941" s="3">
        <v>21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/>
      <c r="P2941" s="3"/>
      <c r="Q2941" s="3"/>
    </row>
    <row r="2942" spans="1:17" ht="15" x14ac:dyDescent="0.25">
      <c r="A2942" s="3">
        <f>2935</f>
        <v>2935</v>
      </c>
      <c r="B2942" s="3" t="s">
        <v>2944</v>
      </c>
      <c r="C2942" s="3" t="s">
        <v>10</v>
      </c>
      <c r="D2942" s="3" t="s">
        <v>9</v>
      </c>
      <c r="E2942" s="3">
        <v>21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/>
      <c r="P2942" s="3"/>
      <c r="Q2942" s="3"/>
    </row>
    <row r="2943" spans="1:17" ht="15" x14ac:dyDescent="0.25">
      <c r="A2943" s="3">
        <f>2936</f>
        <v>2936</v>
      </c>
      <c r="B2943" s="3" t="s">
        <v>2945</v>
      </c>
      <c r="C2943" s="3" t="s">
        <v>10</v>
      </c>
      <c r="D2943" s="3" t="s">
        <v>9</v>
      </c>
      <c r="E2943" s="3">
        <v>21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/>
      <c r="P2943" s="3"/>
      <c r="Q2943" s="3"/>
    </row>
    <row r="2944" spans="1:17" ht="15" x14ac:dyDescent="0.25">
      <c r="A2944" s="3">
        <f>2937</f>
        <v>2937</v>
      </c>
      <c r="B2944" s="3" t="s">
        <v>2946</v>
      </c>
      <c r="C2944" s="3" t="s">
        <v>10</v>
      </c>
      <c r="D2944" s="3" t="s">
        <v>9</v>
      </c>
      <c r="E2944" s="3">
        <v>21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/>
      <c r="P2944" s="3"/>
      <c r="Q2944" s="3"/>
    </row>
    <row r="2945" spans="1:17" ht="15" x14ac:dyDescent="0.25">
      <c r="A2945" s="3">
        <f>2938</f>
        <v>2938</v>
      </c>
      <c r="B2945" s="3" t="s">
        <v>2947</v>
      </c>
      <c r="C2945" s="3" t="s">
        <v>10</v>
      </c>
      <c r="D2945" s="3" t="s">
        <v>9</v>
      </c>
      <c r="E2945" s="3">
        <v>21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/>
      <c r="P2945" s="3"/>
      <c r="Q2945" s="3"/>
    </row>
    <row r="2946" spans="1:17" ht="15" x14ac:dyDescent="0.25">
      <c r="A2946" s="3">
        <f>2939</f>
        <v>2939</v>
      </c>
      <c r="B2946" s="3" t="s">
        <v>2948</v>
      </c>
      <c r="C2946" s="3" t="s">
        <v>10</v>
      </c>
      <c r="D2946" s="3" t="s">
        <v>9</v>
      </c>
      <c r="E2946" s="3">
        <v>21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/>
      <c r="P2946" s="3"/>
      <c r="Q2946" s="3"/>
    </row>
    <row r="2947" spans="1:17" ht="15" x14ac:dyDescent="0.25">
      <c r="A2947" s="3">
        <f>2940</f>
        <v>2940</v>
      </c>
      <c r="B2947" s="3" t="s">
        <v>2949</v>
      </c>
      <c r="C2947" s="3" t="s">
        <v>10</v>
      </c>
      <c r="D2947" s="3" t="s">
        <v>9</v>
      </c>
      <c r="E2947" s="3">
        <v>21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/>
      <c r="P2947" s="3"/>
      <c r="Q2947" s="3"/>
    </row>
    <row r="2948" spans="1:17" ht="15" x14ac:dyDescent="0.25">
      <c r="A2948" s="3">
        <f>2941</f>
        <v>2941</v>
      </c>
      <c r="B2948" s="3" t="s">
        <v>2950</v>
      </c>
      <c r="C2948" s="3" t="s">
        <v>10</v>
      </c>
      <c r="D2948" s="3" t="s">
        <v>9</v>
      </c>
      <c r="E2948" s="3">
        <v>21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/>
      <c r="P2948" s="3"/>
      <c r="Q2948" s="3"/>
    </row>
    <row r="2949" spans="1:17" ht="15" x14ac:dyDescent="0.25">
      <c r="A2949" s="3">
        <f>2942</f>
        <v>2942</v>
      </c>
      <c r="B2949" s="3" t="s">
        <v>2951</v>
      </c>
      <c r="C2949" s="3" t="s">
        <v>10</v>
      </c>
      <c r="D2949" s="3" t="s">
        <v>9</v>
      </c>
      <c r="E2949" s="3">
        <v>21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/>
      <c r="P2949" s="3"/>
      <c r="Q2949" s="3"/>
    </row>
    <row r="2950" spans="1:17" ht="15" x14ac:dyDescent="0.25">
      <c r="A2950" s="3">
        <f>2943</f>
        <v>2943</v>
      </c>
      <c r="B2950" s="3" t="s">
        <v>2952</v>
      </c>
      <c r="C2950" s="3" t="s">
        <v>10</v>
      </c>
      <c r="D2950" s="3" t="s">
        <v>9</v>
      </c>
      <c r="E2950" s="3">
        <v>21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/>
      <c r="P2950" s="3"/>
      <c r="Q2950" s="3"/>
    </row>
    <row r="2951" spans="1:17" ht="15" x14ac:dyDescent="0.25">
      <c r="A2951" s="3">
        <f>2944</f>
        <v>2944</v>
      </c>
      <c r="B2951" s="3" t="s">
        <v>2953</v>
      </c>
      <c r="C2951" s="3" t="s">
        <v>10</v>
      </c>
      <c r="D2951" s="3" t="s">
        <v>9</v>
      </c>
      <c r="E2951" s="3">
        <v>21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/>
      <c r="P2951" s="3"/>
      <c r="Q2951" s="3"/>
    </row>
    <row r="2952" spans="1:17" ht="15" x14ac:dyDescent="0.25">
      <c r="A2952" s="3">
        <f>2945</f>
        <v>2945</v>
      </c>
      <c r="B2952" s="3" t="s">
        <v>2954</v>
      </c>
      <c r="C2952" s="3" t="s">
        <v>10</v>
      </c>
      <c r="D2952" s="3" t="s">
        <v>9</v>
      </c>
      <c r="E2952" s="3">
        <v>21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/>
      <c r="P2952" s="3"/>
      <c r="Q2952" s="3"/>
    </row>
    <row r="2953" spans="1:17" ht="15" x14ac:dyDescent="0.25">
      <c r="A2953" s="3">
        <f>2946</f>
        <v>2946</v>
      </c>
      <c r="B2953" s="3" t="s">
        <v>2955</v>
      </c>
      <c r="C2953" s="3" t="s">
        <v>10</v>
      </c>
      <c r="D2953" s="3" t="s">
        <v>9</v>
      </c>
      <c r="E2953" s="3">
        <v>21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/>
      <c r="P2953" s="3"/>
      <c r="Q2953" s="3"/>
    </row>
    <row r="2954" spans="1:17" ht="15" x14ac:dyDescent="0.25">
      <c r="A2954" s="3">
        <f>2947</f>
        <v>2947</v>
      </c>
      <c r="B2954" s="3" t="s">
        <v>2956</v>
      </c>
      <c r="C2954" s="3" t="s">
        <v>10</v>
      </c>
      <c r="D2954" s="3" t="s">
        <v>9</v>
      </c>
      <c r="E2954" s="3">
        <v>21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/>
      <c r="P2954" s="3"/>
      <c r="Q2954" s="3"/>
    </row>
    <row r="2955" spans="1:17" ht="15" x14ac:dyDescent="0.25">
      <c r="A2955" s="3">
        <f>2948</f>
        <v>2948</v>
      </c>
      <c r="B2955" s="3" t="s">
        <v>2957</v>
      </c>
      <c r="C2955" s="3" t="s">
        <v>10</v>
      </c>
      <c r="D2955" s="3" t="s">
        <v>9</v>
      </c>
      <c r="E2955" s="3">
        <v>21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/>
      <c r="P2955" s="3"/>
      <c r="Q2955" s="3"/>
    </row>
    <row r="2956" spans="1:17" ht="15" x14ac:dyDescent="0.25">
      <c r="A2956" s="3">
        <f>2949</f>
        <v>2949</v>
      </c>
      <c r="B2956" s="3" t="s">
        <v>2958</v>
      </c>
      <c r="C2956" s="3" t="s">
        <v>10</v>
      </c>
      <c r="D2956" s="3" t="s">
        <v>9</v>
      </c>
      <c r="E2956" s="3">
        <v>21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/>
      <c r="P2956" s="3"/>
      <c r="Q2956" s="3"/>
    </row>
    <row r="2957" spans="1:17" ht="15" x14ac:dyDescent="0.25">
      <c r="A2957" s="3">
        <f>2950</f>
        <v>2950</v>
      </c>
      <c r="B2957" s="3" t="s">
        <v>2959</v>
      </c>
      <c r="C2957" s="3" t="s">
        <v>10</v>
      </c>
      <c r="D2957" s="3" t="s">
        <v>9</v>
      </c>
      <c r="E2957" s="3">
        <v>21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/>
      <c r="P2957" s="3"/>
      <c r="Q2957" s="3"/>
    </row>
    <row r="2958" spans="1:17" ht="15" x14ac:dyDescent="0.25">
      <c r="A2958" s="3">
        <f>2951</f>
        <v>2951</v>
      </c>
      <c r="B2958" s="3" t="s">
        <v>2960</v>
      </c>
      <c r="C2958" s="3" t="s">
        <v>10</v>
      </c>
      <c r="D2958" s="3" t="s">
        <v>9</v>
      </c>
      <c r="E2958" s="3">
        <v>21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/>
      <c r="P2958" s="3"/>
      <c r="Q2958" s="3"/>
    </row>
    <row r="2959" spans="1:17" ht="15" x14ac:dyDescent="0.25">
      <c r="A2959" s="3">
        <f>2952</f>
        <v>2952</v>
      </c>
      <c r="B2959" s="3" t="s">
        <v>2961</v>
      </c>
      <c r="C2959" s="3" t="s">
        <v>10</v>
      </c>
      <c r="D2959" s="3" t="s">
        <v>9</v>
      </c>
      <c r="E2959" s="3">
        <v>21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/>
      <c r="P2959" s="3"/>
      <c r="Q2959" s="3"/>
    </row>
    <row r="2960" spans="1:17" ht="15" x14ac:dyDescent="0.25">
      <c r="A2960" s="3">
        <f>2953</f>
        <v>2953</v>
      </c>
      <c r="B2960" s="3" t="s">
        <v>2962</v>
      </c>
      <c r="C2960" s="3" t="s">
        <v>10</v>
      </c>
      <c r="D2960" s="3" t="s">
        <v>9</v>
      </c>
      <c r="E2960" s="3">
        <v>21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/>
      <c r="P2960" s="3"/>
      <c r="Q2960" s="3"/>
    </row>
    <row r="2961" spans="1:17" ht="15" x14ac:dyDescent="0.25">
      <c r="A2961" s="3">
        <f>2954</f>
        <v>2954</v>
      </c>
      <c r="B2961" s="3" t="s">
        <v>2963</v>
      </c>
      <c r="C2961" s="3" t="s">
        <v>10</v>
      </c>
      <c r="D2961" s="3" t="s">
        <v>9</v>
      </c>
      <c r="E2961" s="3">
        <v>21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/>
      <c r="P2961" s="3"/>
      <c r="Q2961" s="3"/>
    </row>
    <row r="2962" spans="1:17" ht="15" x14ac:dyDescent="0.25">
      <c r="A2962" s="3">
        <f>2955</f>
        <v>2955</v>
      </c>
      <c r="B2962" s="3" t="s">
        <v>2964</v>
      </c>
      <c r="C2962" s="3" t="s">
        <v>10</v>
      </c>
      <c r="D2962" s="3" t="s">
        <v>9</v>
      </c>
      <c r="E2962" s="3">
        <v>21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/>
      <c r="P2962" s="3"/>
      <c r="Q2962" s="3"/>
    </row>
    <row r="2963" spans="1:17" ht="15" x14ac:dyDescent="0.25">
      <c r="A2963" s="3">
        <f>2956</f>
        <v>2956</v>
      </c>
      <c r="B2963" s="3" t="s">
        <v>2965</v>
      </c>
      <c r="C2963" s="3" t="s">
        <v>10</v>
      </c>
      <c r="D2963" s="3" t="s">
        <v>9</v>
      </c>
      <c r="E2963" s="3">
        <v>21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/>
      <c r="P2963" s="3"/>
      <c r="Q2963" s="3"/>
    </row>
    <row r="2964" spans="1:17" ht="15" x14ac:dyDescent="0.25">
      <c r="A2964" s="3">
        <f>2957</f>
        <v>2957</v>
      </c>
      <c r="B2964" s="3" t="s">
        <v>2966</v>
      </c>
      <c r="C2964" s="3" t="s">
        <v>10</v>
      </c>
      <c r="D2964" s="3" t="s">
        <v>9</v>
      </c>
      <c r="E2964" s="3">
        <v>21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/>
      <c r="P2964" s="3"/>
      <c r="Q2964" s="3"/>
    </row>
    <row r="2965" spans="1:17" ht="15" x14ac:dyDescent="0.25">
      <c r="A2965" s="3">
        <f>2958</f>
        <v>2958</v>
      </c>
      <c r="B2965" s="3" t="s">
        <v>2967</v>
      </c>
      <c r="C2965" s="3" t="s">
        <v>10</v>
      </c>
      <c r="D2965" s="3" t="s">
        <v>9</v>
      </c>
      <c r="E2965" s="3">
        <v>21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/>
      <c r="P2965" s="3"/>
      <c r="Q2965" s="3"/>
    </row>
    <row r="2966" spans="1:17" ht="15" x14ac:dyDescent="0.25">
      <c r="A2966" s="3">
        <f>2959</f>
        <v>2959</v>
      </c>
      <c r="B2966" s="3" t="s">
        <v>2968</v>
      </c>
      <c r="C2966" s="3" t="s">
        <v>10</v>
      </c>
      <c r="D2966" s="3" t="s">
        <v>9</v>
      </c>
      <c r="E2966" s="3">
        <v>21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/>
      <c r="P2966" s="3"/>
      <c r="Q2966" s="3"/>
    </row>
    <row r="2967" spans="1:17" ht="15" x14ac:dyDescent="0.25">
      <c r="A2967" s="3">
        <f>2960</f>
        <v>2960</v>
      </c>
      <c r="B2967" s="3" t="s">
        <v>2969</v>
      </c>
      <c r="C2967" s="3" t="s">
        <v>10</v>
      </c>
      <c r="D2967" s="3" t="s">
        <v>9</v>
      </c>
      <c r="E2967" s="3">
        <v>21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/>
      <c r="P2967" s="3"/>
      <c r="Q2967" s="3"/>
    </row>
    <row r="2968" spans="1:17" ht="15" x14ac:dyDescent="0.25">
      <c r="A2968" s="3">
        <f>2961</f>
        <v>2961</v>
      </c>
      <c r="B2968" s="3" t="s">
        <v>2970</v>
      </c>
      <c r="C2968" s="3" t="s">
        <v>10</v>
      </c>
      <c r="D2968" s="3" t="s">
        <v>9</v>
      </c>
      <c r="E2968" s="3">
        <v>21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/>
      <c r="P2968" s="3"/>
      <c r="Q2968" s="3"/>
    </row>
    <row r="2969" spans="1:17" ht="15" x14ac:dyDescent="0.25">
      <c r="A2969" s="3">
        <f>2962</f>
        <v>2962</v>
      </c>
      <c r="B2969" s="3" t="s">
        <v>2971</v>
      </c>
      <c r="C2969" s="3" t="s">
        <v>10</v>
      </c>
      <c r="D2969" s="3" t="s">
        <v>9</v>
      </c>
      <c r="E2969" s="3">
        <v>21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/>
      <c r="P2969" s="3"/>
      <c r="Q2969" s="3"/>
    </row>
    <row r="2970" spans="1:17" ht="15" x14ac:dyDescent="0.25">
      <c r="A2970" s="3">
        <f>2963</f>
        <v>2963</v>
      </c>
      <c r="B2970" s="3" t="s">
        <v>2972</v>
      </c>
      <c r="C2970" s="3" t="s">
        <v>10</v>
      </c>
      <c r="D2970" s="3" t="s">
        <v>9</v>
      </c>
      <c r="E2970" s="3">
        <v>21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/>
      <c r="P2970" s="3"/>
      <c r="Q2970" s="3"/>
    </row>
    <row r="2971" spans="1:17" ht="15" x14ac:dyDescent="0.25">
      <c r="A2971" s="3">
        <f>2964</f>
        <v>2964</v>
      </c>
      <c r="B2971" s="3" t="s">
        <v>2973</v>
      </c>
      <c r="C2971" s="3" t="s">
        <v>10</v>
      </c>
      <c r="D2971" s="3" t="s">
        <v>9</v>
      </c>
      <c r="E2971" s="3">
        <v>21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/>
      <c r="P2971" s="3"/>
      <c r="Q2971" s="3"/>
    </row>
    <row r="2972" spans="1:17" ht="15" x14ac:dyDescent="0.25">
      <c r="A2972" s="3">
        <f>2965</f>
        <v>2965</v>
      </c>
      <c r="B2972" s="3" t="s">
        <v>2974</v>
      </c>
      <c r="C2972" s="3" t="s">
        <v>10</v>
      </c>
      <c r="D2972" s="3" t="s">
        <v>9</v>
      </c>
      <c r="E2972" s="3">
        <v>21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/>
      <c r="P2972" s="3"/>
      <c r="Q2972" s="3"/>
    </row>
    <row r="2973" spans="1:17" ht="15" x14ac:dyDescent="0.25">
      <c r="A2973" s="3">
        <f>2966</f>
        <v>2966</v>
      </c>
      <c r="B2973" s="3" t="s">
        <v>2975</v>
      </c>
      <c r="C2973" s="3" t="s">
        <v>10</v>
      </c>
      <c r="D2973" s="3" t="s">
        <v>9</v>
      </c>
      <c r="E2973" s="3">
        <v>21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/>
      <c r="P2973" s="3"/>
      <c r="Q2973" s="3"/>
    </row>
    <row r="2974" spans="1:17" ht="15" x14ac:dyDescent="0.25">
      <c r="A2974" s="3">
        <f>2967</f>
        <v>2967</v>
      </c>
      <c r="B2974" s="3" t="s">
        <v>2976</v>
      </c>
      <c r="C2974" s="3" t="s">
        <v>10</v>
      </c>
      <c r="D2974" s="3" t="s">
        <v>9</v>
      </c>
      <c r="E2974" s="3">
        <v>21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/>
      <c r="P2974" s="3"/>
      <c r="Q2974" s="3"/>
    </row>
    <row r="2975" spans="1:17" ht="15" x14ac:dyDescent="0.25">
      <c r="A2975" s="3">
        <f>2968</f>
        <v>2968</v>
      </c>
      <c r="B2975" s="3" t="s">
        <v>2977</v>
      </c>
      <c r="C2975" s="3" t="s">
        <v>10</v>
      </c>
      <c r="D2975" s="3" t="s">
        <v>9</v>
      </c>
      <c r="E2975" s="3">
        <v>21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/>
      <c r="P2975" s="3"/>
      <c r="Q2975" s="3"/>
    </row>
    <row r="2976" spans="1:17" ht="15" x14ac:dyDescent="0.25">
      <c r="A2976" s="3">
        <f>2969</f>
        <v>2969</v>
      </c>
      <c r="B2976" s="3" t="s">
        <v>2978</v>
      </c>
      <c r="C2976" s="3" t="s">
        <v>10</v>
      </c>
      <c r="D2976" s="3" t="s">
        <v>9</v>
      </c>
      <c r="E2976" s="3">
        <v>21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/>
      <c r="P2976" s="3"/>
      <c r="Q2976" s="3"/>
    </row>
    <row r="2977" spans="1:17" ht="15" x14ac:dyDescent="0.25">
      <c r="A2977" s="3">
        <f>2970</f>
        <v>2970</v>
      </c>
      <c r="B2977" s="3" t="s">
        <v>2979</v>
      </c>
      <c r="C2977" s="3" t="s">
        <v>10</v>
      </c>
      <c r="D2977" s="3" t="s">
        <v>9</v>
      </c>
      <c r="E2977" s="3">
        <v>21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/>
      <c r="P2977" s="3"/>
      <c r="Q2977" s="3"/>
    </row>
    <row r="2978" spans="1:17" ht="15" x14ac:dyDescent="0.25">
      <c r="A2978" s="3">
        <f>2971</f>
        <v>2971</v>
      </c>
      <c r="B2978" s="3" t="s">
        <v>2980</v>
      </c>
      <c r="C2978" s="3" t="s">
        <v>10</v>
      </c>
      <c r="D2978" s="3" t="s">
        <v>9</v>
      </c>
      <c r="E2978" s="3">
        <v>21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/>
      <c r="P2978" s="3"/>
      <c r="Q2978" s="3"/>
    </row>
    <row r="2979" spans="1:17" ht="15" x14ac:dyDescent="0.25">
      <c r="A2979" s="3">
        <f>2972</f>
        <v>2972</v>
      </c>
      <c r="B2979" s="3" t="s">
        <v>2981</v>
      </c>
      <c r="C2979" s="3" t="s">
        <v>10</v>
      </c>
      <c r="D2979" s="3" t="s">
        <v>9</v>
      </c>
      <c r="E2979" s="3">
        <v>21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/>
      <c r="P2979" s="3"/>
      <c r="Q2979" s="3"/>
    </row>
    <row r="2980" spans="1:17" ht="15" x14ac:dyDescent="0.25">
      <c r="A2980" s="3">
        <f>2973</f>
        <v>2973</v>
      </c>
      <c r="B2980" s="3" t="s">
        <v>2982</v>
      </c>
      <c r="C2980" s="3" t="s">
        <v>10</v>
      </c>
      <c r="D2980" s="3" t="s">
        <v>9</v>
      </c>
      <c r="E2980" s="3">
        <v>21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/>
      <c r="P2980" s="3"/>
      <c r="Q2980" s="3"/>
    </row>
    <row r="2981" spans="1:17" ht="15" x14ac:dyDescent="0.25">
      <c r="A2981" s="3">
        <f>2974</f>
        <v>2974</v>
      </c>
      <c r="B2981" s="3" t="s">
        <v>2983</v>
      </c>
      <c r="C2981" s="3" t="s">
        <v>10</v>
      </c>
      <c r="D2981" s="3" t="s">
        <v>9</v>
      </c>
      <c r="E2981" s="3">
        <v>21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/>
      <c r="P2981" s="3"/>
      <c r="Q2981" s="3"/>
    </row>
    <row r="2982" spans="1:17" ht="15" x14ac:dyDescent="0.25">
      <c r="A2982" s="3">
        <f>2975</f>
        <v>2975</v>
      </c>
      <c r="B2982" s="3" t="s">
        <v>2984</v>
      </c>
      <c r="C2982" s="3" t="s">
        <v>10</v>
      </c>
      <c r="D2982" s="3" t="s">
        <v>9</v>
      </c>
      <c r="E2982" s="3">
        <v>21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/>
      <c r="P2982" s="3"/>
      <c r="Q2982" s="3"/>
    </row>
    <row r="2983" spans="1:17" ht="15" x14ac:dyDescent="0.25">
      <c r="A2983" s="3">
        <f>2976</f>
        <v>2976</v>
      </c>
      <c r="B2983" s="3" t="s">
        <v>2985</v>
      </c>
      <c r="C2983" s="3" t="s">
        <v>10</v>
      </c>
      <c r="D2983" s="3" t="s">
        <v>9</v>
      </c>
      <c r="E2983" s="3">
        <v>21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/>
      <c r="P2983" s="3"/>
      <c r="Q2983" s="3"/>
    </row>
    <row r="2984" spans="1:17" ht="15" x14ac:dyDescent="0.25">
      <c r="A2984" s="3">
        <f>2977</f>
        <v>2977</v>
      </c>
      <c r="B2984" s="3" t="s">
        <v>2986</v>
      </c>
      <c r="C2984" s="3" t="s">
        <v>10</v>
      </c>
      <c r="D2984" s="3" t="s">
        <v>9</v>
      </c>
      <c r="E2984" s="3">
        <v>21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/>
      <c r="P2984" s="3"/>
      <c r="Q2984" s="3"/>
    </row>
    <row r="2985" spans="1:17" ht="15" x14ac:dyDescent="0.25">
      <c r="A2985" s="3">
        <f>2978</f>
        <v>2978</v>
      </c>
      <c r="B2985" s="3" t="s">
        <v>2987</v>
      </c>
      <c r="C2985" s="3" t="s">
        <v>10</v>
      </c>
      <c r="D2985" s="3" t="s">
        <v>9</v>
      </c>
      <c r="E2985" s="3">
        <v>21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/>
      <c r="P2985" s="3"/>
      <c r="Q2985" s="3"/>
    </row>
    <row r="2986" spans="1:17" ht="15" x14ac:dyDescent="0.25">
      <c r="A2986" s="3">
        <f>2979</f>
        <v>2979</v>
      </c>
      <c r="B2986" s="3" t="s">
        <v>2988</v>
      </c>
      <c r="C2986" s="3" t="s">
        <v>10</v>
      </c>
      <c r="D2986" s="3" t="s">
        <v>9</v>
      </c>
      <c r="E2986" s="3">
        <v>21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/>
      <c r="P2986" s="3"/>
      <c r="Q2986" s="3"/>
    </row>
    <row r="2987" spans="1:17" ht="15" x14ac:dyDescent="0.25">
      <c r="A2987" s="3">
        <f>2980</f>
        <v>2980</v>
      </c>
      <c r="B2987" s="3" t="s">
        <v>2989</v>
      </c>
      <c r="C2987" s="3" t="s">
        <v>10</v>
      </c>
      <c r="D2987" s="3" t="s">
        <v>9</v>
      </c>
      <c r="E2987" s="3">
        <v>21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/>
      <c r="P2987" s="3"/>
      <c r="Q2987" s="3"/>
    </row>
    <row r="2988" spans="1:17" ht="15" x14ac:dyDescent="0.25">
      <c r="A2988" s="3">
        <f>2981</f>
        <v>2981</v>
      </c>
      <c r="B2988" s="3" t="s">
        <v>2990</v>
      </c>
      <c r="C2988" s="3" t="s">
        <v>10</v>
      </c>
      <c r="D2988" s="3" t="s">
        <v>9</v>
      </c>
      <c r="E2988" s="3">
        <v>21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/>
      <c r="P2988" s="3"/>
      <c r="Q2988" s="3"/>
    </row>
    <row r="2989" spans="1:17" ht="15" x14ac:dyDescent="0.25">
      <c r="A2989" s="3">
        <f>2982</f>
        <v>2982</v>
      </c>
      <c r="B2989" s="3" t="s">
        <v>2991</v>
      </c>
      <c r="C2989" s="3" t="s">
        <v>10</v>
      </c>
      <c r="D2989" s="3" t="s">
        <v>9</v>
      </c>
      <c r="E2989" s="3">
        <v>21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/>
      <c r="P2989" s="3"/>
      <c r="Q2989" s="3"/>
    </row>
    <row r="2990" spans="1:17" ht="15" x14ac:dyDescent="0.25">
      <c r="A2990" s="3">
        <f>2983</f>
        <v>2983</v>
      </c>
      <c r="B2990" s="3" t="s">
        <v>2992</v>
      </c>
      <c r="C2990" s="3" t="s">
        <v>10</v>
      </c>
      <c r="D2990" s="3" t="s">
        <v>9</v>
      </c>
      <c r="E2990" s="3">
        <v>21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/>
      <c r="P2990" s="3"/>
      <c r="Q2990" s="3"/>
    </row>
    <row r="2991" spans="1:17" ht="15" x14ac:dyDescent="0.25">
      <c r="A2991" s="3">
        <f>2984</f>
        <v>2984</v>
      </c>
      <c r="B2991" s="3" t="s">
        <v>2993</v>
      </c>
      <c r="C2991" s="3" t="s">
        <v>10</v>
      </c>
      <c r="D2991" s="3" t="s">
        <v>9</v>
      </c>
      <c r="E2991" s="3">
        <v>21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/>
      <c r="P2991" s="3"/>
      <c r="Q2991" s="3"/>
    </row>
    <row r="2992" spans="1:17" ht="15" x14ac:dyDescent="0.25">
      <c r="A2992" s="3">
        <f>2985</f>
        <v>2985</v>
      </c>
      <c r="B2992" s="3" t="s">
        <v>2994</v>
      </c>
      <c r="C2992" s="3" t="s">
        <v>10</v>
      </c>
      <c r="D2992" s="3" t="s">
        <v>9</v>
      </c>
      <c r="E2992" s="3">
        <v>21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/>
      <c r="P2992" s="3"/>
      <c r="Q2992" s="3"/>
    </row>
    <row r="2993" spans="1:17" ht="15" x14ac:dyDescent="0.25">
      <c r="A2993" s="3">
        <f>2986</f>
        <v>2986</v>
      </c>
      <c r="B2993" s="3" t="s">
        <v>2995</v>
      </c>
      <c r="C2993" s="3" t="s">
        <v>10</v>
      </c>
      <c r="D2993" s="3" t="s">
        <v>9</v>
      </c>
      <c r="E2993" s="3">
        <v>21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/>
      <c r="P2993" s="3"/>
      <c r="Q2993" s="3"/>
    </row>
    <row r="2994" spans="1:17" ht="15" x14ac:dyDescent="0.25">
      <c r="A2994" s="3">
        <f>2987</f>
        <v>2987</v>
      </c>
      <c r="B2994" s="3" t="s">
        <v>2996</v>
      </c>
      <c r="C2994" s="3" t="s">
        <v>10</v>
      </c>
      <c r="D2994" s="3" t="s">
        <v>9</v>
      </c>
      <c r="E2994" s="3">
        <v>21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/>
      <c r="P2994" s="3"/>
      <c r="Q2994" s="3"/>
    </row>
    <row r="2995" spans="1:17" ht="15" x14ac:dyDescent="0.25">
      <c r="A2995" s="3">
        <f>2988</f>
        <v>2988</v>
      </c>
      <c r="B2995" s="3" t="s">
        <v>2997</v>
      </c>
      <c r="C2995" s="3" t="s">
        <v>10</v>
      </c>
      <c r="D2995" s="3" t="s">
        <v>9</v>
      </c>
      <c r="E2995" s="3">
        <v>21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/>
      <c r="P2995" s="3"/>
      <c r="Q2995" s="3"/>
    </row>
    <row r="2996" spans="1:17" ht="15" x14ac:dyDescent="0.25">
      <c r="A2996" s="3">
        <f>2989</f>
        <v>2989</v>
      </c>
      <c r="B2996" s="3" t="s">
        <v>2998</v>
      </c>
      <c r="C2996" s="3" t="s">
        <v>10</v>
      </c>
      <c r="D2996" s="3" t="s">
        <v>9</v>
      </c>
      <c r="E2996" s="3">
        <v>21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/>
      <c r="P2996" s="3"/>
      <c r="Q2996" s="3"/>
    </row>
    <row r="2997" spans="1:17" ht="15" x14ac:dyDescent="0.25">
      <c r="A2997" s="3">
        <f>2990</f>
        <v>2990</v>
      </c>
      <c r="B2997" s="3" t="s">
        <v>2999</v>
      </c>
      <c r="C2997" s="3" t="s">
        <v>10</v>
      </c>
      <c r="D2997" s="3" t="s">
        <v>9</v>
      </c>
      <c r="E2997" s="3">
        <v>21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/>
      <c r="P2997" s="3"/>
      <c r="Q2997" s="3"/>
    </row>
    <row r="2998" spans="1:17" ht="15" x14ac:dyDescent="0.25">
      <c r="A2998" s="3">
        <f>2991</f>
        <v>2991</v>
      </c>
      <c r="B2998" s="3" t="s">
        <v>3000</v>
      </c>
      <c r="C2998" s="3" t="s">
        <v>10</v>
      </c>
      <c r="D2998" s="3" t="s">
        <v>9</v>
      </c>
      <c r="E2998" s="3">
        <v>21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/>
      <c r="P2998" s="3"/>
      <c r="Q2998" s="3"/>
    </row>
    <row r="2999" spans="1:17" ht="15" x14ac:dyDescent="0.25">
      <c r="A2999" s="3">
        <f>2992</f>
        <v>2992</v>
      </c>
      <c r="B2999" s="3" t="s">
        <v>3001</v>
      </c>
      <c r="C2999" s="3" t="s">
        <v>10</v>
      </c>
      <c r="D2999" s="3" t="s">
        <v>9</v>
      </c>
      <c r="E2999" s="3">
        <v>21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/>
      <c r="P2999" s="3"/>
      <c r="Q2999" s="3"/>
    </row>
    <row r="3000" spans="1:17" ht="15" x14ac:dyDescent="0.25">
      <c r="A3000" s="3">
        <f>2993</f>
        <v>2993</v>
      </c>
      <c r="B3000" s="3" t="s">
        <v>3002</v>
      </c>
      <c r="C3000" s="3" t="s">
        <v>10</v>
      </c>
      <c r="D3000" s="3" t="s">
        <v>9</v>
      </c>
      <c r="E3000" s="3">
        <v>21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/>
      <c r="P3000" s="3"/>
      <c r="Q3000" s="3"/>
    </row>
    <row r="3001" spans="1:17" ht="15" x14ac:dyDescent="0.25">
      <c r="A3001" s="3">
        <f>2994</f>
        <v>2994</v>
      </c>
      <c r="B3001" s="3" t="s">
        <v>3003</v>
      </c>
      <c r="C3001" s="3" t="s">
        <v>10</v>
      </c>
      <c r="D3001" s="3" t="s">
        <v>9</v>
      </c>
      <c r="E3001" s="3">
        <v>21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/>
      <c r="P3001" s="3"/>
      <c r="Q3001" s="3"/>
    </row>
    <row r="3002" spans="1:17" ht="15" x14ac:dyDescent="0.25">
      <c r="A3002" s="3">
        <f>2995</f>
        <v>2995</v>
      </c>
      <c r="B3002" s="3" t="s">
        <v>3004</v>
      </c>
      <c r="C3002" s="3" t="s">
        <v>10</v>
      </c>
      <c r="D3002" s="3" t="s">
        <v>9</v>
      </c>
      <c r="E3002" s="3">
        <v>21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/>
      <c r="P3002" s="3"/>
      <c r="Q3002" s="3"/>
    </row>
    <row r="3003" spans="1:17" ht="15" x14ac:dyDescent="0.25">
      <c r="A3003" s="3">
        <f>2996</f>
        <v>2996</v>
      </c>
      <c r="B3003" s="3" t="s">
        <v>3005</v>
      </c>
      <c r="C3003" s="3" t="s">
        <v>10</v>
      </c>
      <c r="D3003" s="3" t="s">
        <v>9</v>
      </c>
      <c r="E3003" s="3">
        <v>21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/>
      <c r="P3003" s="3"/>
      <c r="Q3003" s="3"/>
    </row>
    <row r="3004" spans="1:17" ht="15" x14ac:dyDescent="0.25">
      <c r="A3004" s="3">
        <f>2997</f>
        <v>2997</v>
      </c>
      <c r="B3004" s="3" t="s">
        <v>3006</v>
      </c>
      <c r="C3004" s="3" t="s">
        <v>10</v>
      </c>
      <c r="D3004" s="3" t="s">
        <v>9</v>
      </c>
      <c r="E3004" s="3">
        <v>21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/>
      <c r="P3004" s="3"/>
      <c r="Q3004" s="3"/>
    </row>
    <row r="3005" spans="1:17" ht="15" x14ac:dyDescent="0.25">
      <c r="A3005" s="3">
        <f>2998</f>
        <v>2998</v>
      </c>
      <c r="B3005" s="3" t="s">
        <v>3007</v>
      </c>
      <c r="C3005" s="3" t="s">
        <v>10</v>
      </c>
      <c r="D3005" s="3" t="s">
        <v>9</v>
      </c>
      <c r="E3005" s="3">
        <v>21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/>
      <c r="P3005" s="3"/>
      <c r="Q3005" s="3"/>
    </row>
    <row r="3006" spans="1:17" ht="15" x14ac:dyDescent="0.25">
      <c r="A3006" s="3">
        <f>2999</f>
        <v>2999</v>
      </c>
      <c r="B3006" s="3" t="s">
        <v>3008</v>
      </c>
      <c r="C3006" s="3" t="s">
        <v>10</v>
      </c>
      <c r="D3006" s="3" t="s">
        <v>9</v>
      </c>
      <c r="E3006" s="3">
        <v>21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/>
      <c r="P3006" s="3"/>
      <c r="Q3006" s="3"/>
    </row>
    <row r="3007" spans="1:17" ht="15" x14ac:dyDescent="0.25">
      <c r="A3007" s="3">
        <f>3000</f>
        <v>3000</v>
      </c>
      <c r="B3007" s="3" t="s">
        <v>3009</v>
      </c>
      <c r="C3007" s="3" t="s">
        <v>10</v>
      </c>
      <c r="D3007" s="3" t="s">
        <v>9</v>
      </c>
      <c r="E3007" s="3">
        <v>21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/>
      <c r="P3007" s="3"/>
      <c r="Q3007" s="3"/>
    </row>
    <row r="3008" spans="1:17" ht="15" x14ac:dyDescent="0.25">
      <c r="A3008" s="3">
        <f>3001</f>
        <v>3001</v>
      </c>
      <c r="B3008" s="3" t="s">
        <v>3010</v>
      </c>
      <c r="C3008" s="3" t="s">
        <v>10</v>
      </c>
      <c r="D3008" s="3" t="s">
        <v>9</v>
      </c>
      <c r="E3008" s="3">
        <v>21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/>
      <c r="P3008" s="3"/>
      <c r="Q3008" s="3"/>
    </row>
    <row r="3009" spans="1:17" ht="15" x14ac:dyDescent="0.25">
      <c r="A3009" s="3">
        <f>3002</f>
        <v>3002</v>
      </c>
      <c r="B3009" s="3" t="s">
        <v>3011</v>
      </c>
      <c r="C3009" s="3" t="s">
        <v>10</v>
      </c>
      <c r="D3009" s="3" t="s">
        <v>9</v>
      </c>
      <c r="E3009" s="3">
        <v>21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/>
      <c r="P3009" s="3"/>
      <c r="Q3009" s="3"/>
    </row>
    <row r="3010" spans="1:17" ht="15" x14ac:dyDescent="0.25">
      <c r="A3010" s="3">
        <f>3003</f>
        <v>3003</v>
      </c>
      <c r="B3010" s="3" t="s">
        <v>3012</v>
      </c>
      <c r="C3010" s="3" t="s">
        <v>10</v>
      </c>
      <c r="D3010" s="3" t="s">
        <v>9</v>
      </c>
      <c r="E3010" s="3">
        <v>21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/>
      <c r="P3010" s="3"/>
      <c r="Q3010" s="3"/>
    </row>
    <row r="3011" spans="1:17" ht="15" x14ac:dyDescent="0.25">
      <c r="A3011" s="3">
        <f>3004</f>
        <v>3004</v>
      </c>
      <c r="B3011" s="3" t="s">
        <v>3013</v>
      </c>
      <c r="C3011" s="3" t="s">
        <v>10</v>
      </c>
      <c r="D3011" s="3" t="s">
        <v>9</v>
      </c>
      <c r="E3011" s="3">
        <v>21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/>
      <c r="P3011" s="3"/>
      <c r="Q3011" s="3"/>
    </row>
    <row r="3012" spans="1:17" ht="15" x14ac:dyDescent="0.25">
      <c r="A3012" s="3">
        <f>3005</f>
        <v>3005</v>
      </c>
      <c r="B3012" s="3" t="s">
        <v>3014</v>
      </c>
      <c r="C3012" s="3" t="s">
        <v>10</v>
      </c>
      <c r="D3012" s="3" t="s">
        <v>9</v>
      </c>
      <c r="E3012" s="3">
        <v>21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/>
      <c r="P3012" s="3"/>
      <c r="Q3012" s="3"/>
    </row>
    <row r="3013" spans="1:17" ht="15" x14ac:dyDescent="0.25">
      <c r="A3013" s="3">
        <f>3006</f>
        <v>3006</v>
      </c>
      <c r="B3013" s="3" t="s">
        <v>3015</v>
      </c>
      <c r="C3013" s="3" t="s">
        <v>10</v>
      </c>
      <c r="D3013" s="3" t="s">
        <v>9</v>
      </c>
      <c r="E3013" s="3">
        <v>21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/>
      <c r="P3013" s="3"/>
      <c r="Q3013" s="3"/>
    </row>
    <row r="3014" spans="1:17" ht="15" x14ac:dyDescent="0.25">
      <c r="A3014" s="3">
        <f>3007</f>
        <v>3007</v>
      </c>
      <c r="B3014" s="3" t="s">
        <v>3016</v>
      </c>
      <c r="C3014" s="3" t="s">
        <v>10</v>
      </c>
      <c r="D3014" s="3" t="s">
        <v>9</v>
      </c>
      <c r="E3014" s="3">
        <v>21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/>
      <c r="P3014" s="3"/>
      <c r="Q3014" s="3"/>
    </row>
    <row r="3015" spans="1:17" ht="15" x14ac:dyDescent="0.25">
      <c r="A3015" s="3">
        <f>3008</f>
        <v>3008</v>
      </c>
      <c r="B3015" s="3" t="s">
        <v>3017</v>
      </c>
      <c r="C3015" s="3" t="s">
        <v>10</v>
      </c>
      <c r="D3015" s="3" t="s">
        <v>9</v>
      </c>
      <c r="E3015" s="3">
        <v>21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/>
      <c r="P3015" s="3"/>
      <c r="Q3015" s="3"/>
    </row>
    <row r="3016" spans="1:17" ht="15" x14ac:dyDescent="0.25">
      <c r="A3016" s="3">
        <f>3009</f>
        <v>3009</v>
      </c>
      <c r="B3016" s="3" t="s">
        <v>3018</v>
      </c>
      <c r="C3016" s="3" t="s">
        <v>10</v>
      </c>
      <c r="D3016" s="3" t="s">
        <v>9</v>
      </c>
      <c r="E3016" s="3">
        <v>21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/>
      <c r="P3016" s="3"/>
      <c r="Q3016" s="3"/>
    </row>
    <row r="3017" spans="1:17" ht="15" x14ac:dyDescent="0.25">
      <c r="A3017" s="3">
        <f>3010</f>
        <v>3010</v>
      </c>
      <c r="B3017" s="3" t="s">
        <v>3019</v>
      </c>
      <c r="C3017" s="3" t="s">
        <v>10</v>
      </c>
      <c r="D3017" s="3" t="s">
        <v>9</v>
      </c>
      <c r="E3017" s="3">
        <v>21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/>
      <c r="P3017" s="3"/>
      <c r="Q3017" s="3"/>
    </row>
    <row r="3018" spans="1:17" ht="15" x14ac:dyDescent="0.25">
      <c r="A3018" s="3">
        <f>3011</f>
        <v>3011</v>
      </c>
      <c r="B3018" s="3" t="s">
        <v>3020</v>
      </c>
      <c r="C3018" s="3" t="s">
        <v>10</v>
      </c>
      <c r="D3018" s="3" t="s">
        <v>9</v>
      </c>
      <c r="E3018" s="3">
        <v>21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/>
      <c r="P3018" s="3"/>
      <c r="Q3018" s="3"/>
    </row>
    <row r="3019" spans="1:17" ht="15" x14ac:dyDescent="0.25">
      <c r="A3019" s="3">
        <f>3012</f>
        <v>3012</v>
      </c>
      <c r="B3019" s="3" t="s">
        <v>3021</v>
      </c>
      <c r="C3019" s="3" t="s">
        <v>10</v>
      </c>
      <c r="D3019" s="3" t="s">
        <v>9</v>
      </c>
      <c r="E3019" s="3">
        <v>21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/>
      <c r="P3019" s="3"/>
      <c r="Q3019" s="3"/>
    </row>
    <row r="3020" spans="1:17" ht="15" x14ac:dyDescent="0.25">
      <c r="A3020" s="3">
        <f>3013</f>
        <v>3013</v>
      </c>
      <c r="B3020" s="3" t="s">
        <v>3022</v>
      </c>
      <c r="C3020" s="3" t="s">
        <v>10</v>
      </c>
      <c r="D3020" s="3" t="s">
        <v>9</v>
      </c>
      <c r="E3020" s="3">
        <v>21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/>
      <c r="P3020" s="3"/>
      <c r="Q3020" s="3"/>
    </row>
    <row r="3021" spans="1:17" ht="15" x14ac:dyDescent="0.25">
      <c r="A3021" s="3">
        <f>3014</f>
        <v>3014</v>
      </c>
      <c r="B3021" s="3" t="s">
        <v>3023</v>
      </c>
      <c r="C3021" s="3" t="s">
        <v>10</v>
      </c>
      <c r="D3021" s="3" t="s">
        <v>9</v>
      </c>
      <c r="E3021" s="3">
        <v>21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/>
      <c r="P3021" s="3"/>
      <c r="Q3021" s="3"/>
    </row>
    <row r="3022" spans="1:17" ht="15" x14ac:dyDescent="0.25">
      <c r="A3022" s="3">
        <f>3015</f>
        <v>3015</v>
      </c>
      <c r="B3022" s="3" t="s">
        <v>3024</v>
      </c>
      <c r="C3022" s="3" t="s">
        <v>10</v>
      </c>
      <c r="D3022" s="3" t="s">
        <v>9</v>
      </c>
      <c r="E3022" s="3">
        <v>21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/>
      <c r="P3022" s="3"/>
      <c r="Q3022" s="3"/>
    </row>
    <row r="3023" spans="1:17" ht="15" x14ac:dyDescent="0.25">
      <c r="A3023" s="3">
        <f>3016</f>
        <v>3016</v>
      </c>
      <c r="B3023" s="3" t="s">
        <v>3025</v>
      </c>
      <c r="C3023" s="3" t="s">
        <v>10</v>
      </c>
      <c r="D3023" s="3" t="s">
        <v>9</v>
      </c>
      <c r="E3023" s="3">
        <v>21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/>
      <c r="P3023" s="3"/>
      <c r="Q3023" s="3"/>
    </row>
    <row r="3024" spans="1:17" ht="15" x14ac:dyDescent="0.25">
      <c r="A3024" s="3">
        <f>3017</f>
        <v>3017</v>
      </c>
      <c r="B3024" s="3" t="s">
        <v>3026</v>
      </c>
      <c r="C3024" s="3" t="s">
        <v>10</v>
      </c>
      <c r="D3024" s="3" t="s">
        <v>9</v>
      </c>
      <c r="E3024" s="3">
        <v>21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/>
      <c r="P3024" s="3"/>
      <c r="Q3024" s="3"/>
    </row>
    <row r="3025" spans="1:17" ht="15" x14ac:dyDescent="0.25">
      <c r="A3025" s="3">
        <f>3018</f>
        <v>3018</v>
      </c>
      <c r="B3025" s="3" t="s">
        <v>3027</v>
      </c>
      <c r="C3025" s="3" t="s">
        <v>10</v>
      </c>
      <c r="D3025" s="3" t="s">
        <v>9</v>
      </c>
      <c r="E3025" s="3">
        <v>21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/>
      <c r="P3025" s="3"/>
      <c r="Q3025" s="3"/>
    </row>
    <row r="3026" spans="1:17" ht="15" x14ac:dyDescent="0.25">
      <c r="A3026" s="3">
        <f>3019</f>
        <v>3019</v>
      </c>
      <c r="B3026" s="3" t="s">
        <v>3028</v>
      </c>
      <c r="C3026" s="3" t="s">
        <v>10</v>
      </c>
      <c r="D3026" s="3" t="s">
        <v>9</v>
      </c>
      <c r="E3026" s="3">
        <v>21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/>
      <c r="P3026" s="3"/>
      <c r="Q3026" s="3"/>
    </row>
    <row r="3027" spans="1:17" ht="15" x14ac:dyDescent="0.25">
      <c r="A3027" s="3">
        <f>3020</f>
        <v>3020</v>
      </c>
      <c r="B3027" s="3" t="s">
        <v>3029</v>
      </c>
      <c r="C3027" s="3" t="s">
        <v>10</v>
      </c>
      <c r="D3027" s="3" t="s">
        <v>9</v>
      </c>
      <c r="E3027" s="3">
        <v>21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/>
      <c r="P3027" s="3"/>
      <c r="Q3027" s="3"/>
    </row>
    <row r="3028" spans="1:17" ht="15" x14ac:dyDescent="0.25">
      <c r="A3028" s="3">
        <f>3021</f>
        <v>3021</v>
      </c>
      <c r="B3028" s="3" t="s">
        <v>3030</v>
      </c>
      <c r="C3028" s="3" t="s">
        <v>10</v>
      </c>
      <c r="D3028" s="3" t="s">
        <v>9</v>
      </c>
      <c r="E3028" s="3">
        <v>21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/>
      <c r="P3028" s="3"/>
      <c r="Q3028" s="3"/>
    </row>
    <row r="3029" spans="1:17" ht="15" x14ac:dyDescent="0.25">
      <c r="A3029" s="3">
        <f>3022</f>
        <v>3022</v>
      </c>
      <c r="B3029" s="3" t="s">
        <v>3031</v>
      </c>
      <c r="C3029" s="3" t="s">
        <v>10</v>
      </c>
      <c r="D3029" s="3" t="s">
        <v>9</v>
      </c>
      <c r="E3029" s="3">
        <v>21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/>
      <c r="P3029" s="3"/>
      <c r="Q3029" s="3"/>
    </row>
    <row r="3030" spans="1:17" ht="15" x14ac:dyDescent="0.25">
      <c r="A3030" s="3">
        <f>3023</f>
        <v>3023</v>
      </c>
      <c r="B3030" s="3" t="s">
        <v>3032</v>
      </c>
      <c r="C3030" s="3" t="s">
        <v>10</v>
      </c>
      <c r="D3030" s="3" t="s">
        <v>9</v>
      </c>
      <c r="E3030" s="3">
        <v>21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/>
      <c r="P3030" s="3"/>
      <c r="Q3030" s="3"/>
    </row>
    <row r="3031" spans="1:17" ht="15" x14ac:dyDescent="0.25">
      <c r="A3031" s="3">
        <f>3024</f>
        <v>3024</v>
      </c>
      <c r="B3031" s="3" t="s">
        <v>3033</v>
      </c>
      <c r="C3031" s="3" t="s">
        <v>10</v>
      </c>
      <c r="D3031" s="3" t="s">
        <v>9</v>
      </c>
      <c r="E3031" s="3">
        <v>21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/>
      <c r="P3031" s="3"/>
      <c r="Q3031" s="3"/>
    </row>
    <row r="3032" spans="1:17" ht="15" x14ac:dyDescent="0.25">
      <c r="A3032" s="3">
        <f>3025</f>
        <v>3025</v>
      </c>
      <c r="B3032" s="3" t="s">
        <v>3034</v>
      </c>
      <c r="C3032" s="3" t="s">
        <v>10</v>
      </c>
      <c r="D3032" s="3" t="s">
        <v>9</v>
      </c>
      <c r="E3032" s="3">
        <v>21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/>
      <c r="P3032" s="3"/>
      <c r="Q3032" s="3"/>
    </row>
    <row r="3033" spans="1:17" ht="15" x14ac:dyDescent="0.25">
      <c r="A3033" s="3">
        <f>3026</f>
        <v>3026</v>
      </c>
      <c r="B3033" s="3" t="s">
        <v>3035</v>
      </c>
      <c r="C3033" s="3" t="s">
        <v>10</v>
      </c>
      <c r="D3033" s="3" t="s">
        <v>9</v>
      </c>
      <c r="E3033" s="3">
        <v>21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/>
      <c r="P3033" s="3"/>
      <c r="Q3033" s="3"/>
    </row>
    <row r="3034" spans="1:17" ht="15" x14ac:dyDescent="0.25">
      <c r="A3034" s="3">
        <f>3027</f>
        <v>3027</v>
      </c>
      <c r="B3034" s="3" t="s">
        <v>3036</v>
      </c>
      <c r="C3034" s="3" t="s">
        <v>10</v>
      </c>
      <c r="D3034" s="3" t="s">
        <v>9</v>
      </c>
      <c r="E3034" s="3">
        <v>21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/>
      <c r="P3034" s="3"/>
      <c r="Q3034" s="3"/>
    </row>
    <row r="3035" spans="1:17" ht="15" x14ac:dyDescent="0.25">
      <c r="A3035" s="3">
        <f>3028</f>
        <v>3028</v>
      </c>
      <c r="B3035" s="3" t="s">
        <v>3037</v>
      </c>
      <c r="C3035" s="3" t="s">
        <v>10</v>
      </c>
      <c r="D3035" s="3" t="s">
        <v>9</v>
      </c>
      <c r="E3035" s="3">
        <v>21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/>
      <c r="P3035" s="3"/>
      <c r="Q3035" s="3"/>
    </row>
    <row r="3036" spans="1:17" ht="15" x14ac:dyDescent="0.25">
      <c r="A3036" s="3">
        <f>3029</f>
        <v>3029</v>
      </c>
      <c r="B3036" s="3" t="s">
        <v>3038</v>
      </c>
      <c r="C3036" s="3" t="s">
        <v>10</v>
      </c>
      <c r="D3036" s="3" t="s">
        <v>9</v>
      </c>
      <c r="E3036" s="3">
        <v>21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/>
      <c r="P3036" s="3"/>
      <c r="Q3036" s="3"/>
    </row>
    <row r="3037" spans="1:17" ht="15" x14ac:dyDescent="0.25">
      <c r="A3037" s="3">
        <f>3030</f>
        <v>3030</v>
      </c>
      <c r="B3037" s="3" t="s">
        <v>3039</v>
      </c>
      <c r="C3037" s="3" t="s">
        <v>10</v>
      </c>
      <c r="D3037" s="3" t="s">
        <v>9</v>
      </c>
      <c r="E3037" s="3">
        <v>21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/>
      <c r="P3037" s="3"/>
      <c r="Q3037" s="3"/>
    </row>
    <row r="3038" spans="1:17" ht="15" x14ac:dyDescent="0.25">
      <c r="A3038" s="3">
        <f>3031</f>
        <v>3031</v>
      </c>
      <c r="B3038" s="3" t="s">
        <v>3040</v>
      </c>
      <c r="C3038" s="3" t="s">
        <v>10</v>
      </c>
      <c r="D3038" s="3" t="s">
        <v>9</v>
      </c>
      <c r="E3038" s="3">
        <v>21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/>
      <c r="P3038" s="3"/>
      <c r="Q3038" s="3"/>
    </row>
    <row r="3039" spans="1:17" ht="15" x14ac:dyDescent="0.25">
      <c r="A3039" s="3">
        <f>3032</f>
        <v>3032</v>
      </c>
      <c r="B3039" s="3" t="s">
        <v>3041</v>
      </c>
      <c r="C3039" s="3" t="s">
        <v>10</v>
      </c>
      <c r="D3039" s="3" t="s">
        <v>9</v>
      </c>
      <c r="E3039" s="3">
        <v>21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/>
      <c r="P3039" s="3"/>
      <c r="Q3039" s="3"/>
    </row>
    <row r="3040" spans="1:17" ht="15" x14ac:dyDescent="0.25">
      <c r="A3040" s="3">
        <f>3033</f>
        <v>3033</v>
      </c>
      <c r="B3040" s="3" t="s">
        <v>3042</v>
      </c>
      <c r="C3040" s="3" t="s">
        <v>10</v>
      </c>
      <c r="D3040" s="3" t="s">
        <v>9</v>
      </c>
      <c r="E3040" s="3">
        <v>21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/>
      <c r="P3040" s="3"/>
      <c r="Q3040" s="3"/>
    </row>
    <row r="3041" spans="1:17" ht="15" x14ac:dyDescent="0.25">
      <c r="A3041" s="3">
        <f>3034</f>
        <v>3034</v>
      </c>
      <c r="B3041" s="3" t="s">
        <v>3043</v>
      </c>
      <c r="C3041" s="3" t="s">
        <v>10</v>
      </c>
      <c r="D3041" s="3" t="s">
        <v>9</v>
      </c>
      <c r="E3041" s="3">
        <v>21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/>
      <c r="P3041" s="3"/>
      <c r="Q3041" s="3"/>
    </row>
    <row r="3042" spans="1:17" ht="15" x14ac:dyDescent="0.25">
      <c r="A3042" s="3">
        <f>3035</f>
        <v>3035</v>
      </c>
      <c r="B3042" s="3" t="s">
        <v>3044</v>
      </c>
      <c r="C3042" s="3" t="s">
        <v>10</v>
      </c>
      <c r="D3042" s="3" t="s">
        <v>9</v>
      </c>
      <c r="E3042" s="3">
        <v>21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/>
      <c r="P3042" s="3"/>
      <c r="Q3042" s="3"/>
    </row>
    <row r="3043" spans="1:17" ht="15" x14ac:dyDescent="0.25">
      <c r="A3043" s="3">
        <f>3036</f>
        <v>3036</v>
      </c>
      <c r="B3043" s="3" t="s">
        <v>3045</v>
      </c>
      <c r="C3043" s="3" t="s">
        <v>10</v>
      </c>
      <c r="D3043" s="3" t="s">
        <v>9</v>
      </c>
      <c r="E3043" s="3">
        <v>21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/>
      <c r="P3043" s="3"/>
      <c r="Q3043" s="3"/>
    </row>
    <row r="3044" spans="1:17" ht="15" x14ac:dyDescent="0.25">
      <c r="A3044" s="3">
        <f>3037</f>
        <v>3037</v>
      </c>
      <c r="B3044" s="3" t="s">
        <v>3046</v>
      </c>
      <c r="C3044" s="3" t="s">
        <v>10</v>
      </c>
      <c r="D3044" s="3" t="s">
        <v>9</v>
      </c>
      <c r="E3044" s="3">
        <v>21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/>
      <c r="P3044" s="3"/>
      <c r="Q3044" s="3"/>
    </row>
    <row r="3045" spans="1:17" ht="15" x14ac:dyDescent="0.25">
      <c r="A3045" s="3">
        <f>3038</f>
        <v>3038</v>
      </c>
      <c r="B3045" s="3" t="s">
        <v>3047</v>
      </c>
      <c r="C3045" s="3" t="s">
        <v>10</v>
      </c>
      <c r="D3045" s="3" t="s">
        <v>9</v>
      </c>
      <c r="E3045" s="3">
        <v>21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/>
      <c r="P3045" s="3"/>
      <c r="Q3045" s="3"/>
    </row>
    <row r="3046" spans="1:17" ht="15" x14ac:dyDescent="0.25">
      <c r="A3046" s="3">
        <f>3039</f>
        <v>3039</v>
      </c>
      <c r="B3046" s="3" t="s">
        <v>3048</v>
      </c>
      <c r="C3046" s="3" t="s">
        <v>10</v>
      </c>
      <c r="D3046" s="3" t="s">
        <v>9</v>
      </c>
      <c r="E3046" s="3">
        <v>21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/>
      <c r="P3046" s="3"/>
      <c r="Q3046" s="3"/>
    </row>
    <row r="3047" spans="1:17" ht="15" x14ac:dyDescent="0.25">
      <c r="A3047" s="3">
        <f>3040</f>
        <v>3040</v>
      </c>
      <c r="B3047" s="3" t="s">
        <v>3049</v>
      </c>
      <c r="C3047" s="3" t="s">
        <v>10</v>
      </c>
      <c r="D3047" s="3" t="s">
        <v>9</v>
      </c>
      <c r="E3047" s="3">
        <v>21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/>
      <c r="P3047" s="3"/>
      <c r="Q3047" s="3"/>
    </row>
    <row r="3048" spans="1:17" ht="15" x14ac:dyDescent="0.25">
      <c r="A3048" s="3">
        <f>3041</f>
        <v>3041</v>
      </c>
      <c r="B3048" s="3" t="s">
        <v>3050</v>
      </c>
      <c r="C3048" s="3" t="s">
        <v>10</v>
      </c>
      <c r="D3048" s="3" t="s">
        <v>9</v>
      </c>
      <c r="E3048" s="3">
        <v>21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/>
      <c r="P3048" s="3"/>
      <c r="Q3048" s="3"/>
    </row>
    <row r="3049" spans="1:17" ht="15" x14ac:dyDescent="0.25">
      <c r="A3049" s="3">
        <f>3042</f>
        <v>3042</v>
      </c>
      <c r="B3049" s="3" t="s">
        <v>3051</v>
      </c>
      <c r="C3049" s="3" t="s">
        <v>10</v>
      </c>
      <c r="D3049" s="3" t="s">
        <v>9</v>
      </c>
      <c r="E3049" s="3">
        <v>21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/>
      <c r="P3049" s="3"/>
      <c r="Q3049" s="3"/>
    </row>
    <row r="3050" spans="1:17" ht="15" x14ac:dyDescent="0.25">
      <c r="A3050" s="3">
        <f>3043</f>
        <v>3043</v>
      </c>
      <c r="B3050" s="3" t="s">
        <v>3052</v>
      </c>
      <c r="C3050" s="3" t="s">
        <v>10</v>
      </c>
      <c r="D3050" s="3" t="s">
        <v>9</v>
      </c>
      <c r="E3050" s="3">
        <v>21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/>
      <c r="P3050" s="3"/>
      <c r="Q3050" s="3"/>
    </row>
    <row r="3051" spans="1:17" ht="15" x14ac:dyDescent="0.25">
      <c r="A3051" s="3">
        <f>3044</f>
        <v>3044</v>
      </c>
      <c r="B3051" s="3" t="s">
        <v>3053</v>
      </c>
      <c r="C3051" s="3" t="s">
        <v>10</v>
      </c>
      <c r="D3051" s="3" t="s">
        <v>9</v>
      </c>
      <c r="E3051" s="3">
        <v>21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/>
      <c r="P3051" s="3"/>
      <c r="Q3051" s="3"/>
    </row>
    <row r="3052" spans="1:17" ht="15" x14ac:dyDescent="0.25">
      <c r="A3052" s="3">
        <f>3045</f>
        <v>3045</v>
      </c>
      <c r="B3052" s="3" t="s">
        <v>3054</v>
      </c>
      <c r="C3052" s="3" t="s">
        <v>10</v>
      </c>
      <c r="D3052" s="3" t="s">
        <v>9</v>
      </c>
      <c r="E3052" s="3">
        <v>21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/>
      <c r="P3052" s="3"/>
      <c r="Q3052" s="3"/>
    </row>
    <row r="3053" spans="1:17" ht="15" x14ac:dyDescent="0.25">
      <c r="A3053" s="3">
        <f>3046</f>
        <v>3046</v>
      </c>
      <c r="B3053" s="3" t="s">
        <v>3055</v>
      </c>
      <c r="C3053" s="3" t="s">
        <v>10</v>
      </c>
      <c r="D3053" s="3" t="s">
        <v>9</v>
      </c>
      <c r="E3053" s="3">
        <v>21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/>
      <c r="P3053" s="3"/>
      <c r="Q3053" s="3"/>
    </row>
    <row r="3054" spans="1:17" ht="15" x14ac:dyDescent="0.25">
      <c r="A3054" s="3">
        <f>3047</f>
        <v>3047</v>
      </c>
      <c r="B3054" s="3" t="s">
        <v>3056</v>
      </c>
      <c r="C3054" s="3" t="s">
        <v>10</v>
      </c>
      <c r="D3054" s="3" t="s">
        <v>9</v>
      </c>
      <c r="E3054" s="3">
        <v>21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/>
      <c r="P3054" s="3"/>
      <c r="Q3054" s="3"/>
    </row>
    <row r="3055" spans="1:17" ht="15" x14ac:dyDescent="0.25">
      <c r="A3055" s="3">
        <f>3048</f>
        <v>3048</v>
      </c>
      <c r="B3055" s="3" t="s">
        <v>3057</v>
      </c>
      <c r="C3055" s="3" t="s">
        <v>10</v>
      </c>
      <c r="D3055" s="3" t="s">
        <v>9</v>
      </c>
      <c r="E3055" s="3">
        <v>21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/>
      <c r="P3055" s="3"/>
      <c r="Q3055" s="3"/>
    </row>
    <row r="3056" spans="1:17" ht="15" x14ac:dyDescent="0.25">
      <c r="A3056" s="3">
        <f>3049</f>
        <v>3049</v>
      </c>
      <c r="B3056" s="3" t="s">
        <v>3058</v>
      </c>
      <c r="C3056" s="3" t="s">
        <v>10</v>
      </c>
      <c r="D3056" s="3" t="s">
        <v>9</v>
      </c>
      <c r="E3056" s="3">
        <v>21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/>
      <c r="P3056" s="3"/>
      <c r="Q3056" s="3"/>
    </row>
    <row r="3057" spans="1:17" ht="15" x14ac:dyDescent="0.25">
      <c r="A3057" s="3">
        <f>3050</f>
        <v>3050</v>
      </c>
      <c r="B3057" s="3" t="s">
        <v>3059</v>
      </c>
      <c r="C3057" s="3" t="s">
        <v>10</v>
      </c>
      <c r="D3057" s="3" t="s">
        <v>9</v>
      </c>
      <c r="E3057" s="3">
        <v>21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/>
      <c r="P3057" s="3"/>
      <c r="Q3057" s="3"/>
    </row>
    <row r="3058" spans="1:17" ht="15" x14ac:dyDescent="0.25">
      <c r="A3058" s="3">
        <f>3051</f>
        <v>3051</v>
      </c>
      <c r="B3058" s="3" t="s">
        <v>3060</v>
      </c>
      <c r="C3058" s="3" t="s">
        <v>10</v>
      </c>
      <c r="D3058" s="3" t="s">
        <v>9</v>
      </c>
      <c r="E3058" s="3">
        <v>21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/>
      <c r="P3058" s="3"/>
      <c r="Q3058" s="3"/>
    </row>
    <row r="3059" spans="1:17" ht="15" x14ac:dyDescent="0.25">
      <c r="A3059" s="3">
        <f>3052</f>
        <v>3052</v>
      </c>
      <c r="B3059" s="3" t="s">
        <v>3061</v>
      </c>
      <c r="C3059" s="3" t="s">
        <v>10</v>
      </c>
      <c r="D3059" s="3" t="s">
        <v>9</v>
      </c>
      <c r="E3059" s="3">
        <v>21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/>
      <c r="P3059" s="3"/>
      <c r="Q3059" s="3"/>
    </row>
    <row r="3060" spans="1:17" ht="15" x14ac:dyDescent="0.25">
      <c r="A3060" s="3">
        <f>3053</f>
        <v>3053</v>
      </c>
      <c r="B3060" s="3" t="s">
        <v>3062</v>
      </c>
      <c r="C3060" s="3" t="s">
        <v>10</v>
      </c>
      <c r="D3060" s="3" t="s">
        <v>9</v>
      </c>
      <c r="E3060" s="3">
        <v>21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/>
      <c r="P3060" s="3"/>
      <c r="Q3060" s="3"/>
    </row>
    <row r="3061" spans="1:17" ht="15" x14ac:dyDescent="0.25">
      <c r="A3061" s="3">
        <f>3054</f>
        <v>3054</v>
      </c>
      <c r="B3061" s="3" t="s">
        <v>3063</v>
      </c>
      <c r="C3061" s="3" t="s">
        <v>10</v>
      </c>
      <c r="D3061" s="3" t="s">
        <v>9</v>
      </c>
      <c r="E3061" s="3">
        <v>21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/>
      <c r="P3061" s="3"/>
      <c r="Q3061" s="3"/>
    </row>
    <row r="3062" spans="1:17" ht="15" x14ac:dyDescent="0.25">
      <c r="A3062" s="3">
        <f>3055</f>
        <v>3055</v>
      </c>
      <c r="B3062" s="3" t="s">
        <v>3064</v>
      </c>
      <c r="C3062" s="3" t="s">
        <v>10</v>
      </c>
      <c r="D3062" s="3" t="s">
        <v>9</v>
      </c>
      <c r="E3062" s="3">
        <v>21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/>
      <c r="P3062" s="3"/>
      <c r="Q3062" s="3"/>
    </row>
    <row r="3063" spans="1:17" ht="15" x14ac:dyDescent="0.25">
      <c r="A3063" s="3">
        <f>3056</f>
        <v>3056</v>
      </c>
      <c r="B3063" s="3" t="s">
        <v>3065</v>
      </c>
      <c r="C3063" s="3" t="s">
        <v>10</v>
      </c>
      <c r="D3063" s="3" t="s">
        <v>9</v>
      </c>
      <c r="E3063" s="3">
        <v>21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/>
      <c r="P3063" s="3"/>
      <c r="Q3063" s="3"/>
    </row>
    <row r="3064" spans="1:17" ht="15" x14ac:dyDescent="0.25">
      <c r="A3064" s="3">
        <f>3057</f>
        <v>3057</v>
      </c>
      <c r="B3064" s="3" t="s">
        <v>3066</v>
      </c>
      <c r="C3064" s="3" t="s">
        <v>10</v>
      </c>
      <c r="D3064" s="3" t="s">
        <v>9</v>
      </c>
      <c r="E3064" s="3">
        <v>21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/>
      <c r="P3064" s="3"/>
      <c r="Q3064" s="3"/>
    </row>
    <row r="3065" spans="1:17" ht="15" x14ac:dyDescent="0.25">
      <c r="A3065" s="3">
        <f>3058</f>
        <v>3058</v>
      </c>
      <c r="B3065" s="3" t="s">
        <v>3067</v>
      </c>
      <c r="C3065" s="3" t="s">
        <v>10</v>
      </c>
      <c r="D3065" s="3" t="s">
        <v>9</v>
      </c>
      <c r="E3065" s="3">
        <v>21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/>
      <c r="P3065" s="3"/>
      <c r="Q3065" s="3"/>
    </row>
    <row r="3066" spans="1:17" ht="15" x14ac:dyDescent="0.25">
      <c r="A3066" s="3">
        <f>3059</f>
        <v>3059</v>
      </c>
      <c r="B3066" s="3" t="s">
        <v>3068</v>
      </c>
      <c r="C3066" s="3" t="s">
        <v>10</v>
      </c>
      <c r="D3066" s="3" t="s">
        <v>9</v>
      </c>
      <c r="E3066" s="3">
        <v>21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/>
      <c r="P3066" s="3"/>
      <c r="Q3066" s="3"/>
    </row>
    <row r="3067" spans="1:17" ht="15" x14ac:dyDescent="0.25">
      <c r="A3067" s="3">
        <f>3060</f>
        <v>3060</v>
      </c>
      <c r="B3067" s="3" t="s">
        <v>3069</v>
      </c>
      <c r="C3067" s="3" t="s">
        <v>10</v>
      </c>
      <c r="D3067" s="3" t="s">
        <v>9</v>
      </c>
      <c r="E3067" s="3">
        <v>21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/>
      <c r="P3067" s="3"/>
      <c r="Q3067" s="3"/>
    </row>
    <row r="3068" spans="1:17" ht="15" x14ac:dyDescent="0.25">
      <c r="A3068" s="3">
        <f>3061</f>
        <v>3061</v>
      </c>
      <c r="B3068" s="3" t="s">
        <v>3070</v>
      </c>
      <c r="C3068" s="3" t="s">
        <v>10</v>
      </c>
      <c r="D3068" s="3" t="s">
        <v>9</v>
      </c>
      <c r="E3068" s="3">
        <v>21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/>
      <c r="P3068" s="3"/>
      <c r="Q3068" s="3"/>
    </row>
    <row r="3069" spans="1:17" ht="15" x14ac:dyDescent="0.25">
      <c r="A3069" s="3">
        <f>3062</f>
        <v>3062</v>
      </c>
      <c r="B3069" s="3" t="s">
        <v>3071</v>
      </c>
      <c r="C3069" s="3" t="s">
        <v>10</v>
      </c>
      <c r="D3069" s="3" t="s">
        <v>9</v>
      </c>
      <c r="E3069" s="3">
        <v>21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/>
      <c r="P3069" s="3"/>
      <c r="Q3069" s="3"/>
    </row>
    <row r="3070" spans="1:17" ht="15" x14ac:dyDescent="0.25">
      <c r="A3070" s="3">
        <f>3063</f>
        <v>3063</v>
      </c>
      <c r="B3070" s="3" t="s">
        <v>3072</v>
      </c>
      <c r="C3070" s="3" t="s">
        <v>10</v>
      </c>
      <c r="D3070" s="3" t="s">
        <v>9</v>
      </c>
      <c r="E3070" s="3">
        <v>21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/>
      <c r="P3070" s="3"/>
      <c r="Q3070" s="3"/>
    </row>
    <row r="3071" spans="1:17" ht="15" x14ac:dyDescent="0.25">
      <c r="A3071" s="3">
        <f>3064</f>
        <v>3064</v>
      </c>
      <c r="B3071" s="3" t="s">
        <v>3073</v>
      </c>
      <c r="C3071" s="3" t="s">
        <v>10</v>
      </c>
      <c r="D3071" s="3" t="s">
        <v>9</v>
      </c>
      <c r="E3071" s="3">
        <v>21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/>
      <c r="P3071" s="3"/>
      <c r="Q3071" s="3"/>
    </row>
    <row r="3072" spans="1:17" ht="15" x14ac:dyDescent="0.25">
      <c r="A3072" s="3">
        <f>3065</f>
        <v>3065</v>
      </c>
      <c r="B3072" s="3" t="s">
        <v>3074</v>
      </c>
      <c r="C3072" s="3" t="s">
        <v>10</v>
      </c>
      <c r="D3072" s="3" t="s">
        <v>9</v>
      </c>
      <c r="E3072" s="3">
        <v>21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/>
      <c r="P3072" s="3"/>
      <c r="Q3072" s="3"/>
    </row>
    <row r="3073" spans="1:17" ht="15" x14ac:dyDescent="0.25">
      <c r="A3073" s="3">
        <f>3066</f>
        <v>3066</v>
      </c>
      <c r="B3073" s="3" t="s">
        <v>3075</v>
      </c>
      <c r="C3073" s="3" t="s">
        <v>10</v>
      </c>
      <c r="D3073" s="3" t="s">
        <v>9</v>
      </c>
      <c r="E3073" s="3">
        <v>21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/>
      <c r="P3073" s="3"/>
      <c r="Q3073" s="3"/>
    </row>
    <row r="3074" spans="1:17" ht="15" x14ac:dyDescent="0.25">
      <c r="A3074" s="3">
        <f>3067</f>
        <v>3067</v>
      </c>
      <c r="B3074" s="3" t="s">
        <v>3076</v>
      </c>
      <c r="C3074" s="3" t="s">
        <v>10</v>
      </c>
      <c r="D3074" s="3" t="s">
        <v>9</v>
      </c>
      <c r="E3074" s="3">
        <v>21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/>
      <c r="P3074" s="3"/>
      <c r="Q3074" s="3"/>
    </row>
    <row r="3075" spans="1:17" ht="15" x14ac:dyDescent="0.25">
      <c r="A3075" s="3">
        <f>3068</f>
        <v>3068</v>
      </c>
      <c r="B3075" s="3" t="s">
        <v>3077</v>
      </c>
      <c r="C3075" s="3" t="s">
        <v>10</v>
      </c>
      <c r="D3075" s="3" t="s">
        <v>9</v>
      </c>
      <c r="E3075" s="3">
        <v>21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/>
      <c r="P3075" s="3"/>
      <c r="Q3075" s="3"/>
    </row>
    <row r="3076" spans="1:17" ht="15" x14ac:dyDescent="0.25">
      <c r="A3076" s="3">
        <f>3069</f>
        <v>3069</v>
      </c>
      <c r="B3076" s="3" t="s">
        <v>3078</v>
      </c>
      <c r="C3076" s="3" t="s">
        <v>10</v>
      </c>
      <c r="D3076" s="3" t="s">
        <v>9</v>
      </c>
      <c r="E3076" s="3">
        <v>21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/>
      <c r="P3076" s="3"/>
      <c r="Q3076" s="3"/>
    </row>
    <row r="3077" spans="1:17" ht="15" x14ac:dyDescent="0.25">
      <c r="A3077" s="3">
        <f>3070</f>
        <v>3070</v>
      </c>
      <c r="B3077" s="3" t="s">
        <v>3079</v>
      </c>
      <c r="C3077" s="3" t="s">
        <v>10</v>
      </c>
      <c r="D3077" s="3" t="s">
        <v>9</v>
      </c>
      <c r="E3077" s="3">
        <v>21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/>
      <c r="P3077" s="3"/>
      <c r="Q3077" s="3"/>
    </row>
    <row r="3078" spans="1:17" ht="15" x14ac:dyDescent="0.25">
      <c r="A3078" s="3">
        <f>3071</f>
        <v>3071</v>
      </c>
      <c r="B3078" s="3" t="s">
        <v>3080</v>
      </c>
      <c r="C3078" s="3" t="s">
        <v>10</v>
      </c>
      <c r="D3078" s="3" t="s">
        <v>9</v>
      </c>
      <c r="E3078" s="3">
        <v>21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/>
      <c r="P3078" s="3"/>
      <c r="Q3078" s="3"/>
    </row>
    <row r="3079" spans="1:17" ht="15" x14ac:dyDescent="0.25">
      <c r="A3079" s="3">
        <f>3072</f>
        <v>3072</v>
      </c>
      <c r="B3079" s="3" t="s">
        <v>3081</v>
      </c>
      <c r="C3079" s="3" t="s">
        <v>10</v>
      </c>
      <c r="D3079" s="3" t="s">
        <v>9</v>
      </c>
      <c r="E3079" s="3">
        <v>21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/>
      <c r="P3079" s="3"/>
      <c r="Q3079" s="3"/>
    </row>
    <row r="3080" spans="1:17" ht="15" x14ac:dyDescent="0.25">
      <c r="A3080" s="3">
        <f>3073</f>
        <v>3073</v>
      </c>
      <c r="B3080" s="3" t="s">
        <v>3082</v>
      </c>
      <c r="C3080" s="3" t="s">
        <v>10</v>
      </c>
      <c r="D3080" s="3" t="s">
        <v>9</v>
      </c>
      <c r="E3080" s="3">
        <v>21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/>
      <c r="P3080" s="3"/>
      <c r="Q3080" s="3"/>
    </row>
    <row r="3081" spans="1:17" ht="15" x14ac:dyDescent="0.25">
      <c r="A3081" s="3">
        <f>3074</f>
        <v>3074</v>
      </c>
      <c r="B3081" s="3" t="s">
        <v>3083</v>
      </c>
      <c r="C3081" s="3" t="s">
        <v>10</v>
      </c>
      <c r="D3081" s="3" t="s">
        <v>9</v>
      </c>
      <c r="E3081" s="3">
        <v>21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/>
      <c r="P3081" s="3"/>
      <c r="Q3081" s="3"/>
    </row>
    <row r="3082" spans="1:17" ht="15" x14ac:dyDescent="0.25">
      <c r="A3082" s="3">
        <f>3075</f>
        <v>3075</v>
      </c>
      <c r="B3082" s="3" t="s">
        <v>3084</v>
      </c>
      <c r="C3082" s="3" t="s">
        <v>10</v>
      </c>
      <c r="D3082" s="3" t="s">
        <v>9</v>
      </c>
      <c r="E3082" s="3">
        <v>21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/>
      <c r="P3082" s="3"/>
      <c r="Q3082" s="3"/>
    </row>
    <row r="3083" spans="1:17" ht="15" x14ac:dyDescent="0.25">
      <c r="A3083" s="3">
        <f>3076</f>
        <v>3076</v>
      </c>
      <c r="B3083" s="3" t="s">
        <v>3085</v>
      </c>
      <c r="C3083" s="3" t="s">
        <v>10</v>
      </c>
      <c r="D3083" s="3" t="s">
        <v>9</v>
      </c>
      <c r="E3083" s="3">
        <v>21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/>
      <c r="P3083" s="3"/>
      <c r="Q3083" s="3"/>
    </row>
    <row r="3084" spans="1:17" ht="15" x14ac:dyDescent="0.25">
      <c r="A3084" s="3">
        <f>3077</f>
        <v>3077</v>
      </c>
      <c r="B3084" s="3" t="s">
        <v>3086</v>
      </c>
      <c r="C3084" s="3" t="s">
        <v>10</v>
      </c>
      <c r="D3084" s="3" t="s">
        <v>9</v>
      </c>
      <c r="E3084" s="3">
        <v>21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/>
      <c r="P3084" s="3"/>
      <c r="Q3084" s="3"/>
    </row>
    <row r="3085" spans="1:17" ht="15" x14ac:dyDescent="0.25">
      <c r="A3085" s="3">
        <f>3078</f>
        <v>3078</v>
      </c>
      <c r="B3085" s="3" t="s">
        <v>3087</v>
      </c>
      <c r="C3085" s="3" t="s">
        <v>10</v>
      </c>
      <c r="D3085" s="3" t="s">
        <v>9</v>
      </c>
      <c r="E3085" s="3">
        <v>21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/>
      <c r="P3085" s="3"/>
      <c r="Q3085" s="3"/>
    </row>
    <row r="3086" spans="1:17" ht="15" x14ac:dyDescent="0.25">
      <c r="A3086" s="3">
        <f>3079</f>
        <v>3079</v>
      </c>
      <c r="B3086" s="3" t="s">
        <v>3088</v>
      </c>
      <c r="C3086" s="3" t="s">
        <v>10</v>
      </c>
      <c r="D3086" s="3" t="s">
        <v>9</v>
      </c>
      <c r="E3086" s="3">
        <v>21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/>
      <c r="P3086" s="3"/>
      <c r="Q3086" s="3"/>
    </row>
    <row r="3087" spans="1:17" ht="15" x14ac:dyDescent="0.25">
      <c r="A3087" s="3">
        <f>3080</f>
        <v>3080</v>
      </c>
      <c r="B3087" s="3" t="s">
        <v>3089</v>
      </c>
      <c r="C3087" s="3" t="s">
        <v>10</v>
      </c>
      <c r="D3087" s="3" t="s">
        <v>9</v>
      </c>
      <c r="E3087" s="3">
        <v>21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/>
      <c r="P3087" s="3"/>
      <c r="Q3087" s="3"/>
    </row>
    <row r="3088" spans="1:17" ht="15" x14ac:dyDescent="0.25">
      <c r="A3088" s="3">
        <f>3081</f>
        <v>3081</v>
      </c>
      <c r="B3088" s="3" t="s">
        <v>3090</v>
      </c>
      <c r="C3088" s="3" t="s">
        <v>10</v>
      </c>
      <c r="D3088" s="3" t="s">
        <v>9</v>
      </c>
      <c r="E3088" s="3">
        <v>21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/>
      <c r="P3088" s="3"/>
      <c r="Q3088" s="3"/>
    </row>
    <row r="3089" spans="1:17" ht="15" x14ac:dyDescent="0.25">
      <c r="A3089" s="3">
        <f>3082</f>
        <v>3082</v>
      </c>
      <c r="B3089" s="3" t="s">
        <v>3091</v>
      </c>
      <c r="C3089" s="3" t="s">
        <v>10</v>
      </c>
      <c r="D3089" s="3" t="s">
        <v>9</v>
      </c>
      <c r="E3089" s="3">
        <v>21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/>
      <c r="P3089" s="3"/>
      <c r="Q3089" s="3"/>
    </row>
    <row r="3090" spans="1:17" ht="15" x14ac:dyDescent="0.25">
      <c r="A3090" s="3">
        <f>3083</f>
        <v>3083</v>
      </c>
      <c r="B3090" s="3" t="s">
        <v>3092</v>
      </c>
      <c r="C3090" s="3" t="s">
        <v>10</v>
      </c>
      <c r="D3090" s="3" t="s">
        <v>9</v>
      </c>
      <c r="E3090" s="3">
        <v>21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/>
      <c r="P3090" s="3"/>
      <c r="Q3090" s="3"/>
    </row>
    <row r="3091" spans="1:17" ht="15" x14ac:dyDescent="0.25">
      <c r="A3091" s="3">
        <f>3084</f>
        <v>3084</v>
      </c>
      <c r="B3091" s="3" t="s">
        <v>3093</v>
      </c>
      <c r="C3091" s="3" t="s">
        <v>10</v>
      </c>
      <c r="D3091" s="3" t="s">
        <v>9</v>
      </c>
      <c r="E3091" s="3">
        <v>21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/>
      <c r="P3091" s="3"/>
      <c r="Q3091" s="3"/>
    </row>
    <row r="3092" spans="1:17" ht="15" x14ac:dyDescent="0.25">
      <c r="A3092" s="3">
        <f>3085</f>
        <v>3085</v>
      </c>
      <c r="B3092" s="3" t="s">
        <v>3094</v>
      </c>
      <c r="C3092" s="3" t="s">
        <v>10</v>
      </c>
      <c r="D3092" s="3" t="s">
        <v>9</v>
      </c>
      <c r="E3092" s="3">
        <v>21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/>
      <c r="P3092" s="3"/>
      <c r="Q3092" s="3"/>
    </row>
    <row r="3093" spans="1:17" ht="15" x14ac:dyDescent="0.25">
      <c r="A3093" s="3">
        <f>3086</f>
        <v>3086</v>
      </c>
      <c r="B3093" s="3" t="s">
        <v>3095</v>
      </c>
      <c r="C3093" s="3" t="s">
        <v>10</v>
      </c>
      <c r="D3093" s="3" t="s">
        <v>9</v>
      </c>
      <c r="E3093" s="3">
        <v>21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/>
      <c r="P3093" s="3"/>
      <c r="Q3093" s="3"/>
    </row>
    <row r="3094" spans="1:17" ht="15" x14ac:dyDescent="0.25">
      <c r="A3094" s="3">
        <f>3087</f>
        <v>3087</v>
      </c>
      <c r="B3094" s="3" t="s">
        <v>3096</v>
      </c>
      <c r="C3094" s="3" t="s">
        <v>10</v>
      </c>
      <c r="D3094" s="3" t="s">
        <v>9</v>
      </c>
      <c r="E3094" s="3">
        <v>21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/>
      <c r="P3094" s="3"/>
      <c r="Q3094" s="3"/>
    </row>
    <row r="3095" spans="1:17" ht="15" x14ac:dyDescent="0.25">
      <c r="A3095" s="3">
        <f>3088</f>
        <v>3088</v>
      </c>
      <c r="B3095" s="3" t="s">
        <v>3097</v>
      </c>
      <c r="C3095" s="3" t="s">
        <v>10</v>
      </c>
      <c r="D3095" s="3" t="s">
        <v>9</v>
      </c>
      <c r="E3095" s="3">
        <v>21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/>
      <c r="P3095" s="3"/>
      <c r="Q3095" s="3"/>
    </row>
    <row r="3096" spans="1:17" ht="15" x14ac:dyDescent="0.25">
      <c r="A3096" s="3">
        <f>3089</f>
        <v>3089</v>
      </c>
      <c r="B3096" s="3" t="s">
        <v>3098</v>
      </c>
      <c r="C3096" s="3" t="s">
        <v>10</v>
      </c>
      <c r="D3096" s="3" t="s">
        <v>9</v>
      </c>
      <c r="E3096" s="3">
        <v>21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/>
      <c r="P3096" s="3"/>
      <c r="Q3096" s="3"/>
    </row>
    <row r="3097" spans="1:17" ht="15" x14ac:dyDescent="0.25">
      <c r="A3097" s="3">
        <f>3090</f>
        <v>3090</v>
      </c>
      <c r="B3097" s="3" t="s">
        <v>3099</v>
      </c>
      <c r="C3097" s="3" t="s">
        <v>10</v>
      </c>
      <c r="D3097" s="3" t="s">
        <v>9</v>
      </c>
      <c r="E3097" s="3">
        <v>21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/>
      <c r="P3097" s="3"/>
      <c r="Q3097" s="3"/>
    </row>
    <row r="3098" spans="1:17" ht="15" x14ac:dyDescent="0.25">
      <c r="A3098" s="3">
        <f>3091</f>
        <v>3091</v>
      </c>
      <c r="B3098" s="3" t="s">
        <v>3100</v>
      </c>
      <c r="C3098" s="3" t="s">
        <v>10</v>
      </c>
      <c r="D3098" s="3" t="s">
        <v>9</v>
      </c>
      <c r="E3098" s="3">
        <v>21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/>
      <c r="P3098" s="3"/>
      <c r="Q3098" s="3"/>
    </row>
    <row r="3099" spans="1:17" ht="15" x14ac:dyDescent="0.25">
      <c r="A3099" s="3">
        <f>3092</f>
        <v>3092</v>
      </c>
      <c r="B3099" s="3" t="s">
        <v>3101</v>
      </c>
      <c r="C3099" s="3" t="s">
        <v>10</v>
      </c>
      <c r="D3099" s="3" t="s">
        <v>9</v>
      </c>
      <c r="E3099" s="3">
        <v>21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/>
      <c r="P3099" s="3"/>
      <c r="Q3099" s="3"/>
    </row>
    <row r="3100" spans="1:17" ht="15" x14ac:dyDescent="0.25">
      <c r="A3100" s="3">
        <f>3093</f>
        <v>3093</v>
      </c>
      <c r="B3100" s="3" t="s">
        <v>3102</v>
      </c>
      <c r="C3100" s="3" t="s">
        <v>10</v>
      </c>
      <c r="D3100" s="3" t="s">
        <v>9</v>
      </c>
      <c r="E3100" s="3">
        <v>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/>
      <c r="P3100" s="3"/>
      <c r="Q3100" s="3"/>
    </row>
    <row r="3101" spans="1:17" ht="15" x14ac:dyDescent="0.25">
      <c r="A3101" s="3">
        <f>3094</f>
        <v>3094</v>
      </c>
      <c r="B3101" s="3" t="s">
        <v>3103</v>
      </c>
      <c r="C3101" s="3" t="s">
        <v>10</v>
      </c>
      <c r="D3101" s="3" t="s">
        <v>9</v>
      </c>
      <c r="E3101" s="3">
        <v>21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/>
      <c r="P3101" s="3"/>
      <c r="Q3101" s="3"/>
    </row>
    <row r="3102" spans="1:17" ht="15" x14ac:dyDescent="0.25">
      <c r="A3102" s="3">
        <f>3095</f>
        <v>3095</v>
      </c>
      <c r="B3102" s="3" t="s">
        <v>3104</v>
      </c>
      <c r="C3102" s="3" t="s">
        <v>10</v>
      </c>
      <c r="D3102" s="3" t="s">
        <v>9</v>
      </c>
      <c r="E3102" s="3">
        <v>21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/>
      <c r="P3102" s="3"/>
      <c r="Q3102" s="3"/>
    </row>
    <row r="3103" spans="1:17" ht="15" x14ac:dyDescent="0.25">
      <c r="A3103" s="3">
        <f>3096</f>
        <v>3096</v>
      </c>
      <c r="B3103" s="3" t="s">
        <v>3105</v>
      </c>
      <c r="C3103" s="3" t="s">
        <v>10</v>
      </c>
      <c r="D3103" s="3" t="s">
        <v>9</v>
      </c>
      <c r="E3103" s="3">
        <v>21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/>
      <c r="P3103" s="3"/>
      <c r="Q3103" s="3"/>
    </row>
    <row r="3104" spans="1:17" ht="15" x14ac:dyDescent="0.25">
      <c r="A3104" s="3">
        <f>3097</f>
        <v>3097</v>
      </c>
      <c r="B3104" s="3" t="s">
        <v>3106</v>
      </c>
      <c r="C3104" s="3" t="s">
        <v>10</v>
      </c>
      <c r="D3104" s="3" t="s">
        <v>9</v>
      </c>
      <c r="E3104" s="3">
        <v>21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/>
      <c r="P3104" s="3"/>
      <c r="Q3104" s="3"/>
    </row>
    <row r="3105" spans="1:17" ht="15" x14ac:dyDescent="0.25">
      <c r="A3105" s="3">
        <f>3098</f>
        <v>3098</v>
      </c>
      <c r="B3105" s="3" t="s">
        <v>3107</v>
      </c>
      <c r="C3105" s="3" t="s">
        <v>10</v>
      </c>
      <c r="D3105" s="3" t="s">
        <v>9</v>
      </c>
      <c r="E3105" s="3">
        <v>21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/>
      <c r="P3105" s="3"/>
      <c r="Q3105" s="3"/>
    </row>
    <row r="3106" spans="1:17" ht="15" x14ac:dyDescent="0.25">
      <c r="A3106" s="3">
        <f>3099</f>
        <v>3099</v>
      </c>
      <c r="B3106" s="3" t="s">
        <v>3108</v>
      </c>
      <c r="C3106" s="3" t="s">
        <v>10</v>
      </c>
      <c r="D3106" s="3" t="s">
        <v>9</v>
      </c>
      <c r="E3106" s="3">
        <v>21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/>
      <c r="P3106" s="3"/>
      <c r="Q3106" s="3"/>
    </row>
    <row r="3107" spans="1:17" ht="15" x14ac:dyDescent="0.25">
      <c r="A3107" s="3">
        <f>3100</f>
        <v>3100</v>
      </c>
      <c r="B3107" s="3" t="s">
        <v>3109</v>
      </c>
      <c r="C3107" s="3" t="s">
        <v>10</v>
      </c>
      <c r="D3107" s="3" t="s">
        <v>9</v>
      </c>
      <c r="E3107" s="3">
        <v>21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/>
      <c r="P3107" s="3"/>
      <c r="Q3107" s="3"/>
    </row>
    <row r="3108" spans="1:17" ht="15" x14ac:dyDescent="0.25">
      <c r="A3108" s="3">
        <f>3101</f>
        <v>3101</v>
      </c>
      <c r="B3108" s="3" t="s">
        <v>3110</v>
      </c>
      <c r="C3108" s="3" t="s">
        <v>10</v>
      </c>
      <c r="D3108" s="3" t="s">
        <v>9</v>
      </c>
      <c r="E3108" s="3">
        <v>21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/>
      <c r="P3108" s="3"/>
      <c r="Q3108" s="3"/>
    </row>
    <row r="3109" spans="1:17" ht="15" x14ac:dyDescent="0.25">
      <c r="A3109" s="3">
        <f>3102</f>
        <v>3102</v>
      </c>
      <c r="B3109" s="3" t="s">
        <v>3111</v>
      </c>
      <c r="C3109" s="3" t="s">
        <v>10</v>
      </c>
      <c r="D3109" s="3" t="s">
        <v>9</v>
      </c>
      <c r="E3109" s="3">
        <v>21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/>
      <c r="P3109" s="3"/>
      <c r="Q3109" s="3"/>
    </row>
    <row r="3110" spans="1:17" ht="15" x14ac:dyDescent="0.25">
      <c r="A3110" s="3">
        <f>3103</f>
        <v>3103</v>
      </c>
      <c r="B3110" s="3" t="s">
        <v>3112</v>
      </c>
      <c r="C3110" s="3" t="s">
        <v>10</v>
      </c>
      <c r="D3110" s="3" t="s">
        <v>9</v>
      </c>
      <c r="E3110" s="3">
        <v>21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/>
      <c r="P3110" s="3"/>
      <c r="Q3110" s="3"/>
    </row>
    <row r="3111" spans="1:17" ht="15" x14ac:dyDescent="0.25">
      <c r="A3111" s="3">
        <f>3104</f>
        <v>3104</v>
      </c>
      <c r="B3111" s="3" t="s">
        <v>3113</v>
      </c>
      <c r="C3111" s="3" t="s">
        <v>10</v>
      </c>
      <c r="D3111" s="3" t="s">
        <v>9</v>
      </c>
      <c r="E3111" s="3">
        <v>21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/>
      <c r="P3111" s="3"/>
      <c r="Q3111" s="3"/>
    </row>
    <row r="3112" spans="1:17" ht="15" x14ac:dyDescent="0.25">
      <c r="A3112" s="3">
        <f>3105</f>
        <v>3105</v>
      </c>
      <c r="B3112" s="3" t="s">
        <v>3114</v>
      </c>
      <c r="C3112" s="3" t="s">
        <v>10</v>
      </c>
      <c r="D3112" s="3" t="s">
        <v>9</v>
      </c>
      <c r="E3112" s="3">
        <v>21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/>
      <c r="P3112" s="3"/>
      <c r="Q3112" s="3"/>
    </row>
    <row r="3113" spans="1:17" ht="15" x14ac:dyDescent="0.25">
      <c r="A3113" s="3">
        <f>3106</f>
        <v>3106</v>
      </c>
      <c r="B3113" s="3" t="s">
        <v>3115</v>
      </c>
      <c r="C3113" s="3" t="s">
        <v>10</v>
      </c>
      <c r="D3113" s="3" t="s">
        <v>9</v>
      </c>
      <c r="E3113" s="3">
        <v>21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/>
      <c r="P3113" s="3"/>
      <c r="Q3113" s="3"/>
    </row>
    <row r="3114" spans="1:17" ht="15" x14ac:dyDescent="0.25">
      <c r="A3114" s="3">
        <f>3107</f>
        <v>3107</v>
      </c>
      <c r="B3114" s="3" t="s">
        <v>3116</v>
      </c>
      <c r="C3114" s="3" t="s">
        <v>10</v>
      </c>
      <c r="D3114" s="3" t="s">
        <v>9</v>
      </c>
      <c r="E3114" s="3">
        <v>21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/>
      <c r="P3114" s="3"/>
      <c r="Q3114" s="3"/>
    </row>
    <row r="3115" spans="1:17" ht="15" x14ac:dyDescent="0.25">
      <c r="A3115" s="3">
        <f>3108</f>
        <v>3108</v>
      </c>
      <c r="B3115" s="3" t="s">
        <v>3117</v>
      </c>
      <c r="C3115" s="3" t="s">
        <v>10</v>
      </c>
      <c r="D3115" s="3" t="s">
        <v>9</v>
      </c>
      <c r="E3115" s="3">
        <v>21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/>
      <c r="P3115" s="3"/>
      <c r="Q3115" s="3"/>
    </row>
    <row r="3116" spans="1:17" ht="15" x14ac:dyDescent="0.25">
      <c r="A3116" s="3">
        <f>3109</f>
        <v>3109</v>
      </c>
      <c r="B3116" s="3" t="s">
        <v>3118</v>
      </c>
      <c r="C3116" s="3" t="s">
        <v>10</v>
      </c>
      <c r="D3116" s="3" t="s">
        <v>9</v>
      </c>
      <c r="E3116" s="3">
        <v>21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/>
      <c r="P3116" s="3"/>
      <c r="Q3116" s="3"/>
    </row>
    <row r="3117" spans="1:17" ht="15" x14ac:dyDescent="0.25">
      <c r="A3117" s="3">
        <f>3110</f>
        <v>3110</v>
      </c>
      <c r="B3117" s="3" t="s">
        <v>3119</v>
      </c>
      <c r="C3117" s="3" t="s">
        <v>10</v>
      </c>
      <c r="D3117" s="3" t="s">
        <v>9</v>
      </c>
      <c r="E3117" s="3">
        <v>21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/>
      <c r="P3117" s="3"/>
      <c r="Q3117" s="3"/>
    </row>
    <row r="3118" spans="1:17" ht="15" x14ac:dyDescent="0.25">
      <c r="A3118" s="3">
        <f>3111</f>
        <v>3111</v>
      </c>
      <c r="B3118" s="3" t="s">
        <v>3120</v>
      </c>
      <c r="C3118" s="3" t="s">
        <v>10</v>
      </c>
      <c r="D3118" s="3" t="s">
        <v>9</v>
      </c>
      <c r="E3118" s="3">
        <v>21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/>
      <c r="P3118" s="3"/>
      <c r="Q3118" s="3"/>
    </row>
    <row r="3119" spans="1:17" ht="15" x14ac:dyDescent="0.25">
      <c r="A3119" s="3">
        <f>3112</f>
        <v>3112</v>
      </c>
      <c r="B3119" s="3" t="s">
        <v>3121</v>
      </c>
      <c r="C3119" s="3" t="s">
        <v>10</v>
      </c>
      <c r="D3119" s="3" t="s">
        <v>9</v>
      </c>
      <c r="E3119" s="3">
        <v>21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/>
      <c r="P3119" s="3"/>
      <c r="Q3119" s="3"/>
    </row>
    <row r="3120" spans="1:17" ht="15" x14ac:dyDescent="0.25">
      <c r="A3120" s="3">
        <f>3113</f>
        <v>3113</v>
      </c>
      <c r="B3120" s="3" t="s">
        <v>3122</v>
      </c>
      <c r="C3120" s="3" t="s">
        <v>10</v>
      </c>
      <c r="D3120" s="3" t="s">
        <v>9</v>
      </c>
      <c r="E3120" s="3">
        <v>21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/>
      <c r="P3120" s="3"/>
      <c r="Q3120" s="3"/>
    </row>
    <row r="3121" spans="1:17" ht="15" x14ac:dyDescent="0.25">
      <c r="A3121" s="3">
        <f>3114</f>
        <v>3114</v>
      </c>
      <c r="B3121" s="3" t="s">
        <v>3123</v>
      </c>
      <c r="C3121" s="3" t="s">
        <v>10</v>
      </c>
      <c r="D3121" s="3" t="s">
        <v>9</v>
      </c>
      <c r="E3121" s="3">
        <v>21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/>
      <c r="P3121" s="3"/>
      <c r="Q3121" s="3"/>
    </row>
    <row r="3122" spans="1:17" ht="15" x14ac:dyDescent="0.25">
      <c r="A3122" s="3">
        <f>3115</f>
        <v>3115</v>
      </c>
      <c r="B3122" s="3" t="s">
        <v>3124</v>
      </c>
      <c r="C3122" s="3" t="s">
        <v>10</v>
      </c>
      <c r="D3122" s="3" t="s">
        <v>9</v>
      </c>
      <c r="E3122" s="3">
        <v>21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/>
      <c r="P3122" s="3"/>
      <c r="Q3122" s="3"/>
    </row>
    <row r="3123" spans="1:17" ht="15" x14ac:dyDescent="0.25">
      <c r="A3123" s="3">
        <f>3116</f>
        <v>3116</v>
      </c>
      <c r="B3123" s="3" t="s">
        <v>3125</v>
      </c>
      <c r="C3123" s="3" t="s">
        <v>10</v>
      </c>
      <c r="D3123" s="3" t="s">
        <v>9</v>
      </c>
      <c r="E3123" s="3">
        <v>21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/>
      <c r="P3123" s="3"/>
      <c r="Q3123" s="3"/>
    </row>
    <row r="3124" spans="1:17" ht="15" x14ac:dyDescent="0.25">
      <c r="A3124" s="3">
        <f>3117</f>
        <v>3117</v>
      </c>
      <c r="B3124" s="3" t="s">
        <v>3126</v>
      </c>
      <c r="C3124" s="3" t="s">
        <v>10</v>
      </c>
      <c r="D3124" s="3" t="s">
        <v>9</v>
      </c>
      <c r="E3124" s="3">
        <v>21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/>
      <c r="P3124" s="3"/>
      <c r="Q3124" s="3"/>
    </row>
    <row r="3125" spans="1:17" ht="15" x14ac:dyDescent="0.25">
      <c r="A3125" s="3">
        <f>3118</f>
        <v>3118</v>
      </c>
      <c r="B3125" s="3" t="s">
        <v>3127</v>
      </c>
      <c r="C3125" s="3" t="s">
        <v>10</v>
      </c>
      <c r="D3125" s="3" t="s">
        <v>9</v>
      </c>
      <c r="E3125" s="3">
        <v>21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/>
      <c r="P3125" s="3"/>
      <c r="Q3125" s="3"/>
    </row>
    <row r="3126" spans="1:17" ht="15" x14ac:dyDescent="0.25">
      <c r="A3126" s="3">
        <f>3119</f>
        <v>3119</v>
      </c>
      <c r="B3126" s="3" t="s">
        <v>3128</v>
      </c>
      <c r="C3126" s="3" t="s">
        <v>10</v>
      </c>
      <c r="D3126" s="3" t="s">
        <v>9</v>
      </c>
      <c r="E3126" s="3">
        <v>21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/>
      <c r="P3126" s="3"/>
      <c r="Q3126" s="3"/>
    </row>
    <row r="3127" spans="1:17" ht="15" x14ac:dyDescent="0.25">
      <c r="A3127" s="3">
        <f>3120</f>
        <v>3120</v>
      </c>
      <c r="B3127" s="3" t="s">
        <v>3129</v>
      </c>
      <c r="C3127" s="3" t="s">
        <v>10</v>
      </c>
      <c r="D3127" s="3" t="s">
        <v>9</v>
      </c>
      <c r="E3127" s="3">
        <v>21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/>
      <c r="P3127" s="3"/>
      <c r="Q3127" s="3"/>
    </row>
    <row r="3128" spans="1:17" ht="15" x14ac:dyDescent="0.25">
      <c r="A3128" s="3">
        <f>3121</f>
        <v>3121</v>
      </c>
      <c r="B3128" s="3" t="s">
        <v>3130</v>
      </c>
      <c r="C3128" s="3" t="s">
        <v>10</v>
      </c>
      <c r="D3128" s="3" t="s">
        <v>9</v>
      </c>
      <c r="E3128" s="3">
        <v>21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/>
      <c r="P3128" s="3"/>
      <c r="Q3128" s="3"/>
    </row>
    <row r="3129" spans="1:17" ht="15" x14ac:dyDescent="0.25">
      <c r="A3129" s="3">
        <f>3122</f>
        <v>3122</v>
      </c>
      <c r="B3129" s="3" t="s">
        <v>3131</v>
      </c>
      <c r="C3129" s="3" t="s">
        <v>10</v>
      </c>
      <c r="D3129" s="3" t="s">
        <v>9</v>
      </c>
      <c r="E3129" s="3">
        <v>21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/>
      <c r="P3129" s="3"/>
      <c r="Q3129" s="3"/>
    </row>
    <row r="3130" spans="1:17" ht="15" x14ac:dyDescent="0.25">
      <c r="A3130" s="3">
        <f>3123</f>
        <v>3123</v>
      </c>
      <c r="B3130" s="3" t="s">
        <v>3132</v>
      </c>
      <c r="C3130" s="3" t="s">
        <v>10</v>
      </c>
      <c r="D3130" s="3" t="s">
        <v>9</v>
      </c>
      <c r="E3130" s="3">
        <v>21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/>
      <c r="P3130" s="3"/>
      <c r="Q3130" s="3"/>
    </row>
    <row r="3131" spans="1:17" ht="15" x14ac:dyDescent="0.25">
      <c r="A3131" s="3">
        <f>3124</f>
        <v>3124</v>
      </c>
      <c r="B3131" s="3" t="s">
        <v>3133</v>
      </c>
      <c r="C3131" s="3" t="s">
        <v>10</v>
      </c>
      <c r="D3131" s="3" t="s">
        <v>9</v>
      </c>
      <c r="E3131" s="3">
        <v>21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/>
      <c r="P3131" s="3"/>
      <c r="Q3131" s="3"/>
    </row>
    <row r="3132" spans="1:17" ht="15" x14ac:dyDescent="0.25">
      <c r="A3132" s="3">
        <f>3125</f>
        <v>3125</v>
      </c>
      <c r="B3132" s="3" t="s">
        <v>3134</v>
      </c>
      <c r="C3132" s="3" t="s">
        <v>10</v>
      </c>
      <c r="D3132" s="3" t="s">
        <v>9</v>
      </c>
      <c r="E3132" s="3">
        <v>21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/>
      <c r="P3132" s="3"/>
      <c r="Q3132" s="3"/>
    </row>
    <row r="3133" spans="1:17" ht="15" x14ac:dyDescent="0.25">
      <c r="A3133" s="3">
        <f>3126</f>
        <v>3126</v>
      </c>
      <c r="B3133" s="3" t="s">
        <v>3135</v>
      </c>
      <c r="C3133" s="3" t="s">
        <v>10</v>
      </c>
      <c r="D3133" s="3" t="s">
        <v>9</v>
      </c>
      <c r="E3133" s="3">
        <v>21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/>
      <c r="P3133" s="3"/>
      <c r="Q3133" s="3"/>
    </row>
    <row r="3134" spans="1:17" ht="15" x14ac:dyDescent="0.25">
      <c r="A3134" s="3">
        <f>3127</f>
        <v>3127</v>
      </c>
      <c r="B3134" s="3" t="s">
        <v>3136</v>
      </c>
      <c r="C3134" s="3" t="s">
        <v>10</v>
      </c>
      <c r="D3134" s="3" t="s">
        <v>9</v>
      </c>
      <c r="E3134" s="3">
        <v>21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/>
      <c r="P3134" s="3"/>
      <c r="Q3134" s="3"/>
    </row>
    <row r="3135" spans="1:17" ht="15" x14ac:dyDescent="0.25">
      <c r="A3135" s="3">
        <f>3128</f>
        <v>3128</v>
      </c>
      <c r="B3135" s="3" t="s">
        <v>3137</v>
      </c>
      <c r="C3135" s="3" t="s">
        <v>10</v>
      </c>
      <c r="D3135" s="3" t="s">
        <v>9</v>
      </c>
      <c r="E3135" s="3">
        <v>21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/>
      <c r="P3135" s="3"/>
      <c r="Q3135" s="3"/>
    </row>
    <row r="3136" spans="1:17" ht="15" x14ac:dyDescent="0.25">
      <c r="A3136" s="3">
        <f>3129</f>
        <v>3129</v>
      </c>
      <c r="B3136" s="3" t="s">
        <v>3138</v>
      </c>
      <c r="C3136" s="3" t="s">
        <v>10</v>
      </c>
      <c r="D3136" s="3" t="s">
        <v>9</v>
      </c>
      <c r="E3136" s="3">
        <v>21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/>
      <c r="P3136" s="3"/>
      <c r="Q3136" s="3"/>
    </row>
    <row r="3137" spans="1:17" ht="15" x14ac:dyDescent="0.25">
      <c r="A3137" s="3">
        <f>3130</f>
        <v>3130</v>
      </c>
      <c r="B3137" s="3" t="s">
        <v>3139</v>
      </c>
      <c r="C3137" s="3" t="s">
        <v>10</v>
      </c>
      <c r="D3137" s="3" t="s">
        <v>9</v>
      </c>
      <c r="E3137" s="3">
        <v>21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/>
      <c r="P3137" s="3"/>
      <c r="Q3137" s="3"/>
    </row>
    <row r="3138" spans="1:17" ht="15" x14ac:dyDescent="0.25">
      <c r="A3138" s="3">
        <f>3131</f>
        <v>3131</v>
      </c>
      <c r="B3138" s="3" t="s">
        <v>3140</v>
      </c>
      <c r="C3138" s="3" t="s">
        <v>10</v>
      </c>
      <c r="D3138" s="3" t="s">
        <v>9</v>
      </c>
      <c r="E3138" s="3">
        <v>21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/>
      <c r="P3138" s="3"/>
      <c r="Q3138" s="3"/>
    </row>
    <row r="3139" spans="1:17" ht="15" x14ac:dyDescent="0.25">
      <c r="A3139" s="3">
        <f>3132</f>
        <v>3132</v>
      </c>
      <c r="B3139" s="3" t="s">
        <v>3141</v>
      </c>
      <c r="C3139" s="3" t="s">
        <v>10</v>
      </c>
      <c r="D3139" s="3" t="s">
        <v>9</v>
      </c>
      <c r="E3139" s="3">
        <v>21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/>
      <c r="P3139" s="3"/>
      <c r="Q3139" s="3"/>
    </row>
    <row r="3140" spans="1:17" ht="15" x14ac:dyDescent="0.25">
      <c r="A3140" s="3">
        <f>3133</f>
        <v>3133</v>
      </c>
      <c r="B3140" s="3" t="s">
        <v>3142</v>
      </c>
      <c r="C3140" s="3" t="s">
        <v>10</v>
      </c>
      <c r="D3140" s="3" t="s">
        <v>9</v>
      </c>
      <c r="E3140" s="3">
        <v>21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/>
      <c r="P3140" s="3"/>
      <c r="Q3140" s="3"/>
    </row>
    <row r="3141" spans="1:17" ht="15" x14ac:dyDescent="0.25">
      <c r="A3141" s="3">
        <f>3134</f>
        <v>3134</v>
      </c>
      <c r="B3141" s="3" t="s">
        <v>3143</v>
      </c>
      <c r="C3141" s="3" t="s">
        <v>10</v>
      </c>
      <c r="D3141" s="3" t="s">
        <v>9</v>
      </c>
      <c r="E3141" s="3">
        <v>21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/>
      <c r="P3141" s="3"/>
      <c r="Q3141" s="3"/>
    </row>
    <row r="3142" spans="1:17" ht="15" x14ac:dyDescent="0.25">
      <c r="A3142" s="3">
        <f>3135</f>
        <v>3135</v>
      </c>
      <c r="B3142" s="3" t="s">
        <v>3144</v>
      </c>
      <c r="C3142" s="3" t="s">
        <v>10</v>
      </c>
      <c r="D3142" s="3" t="s">
        <v>9</v>
      </c>
      <c r="E3142" s="3">
        <v>21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/>
      <c r="P3142" s="3"/>
      <c r="Q3142" s="3"/>
    </row>
    <row r="3143" spans="1:17" ht="15" x14ac:dyDescent="0.25">
      <c r="A3143" s="3">
        <f>3136</f>
        <v>3136</v>
      </c>
      <c r="B3143" s="3" t="s">
        <v>3145</v>
      </c>
      <c r="C3143" s="3" t="s">
        <v>10</v>
      </c>
      <c r="D3143" s="3" t="s">
        <v>9</v>
      </c>
      <c r="E3143" s="3">
        <v>21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/>
      <c r="P3143" s="3"/>
      <c r="Q3143" s="3"/>
    </row>
    <row r="3144" spans="1:17" ht="15" x14ac:dyDescent="0.25">
      <c r="A3144" s="3">
        <f>3137</f>
        <v>3137</v>
      </c>
      <c r="B3144" s="3" t="s">
        <v>3146</v>
      </c>
      <c r="C3144" s="3" t="s">
        <v>10</v>
      </c>
      <c r="D3144" s="3" t="s">
        <v>9</v>
      </c>
      <c r="E3144" s="3">
        <v>21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/>
      <c r="P3144" s="3"/>
      <c r="Q3144" s="3"/>
    </row>
    <row r="3145" spans="1:17" ht="15" x14ac:dyDescent="0.25">
      <c r="A3145" s="3">
        <f>3138</f>
        <v>3138</v>
      </c>
      <c r="B3145" s="3" t="s">
        <v>3147</v>
      </c>
      <c r="C3145" s="3" t="s">
        <v>10</v>
      </c>
      <c r="D3145" s="3" t="s">
        <v>9</v>
      </c>
      <c r="E3145" s="3">
        <v>21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/>
      <c r="P3145" s="3"/>
      <c r="Q3145" s="3"/>
    </row>
    <row r="3146" spans="1:17" ht="15" x14ac:dyDescent="0.25">
      <c r="A3146" s="3">
        <f>3139</f>
        <v>3139</v>
      </c>
      <c r="B3146" s="3" t="s">
        <v>3148</v>
      </c>
      <c r="C3146" s="3" t="s">
        <v>10</v>
      </c>
      <c r="D3146" s="3" t="s">
        <v>9</v>
      </c>
      <c r="E3146" s="3">
        <v>21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/>
      <c r="P3146" s="3"/>
      <c r="Q3146" s="3"/>
    </row>
    <row r="3147" spans="1:17" ht="15" x14ac:dyDescent="0.25">
      <c r="A3147" s="3">
        <f>3140</f>
        <v>3140</v>
      </c>
      <c r="B3147" s="3" t="s">
        <v>3149</v>
      </c>
      <c r="C3147" s="3" t="s">
        <v>10</v>
      </c>
      <c r="D3147" s="3" t="s">
        <v>9</v>
      </c>
      <c r="E3147" s="3">
        <v>21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/>
      <c r="P3147" s="3"/>
      <c r="Q3147" s="3"/>
    </row>
    <row r="3148" spans="1:17" ht="15" x14ac:dyDescent="0.25">
      <c r="A3148" s="3">
        <f>3141</f>
        <v>3141</v>
      </c>
      <c r="B3148" s="3" t="s">
        <v>3150</v>
      </c>
      <c r="C3148" s="3" t="s">
        <v>10</v>
      </c>
      <c r="D3148" s="3" t="s">
        <v>9</v>
      </c>
      <c r="E3148" s="3">
        <v>21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/>
      <c r="P3148" s="3"/>
      <c r="Q3148" s="3"/>
    </row>
    <row r="3149" spans="1:17" ht="15" x14ac:dyDescent="0.25">
      <c r="A3149" s="3">
        <f>3142</f>
        <v>3142</v>
      </c>
      <c r="B3149" s="3" t="s">
        <v>3151</v>
      </c>
      <c r="C3149" s="3" t="s">
        <v>10</v>
      </c>
      <c r="D3149" s="3" t="s">
        <v>9</v>
      </c>
      <c r="E3149" s="3">
        <v>21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/>
      <c r="P3149" s="3"/>
      <c r="Q3149" s="3"/>
    </row>
    <row r="3150" spans="1:17" ht="15" x14ac:dyDescent="0.25">
      <c r="A3150" s="3">
        <f>3143</f>
        <v>3143</v>
      </c>
      <c r="B3150" s="3" t="s">
        <v>3152</v>
      </c>
      <c r="C3150" s="3" t="s">
        <v>10</v>
      </c>
      <c r="D3150" s="3" t="s">
        <v>9</v>
      </c>
      <c r="E3150" s="3">
        <v>21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/>
      <c r="P3150" s="3"/>
      <c r="Q3150" s="3"/>
    </row>
    <row r="3151" spans="1:17" ht="15" x14ac:dyDescent="0.25">
      <c r="A3151" s="3">
        <f>3144</f>
        <v>3144</v>
      </c>
      <c r="B3151" s="3" t="s">
        <v>3153</v>
      </c>
      <c r="C3151" s="3" t="s">
        <v>10</v>
      </c>
      <c r="D3151" s="3" t="s">
        <v>9</v>
      </c>
      <c r="E3151" s="3">
        <v>21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/>
      <c r="P3151" s="3"/>
      <c r="Q3151" s="3"/>
    </row>
    <row r="3152" spans="1:17" ht="15" x14ac:dyDescent="0.25">
      <c r="A3152" s="3">
        <f>3145</f>
        <v>3145</v>
      </c>
      <c r="B3152" s="3" t="s">
        <v>3154</v>
      </c>
      <c r="C3152" s="3" t="s">
        <v>10</v>
      </c>
      <c r="D3152" s="3" t="s">
        <v>9</v>
      </c>
      <c r="E3152" s="3">
        <v>21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/>
      <c r="P3152" s="3"/>
      <c r="Q3152" s="3"/>
    </row>
    <row r="3153" spans="1:17" ht="15" x14ac:dyDescent="0.25">
      <c r="A3153" s="3">
        <f>3146</f>
        <v>3146</v>
      </c>
      <c r="B3153" s="3" t="s">
        <v>3155</v>
      </c>
      <c r="C3153" s="3" t="s">
        <v>10</v>
      </c>
      <c r="D3153" s="3" t="s">
        <v>9</v>
      </c>
      <c r="E3153" s="3">
        <v>21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/>
      <c r="P3153" s="3"/>
      <c r="Q3153" s="3"/>
    </row>
    <row r="3154" spans="1:17" ht="15" x14ac:dyDescent="0.25">
      <c r="A3154" s="3">
        <f>3147</f>
        <v>3147</v>
      </c>
      <c r="B3154" s="3" t="s">
        <v>3156</v>
      </c>
      <c r="C3154" s="3" t="s">
        <v>10</v>
      </c>
      <c r="D3154" s="3" t="s">
        <v>9</v>
      </c>
      <c r="E3154" s="3">
        <v>21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/>
      <c r="P3154" s="3"/>
      <c r="Q3154" s="3"/>
    </row>
    <row r="3155" spans="1:17" ht="15" x14ac:dyDescent="0.25">
      <c r="A3155" s="3">
        <f>3148</f>
        <v>3148</v>
      </c>
      <c r="B3155" s="3" t="s">
        <v>3157</v>
      </c>
      <c r="C3155" s="3" t="s">
        <v>10</v>
      </c>
      <c r="D3155" s="3" t="s">
        <v>9</v>
      </c>
      <c r="E3155" s="3">
        <v>21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/>
      <c r="P3155" s="3"/>
      <c r="Q3155" s="3"/>
    </row>
    <row r="3156" spans="1:17" ht="15" x14ac:dyDescent="0.25">
      <c r="A3156" s="3">
        <f>3149</f>
        <v>3149</v>
      </c>
      <c r="B3156" s="3" t="s">
        <v>3158</v>
      </c>
      <c r="C3156" s="3" t="s">
        <v>10</v>
      </c>
      <c r="D3156" s="3" t="s">
        <v>9</v>
      </c>
      <c r="E3156" s="3">
        <v>21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/>
      <c r="P3156" s="3"/>
      <c r="Q3156" s="3"/>
    </row>
    <row r="3157" spans="1:17" ht="15" x14ac:dyDescent="0.25">
      <c r="A3157" s="3">
        <f>3150</f>
        <v>3150</v>
      </c>
      <c r="B3157" s="3" t="s">
        <v>3159</v>
      </c>
      <c r="C3157" s="3" t="s">
        <v>10</v>
      </c>
      <c r="D3157" s="3" t="s">
        <v>9</v>
      </c>
      <c r="E3157" s="3">
        <v>21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/>
      <c r="P3157" s="3"/>
      <c r="Q3157" s="3"/>
    </row>
    <row r="3158" spans="1:17" ht="15" x14ac:dyDescent="0.25">
      <c r="A3158" s="3">
        <f>3151</f>
        <v>3151</v>
      </c>
      <c r="B3158" s="3" t="s">
        <v>3160</v>
      </c>
      <c r="C3158" s="3" t="s">
        <v>10</v>
      </c>
      <c r="D3158" s="3" t="s">
        <v>9</v>
      </c>
      <c r="E3158" s="3">
        <v>21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/>
      <c r="P3158" s="3"/>
      <c r="Q3158" s="3"/>
    </row>
    <row r="3159" spans="1:17" ht="15" x14ac:dyDescent="0.25">
      <c r="A3159" s="3">
        <f>3152</f>
        <v>3152</v>
      </c>
      <c r="B3159" s="3" t="s">
        <v>3161</v>
      </c>
      <c r="C3159" s="3" t="s">
        <v>10</v>
      </c>
      <c r="D3159" s="3" t="s">
        <v>9</v>
      </c>
      <c r="E3159" s="3">
        <v>21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/>
      <c r="P3159" s="3"/>
      <c r="Q3159" s="3"/>
    </row>
    <row r="3160" spans="1:17" ht="15" x14ac:dyDescent="0.25">
      <c r="A3160" s="3">
        <f>3153</f>
        <v>3153</v>
      </c>
      <c r="B3160" s="3" t="s">
        <v>3162</v>
      </c>
      <c r="C3160" s="3" t="s">
        <v>10</v>
      </c>
      <c r="D3160" s="3" t="s">
        <v>9</v>
      </c>
      <c r="E3160" s="3">
        <v>21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/>
      <c r="P3160" s="3"/>
      <c r="Q3160" s="3"/>
    </row>
    <row r="3161" spans="1:17" ht="15" x14ac:dyDescent="0.25">
      <c r="A3161" s="3">
        <f>3154</f>
        <v>3154</v>
      </c>
      <c r="B3161" s="3" t="s">
        <v>3163</v>
      </c>
      <c r="C3161" s="3" t="s">
        <v>10</v>
      </c>
      <c r="D3161" s="3" t="s">
        <v>9</v>
      </c>
      <c r="E3161" s="3">
        <v>21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/>
      <c r="P3161" s="3"/>
      <c r="Q3161" s="3"/>
    </row>
    <row r="3162" spans="1:17" ht="15" x14ac:dyDescent="0.25">
      <c r="A3162" s="3">
        <f>3155</f>
        <v>3155</v>
      </c>
      <c r="B3162" s="3" t="s">
        <v>3164</v>
      </c>
      <c r="C3162" s="3" t="s">
        <v>10</v>
      </c>
      <c r="D3162" s="3" t="s">
        <v>9</v>
      </c>
      <c r="E3162" s="3">
        <v>21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/>
      <c r="P3162" s="3"/>
      <c r="Q3162" s="3"/>
    </row>
    <row r="3163" spans="1:17" ht="15" x14ac:dyDescent="0.25">
      <c r="A3163" s="3">
        <f>3156</f>
        <v>3156</v>
      </c>
      <c r="B3163" s="3" t="s">
        <v>3165</v>
      </c>
      <c r="C3163" s="3" t="s">
        <v>10</v>
      </c>
      <c r="D3163" s="3" t="s">
        <v>9</v>
      </c>
      <c r="E3163" s="3">
        <v>21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/>
      <c r="P3163" s="3"/>
      <c r="Q3163" s="3"/>
    </row>
    <row r="3164" spans="1:17" ht="15" x14ac:dyDescent="0.25">
      <c r="A3164" s="3">
        <f>3157</f>
        <v>3157</v>
      </c>
      <c r="B3164" s="3" t="s">
        <v>3166</v>
      </c>
      <c r="C3164" s="3" t="s">
        <v>10</v>
      </c>
      <c r="D3164" s="3" t="s">
        <v>9</v>
      </c>
      <c r="E3164" s="3">
        <v>21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/>
      <c r="P3164" s="3"/>
      <c r="Q3164" s="3"/>
    </row>
    <row r="3165" spans="1:17" ht="15" x14ac:dyDescent="0.25">
      <c r="A3165" s="3">
        <f>3158</f>
        <v>3158</v>
      </c>
      <c r="B3165" s="3" t="s">
        <v>3167</v>
      </c>
      <c r="C3165" s="3" t="s">
        <v>10</v>
      </c>
      <c r="D3165" s="3" t="s">
        <v>9</v>
      </c>
      <c r="E3165" s="3">
        <v>21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/>
      <c r="P3165" s="3"/>
      <c r="Q3165" s="3"/>
    </row>
    <row r="3166" spans="1:17" ht="15" x14ac:dyDescent="0.25">
      <c r="A3166" s="3">
        <f>3159</f>
        <v>3159</v>
      </c>
      <c r="B3166" s="3" t="s">
        <v>3168</v>
      </c>
      <c r="C3166" s="3" t="s">
        <v>10</v>
      </c>
      <c r="D3166" s="3" t="s">
        <v>9</v>
      </c>
      <c r="E3166" s="3">
        <v>21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/>
      <c r="P3166" s="3"/>
      <c r="Q3166" s="3"/>
    </row>
    <row r="3167" spans="1:17" ht="15" x14ac:dyDescent="0.25">
      <c r="A3167" s="3">
        <f>3160</f>
        <v>3160</v>
      </c>
      <c r="B3167" s="3" t="s">
        <v>3169</v>
      </c>
      <c r="C3167" s="3" t="s">
        <v>10</v>
      </c>
      <c r="D3167" s="3" t="s">
        <v>9</v>
      </c>
      <c r="E3167" s="3">
        <v>21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/>
      <c r="P3167" s="3"/>
      <c r="Q3167" s="3"/>
    </row>
    <row r="3168" spans="1:17" ht="15" x14ac:dyDescent="0.25">
      <c r="A3168" s="3">
        <f>3161</f>
        <v>3161</v>
      </c>
      <c r="B3168" s="3" t="s">
        <v>3170</v>
      </c>
      <c r="C3168" s="3" t="s">
        <v>10</v>
      </c>
      <c r="D3168" s="3" t="s">
        <v>9</v>
      </c>
      <c r="E3168" s="3">
        <v>21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/>
      <c r="P3168" s="3"/>
      <c r="Q3168" s="3"/>
    </row>
    <row r="3169" spans="1:17" ht="15" x14ac:dyDescent="0.25">
      <c r="A3169" s="3">
        <f>3162</f>
        <v>3162</v>
      </c>
      <c r="B3169" s="3" t="s">
        <v>3171</v>
      </c>
      <c r="C3169" s="3" t="s">
        <v>10</v>
      </c>
      <c r="D3169" s="3" t="s">
        <v>9</v>
      </c>
      <c r="E3169" s="3">
        <v>21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/>
      <c r="P3169" s="3"/>
      <c r="Q3169" s="3"/>
    </row>
    <row r="3170" spans="1:17" ht="15" x14ac:dyDescent="0.25">
      <c r="A3170" s="3">
        <f>3163</f>
        <v>3163</v>
      </c>
      <c r="B3170" s="3" t="s">
        <v>3172</v>
      </c>
      <c r="C3170" s="3" t="s">
        <v>10</v>
      </c>
      <c r="D3170" s="3" t="s">
        <v>9</v>
      </c>
      <c r="E3170" s="3">
        <v>21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/>
      <c r="P3170" s="3"/>
      <c r="Q3170" s="3"/>
    </row>
    <row r="3171" spans="1:17" ht="15" x14ac:dyDescent="0.25">
      <c r="A3171" s="3">
        <f>3164</f>
        <v>3164</v>
      </c>
      <c r="B3171" s="3" t="s">
        <v>3173</v>
      </c>
      <c r="C3171" s="3" t="s">
        <v>10</v>
      </c>
      <c r="D3171" s="3" t="s">
        <v>9</v>
      </c>
      <c r="E3171" s="3">
        <v>21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/>
      <c r="P3171" s="3"/>
      <c r="Q3171" s="3"/>
    </row>
    <row r="3172" spans="1:17" ht="15" x14ac:dyDescent="0.25">
      <c r="A3172" s="3">
        <f>3165</f>
        <v>3165</v>
      </c>
      <c r="B3172" s="3" t="s">
        <v>3174</v>
      </c>
      <c r="C3172" s="3" t="s">
        <v>10</v>
      </c>
      <c r="D3172" s="3" t="s">
        <v>9</v>
      </c>
      <c r="E3172" s="3">
        <v>21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/>
      <c r="P3172" s="3"/>
      <c r="Q3172" s="3"/>
    </row>
    <row r="3173" spans="1:17" ht="15" x14ac:dyDescent="0.25">
      <c r="A3173" s="3">
        <f>3166</f>
        <v>3166</v>
      </c>
      <c r="B3173" s="3" t="s">
        <v>3175</v>
      </c>
      <c r="C3173" s="3" t="s">
        <v>10</v>
      </c>
      <c r="D3173" s="3" t="s">
        <v>9</v>
      </c>
      <c r="E3173" s="3">
        <v>21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/>
      <c r="P3173" s="3"/>
      <c r="Q3173" s="3"/>
    </row>
    <row r="3174" spans="1:17" ht="15" x14ac:dyDescent="0.25">
      <c r="A3174" s="3">
        <f>3167</f>
        <v>3167</v>
      </c>
      <c r="B3174" s="3" t="s">
        <v>3176</v>
      </c>
      <c r="C3174" s="3" t="s">
        <v>10</v>
      </c>
      <c r="D3174" s="3" t="s">
        <v>9</v>
      </c>
      <c r="E3174" s="3">
        <v>21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/>
      <c r="P3174" s="3"/>
      <c r="Q3174" s="3"/>
    </row>
    <row r="3175" spans="1:17" ht="15" x14ac:dyDescent="0.25">
      <c r="A3175" s="3">
        <f>3168</f>
        <v>3168</v>
      </c>
      <c r="B3175" s="3" t="s">
        <v>3177</v>
      </c>
      <c r="C3175" s="3" t="s">
        <v>10</v>
      </c>
      <c r="D3175" s="3" t="s">
        <v>9</v>
      </c>
      <c r="E3175" s="3">
        <v>21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/>
      <c r="P3175" s="3"/>
      <c r="Q3175" s="3"/>
    </row>
    <row r="3176" spans="1:17" ht="15" x14ac:dyDescent="0.25">
      <c r="A3176" s="3">
        <f>3169</f>
        <v>3169</v>
      </c>
      <c r="B3176" s="3" t="s">
        <v>3178</v>
      </c>
      <c r="C3176" s="3" t="s">
        <v>10</v>
      </c>
      <c r="D3176" s="3" t="s">
        <v>9</v>
      </c>
      <c r="E3176" s="3">
        <v>21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/>
      <c r="P3176" s="3"/>
      <c r="Q3176" s="3"/>
    </row>
    <row r="3177" spans="1:17" ht="15" x14ac:dyDescent="0.25">
      <c r="A3177" s="3">
        <f>3170</f>
        <v>3170</v>
      </c>
      <c r="B3177" s="3" t="s">
        <v>3179</v>
      </c>
      <c r="C3177" s="3" t="s">
        <v>10</v>
      </c>
      <c r="D3177" s="3" t="s">
        <v>9</v>
      </c>
      <c r="E3177" s="3">
        <v>21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/>
      <c r="P3177" s="3"/>
      <c r="Q3177" s="3"/>
    </row>
    <row r="3178" spans="1:17" ht="15" x14ac:dyDescent="0.25">
      <c r="A3178" s="3">
        <f>3171</f>
        <v>3171</v>
      </c>
      <c r="B3178" s="3" t="s">
        <v>3180</v>
      </c>
      <c r="C3178" s="3" t="s">
        <v>10</v>
      </c>
      <c r="D3178" s="3" t="s">
        <v>9</v>
      </c>
      <c r="E3178" s="3">
        <v>21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/>
      <c r="P3178" s="3"/>
      <c r="Q3178" s="3"/>
    </row>
    <row r="3179" spans="1:17" ht="15" x14ac:dyDescent="0.25">
      <c r="A3179" s="3">
        <f>3172</f>
        <v>3172</v>
      </c>
      <c r="B3179" s="3" t="s">
        <v>3181</v>
      </c>
      <c r="C3179" s="3" t="s">
        <v>10</v>
      </c>
      <c r="D3179" s="3" t="s">
        <v>9</v>
      </c>
      <c r="E3179" s="3">
        <v>21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/>
      <c r="P3179" s="3"/>
      <c r="Q3179" s="3"/>
    </row>
    <row r="3180" spans="1:17" ht="15" x14ac:dyDescent="0.25">
      <c r="A3180" s="3">
        <f>3173</f>
        <v>3173</v>
      </c>
      <c r="B3180" s="3" t="s">
        <v>3182</v>
      </c>
      <c r="C3180" s="3" t="s">
        <v>10</v>
      </c>
      <c r="D3180" s="3" t="s">
        <v>9</v>
      </c>
      <c r="E3180" s="3">
        <v>21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/>
      <c r="P3180" s="3"/>
      <c r="Q3180" s="3"/>
    </row>
    <row r="3181" spans="1:17" ht="15" x14ac:dyDescent="0.25">
      <c r="A3181" s="3">
        <f>3174</f>
        <v>3174</v>
      </c>
      <c r="B3181" s="3" t="s">
        <v>3183</v>
      </c>
      <c r="C3181" s="3" t="s">
        <v>10</v>
      </c>
      <c r="D3181" s="3" t="s">
        <v>9</v>
      </c>
      <c r="E3181" s="3">
        <v>21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/>
      <c r="P3181" s="3"/>
      <c r="Q3181" s="3"/>
    </row>
    <row r="3182" spans="1:17" ht="15" x14ac:dyDescent="0.25">
      <c r="A3182" s="3">
        <f>3175</f>
        <v>3175</v>
      </c>
      <c r="B3182" s="3" t="s">
        <v>3184</v>
      </c>
      <c r="C3182" s="3" t="s">
        <v>10</v>
      </c>
      <c r="D3182" s="3" t="s">
        <v>9</v>
      </c>
      <c r="E3182" s="3">
        <v>21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/>
      <c r="P3182" s="3"/>
      <c r="Q3182" s="3"/>
    </row>
    <row r="3183" spans="1:17" ht="15" x14ac:dyDescent="0.25">
      <c r="A3183" s="3">
        <f>3176</f>
        <v>3176</v>
      </c>
      <c r="B3183" s="3" t="s">
        <v>3185</v>
      </c>
      <c r="C3183" s="3" t="s">
        <v>10</v>
      </c>
      <c r="D3183" s="3" t="s">
        <v>9</v>
      </c>
      <c r="E3183" s="3">
        <v>21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/>
      <c r="P3183" s="3"/>
      <c r="Q3183" s="3"/>
    </row>
    <row r="3184" spans="1:17" ht="15" x14ac:dyDescent="0.25">
      <c r="A3184" s="3">
        <f>3177</f>
        <v>3177</v>
      </c>
      <c r="B3184" s="3" t="s">
        <v>3186</v>
      </c>
      <c r="C3184" s="3" t="s">
        <v>10</v>
      </c>
      <c r="D3184" s="3" t="s">
        <v>9</v>
      </c>
      <c r="E3184" s="3">
        <v>21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/>
      <c r="P3184" s="3"/>
      <c r="Q3184" s="3"/>
    </row>
    <row r="3185" spans="1:17" ht="15" x14ac:dyDescent="0.25">
      <c r="A3185" s="3">
        <f>3178</f>
        <v>3178</v>
      </c>
      <c r="B3185" s="3" t="s">
        <v>3187</v>
      </c>
      <c r="C3185" s="3" t="s">
        <v>10</v>
      </c>
      <c r="D3185" s="3" t="s">
        <v>9</v>
      </c>
      <c r="E3185" s="3">
        <v>21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/>
      <c r="P3185" s="3"/>
      <c r="Q3185" s="3"/>
    </row>
    <row r="3186" spans="1:17" ht="15" x14ac:dyDescent="0.25">
      <c r="A3186" s="3">
        <f>3179</f>
        <v>3179</v>
      </c>
      <c r="B3186" s="3" t="s">
        <v>3188</v>
      </c>
      <c r="C3186" s="3" t="s">
        <v>10</v>
      </c>
      <c r="D3186" s="3" t="s">
        <v>9</v>
      </c>
      <c r="E3186" s="3">
        <v>21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/>
      <c r="P3186" s="3"/>
      <c r="Q3186" s="3"/>
    </row>
    <row r="3187" spans="1:17" ht="15" x14ac:dyDescent="0.25">
      <c r="A3187" s="3">
        <f>3180</f>
        <v>3180</v>
      </c>
      <c r="B3187" s="3" t="s">
        <v>3189</v>
      </c>
      <c r="C3187" s="3" t="s">
        <v>10</v>
      </c>
      <c r="D3187" s="3" t="s">
        <v>9</v>
      </c>
      <c r="E3187" s="3">
        <v>21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/>
      <c r="P3187" s="3"/>
      <c r="Q3187" s="3"/>
    </row>
    <row r="3188" spans="1:17" ht="15" x14ac:dyDescent="0.25">
      <c r="A3188" s="3">
        <f>3181</f>
        <v>3181</v>
      </c>
      <c r="B3188" s="3" t="s">
        <v>3190</v>
      </c>
      <c r="C3188" s="3" t="s">
        <v>10</v>
      </c>
      <c r="D3188" s="3" t="s">
        <v>9</v>
      </c>
      <c r="E3188" s="3">
        <v>21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/>
      <c r="P3188" s="3"/>
      <c r="Q3188" s="3"/>
    </row>
    <row r="3189" spans="1:17" ht="15" x14ac:dyDescent="0.25">
      <c r="A3189" s="3">
        <f>3182</f>
        <v>3182</v>
      </c>
      <c r="B3189" s="3" t="s">
        <v>3191</v>
      </c>
      <c r="C3189" s="3" t="s">
        <v>10</v>
      </c>
      <c r="D3189" s="3" t="s">
        <v>9</v>
      </c>
      <c r="E3189" s="3">
        <v>21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/>
      <c r="P3189" s="3"/>
      <c r="Q3189" s="3"/>
    </row>
    <row r="3190" spans="1:17" ht="15" x14ac:dyDescent="0.25">
      <c r="A3190" s="3">
        <f>3183</f>
        <v>3183</v>
      </c>
      <c r="B3190" s="3" t="s">
        <v>3192</v>
      </c>
      <c r="C3190" s="3" t="s">
        <v>10</v>
      </c>
      <c r="D3190" s="3" t="s">
        <v>9</v>
      </c>
      <c r="E3190" s="3">
        <v>21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/>
      <c r="P3190" s="3"/>
      <c r="Q3190" s="3"/>
    </row>
    <row r="3191" spans="1:17" ht="15" x14ac:dyDescent="0.25">
      <c r="A3191" s="3">
        <f>3184</f>
        <v>3184</v>
      </c>
      <c r="B3191" s="3" t="s">
        <v>3193</v>
      </c>
      <c r="C3191" s="3" t="s">
        <v>10</v>
      </c>
      <c r="D3191" s="3" t="s">
        <v>9</v>
      </c>
      <c r="E3191" s="3">
        <v>21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/>
      <c r="P3191" s="3"/>
      <c r="Q3191" s="3"/>
    </row>
    <row r="3192" spans="1:17" ht="15" x14ac:dyDescent="0.25">
      <c r="A3192" s="3">
        <f>3185</f>
        <v>3185</v>
      </c>
      <c r="B3192" s="3" t="s">
        <v>3194</v>
      </c>
      <c r="C3192" s="3" t="s">
        <v>10</v>
      </c>
      <c r="D3192" s="3" t="s">
        <v>9</v>
      </c>
      <c r="E3192" s="3">
        <v>21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/>
      <c r="P3192" s="3"/>
      <c r="Q3192" s="3"/>
    </row>
    <row r="3193" spans="1:17" ht="15" x14ac:dyDescent="0.25">
      <c r="A3193" s="3">
        <f>3186</f>
        <v>3186</v>
      </c>
      <c r="B3193" s="3" t="s">
        <v>3195</v>
      </c>
      <c r="C3193" s="3" t="s">
        <v>10</v>
      </c>
      <c r="D3193" s="3" t="s">
        <v>9</v>
      </c>
      <c r="E3193" s="3">
        <v>21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/>
      <c r="P3193" s="3"/>
      <c r="Q3193" s="3"/>
    </row>
    <row r="3194" spans="1:17" ht="15" x14ac:dyDescent="0.25">
      <c r="A3194" s="3">
        <f>3187</f>
        <v>3187</v>
      </c>
      <c r="B3194" s="3" t="s">
        <v>3196</v>
      </c>
      <c r="C3194" s="3" t="s">
        <v>10</v>
      </c>
      <c r="D3194" s="3" t="s">
        <v>9</v>
      </c>
      <c r="E3194" s="3">
        <v>21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/>
      <c r="P3194" s="3"/>
      <c r="Q3194" s="3"/>
    </row>
    <row r="3195" spans="1:17" ht="15" x14ac:dyDescent="0.25">
      <c r="A3195" s="3">
        <f>3188</f>
        <v>3188</v>
      </c>
      <c r="B3195" s="3" t="s">
        <v>3197</v>
      </c>
      <c r="C3195" s="3" t="s">
        <v>10</v>
      </c>
      <c r="D3195" s="3" t="s">
        <v>9</v>
      </c>
      <c r="E3195" s="3">
        <v>21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/>
      <c r="P3195" s="3"/>
      <c r="Q3195" s="3"/>
    </row>
    <row r="3196" spans="1:17" ht="15" x14ac:dyDescent="0.25">
      <c r="A3196" s="3">
        <f>3189</f>
        <v>3189</v>
      </c>
      <c r="B3196" s="3" t="s">
        <v>3198</v>
      </c>
      <c r="C3196" s="3" t="s">
        <v>10</v>
      </c>
      <c r="D3196" s="3" t="s">
        <v>9</v>
      </c>
      <c r="E3196" s="3">
        <v>21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/>
      <c r="P3196" s="3"/>
      <c r="Q3196" s="3"/>
    </row>
    <row r="3197" spans="1:17" ht="15" x14ac:dyDescent="0.25">
      <c r="A3197" s="3">
        <f>3190</f>
        <v>3190</v>
      </c>
      <c r="B3197" s="3" t="s">
        <v>3199</v>
      </c>
      <c r="C3197" s="3" t="s">
        <v>10</v>
      </c>
      <c r="D3197" s="3" t="s">
        <v>9</v>
      </c>
      <c r="E3197" s="3">
        <v>21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/>
      <c r="P3197" s="3"/>
      <c r="Q3197" s="3"/>
    </row>
    <row r="3198" spans="1:17" ht="15" x14ac:dyDescent="0.25">
      <c r="A3198" s="3">
        <f>3191</f>
        <v>3191</v>
      </c>
      <c r="B3198" s="3" t="s">
        <v>3200</v>
      </c>
      <c r="C3198" s="3" t="s">
        <v>10</v>
      </c>
      <c r="D3198" s="3" t="s">
        <v>9</v>
      </c>
      <c r="E3198" s="3">
        <v>21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/>
      <c r="P3198" s="3"/>
      <c r="Q3198" s="3"/>
    </row>
    <row r="3199" spans="1:17" ht="15" x14ac:dyDescent="0.25">
      <c r="A3199" s="3">
        <f>3192</f>
        <v>3192</v>
      </c>
      <c r="B3199" s="3" t="s">
        <v>3201</v>
      </c>
      <c r="C3199" s="3" t="s">
        <v>10</v>
      </c>
      <c r="D3199" s="3" t="s">
        <v>9</v>
      </c>
      <c r="E3199" s="3">
        <v>21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/>
      <c r="P3199" s="3"/>
      <c r="Q3199" s="3"/>
    </row>
    <row r="3200" spans="1:17" ht="15" x14ac:dyDescent="0.25">
      <c r="A3200" s="3">
        <f>3193</f>
        <v>3193</v>
      </c>
      <c r="B3200" s="3" t="s">
        <v>3202</v>
      </c>
      <c r="C3200" s="3" t="s">
        <v>10</v>
      </c>
      <c r="D3200" s="3" t="s">
        <v>9</v>
      </c>
      <c r="E3200" s="3">
        <v>21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/>
      <c r="P3200" s="3"/>
      <c r="Q3200" s="3"/>
    </row>
    <row r="3201" spans="1:17" ht="15" x14ac:dyDescent="0.25">
      <c r="A3201" s="3">
        <f>3194</f>
        <v>3194</v>
      </c>
      <c r="B3201" s="3" t="s">
        <v>3203</v>
      </c>
      <c r="C3201" s="3" t="s">
        <v>10</v>
      </c>
      <c r="D3201" s="3" t="s">
        <v>9</v>
      </c>
      <c r="E3201" s="3">
        <v>21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/>
      <c r="P3201" s="3"/>
      <c r="Q3201" s="3"/>
    </row>
    <row r="3202" spans="1:17" ht="15" x14ac:dyDescent="0.25">
      <c r="A3202" s="3">
        <f>3195</f>
        <v>3195</v>
      </c>
      <c r="B3202" s="3" t="s">
        <v>3204</v>
      </c>
      <c r="C3202" s="3" t="s">
        <v>10</v>
      </c>
      <c r="D3202" s="3" t="s">
        <v>9</v>
      </c>
      <c r="E3202" s="3">
        <v>21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/>
      <c r="P3202" s="3"/>
      <c r="Q3202" s="3"/>
    </row>
    <row r="3203" spans="1:17" ht="15" x14ac:dyDescent="0.25">
      <c r="A3203" s="3">
        <f>3196</f>
        <v>3196</v>
      </c>
      <c r="B3203" s="3" t="s">
        <v>3205</v>
      </c>
      <c r="C3203" s="3" t="s">
        <v>10</v>
      </c>
      <c r="D3203" s="3" t="s">
        <v>9</v>
      </c>
      <c r="E3203" s="3">
        <v>21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/>
      <c r="P3203" s="3"/>
      <c r="Q3203" s="3"/>
    </row>
    <row r="3204" spans="1:17" ht="15" x14ac:dyDescent="0.25">
      <c r="A3204" s="3">
        <f>3197</f>
        <v>3197</v>
      </c>
      <c r="B3204" s="3" t="s">
        <v>3206</v>
      </c>
      <c r="C3204" s="3" t="s">
        <v>10</v>
      </c>
      <c r="D3204" s="3" t="s">
        <v>9</v>
      </c>
      <c r="E3204" s="3">
        <v>21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/>
      <c r="P3204" s="3"/>
      <c r="Q3204" s="3"/>
    </row>
    <row r="3205" spans="1:17" ht="15" x14ac:dyDescent="0.25">
      <c r="A3205" s="3">
        <f>3198</f>
        <v>3198</v>
      </c>
      <c r="B3205" s="3" t="s">
        <v>3207</v>
      </c>
      <c r="C3205" s="3" t="s">
        <v>10</v>
      </c>
      <c r="D3205" s="3" t="s">
        <v>9</v>
      </c>
      <c r="E3205" s="3">
        <v>21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/>
      <c r="P3205" s="3"/>
      <c r="Q3205" s="3"/>
    </row>
    <row r="3206" spans="1:17" ht="15" x14ac:dyDescent="0.25">
      <c r="A3206" s="3">
        <f>3199</f>
        <v>3199</v>
      </c>
      <c r="B3206" s="3" t="s">
        <v>3208</v>
      </c>
      <c r="C3206" s="3" t="s">
        <v>10</v>
      </c>
      <c r="D3206" s="3" t="s">
        <v>9</v>
      </c>
      <c r="E3206" s="3">
        <v>21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/>
      <c r="P3206" s="3"/>
      <c r="Q3206" s="3"/>
    </row>
    <row r="3207" spans="1:17" ht="15" x14ac:dyDescent="0.25">
      <c r="A3207" s="3">
        <f>3200</f>
        <v>3200</v>
      </c>
      <c r="B3207" s="3" t="s">
        <v>3209</v>
      </c>
      <c r="C3207" s="3" t="s">
        <v>10</v>
      </c>
      <c r="D3207" s="3" t="s">
        <v>9</v>
      </c>
      <c r="E3207" s="3">
        <v>21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/>
      <c r="P3207" s="3"/>
      <c r="Q3207" s="3"/>
    </row>
    <row r="3208" spans="1:17" ht="15" x14ac:dyDescent="0.25">
      <c r="A3208" s="3">
        <f>3201</f>
        <v>3201</v>
      </c>
      <c r="B3208" s="3" t="s">
        <v>3210</v>
      </c>
      <c r="C3208" s="3" t="s">
        <v>10</v>
      </c>
      <c r="D3208" s="3" t="s">
        <v>9</v>
      </c>
      <c r="E3208" s="3">
        <v>21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/>
      <c r="P3208" s="3"/>
      <c r="Q3208" s="3"/>
    </row>
    <row r="3209" spans="1:17" ht="15" x14ac:dyDescent="0.25">
      <c r="A3209" s="3">
        <f>3202</f>
        <v>3202</v>
      </c>
      <c r="B3209" s="3" t="s">
        <v>3211</v>
      </c>
      <c r="C3209" s="3" t="s">
        <v>10</v>
      </c>
      <c r="D3209" s="3" t="s">
        <v>9</v>
      </c>
      <c r="E3209" s="3">
        <v>21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/>
      <c r="P3209" s="3"/>
      <c r="Q3209" s="3"/>
    </row>
    <row r="3210" spans="1:17" ht="15" x14ac:dyDescent="0.25">
      <c r="A3210" s="3">
        <f>3203</f>
        <v>3203</v>
      </c>
      <c r="B3210" s="3" t="s">
        <v>3212</v>
      </c>
      <c r="C3210" s="3" t="s">
        <v>10</v>
      </c>
      <c r="D3210" s="3" t="s">
        <v>9</v>
      </c>
      <c r="E3210" s="3">
        <v>21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/>
      <c r="P3210" s="3"/>
      <c r="Q3210" s="3"/>
    </row>
    <row r="3211" spans="1:17" ht="15" x14ac:dyDescent="0.25">
      <c r="A3211" s="3">
        <f>3204</f>
        <v>3204</v>
      </c>
      <c r="B3211" s="3" t="s">
        <v>3213</v>
      </c>
      <c r="C3211" s="3" t="s">
        <v>10</v>
      </c>
      <c r="D3211" s="3" t="s">
        <v>9</v>
      </c>
      <c r="E3211" s="3">
        <v>21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/>
      <c r="P3211" s="3"/>
      <c r="Q3211" s="3"/>
    </row>
    <row r="3212" spans="1:17" ht="15" x14ac:dyDescent="0.25">
      <c r="A3212" s="3">
        <f>3205</f>
        <v>3205</v>
      </c>
      <c r="B3212" s="3" t="s">
        <v>3214</v>
      </c>
      <c r="C3212" s="3" t="s">
        <v>10</v>
      </c>
      <c r="D3212" s="3" t="s">
        <v>9</v>
      </c>
      <c r="E3212" s="3">
        <v>21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/>
      <c r="P3212" s="3"/>
      <c r="Q3212" s="3"/>
    </row>
    <row r="3213" spans="1:17" ht="15" x14ac:dyDescent="0.25">
      <c r="A3213" s="3">
        <f>3206</f>
        <v>3206</v>
      </c>
      <c r="B3213" s="3" t="s">
        <v>3215</v>
      </c>
      <c r="C3213" s="3" t="s">
        <v>10</v>
      </c>
      <c r="D3213" s="3" t="s">
        <v>9</v>
      </c>
      <c r="E3213" s="3">
        <v>21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/>
      <c r="P3213" s="3"/>
      <c r="Q3213" s="3"/>
    </row>
    <row r="3214" spans="1:17" ht="15" x14ac:dyDescent="0.25">
      <c r="A3214" s="3">
        <f>3207</f>
        <v>3207</v>
      </c>
      <c r="B3214" s="3" t="s">
        <v>3216</v>
      </c>
      <c r="C3214" s="3" t="s">
        <v>10</v>
      </c>
      <c r="D3214" s="3" t="s">
        <v>9</v>
      </c>
      <c r="E3214" s="3">
        <v>21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/>
      <c r="P3214" s="3"/>
      <c r="Q3214" s="3"/>
    </row>
    <row r="3215" spans="1:17" ht="15" x14ac:dyDescent="0.25">
      <c r="A3215" s="3">
        <f>3208</f>
        <v>3208</v>
      </c>
      <c r="B3215" s="3" t="s">
        <v>3217</v>
      </c>
      <c r="C3215" s="3" t="s">
        <v>10</v>
      </c>
      <c r="D3215" s="3" t="s">
        <v>9</v>
      </c>
      <c r="E3215" s="3">
        <v>21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/>
      <c r="P3215" s="3"/>
      <c r="Q3215" s="3"/>
    </row>
    <row r="3216" spans="1:17" ht="15" x14ac:dyDescent="0.25">
      <c r="A3216" s="3">
        <f>3209</f>
        <v>3209</v>
      </c>
      <c r="B3216" s="3" t="s">
        <v>3218</v>
      </c>
      <c r="C3216" s="3" t="s">
        <v>10</v>
      </c>
      <c r="D3216" s="3" t="s">
        <v>9</v>
      </c>
      <c r="E3216" s="3">
        <v>21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/>
      <c r="P3216" s="3"/>
      <c r="Q3216" s="3"/>
    </row>
    <row r="3217" spans="1:17" ht="15" x14ac:dyDescent="0.25">
      <c r="A3217" s="3">
        <f>3210</f>
        <v>3210</v>
      </c>
      <c r="B3217" s="3" t="s">
        <v>3219</v>
      </c>
      <c r="C3217" s="3" t="s">
        <v>10</v>
      </c>
      <c r="D3217" s="3" t="s">
        <v>9</v>
      </c>
      <c r="E3217" s="3">
        <v>21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/>
      <c r="P3217" s="3"/>
      <c r="Q3217" s="3"/>
    </row>
    <row r="3218" spans="1:17" ht="15" x14ac:dyDescent="0.25">
      <c r="A3218" s="3">
        <f>3211</f>
        <v>3211</v>
      </c>
      <c r="B3218" s="3" t="s">
        <v>3220</v>
      </c>
      <c r="C3218" s="3" t="s">
        <v>10</v>
      </c>
      <c r="D3218" s="3" t="s">
        <v>9</v>
      </c>
      <c r="E3218" s="3">
        <v>21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/>
      <c r="P3218" s="3"/>
      <c r="Q3218" s="3"/>
    </row>
    <row r="3219" spans="1:17" ht="15" x14ac:dyDescent="0.25">
      <c r="A3219" s="3">
        <f>3212</f>
        <v>3212</v>
      </c>
      <c r="B3219" s="3" t="s">
        <v>3221</v>
      </c>
      <c r="C3219" s="3" t="s">
        <v>10</v>
      </c>
      <c r="D3219" s="3" t="s">
        <v>9</v>
      </c>
      <c r="E3219" s="3">
        <v>21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/>
      <c r="P3219" s="3"/>
      <c r="Q3219" s="3"/>
    </row>
    <row r="3220" spans="1:17" ht="15" x14ac:dyDescent="0.25">
      <c r="A3220" s="3">
        <f>3213</f>
        <v>3213</v>
      </c>
      <c r="B3220" s="3" t="s">
        <v>3222</v>
      </c>
      <c r="C3220" s="3" t="s">
        <v>10</v>
      </c>
      <c r="D3220" s="3" t="s">
        <v>9</v>
      </c>
      <c r="E3220" s="3">
        <v>21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/>
      <c r="P3220" s="3"/>
      <c r="Q3220" s="3"/>
    </row>
    <row r="3221" spans="1:17" ht="15" x14ac:dyDescent="0.25">
      <c r="A3221" s="3">
        <f>3214</f>
        <v>3214</v>
      </c>
      <c r="B3221" s="3" t="s">
        <v>3223</v>
      </c>
      <c r="C3221" s="3" t="s">
        <v>10</v>
      </c>
      <c r="D3221" s="3" t="s">
        <v>9</v>
      </c>
      <c r="E3221" s="3">
        <v>21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/>
      <c r="P3221" s="3"/>
      <c r="Q3221" s="3"/>
    </row>
    <row r="3222" spans="1:17" ht="15" x14ac:dyDescent="0.25">
      <c r="A3222" s="3">
        <f>3215</f>
        <v>3215</v>
      </c>
      <c r="B3222" s="3" t="s">
        <v>3224</v>
      </c>
      <c r="C3222" s="3" t="s">
        <v>10</v>
      </c>
      <c r="D3222" s="3" t="s">
        <v>9</v>
      </c>
      <c r="E3222" s="3">
        <v>21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/>
      <c r="P3222" s="3"/>
      <c r="Q3222" s="3"/>
    </row>
    <row r="3223" spans="1:17" ht="15" x14ac:dyDescent="0.25">
      <c r="A3223" s="3">
        <f>3216</f>
        <v>3216</v>
      </c>
      <c r="B3223" s="3" t="s">
        <v>3225</v>
      </c>
      <c r="C3223" s="3" t="s">
        <v>10</v>
      </c>
      <c r="D3223" s="3" t="s">
        <v>9</v>
      </c>
      <c r="E3223" s="3">
        <v>21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/>
      <c r="P3223" s="3"/>
      <c r="Q3223" s="3"/>
    </row>
    <row r="3224" spans="1:17" ht="15" x14ac:dyDescent="0.25">
      <c r="A3224" s="3">
        <f>3217</f>
        <v>3217</v>
      </c>
      <c r="B3224" s="3" t="s">
        <v>3226</v>
      </c>
      <c r="C3224" s="3" t="s">
        <v>10</v>
      </c>
      <c r="D3224" s="3" t="s">
        <v>9</v>
      </c>
      <c r="E3224" s="3">
        <v>21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/>
      <c r="P3224" s="3"/>
      <c r="Q3224" s="3"/>
    </row>
    <row r="3225" spans="1:17" ht="15" x14ac:dyDescent="0.25">
      <c r="A3225" s="3">
        <f>3218</f>
        <v>3218</v>
      </c>
      <c r="B3225" s="3" t="s">
        <v>3227</v>
      </c>
      <c r="C3225" s="3" t="s">
        <v>10</v>
      </c>
      <c r="D3225" s="3" t="s">
        <v>9</v>
      </c>
      <c r="E3225" s="3">
        <v>21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/>
      <c r="P3225" s="3"/>
      <c r="Q3225" s="3"/>
    </row>
    <row r="3226" spans="1:17" ht="15" x14ac:dyDescent="0.25">
      <c r="A3226" s="3">
        <f>3219</f>
        <v>3219</v>
      </c>
      <c r="B3226" s="3" t="s">
        <v>3228</v>
      </c>
      <c r="C3226" s="3" t="s">
        <v>10</v>
      </c>
      <c r="D3226" s="3" t="s">
        <v>9</v>
      </c>
      <c r="E3226" s="3">
        <v>21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/>
      <c r="P3226" s="3"/>
      <c r="Q3226" s="3"/>
    </row>
    <row r="3227" spans="1:17" ht="15" x14ac:dyDescent="0.25">
      <c r="A3227" s="3">
        <f>3220</f>
        <v>3220</v>
      </c>
      <c r="B3227" s="3" t="s">
        <v>3229</v>
      </c>
      <c r="C3227" s="3" t="s">
        <v>10</v>
      </c>
      <c r="D3227" s="3" t="s">
        <v>9</v>
      </c>
      <c r="E3227" s="3">
        <v>21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/>
      <c r="P3227" s="3"/>
      <c r="Q3227" s="3"/>
    </row>
    <row r="3228" spans="1:17" ht="15" x14ac:dyDescent="0.25">
      <c r="A3228" s="3">
        <f>3221</f>
        <v>3221</v>
      </c>
      <c r="B3228" s="3" t="s">
        <v>3230</v>
      </c>
      <c r="C3228" s="3" t="s">
        <v>10</v>
      </c>
      <c r="D3228" s="3" t="s">
        <v>9</v>
      </c>
      <c r="E3228" s="3">
        <v>21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/>
      <c r="P3228" s="3"/>
      <c r="Q3228" s="3"/>
    </row>
    <row r="3229" spans="1:17" ht="15" x14ac:dyDescent="0.25">
      <c r="A3229" s="3">
        <f>3222</f>
        <v>3222</v>
      </c>
      <c r="B3229" s="3" t="s">
        <v>3231</v>
      </c>
      <c r="C3229" s="3" t="s">
        <v>10</v>
      </c>
      <c r="D3229" s="3" t="s">
        <v>9</v>
      </c>
      <c r="E3229" s="3">
        <v>21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/>
      <c r="P3229" s="3"/>
      <c r="Q3229" s="3"/>
    </row>
    <row r="3230" spans="1:17" ht="15" x14ac:dyDescent="0.25">
      <c r="A3230" s="3">
        <f>3223</f>
        <v>3223</v>
      </c>
      <c r="B3230" s="3" t="s">
        <v>3232</v>
      </c>
      <c r="C3230" s="3" t="s">
        <v>10</v>
      </c>
      <c r="D3230" s="3" t="s">
        <v>9</v>
      </c>
      <c r="E3230" s="3">
        <v>21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/>
      <c r="P3230" s="3"/>
      <c r="Q3230" s="3"/>
    </row>
    <row r="3231" spans="1:17" ht="15" x14ac:dyDescent="0.25">
      <c r="A3231" s="3">
        <f>3224</f>
        <v>3224</v>
      </c>
      <c r="B3231" s="3" t="s">
        <v>3233</v>
      </c>
      <c r="C3231" s="3" t="s">
        <v>10</v>
      </c>
      <c r="D3231" s="3" t="s">
        <v>9</v>
      </c>
      <c r="E3231" s="3">
        <v>21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/>
      <c r="P3231" s="3"/>
      <c r="Q3231" s="3"/>
    </row>
    <row r="3232" spans="1:17" ht="15" x14ac:dyDescent="0.25">
      <c r="A3232" s="3">
        <f>3225</f>
        <v>3225</v>
      </c>
      <c r="B3232" s="3" t="s">
        <v>3234</v>
      </c>
      <c r="C3232" s="3" t="s">
        <v>10</v>
      </c>
      <c r="D3232" s="3" t="s">
        <v>9</v>
      </c>
      <c r="E3232" s="3">
        <v>21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/>
      <c r="P3232" s="3"/>
      <c r="Q3232" s="3"/>
    </row>
    <row r="3233" spans="1:17" ht="15" x14ac:dyDescent="0.25">
      <c r="A3233" s="3">
        <f>3226</f>
        <v>3226</v>
      </c>
      <c r="B3233" s="3" t="s">
        <v>3235</v>
      </c>
      <c r="C3233" s="3" t="s">
        <v>10</v>
      </c>
      <c r="D3233" s="3" t="s">
        <v>9</v>
      </c>
      <c r="E3233" s="3">
        <v>21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/>
      <c r="P3233" s="3"/>
      <c r="Q3233" s="3"/>
    </row>
    <row r="3234" spans="1:17" ht="15" x14ac:dyDescent="0.25">
      <c r="A3234" s="3">
        <f>3227</f>
        <v>3227</v>
      </c>
      <c r="B3234" s="3" t="s">
        <v>3236</v>
      </c>
      <c r="C3234" s="3" t="s">
        <v>10</v>
      </c>
      <c r="D3234" s="3" t="s">
        <v>9</v>
      </c>
      <c r="E3234" s="3">
        <v>21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/>
      <c r="P3234" s="3"/>
      <c r="Q3234" s="3"/>
    </row>
    <row r="3235" spans="1:17" ht="15" x14ac:dyDescent="0.25">
      <c r="A3235" s="3">
        <f>3228</f>
        <v>3228</v>
      </c>
      <c r="B3235" s="3" t="s">
        <v>3237</v>
      </c>
      <c r="C3235" s="3" t="s">
        <v>10</v>
      </c>
      <c r="D3235" s="3" t="s">
        <v>9</v>
      </c>
      <c r="E3235" s="3">
        <v>21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/>
      <c r="P3235" s="3"/>
      <c r="Q3235" s="3"/>
    </row>
    <row r="3236" spans="1:17" ht="15" x14ac:dyDescent="0.25">
      <c r="A3236" s="3">
        <f>3229</f>
        <v>3229</v>
      </c>
      <c r="B3236" s="3" t="s">
        <v>3238</v>
      </c>
      <c r="C3236" s="3" t="s">
        <v>10</v>
      </c>
      <c r="D3236" s="3" t="s">
        <v>9</v>
      </c>
      <c r="E3236" s="3">
        <v>21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/>
      <c r="P3236" s="3"/>
      <c r="Q3236" s="3"/>
    </row>
    <row r="3237" spans="1:17" ht="15" x14ac:dyDescent="0.25">
      <c r="A3237" s="3">
        <f>3230</f>
        <v>3230</v>
      </c>
      <c r="B3237" s="3" t="s">
        <v>3239</v>
      </c>
      <c r="C3237" s="3" t="s">
        <v>10</v>
      </c>
      <c r="D3237" s="3" t="s">
        <v>9</v>
      </c>
      <c r="E3237" s="3">
        <v>21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/>
      <c r="P3237" s="3"/>
      <c r="Q3237" s="3"/>
    </row>
    <row r="3238" spans="1:17" ht="15" x14ac:dyDescent="0.25">
      <c r="A3238" s="3">
        <f>3231</f>
        <v>3231</v>
      </c>
      <c r="B3238" s="3" t="s">
        <v>3240</v>
      </c>
      <c r="C3238" s="3" t="s">
        <v>10</v>
      </c>
      <c r="D3238" s="3" t="s">
        <v>9</v>
      </c>
      <c r="E3238" s="3">
        <v>21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/>
      <c r="P3238" s="3"/>
      <c r="Q3238" s="3"/>
    </row>
    <row r="3239" spans="1:17" ht="15" x14ac:dyDescent="0.25">
      <c r="A3239" s="3">
        <f>3232</f>
        <v>3232</v>
      </c>
      <c r="B3239" s="3" t="s">
        <v>3241</v>
      </c>
      <c r="C3239" s="3" t="s">
        <v>10</v>
      </c>
      <c r="D3239" s="3" t="s">
        <v>9</v>
      </c>
      <c r="E3239" s="3">
        <v>21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/>
      <c r="P3239" s="3"/>
      <c r="Q3239" s="3"/>
    </row>
    <row r="3240" spans="1:17" ht="15" x14ac:dyDescent="0.25">
      <c r="A3240" s="3">
        <f>3233</f>
        <v>3233</v>
      </c>
      <c r="B3240" s="3" t="s">
        <v>3242</v>
      </c>
      <c r="C3240" s="3" t="s">
        <v>10</v>
      </c>
      <c r="D3240" s="3" t="s">
        <v>9</v>
      </c>
      <c r="E3240" s="3">
        <v>21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/>
      <c r="P3240" s="3"/>
      <c r="Q3240" s="3"/>
    </row>
    <row r="3241" spans="1:17" ht="15" x14ac:dyDescent="0.25">
      <c r="A3241" s="3">
        <f>3234</f>
        <v>3234</v>
      </c>
      <c r="B3241" s="3" t="s">
        <v>3243</v>
      </c>
      <c r="C3241" s="3" t="s">
        <v>10</v>
      </c>
      <c r="D3241" s="3" t="s">
        <v>9</v>
      </c>
      <c r="E3241" s="3">
        <v>21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/>
      <c r="P3241" s="3"/>
      <c r="Q3241" s="3"/>
    </row>
    <row r="3242" spans="1:17" ht="15" x14ac:dyDescent="0.25">
      <c r="A3242" s="3">
        <f>3235</f>
        <v>3235</v>
      </c>
      <c r="B3242" s="3" t="s">
        <v>3244</v>
      </c>
      <c r="C3242" s="3" t="s">
        <v>10</v>
      </c>
      <c r="D3242" s="3" t="s">
        <v>9</v>
      </c>
      <c r="E3242" s="3">
        <v>21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/>
      <c r="P3242" s="3"/>
      <c r="Q3242" s="3"/>
    </row>
    <row r="3243" spans="1:17" ht="15" x14ac:dyDescent="0.25">
      <c r="A3243" s="3">
        <f>3236</f>
        <v>3236</v>
      </c>
      <c r="B3243" s="3" t="s">
        <v>3245</v>
      </c>
      <c r="C3243" s="3" t="s">
        <v>10</v>
      </c>
      <c r="D3243" s="3" t="s">
        <v>9</v>
      </c>
      <c r="E3243" s="3">
        <v>21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/>
      <c r="P3243" s="3"/>
      <c r="Q3243" s="3"/>
    </row>
    <row r="3244" spans="1:17" ht="15" x14ac:dyDescent="0.25">
      <c r="A3244" s="3">
        <f>3237</f>
        <v>3237</v>
      </c>
      <c r="B3244" s="3" t="s">
        <v>3246</v>
      </c>
      <c r="C3244" s="3" t="s">
        <v>10</v>
      </c>
      <c r="D3244" s="3" t="s">
        <v>9</v>
      </c>
      <c r="E3244" s="3">
        <v>21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/>
      <c r="P3244" s="3"/>
      <c r="Q3244" s="3"/>
    </row>
    <row r="3245" spans="1:17" ht="15" x14ac:dyDescent="0.25">
      <c r="A3245" s="3">
        <f>3238</f>
        <v>3238</v>
      </c>
      <c r="B3245" s="3" t="s">
        <v>3247</v>
      </c>
      <c r="C3245" s="3" t="s">
        <v>10</v>
      </c>
      <c r="D3245" s="3" t="s">
        <v>9</v>
      </c>
      <c r="E3245" s="3">
        <v>21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/>
      <c r="P3245" s="3"/>
      <c r="Q3245" s="3"/>
    </row>
    <row r="3246" spans="1:17" ht="15" x14ac:dyDescent="0.25">
      <c r="A3246" s="3">
        <f>3239</f>
        <v>3239</v>
      </c>
      <c r="B3246" s="3" t="s">
        <v>3248</v>
      </c>
      <c r="C3246" s="3" t="s">
        <v>10</v>
      </c>
      <c r="D3246" s="3" t="s">
        <v>9</v>
      </c>
      <c r="E3246" s="3">
        <v>21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/>
      <c r="P3246" s="3"/>
      <c r="Q3246" s="3"/>
    </row>
    <row r="3247" spans="1:17" ht="15" x14ac:dyDescent="0.25">
      <c r="A3247" s="3">
        <f>3240</f>
        <v>3240</v>
      </c>
      <c r="B3247" s="3" t="s">
        <v>3249</v>
      </c>
      <c r="C3247" s="3" t="s">
        <v>10</v>
      </c>
      <c r="D3247" s="3" t="s">
        <v>9</v>
      </c>
      <c r="E3247" s="3">
        <v>21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/>
      <c r="P3247" s="3"/>
      <c r="Q3247" s="3"/>
    </row>
    <row r="3248" spans="1:17" ht="15" x14ac:dyDescent="0.25">
      <c r="A3248" s="3">
        <f>3241</f>
        <v>3241</v>
      </c>
      <c r="B3248" s="3" t="s">
        <v>3250</v>
      </c>
      <c r="C3248" s="3" t="s">
        <v>10</v>
      </c>
      <c r="D3248" s="3" t="s">
        <v>9</v>
      </c>
      <c r="E3248" s="3">
        <v>21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/>
      <c r="P3248" s="3"/>
      <c r="Q3248" s="3"/>
    </row>
    <row r="3249" spans="1:17" ht="15" x14ac:dyDescent="0.25">
      <c r="A3249" s="3">
        <f>3242</f>
        <v>3242</v>
      </c>
      <c r="B3249" s="3" t="s">
        <v>3251</v>
      </c>
      <c r="C3249" s="3" t="s">
        <v>10</v>
      </c>
      <c r="D3249" s="3" t="s">
        <v>9</v>
      </c>
      <c r="E3249" s="3">
        <v>21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/>
      <c r="P3249" s="3"/>
      <c r="Q3249" s="3"/>
    </row>
    <row r="3250" spans="1:17" ht="15" x14ac:dyDescent="0.25">
      <c r="A3250" s="3">
        <f>3243</f>
        <v>3243</v>
      </c>
      <c r="B3250" s="3" t="s">
        <v>3252</v>
      </c>
      <c r="C3250" s="3" t="s">
        <v>9</v>
      </c>
      <c r="D3250" s="3" t="s">
        <v>10</v>
      </c>
      <c r="E3250" s="3">
        <v>21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/>
      <c r="P3250" s="3"/>
      <c r="Q3250" s="3"/>
    </row>
    <row r="3251" spans="1:17" ht="15" x14ac:dyDescent="0.25">
      <c r="A3251" s="3">
        <f>3244</f>
        <v>3244</v>
      </c>
      <c r="B3251" s="3" t="s">
        <v>3253</v>
      </c>
      <c r="C3251" s="3" t="s">
        <v>10</v>
      </c>
      <c r="D3251" s="3" t="s">
        <v>9</v>
      </c>
      <c r="E3251" s="3">
        <v>21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/>
      <c r="P3251" s="3"/>
      <c r="Q3251" s="3"/>
    </row>
    <row r="3252" spans="1:17" ht="15" x14ac:dyDescent="0.25">
      <c r="A3252" s="3">
        <f>3245</f>
        <v>3245</v>
      </c>
      <c r="B3252" s="3" t="s">
        <v>3254</v>
      </c>
      <c r="C3252" s="3" t="s">
        <v>10</v>
      </c>
      <c r="D3252" s="3" t="s">
        <v>9</v>
      </c>
      <c r="E3252" s="3">
        <v>21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/>
      <c r="P3252" s="3"/>
      <c r="Q3252" s="3"/>
    </row>
    <row r="3253" spans="1:17" ht="15" x14ac:dyDescent="0.25">
      <c r="A3253" s="3">
        <f>3246</f>
        <v>3246</v>
      </c>
      <c r="B3253" s="3" t="s">
        <v>3255</v>
      </c>
      <c r="C3253" s="3" t="s">
        <v>10</v>
      </c>
      <c r="D3253" s="3" t="s">
        <v>9</v>
      </c>
      <c r="E3253" s="3">
        <v>21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/>
      <c r="P3253" s="3"/>
      <c r="Q3253" s="3"/>
    </row>
    <row r="3254" spans="1:17" ht="15" x14ac:dyDescent="0.25">
      <c r="A3254" s="3">
        <f>3247</f>
        <v>3247</v>
      </c>
      <c r="B3254" s="3" t="s">
        <v>3256</v>
      </c>
      <c r="C3254" s="3" t="s">
        <v>10</v>
      </c>
      <c r="D3254" s="3" t="s">
        <v>9</v>
      </c>
      <c r="E3254" s="3">
        <v>21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/>
      <c r="P3254" s="3"/>
      <c r="Q3254" s="3"/>
    </row>
    <row r="3255" spans="1:17" ht="15" x14ac:dyDescent="0.25">
      <c r="A3255" s="3">
        <f>3248</f>
        <v>3248</v>
      </c>
      <c r="B3255" s="3" t="s">
        <v>3257</v>
      </c>
      <c r="C3255" s="3" t="s">
        <v>10</v>
      </c>
      <c r="D3255" s="3" t="s">
        <v>9</v>
      </c>
      <c r="E3255" s="3">
        <v>21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/>
      <c r="P3255" s="3"/>
      <c r="Q3255" s="3"/>
    </row>
    <row r="3256" spans="1:17" ht="15" x14ac:dyDescent="0.25">
      <c r="A3256" s="3">
        <f>3249</f>
        <v>3249</v>
      </c>
      <c r="B3256" s="3" t="s">
        <v>3258</v>
      </c>
      <c r="C3256" s="3" t="s">
        <v>10</v>
      </c>
      <c r="D3256" s="3" t="s">
        <v>9</v>
      </c>
      <c r="E3256" s="3">
        <v>21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/>
      <c r="P3256" s="3"/>
      <c r="Q3256" s="3"/>
    </row>
    <row r="3257" spans="1:17" ht="15" x14ac:dyDescent="0.25">
      <c r="A3257" s="3">
        <f>3250</f>
        <v>3250</v>
      </c>
      <c r="B3257" s="3" t="s">
        <v>3259</v>
      </c>
      <c r="C3257" s="3" t="s">
        <v>10</v>
      </c>
      <c r="D3257" s="3" t="s">
        <v>9</v>
      </c>
      <c r="E3257" s="3">
        <v>21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/>
      <c r="P3257" s="3"/>
      <c r="Q3257" s="3"/>
    </row>
    <row r="3258" spans="1:17" ht="15" x14ac:dyDescent="0.25">
      <c r="A3258" s="3">
        <f>3251</f>
        <v>3251</v>
      </c>
      <c r="B3258" s="3" t="s">
        <v>3260</v>
      </c>
      <c r="C3258" s="3" t="s">
        <v>10</v>
      </c>
      <c r="D3258" s="3" t="s">
        <v>9</v>
      </c>
      <c r="E3258" s="3">
        <v>21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/>
      <c r="P3258" s="3"/>
      <c r="Q3258" s="3"/>
    </row>
    <row r="3259" spans="1:17" ht="15" x14ac:dyDescent="0.25">
      <c r="A3259" s="3">
        <f>3252</f>
        <v>3252</v>
      </c>
      <c r="B3259" s="3" t="s">
        <v>3261</v>
      </c>
      <c r="C3259" s="3" t="s">
        <v>10</v>
      </c>
      <c r="D3259" s="3" t="s">
        <v>9</v>
      </c>
      <c r="E3259" s="3">
        <v>21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/>
      <c r="P3259" s="3"/>
      <c r="Q3259" s="3"/>
    </row>
    <row r="3260" spans="1:17" ht="15" x14ac:dyDescent="0.25">
      <c r="A3260" s="3">
        <f>3253</f>
        <v>3253</v>
      </c>
      <c r="B3260" s="3" t="s">
        <v>3262</v>
      </c>
      <c r="C3260" s="3" t="s">
        <v>10</v>
      </c>
      <c r="D3260" s="3" t="s">
        <v>9</v>
      </c>
      <c r="E3260" s="3">
        <v>21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/>
      <c r="P3260" s="3"/>
      <c r="Q3260" s="3"/>
    </row>
    <row r="3261" spans="1:17" ht="15" x14ac:dyDescent="0.25">
      <c r="A3261" s="3">
        <f>3254</f>
        <v>3254</v>
      </c>
      <c r="B3261" s="3" t="s">
        <v>3263</v>
      </c>
      <c r="C3261" s="3" t="s">
        <v>10</v>
      </c>
      <c r="D3261" s="3" t="s">
        <v>9</v>
      </c>
      <c r="E3261" s="3">
        <v>21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/>
      <c r="P3261" s="3"/>
      <c r="Q3261" s="3"/>
    </row>
    <row r="3262" spans="1:17" ht="15" x14ac:dyDescent="0.25">
      <c r="A3262" s="3">
        <f>3255</f>
        <v>3255</v>
      </c>
      <c r="B3262" s="3" t="s">
        <v>3264</v>
      </c>
      <c r="C3262" s="3" t="s">
        <v>10</v>
      </c>
      <c r="D3262" s="3" t="s">
        <v>9</v>
      </c>
      <c r="E3262" s="3">
        <v>21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/>
      <c r="P3262" s="3"/>
      <c r="Q3262" s="3"/>
    </row>
    <row r="3263" spans="1:17" ht="15" x14ac:dyDescent="0.25">
      <c r="A3263" s="3">
        <f>3256</f>
        <v>3256</v>
      </c>
      <c r="B3263" s="3" t="s">
        <v>3265</v>
      </c>
      <c r="C3263" s="3" t="s">
        <v>10</v>
      </c>
      <c r="D3263" s="3" t="s">
        <v>9</v>
      </c>
      <c r="E3263" s="3">
        <v>21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/>
      <c r="P3263" s="3"/>
      <c r="Q3263" s="3"/>
    </row>
    <row r="3264" spans="1:17" ht="15" x14ac:dyDescent="0.25">
      <c r="A3264" s="3">
        <f>3257</f>
        <v>3257</v>
      </c>
      <c r="B3264" s="3" t="s">
        <v>3266</v>
      </c>
      <c r="C3264" s="3" t="s">
        <v>10</v>
      </c>
      <c r="D3264" s="3" t="s">
        <v>9</v>
      </c>
      <c r="E3264" s="3">
        <v>21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/>
      <c r="P3264" s="3"/>
      <c r="Q3264" s="3"/>
    </row>
    <row r="3265" spans="1:17" ht="15" x14ac:dyDescent="0.25">
      <c r="A3265" s="3">
        <f>3258</f>
        <v>3258</v>
      </c>
      <c r="B3265" s="3" t="s">
        <v>3267</v>
      </c>
      <c r="C3265" s="3" t="s">
        <v>10</v>
      </c>
      <c r="D3265" s="3" t="s">
        <v>9</v>
      </c>
      <c r="E3265" s="3">
        <v>21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/>
      <c r="P3265" s="3"/>
      <c r="Q3265" s="3"/>
    </row>
    <row r="3266" spans="1:17" ht="15" x14ac:dyDescent="0.25">
      <c r="A3266" s="3">
        <f>3259</f>
        <v>3259</v>
      </c>
      <c r="B3266" s="3" t="s">
        <v>3268</v>
      </c>
      <c r="C3266" s="3" t="s">
        <v>10</v>
      </c>
      <c r="D3266" s="3" t="s">
        <v>9</v>
      </c>
      <c r="E3266" s="3">
        <v>21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/>
      <c r="P3266" s="3"/>
      <c r="Q3266" s="3"/>
    </row>
    <row r="3267" spans="1:17" ht="15" x14ac:dyDescent="0.25">
      <c r="A3267" s="3">
        <f>3260</f>
        <v>3260</v>
      </c>
      <c r="B3267" s="3" t="s">
        <v>3269</v>
      </c>
      <c r="C3267" s="3" t="s">
        <v>10</v>
      </c>
      <c r="D3267" s="3" t="s">
        <v>9</v>
      </c>
      <c r="E3267" s="3">
        <v>21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/>
      <c r="P3267" s="3"/>
      <c r="Q3267" s="3"/>
    </row>
    <row r="3268" spans="1:17" ht="15" x14ac:dyDescent="0.25">
      <c r="A3268" s="3">
        <f>3261</f>
        <v>3261</v>
      </c>
      <c r="B3268" s="3" t="s">
        <v>3270</v>
      </c>
      <c r="C3268" s="3" t="s">
        <v>10</v>
      </c>
      <c r="D3268" s="3" t="s">
        <v>9</v>
      </c>
      <c r="E3268" s="3">
        <v>21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/>
      <c r="P3268" s="3"/>
      <c r="Q3268" s="3"/>
    </row>
    <row r="3269" spans="1:17" ht="15" x14ac:dyDescent="0.25">
      <c r="A3269" s="3">
        <f>3262</f>
        <v>3262</v>
      </c>
      <c r="B3269" s="3" t="s">
        <v>3271</v>
      </c>
      <c r="C3269" s="3" t="s">
        <v>10</v>
      </c>
      <c r="D3269" s="3" t="s">
        <v>9</v>
      </c>
      <c r="E3269" s="3">
        <v>21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/>
      <c r="P3269" s="3"/>
      <c r="Q3269" s="3"/>
    </row>
    <row r="3270" spans="1:17" ht="15" x14ac:dyDescent="0.25">
      <c r="A3270" s="3">
        <f>3263</f>
        <v>3263</v>
      </c>
      <c r="B3270" s="3" t="s">
        <v>3272</v>
      </c>
      <c r="C3270" s="3" t="s">
        <v>10</v>
      </c>
      <c r="D3270" s="3" t="s">
        <v>9</v>
      </c>
      <c r="E3270" s="3">
        <v>21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/>
      <c r="P3270" s="3"/>
      <c r="Q3270" s="3"/>
    </row>
    <row r="3271" spans="1:17" ht="15" x14ac:dyDescent="0.25">
      <c r="A3271" s="3">
        <f>3264</f>
        <v>3264</v>
      </c>
      <c r="B3271" s="3" t="s">
        <v>3273</v>
      </c>
      <c r="C3271" s="3" t="s">
        <v>10</v>
      </c>
      <c r="D3271" s="3" t="s">
        <v>9</v>
      </c>
      <c r="E3271" s="3">
        <v>21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/>
      <c r="P3271" s="3"/>
      <c r="Q3271" s="3"/>
    </row>
    <row r="3272" spans="1:17" ht="15" x14ac:dyDescent="0.25">
      <c r="A3272" s="3">
        <f>3265</f>
        <v>3265</v>
      </c>
      <c r="B3272" s="3" t="s">
        <v>3274</v>
      </c>
      <c r="C3272" s="3" t="s">
        <v>10</v>
      </c>
      <c r="D3272" s="3" t="s">
        <v>9</v>
      </c>
      <c r="E3272" s="3">
        <v>21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/>
      <c r="P3272" s="3"/>
      <c r="Q3272" s="3"/>
    </row>
    <row r="3273" spans="1:17" ht="15" x14ac:dyDescent="0.25">
      <c r="A3273" s="3">
        <f>3266</f>
        <v>3266</v>
      </c>
      <c r="B3273" s="3" t="s">
        <v>3275</v>
      </c>
      <c r="C3273" s="3" t="s">
        <v>10</v>
      </c>
      <c r="D3273" s="3" t="s">
        <v>9</v>
      </c>
      <c r="E3273" s="3">
        <v>21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/>
      <c r="P3273" s="3"/>
      <c r="Q3273" s="3"/>
    </row>
    <row r="3274" spans="1:17" ht="15" x14ac:dyDescent="0.25">
      <c r="A3274" s="3">
        <f>3267</f>
        <v>3267</v>
      </c>
      <c r="B3274" s="3" t="s">
        <v>3276</v>
      </c>
      <c r="C3274" s="3" t="s">
        <v>10</v>
      </c>
      <c r="D3274" s="3" t="s">
        <v>9</v>
      </c>
      <c r="E3274" s="3">
        <v>21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/>
      <c r="P3274" s="3"/>
      <c r="Q3274" s="3"/>
    </row>
    <row r="3275" spans="1:17" ht="15" x14ac:dyDescent="0.25">
      <c r="A3275" s="3">
        <f>3268</f>
        <v>3268</v>
      </c>
      <c r="B3275" s="3" t="s">
        <v>3277</v>
      </c>
      <c r="C3275" s="3" t="s">
        <v>10</v>
      </c>
      <c r="D3275" s="3" t="s">
        <v>9</v>
      </c>
      <c r="E3275" s="3">
        <v>21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/>
      <c r="P3275" s="3"/>
      <c r="Q3275" s="3"/>
    </row>
    <row r="3276" spans="1:17" ht="15" x14ac:dyDescent="0.25">
      <c r="A3276" s="3">
        <f>3269</f>
        <v>3269</v>
      </c>
      <c r="B3276" s="3" t="s">
        <v>3278</v>
      </c>
      <c r="C3276" s="3" t="s">
        <v>10</v>
      </c>
      <c r="D3276" s="3" t="s">
        <v>9</v>
      </c>
      <c r="E3276" s="3">
        <v>21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/>
      <c r="P3276" s="3"/>
      <c r="Q3276" s="3"/>
    </row>
    <row r="3277" spans="1:17" ht="15" x14ac:dyDescent="0.25">
      <c r="A3277" s="3">
        <f>3270</f>
        <v>3270</v>
      </c>
      <c r="B3277" s="3" t="s">
        <v>3279</v>
      </c>
      <c r="C3277" s="3" t="s">
        <v>10</v>
      </c>
      <c r="D3277" s="3" t="s">
        <v>9</v>
      </c>
      <c r="E3277" s="3">
        <v>21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/>
      <c r="P3277" s="3"/>
      <c r="Q3277" s="3"/>
    </row>
    <row r="3278" spans="1:17" ht="15" x14ac:dyDescent="0.25">
      <c r="A3278" s="3">
        <f>3271</f>
        <v>3271</v>
      </c>
      <c r="B3278" s="3" t="s">
        <v>3280</v>
      </c>
      <c r="C3278" s="3" t="s">
        <v>10</v>
      </c>
      <c r="D3278" s="3" t="s">
        <v>9</v>
      </c>
      <c r="E3278" s="3">
        <v>21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/>
      <c r="P3278" s="3"/>
      <c r="Q3278" s="3"/>
    </row>
    <row r="3279" spans="1:17" ht="15" x14ac:dyDescent="0.25">
      <c r="A3279" s="3">
        <f>3272</f>
        <v>3272</v>
      </c>
      <c r="B3279" s="3" t="s">
        <v>3281</v>
      </c>
      <c r="C3279" s="3" t="s">
        <v>10</v>
      </c>
      <c r="D3279" s="3" t="s">
        <v>9</v>
      </c>
      <c r="E3279" s="3">
        <v>21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/>
      <c r="P3279" s="3"/>
      <c r="Q3279" s="3"/>
    </row>
    <row r="3280" spans="1:17" ht="15" x14ac:dyDescent="0.25">
      <c r="A3280" s="3">
        <f>3273</f>
        <v>3273</v>
      </c>
      <c r="B3280" s="3" t="s">
        <v>3282</v>
      </c>
      <c r="C3280" s="3" t="s">
        <v>10</v>
      </c>
      <c r="D3280" s="3" t="s">
        <v>9</v>
      </c>
      <c r="E3280" s="3">
        <v>21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/>
      <c r="P3280" s="3"/>
      <c r="Q3280" s="3"/>
    </row>
    <row r="3281" spans="1:17" ht="15" x14ac:dyDescent="0.25">
      <c r="A3281" s="3">
        <f>3274</f>
        <v>3274</v>
      </c>
      <c r="B3281" s="3" t="s">
        <v>3283</v>
      </c>
      <c r="C3281" s="3" t="s">
        <v>10</v>
      </c>
      <c r="D3281" s="3" t="s">
        <v>9</v>
      </c>
      <c r="E3281" s="3">
        <v>21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/>
      <c r="P3281" s="3"/>
      <c r="Q3281" s="3"/>
    </row>
    <row r="3282" spans="1:17" ht="15" x14ac:dyDescent="0.25">
      <c r="A3282" s="3">
        <f>3275</f>
        <v>3275</v>
      </c>
      <c r="B3282" s="3" t="s">
        <v>3284</v>
      </c>
      <c r="C3282" s="3" t="s">
        <v>10</v>
      </c>
      <c r="D3282" s="3" t="s">
        <v>9</v>
      </c>
      <c r="E3282" s="3">
        <v>21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/>
      <c r="P3282" s="3"/>
      <c r="Q3282" s="3"/>
    </row>
    <row r="3283" spans="1:17" ht="15" x14ac:dyDescent="0.25">
      <c r="A3283" s="3">
        <f>3276</f>
        <v>3276</v>
      </c>
      <c r="B3283" s="3" t="s">
        <v>3285</v>
      </c>
      <c r="C3283" s="3" t="s">
        <v>10</v>
      </c>
      <c r="D3283" s="3" t="s">
        <v>9</v>
      </c>
      <c r="E3283" s="3">
        <v>21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/>
      <c r="P3283" s="3"/>
      <c r="Q3283" s="3"/>
    </row>
    <row r="3284" spans="1:17" ht="15" x14ac:dyDescent="0.25">
      <c r="A3284" s="3">
        <f>3277</f>
        <v>3277</v>
      </c>
      <c r="B3284" s="3" t="s">
        <v>3286</v>
      </c>
      <c r="C3284" s="3" t="s">
        <v>10</v>
      </c>
      <c r="D3284" s="3" t="s">
        <v>9</v>
      </c>
      <c r="E3284" s="3">
        <v>21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/>
      <c r="P3284" s="3"/>
      <c r="Q3284" s="3"/>
    </row>
    <row r="3285" spans="1:17" ht="15" x14ac:dyDescent="0.25">
      <c r="A3285" s="3">
        <f>3278</f>
        <v>3278</v>
      </c>
      <c r="B3285" s="3" t="s">
        <v>3287</v>
      </c>
      <c r="C3285" s="3" t="s">
        <v>10</v>
      </c>
      <c r="D3285" s="3" t="s">
        <v>9</v>
      </c>
      <c r="E3285" s="3">
        <v>21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/>
      <c r="P3285" s="3"/>
      <c r="Q3285" s="3"/>
    </row>
    <row r="3286" spans="1:17" ht="15" x14ac:dyDescent="0.25">
      <c r="A3286" s="3">
        <f>3279</f>
        <v>3279</v>
      </c>
      <c r="B3286" s="3" t="s">
        <v>3288</v>
      </c>
      <c r="C3286" s="3" t="s">
        <v>10</v>
      </c>
      <c r="D3286" s="3" t="s">
        <v>9</v>
      </c>
      <c r="E3286" s="3">
        <v>21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/>
      <c r="P3286" s="3"/>
      <c r="Q3286" s="3"/>
    </row>
    <row r="3287" spans="1:17" ht="15" x14ac:dyDescent="0.25">
      <c r="A3287" s="3">
        <f>3280</f>
        <v>3280</v>
      </c>
      <c r="B3287" s="3" t="s">
        <v>3289</v>
      </c>
      <c r="C3287" s="3" t="s">
        <v>10</v>
      </c>
      <c r="D3287" s="3" t="s">
        <v>9</v>
      </c>
      <c r="E3287" s="3">
        <v>21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/>
      <c r="P3287" s="3"/>
      <c r="Q3287" s="3"/>
    </row>
    <row r="3288" spans="1:17" ht="15" x14ac:dyDescent="0.25">
      <c r="A3288" s="3">
        <f>3281</f>
        <v>3281</v>
      </c>
      <c r="B3288" s="3" t="s">
        <v>3290</v>
      </c>
      <c r="C3288" s="3" t="s">
        <v>10</v>
      </c>
      <c r="D3288" s="3" t="s">
        <v>9</v>
      </c>
      <c r="E3288" s="3">
        <v>21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/>
      <c r="P3288" s="3"/>
      <c r="Q3288" s="3"/>
    </row>
    <row r="3289" spans="1:17" ht="15" x14ac:dyDescent="0.25">
      <c r="A3289" s="3">
        <f>3282</f>
        <v>3282</v>
      </c>
      <c r="B3289" s="3" t="s">
        <v>3291</v>
      </c>
      <c r="C3289" s="3" t="s">
        <v>10</v>
      </c>
      <c r="D3289" s="3" t="s">
        <v>9</v>
      </c>
      <c r="E3289" s="3">
        <v>21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/>
      <c r="P3289" s="3"/>
      <c r="Q3289" s="3"/>
    </row>
    <row r="3290" spans="1:17" ht="15" x14ac:dyDescent="0.25">
      <c r="A3290" s="3">
        <f>3283</f>
        <v>3283</v>
      </c>
      <c r="B3290" s="3" t="s">
        <v>3292</v>
      </c>
      <c r="C3290" s="3" t="s">
        <v>10</v>
      </c>
      <c r="D3290" s="3" t="s">
        <v>9</v>
      </c>
      <c r="E3290" s="3">
        <v>21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/>
      <c r="P3290" s="3"/>
      <c r="Q3290" s="3"/>
    </row>
    <row r="3291" spans="1:17" ht="15" x14ac:dyDescent="0.25">
      <c r="A3291" s="3">
        <f>3284</f>
        <v>3284</v>
      </c>
      <c r="B3291" s="3" t="s">
        <v>3293</v>
      </c>
      <c r="C3291" s="3" t="s">
        <v>10</v>
      </c>
      <c r="D3291" s="3" t="s">
        <v>9</v>
      </c>
      <c r="E3291" s="3">
        <v>21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/>
      <c r="P3291" s="3"/>
      <c r="Q3291" s="3"/>
    </row>
    <row r="3292" spans="1:17" ht="15" x14ac:dyDescent="0.25">
      <c r="A3292" s="3">
        <f>3285</f>
        <v>3285</v>
      </c>
      <c r="B3292" s="3" t="s">
        <v>3294</v>
      </c>
      <c r="C3292" s="3" t="s">
        <v>10</v>
      </c>
      <c r="D3292" s="3" t="s">
        <v>9</v>
      </c>
      <c r="E3292" s="3">
        <v>21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/>
      <c r="P3292" s="3"/>
      <c r="Q3292" s="3"/>
    </row>
    <row r="3293" spans="1:17" ht="15" x14ac:dyDescent="0.25">
      <c r="A3293" s="3">
        <f>3286</f>
        <v>3286</v>
      </c>
      <c r="B3293" s="3" t="s">
        <v>3295</v>
      </c>
      <c r="C3293" s="3" t="s">
        <v>10</v>
      </c>
      <c r="D3293" s="3" t="s">
        <v>9</v>
      </c>
      <c r="E3293" s="3">
        <v>21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/>
      <c r="P3293" s="3"/>
      <c r="Q3293" s="3"/>
    </row>
    <row r="3294" spans="1:17" ht="15" x14ac:dyDescent="0.25">
      <c r="A3294" s="3">
        <f>3287</f>
        <v>3287</v>
      </c>
      <c r="B3294" s="3" t="s">
        <v>3296</v>
      </c>
      <c r="C3294" s="3" t="s">
        <v>10</v>
      </c>
      <c r="D3294" s="3" t="s">
        <v>9</v>
      </c>
      <c r="E3294" s="3">
        <v>21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/>
      <c r="P3294" s="3"/>
      <c r="Q3294" s="3"/>
    </row>
    <row r="3295" spans="1:17" ht="15" x14ac:dyDescent="0.25">
      <c r="A3295" s="3">
        <f>3288</f>
        <v>3288</v>
      </c>
      <c r="B3295" s="3" t="s">
        <v>3297</v>
      </c>
      <c r="C3295" s="3" t="s">
        <v>10</v>
      </c>
      <c r="D3295" s="3" t="s">
        <v>9</v>
      </c>
      <c r="E3295" s="3">
        <v>21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/>
      <c r="P3295" s="3"/>
      <c r="Q3295" s="3"/>
    </row>
    <row r="3296" spans="1:17" ht="15" x14ac:dyDescent="0.25">
      <c r="A3296" s="3">
        <f>3289</f>
        <v>3289</v>
      </c>
      <c r="B3296" s="3" t="s">
        <v>3298</v>
      </c>
      <c r="C3296" s="3" t="s">
        <v>10</v>
      </c>
      <c r="D3296" s="3" t="s">
        <v>9</v>
      </c>
      <c r="E3296" s="3">
        <v>21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/>
      <c r="P3296" s="3"/>
      <c r="Q3296" s="3"/>
    </row>
    <row r="3297" spans="1:17" ht="15" x14ac:dyDescent="0.25">
      <c r="A3297" s="3">
        <f>3290</f>
        <v>3290</v>
      </c>
      <c r="B3297" s="3" t="s">
        <v>3299</v>
      </c>
      <c r="C3297" s="3" t="s">
        <v>10</v>
      </c>
      <c r="D3297" s="3" t="s">
        <v>9</v>
      </c>
      <c r="E3297" s="3">
        <v>21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/>
      <c r="P3297" s="3"/>
      <c r="Q3297" s="3"/>
    </row>
    <row r="3298" spans="1:17" ht="15" x14ac:dyDescent="0.25">
      <c r="A3298" s="3">
        <f>3291</f>
        <v>3291</v>
      </c>
      <c r="B3298" s="3" t="s">
        <v>3300</v>
      </c>
      <c r="C3298" s="3" t="s">
        <v>10</v>
      </c>
      <c r="D3298" s="3" t="s">
        <v>9</v>
      </c>
      <c r="E3298" s="3">
        <v>21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/>
      <c r="P3298" s="3"/>
      <c r="Q3298" s="3"/>
    </row>
    <row r="3299" spans="1:17" ht="15" x14ac:dyDescent="0.25">
      <c r="A3299" s="3">
        <f>3292</f>
        <v>3292</v>
      </c>
      <c r="B3299" s="3" t="s">
        <v>3301</v>
      </c>
      <c r="C3299" s="3" t="s">
        <v>10</v>
      </c>
      <c r="D3299" s="3" t="s">
        <v>9</v>
      </c>
      <c r="E3299" s="3">
        <v>21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/>
      <c r="P3299" s="3"/>
      <c r="Q3299" s="3"/>
    </row>
    <row r="3300" spans="1:17" ht="15" x14ac:dyDescent="0.25">
      <c r="A3300" s="3">
        <f>3293</f>
        <v>3293</v>
      </c>
      <c r="B3300" s="3" t="s">
        <v>3302</v>
      </c>
      <c r="C3300" s="3" t="s">
        <v>10</v>
      </c>
      <c r="D3300" s="3" t="s">
        <v>9</v>
      </c>
      <c r="E3300" s="3">
        <v>21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/>
      <c r="P3300" s="3"/>
      <c r="Q3300" s="3"/>
    </row>
    <row r="3301" spans="1:17" ht="15" x14ac:dyDescent="0.25">
      <c r="A3301" s="3">
        <f>3294</f>
        <v>3294</v>
      </c>
      <c r="B3301" s="3" t="s">
        <v>3303</v>
      </c>
      <c r="C3301" s="3" t="s">
        <v>10</v>
      </c>
      <c r="D3301" s="3" t="s">
        <v>9</v>
      </c>
      <c r="E3301" s="3">
        <v>21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/>
      <c r="P3301" s="3"/>
      <c r="Q3301" s="3"/>
    </row>
    <row r="3302" spans="1:17" ht="15" x14ac:dyDescent="0.25">
      <c r="A3302" s="3">
        <f>3295</f>
        <v>3295</v>
      </c>
      <c r="B3302" s="3" t="s">
        <v>3304</v>
      </c>
      <c r="C3302" s="3" t="s">
        <v>10</v>
      </c>
      <c r="D3302" s="3" t="s">
        <v>9</v>
      </c>
      <c r="E3302" s="3">
        <v>21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/>
      <c r="P3302" s="3"/>
      <c r="Q3302" s="3"/>
    </row>
    <row r="3303" spans="1:17" ht="15" x14ac:dyDescent="0.25">
      <c r="A3303" s="3">
        <f>3296</f>
        <v>3296</v>
      </c>
      <c r="B3303" s="3" t="s">
        <v>3305</v>
      </c>
      <c r="C3303" s="3" t="s">
        <v>10</v>
      </c>
      <c r="D3303" s="3" t="s">
        <v>9</v>
      </c>
      <c r="E3303" s="3">
        <v>21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/>
      <c r="P3303" s="3"/>
      <c r="Q3303" s="3"/>
    </row>
    <row r="3304" spans="1:17" ht="15" x14ac:dyDescent="0.25">
      <c r="A3304" s="3">
        <f>3297</f>
        <v>3297</v>
      </c>
      <c r="B3304" s="3" t="s">
        <v>3306</v>
      </c>
      <c r="C3304" s="3" t="s">
        <v>10</v>
      </c>
      <c r="D3304" s="3" t="s">
        <v>9</v>
      </c>
      <c r="E3304" s="3">
        <v>21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/>
      <c r="P3304" s="3"/>
      <c r="Q3304" s="3"/>
    </row>
    <row r="3305" spans="1:17" ht="15" x14ac:dyDescent="0.25">
      <c r="A3305" s="3">
        <f>3298</f>
        <v>3298</v>
      </c>
      <c r="B3305" s="3" t="s">
        <v>3307</v>
      </c>
      <c r="C3305" s="3" t="s">
        <v>10</v>
      </c>
      <c r="D3305" s="3" t="s">
        <v>9</v>
      </c>
      <c r="E3305" s="3">
        <v>21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/>
      <c r="P3305" s="3"/>
      <c r="Q3305" s="3"/>
    </row>
    <row r="3306" spans="1:17" ht="15" x14ac:dyDescent="0.25">
      <c r="A3306" s="3">
        <f>3299</f>
        <v>3299</v>
      </c>
      <c r="B3306" s="3" t="s">
        <v>3308</v>
      </c>
      <c r="C3306" s="3" t="s">
        <v>10</v>
      </c>
      <c r="D3306" s="3" t="s">
        <v>9</v>
      </c>
      <c r="E3306" s="3">
        <v>21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/>
      <c r="P3306" s="3"/>
      <c r="Q3306" s="3"/>
    </row>
    <row r="3307" spans="1:17" ht="15" x14ac:dyDescent="0.25">
      <c r="A3307" s="3">
        <f>3300</f>
        <v>3300</v>
      </c>
      <c r="B3307" s="3" t="s">
        <v>3309</v>
      </c>
      <c r="C3307" s="3" t="s">
        <v>10</v>
      </c>
      <c r="D3307" s="3" t="s">
        <v>9</v>
      </c>
      <c r="E3307" s="3">
        <v>21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/>
      <c r="P3307" s="3"/>
      <c r="Q3307" s="3"/>
    </row>
    <row r="3308" spans="1:17" ht="15" x14ac:dyDescent="0.25">
      <c r="A3308" s="3">
        <f>3301</f>
        <v>3301</v>
      </c>
      <c r="B3308" s="3" t="s">
        <v>3310</v>
      </c>
      <c r="C3308" s="3" t="s">
        <v>10</v>
      </c>
      <c r="D3308" s="3" t="s">
        <v>9</v>
      </c>
      <c r="E3308" s="3">
        <v>21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/>
      <c r="P3308" s="3"/>
      <c r="Q3308" s="3"/>
    </row>
    <row r="3309" spans="1:17" ht="15" x14ac:dyDescent="0.25">
      <c r="A3309" s="3">
        <f>3302</f>
        <v>3302</v>
      </c>
      <c r="B3309" s="3" t="s">
        <v>3311</v>
      </c>
      <c r="C3309" s="3" t="s">
        <v>10</v>
      </c>
      <c r="D3309" s="3" t="s">
        <v>9</v>
      </c>
      <c r="E3309" s="3">
        <v>21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/>
      <c r="P3309" s="3"/>
      <c r="Q3309" s="3"/>
    </row>
    <row r="3310" spans="1:17" ht="15" x14ac:dyDescent="0.25">
      <c r="A3310" s="3">
        <f>3303</f>
        <v>3303</v>
      </c>
      <c r="B3310" s="3" t="s">
        <v>3312</v>
      </c>
      <c r="C3310" s="3" t="s">
        <v>10</v>
      </c>
      <c r="D3310" s="3" t="s">
        <v>9</v>
      </c>
      <c r="E3310" s="3">
        <v>21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/>
      <c r="P3310" s="3"/>
      <c r="Q3310" s="3"/>
    </row>
    <row r="3311" spans="1:17" ht="15" x14ac:dyDescent="0.25">
      <c r="A3311" s="3">
        <f>3304</f>
        <v>3304</v>
      </c>
      <c r="B3311" s="3" t="s">
        <v>3313</v>
      </c>
      <c r="C3311" s="3" t="s">
        <v>10</v>
      </c>
      <c r="D3311" s="3" t="s">
        <v>9</v>
      </c>
      <c r="E3311" s="3">
        <v>21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/>
      <c r="P3311" s="3"/>
      <c r="Q3311" s="3"/>
    </row>
    <row r="3312" spans="1:17" ht="15" x14ac:dyDescent="0.25">
      <c r="A3312" s="3">
        <f>3305</f>
        <v>3305</v>
      </c>
      <c r="B3312" s="3" t="s">
        <v>3314</v>
      </c>
      <c r="C3312" s="3" t="s">
        <v>10</v>
      </c>
      <c r="D3312" s="3" t="s">
        <v>9</v>
      </c>
      <c r="E3312" s="3">
        <v>21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/>
      <c r="P3312" s="3"/>
      <c r="Q3312" s="3"/>
    </row>
    <row r="3313" spans="1:17" ht="15" x14ac:dyDescent="0.25">
      <c r="A3313" s="3">
        <f>3306</f>
        <v>3306</v>
      </c>
      <c r="B3313" s="3" t="s">
        <v>3315</v>
      </c>
      <c r="C3313" s="3" t="s">
        <v>10</v>
      </c>
      <c r="D3313" s="3" t="s">
        <v>9</v>
      </c>
      <c r="E3313" s="3">
        <v>21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/>
      <c r="P3313" s="3"/>
      <c r="Q3313" s="3"/>
    </row>
    <row r="3314" spans="1:17" ht="15" x14ac:dyDescent="0.25">
      <c r="A3314" s="3">
        <f>3307</f>
        <v>3307</v>
      </c>
      <c r="B3314" s="3" t="s">
        <v>3316</v>
      </c>
      <c r="C3314" s="3" t="s">
        <v>10</v>
      </c>
      <c r="D3314" s="3" t="s">
        <v>9</v>
      </c>
      <c r="E3314" s="3">
        <v>21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/>
      <c r="P3314" s="3"/>
      <c r="Q3314" s="3"/>
    </row>
    <row r="3315" spans="1:17" ht="15" x14ac:dyDescent="0.25">
      <c r="A3315" s="3">
        <f>3308</f>
        <v>3308</v>
      </c>
      <c r="B3315" s="3" t="s">
        <v>3317</v>
      </c>
      <c r="C3315" s="3" t="s">
        <v>10</v>
      </c>
      <c r="D3315" s="3" t="s">
        <v>9</v>
      </c>
      <c r="E3315" s="3">
        <v>21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/>
      <c r="P3315" s="3"/>
      <c r="Q3315" s="3"/>
    </row>
    <row r="3316" spans="1:17" ht="15" x14ac:dyDescent="0.25">
      <c r="A3316" s="3">
        <f>3309</f>
        <v>3309</v>
      </c>
      <c r="B3316" s="3" t="s">
        <v>3318</v>
      </c>
      <c r="C3316" s="3" t="s">
        <v>10</v>
      </c>
      <c r="D3316" s="3" t="s">
        <v>9</v>
      </c>
      <c r="E3316" s="3">
        <v>21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/>
      <c r="P3316" s="3"/>
      <c r="Q3316" s="3"/>
    </row>
    <row r="3317" spans="1:17" ht="15" x14ac:dyDescent="0.25">
      <c r="A3317" s="3">
        <f>3310</f>
        <v>3310</v>
      </c>
      <c r="B3317" s="3" t="s">
        <v>3319</v>
      </c>
      <c r="C3317" s="3" t="s">
        <v>10</v>
      </c>
      <c r="D3317" s="3" t="s">
        <v>9</v>
      </c>
      <c r="E3317" s="3">
        <v>21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/>
      <c r="P3317" s="3"/>
      <c r="Q3317" s="3"/>
    </row>
    <row r="3318" spans="1:17" ht="15" x14ac:dyDescent="0.25">
      <c r="A3318" s="3">
        <f>3311</f>
        <v>3311</v>
      </c>
      <c r="B3318" s="3" t="s">
        <v>3320</v>
      </c>
      <c r="C3318" s="3" t="s">
        <v>10</v>
      </c>
      <c r="D3318" s="3" t="s">
        <v>9</v>
      </c>
      <c r="E3318" s="3">
        <v>21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/>
      <c r="P3318" s="3"/>
      <c r="Q3318" s="3"/>
    </row>
    <row r="3319" spans="1:17" ht="15" x14ac:dyDescent="0.25">
      <c r="A3319" s="3">
        <f>3312</f>
        <v>3312</v>
      </c>
      <c r="B3319" s="3" t="s">
        <v>3321</v>
      </c>
      <c r="C3319" s="3" t="s">
        <v>10</v>
      </c>
      <c r="D3319" s="3" t="s">
        <v>9</v>
      </c>
      <c r="E3319" s="3">
        <v>21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/>
      <c r="P3319" s="3"/>
      <c r="Q3319" s="3"/>
    </row>
    <row r="3320" spans="1:17" ht="15" x14ac:dyDescent="0.25">
      <c r="A3320" s="3">
        <f>3313</f>
        <v>3313</v>
      </c>
      <c r="B3320" s="3" t="s">
        <v>3322</v>
      </c>
      <c r="C3320" s="3" t="s">
        <v>10</v>
      </c>
      <c r="D3320" s="3" t="s">
        <v>9</v>
      </c>
      <c r="E3320" s="3">
        <v>21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/>
      <c r="P3320" s="3"/>
      <c r="Q3320" s="3"/>
    </row>
    <row r="3321" spans="1:17" ht="15" x14ac:dyDescent="0.25">
      <c r="A3321" s="3">
        <f>3314</f>
        <v>3314</v>
      </c>
      <c r="B3321" s="3" t="s">
        <v>3323</v>
      </c>
      <c r="C3321" s="3" t="s">
        <v>10</v>
      </c>
      <c r="D3321" s="3" t="s">
        <v>9</v>
      </c>
      <c r="E3321" s="3">
        <v>21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/>
      <c r="P3321" s="3"/>
      <c r="Q3321" s="3"/>
    </row>
    <row r="3322" spans="1:17" ht="15" x14ac:dyDescent="0.25">
      <c r="A3322" s="3">
        <f>3315</f>
        <v>3315</v>
      </c>
      <c r="B3322" s="3" t="s">
        <v>3324</v>
      </c>
      <c r="C3322" s="3" t="s">
        <v>10</v>
      </c>
      <c r="D3322" s="3" t="s">
        <v>9</v>
      </c>
      <c r="E3322" s="3">
        <v>21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/>
      <c r="P3322" s="3"/>
      <c r="Q3322" s="3"/>
    </row>
    <row r="3323" spans="1:17" ht="15" x14ac:dyDescent="0.25">
      <c r="A3323" s="3">
        <f>3316</f>
        <v>3316</v>
      </c>
      <c r="B3323" s="3" t="s">
        <v>3325</v>
      </c>
      <c r="C3323" s="3" t="s">
        <v>10</v>
      </c>
      <c r="D3323" s="3" t="s">
        <v>9</v>
      </c>
      <c r="E3323" s="3">
        <v>21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/>
      <c r="P3323" s="3"/>
      <c r="Q3323" s="3"/>
    </row>
    <row r="3324" spans="1:17" ht="15" x14ac:dyDescent="0.25">
      <c r="A3324" s="3">
        <f>3317</f>
        <v>3317</v>
      </c>
      <c r="B3324" s="3" t="s">
        <v>3326</v>
      </c>
      <c r="C3324" s="3" t="s">
        <v>10</v>
      </c>
      <c r="D3324" s="3" t="s">
        <v>9</v>
      </c>
      <c r="E3324" s="3">
        <v>21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/>
      <c r="P3324" s="3"/>
      <c r="Q3324" s="3"/>
    </row>
    <row r="3325" spans="1:17" ht="15" x14ac:dyDescent="0.25">
      <c r="A3325" s="3">
        <f>3318</f>
        <v>3318</v>
      </c>
      <c r="B3325" s="3" t="s">
        <v>3327</v>
      </c>
      <c r="C3325" s="3" t="s">
        <v>10</v>
      </c>
      <c r="D3325" s="3" t="s">
        <v>9</v>
      </c>
      <c r="E3325" s="3">
        <v>21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/>
      <c r="P3325" s="3"/>
      <c r="Q3325" s="3"/>
    </row>
    <row r="3326" spans="1:17" ht="15" x14ac:dyDescent="0.25">
      <c r="A3326" s="3">
        <f>3319</f>
        <v>3319</v>
      </c>
      <c r="B3326" s="3" t="s">
        <v>3328</v>
      </c>
      <c r="C3326" s="3" t="s">
        <v>10</v>
      </c>
      <c r="D3326" s="3" t="s">
        <v>9</v>
      </c>
      <c r="E3326" s="3">
        <v>21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/>
      <c r="P3326" s="3"/>
      <c r="Q3326" s="3"/>
    </row>
    <row r="3327" spans="1:17" ht="15" x14ac:dyDescent="0.25">
      <c r="A3327" s="3">
        <f>3320</f>
        <v>3320</v>
      </c>
      <c r="B3327" s="3" t="s">
        <v>3329</v>
      </c>
      <c r="C3327" s="3" t="s">
        <v>10</v>
      </c>
      <c r="D3327" s="3" t="s">
        <v>9</v>
      </c>
      <c r="E3327" s="3">
        <v>21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/>
      <c r="P3327" s="3"/>
      <c r="Q3327" s="3"/>
    </row>
    <row r="3328" spans="1:17" ht="15" x14ac:dyDescent="0.25">
      <c r="A3328" s="3">
        <f>3321</f>
        <v>3321</v>
      </c>
      <c r="B3328" s="3" t="s">
        <v>3330</v>
      </c>
      <c r="C3328" s="3" t="s">
        <v>10</v>
      </c>
      <c r="D3328" s="3" t="s">
        <v>9</v>
      </c>
      <c r="E3328" s="3">
        <v>21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/>
      <c r="P3328" s="3"/>
      <c r="Q3328" s="3"/>
    </row>
    <row r="3329" spans="1:17" ht="15" x14ac:dyDescent="0.25">
      <c r="A3329" s="3">
        <f>3322</f>
        <v>3322</v>
      </c>
      <c r="B3329" s="3" t="s">
        <v>3331</v>
      </c>
      <c r="C3329" s="3" t="s">
        <v>9</v>
      </c>
      <c r="D3329" s="3" t="s">
        <v>9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/>
      <c r="P3329" s="3"/>
      <c r="Q3329" s="3"/>
    </row>
    <row r="3330" spans="1:17" ht="15" x14ac:dyDescent="0.25">
      <c r="A3330" s="3">
        <f>3323</f>
        <v>3323</v>
      </c>
      <c r="B3330" s="3" t="s">
        <v>3332</v>
      </c>
      <c r="C3330" s="3" t="s">
        <v>9</v>
      </c>
      <c r="D3330" s="3" t="s">
        <v>9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/>
      <c r="P3330" s="3"/>
      <c r="Q3330" s="3"/>
    </row>
    <row r="3331" spans="1:17" ht="15" x14ac:dyDescent="0.25">
      <c r="A3331" s="3">
        <f>3324</f>
        <v>3324</v>
      </c>
      <c r="B3331" s="3" t="s">
        <v>3333</v>
      </c>
      <c r="C3331" s="3" t="s">
        <v>9</v>
      </c>
      <c r="D3331" s="3" t="s">
        <v>9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/>
      <c r="P3331" s="3"/>
      <c r="Q3331" s="3"/>
    </row>
    <row r="3332" spans="1:17" ht="15" x14ac:dyDescent="0.25">
      <c r="A3332" s="3">
        <f>3325</f>
        <v>3325</v>
      </c>
      <c r="B3332" s="3" t="s">
        <v>3334</v>
      </c>
      <c r="C3332" s="3" t="s">
        <v>9</v>
      </c>
      <c r="D3332" s="3" t="s">
        <v>9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/>
      <c r="P3332" s="3"/>
      <c r="Q3332" s="3"/>
    </row>
    <row r="3333" spans="1:17" ht="15" x14ac:dyDescent="0.25">
      <c r="A3333" s="3">
        <f>3326</f>
        <v>3326</v>
      </c>
      <c r="B3333" s="3" t="s">
        <v>3335</v>
      </c>
      <c r="C3333" s="3" t="s">
        <v>9</v>
      </c>
      <c r="D3333" s="3" t="s">
        <v>9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/>
      <c r="P3333" s="3"/>
      <c r="Q3333" s="3"/>
    </row>
    <row r="3334" spans="1:17" ht="15" x14ac:dyDescent="0.25">
      <c r="A3334" s="3">
        <f>3327</f>
        <v>3327</v>
      </c>
      <c r="B3334" s="3" t="s">
        <v>3336</v>
      </c>
      <c r="C3334" s="3" t="s">
        <v>9</v>
      </c>
      <c r="D3334" s="3" t="s">
        <v>9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/>
      <c r="P3334" s="3"/>
      <c r="Q3334" s="3"/>
    </row>
    <row r="3335" spans="1:17" ht="15" x14ac:dyDescent="0.25">
      <c r="A3335" s="3">
        <f>3328</f>
        <v>3328</v>
      </c>
      <c r="B3335" s="3" t="s">
        <v>3337</v>
      </c>
      <c r="C3335" s="3" t="s">
        <v>9</v>
      </c>
      <c r="D3335" s="3" t="s">
        <v>9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/>
      <c r="P3335" s="3"/>
      <c r="Q3335" s="3"/>
    </row>
    <row r="3336" spans="1:17" ht="15" x14ac:dyDescent="0.25">
      <c r="A3336" s="3">
        <f>3329</f>
        <v>3329</v>
      </c>
      <c r="B3336" s="3" t="s">
        <v>3338</v>
      </c>
      <c r="C3336" s="3" t="s">
        <v>9</v>
      </c>
      <c r="D3336" s="3" t="s">
        <v>9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/>
      <c r="P3336" s="3"/>
      <c r="Q3336" s="3"/>
    </row>
    <row r="3337" spans="1:17" ht="15" x14ac:dyDescent="0.25">
      <c r="A3337" s="3">
        <f>3330</f>
        <v>3330</v>
      </c>
      <c r="B3337" s="3" t="s">
        <v>3339</v>
      </c>
      <c r="C3337" s="3" t="s">
        <v>9</v>
      </c>
      <c r="D3337" s="3" t="s">
        <v>9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/>
      <c r="P3337" s="3"/>
      <c r="Q3337" s="3"/>
    </row>
    <row r="3338" spans="1:17" ht="15" x14ac:dyDescent="0.25">
      <c r="A3338" s="3">
        <f>3331</f>
        <v>3331</v>
      </c>
      <c r="B3338" s="3" t="s">
        <v>3340</v>
      </c>
      <c r="C3338" s="3" t="s">
        <v>9</v>
      </c>
      <c r="D3338" s="3" t="s">
        <v>9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/>
      <c r="P3338" s="3"/>
      <c r="Q3338" s="3"/>
    </row>
    <row r="3339" spans="1:17" ht="15" x14ac:dyDescent="0.25">
      <c r="A3339" s="3">
        <f>3332</f>
        <v>3332</v>
      </c>
      <c r="B3339" s="3" t="s">
        <v>3341</v>
      </c>
      <c r="C3339" s="3" t="s">
        <v>9</v>
      </c>
      <c r="D3339" s="3" t="s">
        <v>9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/>
      <c r="P3339" s="3"/>
      <c r="Q3339" s="3"/>
    </row>
    <row r="3340" spans="1:17" ht="15" x14ac:dyDescent="0.25">
      <c r="A3340" s="3">
        <f>3333</f>
        <v>3333</v>
      </c>
      <c r="B3340" s="3" t="s">
        <v>3342</v>
      </c>
      <c r="C3340" s="3" t="s">
        <v>9</v>
      </c>
      <c r="D3340" s="3" t="s">
        <v>9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/>
      <c r="P3340" s="3"/>
      <c r="Q3340" s="3"/>
    </row>
    <row r="3341" spans="1:17" ht="15" x14ac:dyDescent="0.25">
      <c r="A3341" s="3">
        <f>3334</f>
        <v>3334</v>
      </c>
      <c r="B3341" s="3" t="s">
        <v>3343</v>
      </c>
      <c r="C3341" s="3" t="s">
        <v>9</v>
      </c>
      <c r="D3341" s="3" t="s">
        <v>9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/>
      <c r="P3341" s="3"/>
      <c r="Q3341" s="3"/>
    </row>
    <row r="3342" spans="1:17" ht="15" x14ac:dyDescent="0.25">
      <c r="A3342" s="3">
        <f>3335</f>
        <v>3335</v>
      </c>
      <c r="B3342" s="3" t="s">
        <v>3344</v>
      </c>
      <c r="C3342" s="3" t="s">
        <v>9</v>
      </c>
      <c r="D3342" s="3" t="s">
        <v>9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/>
      <c r="P3342" s="3"/>
      <c r="Q3342" s="3"/>
    </row>
    <row r="3343" spans="1:17" ht="15" x14ac:dyDescent="0.25">
      <c r="A3343" s="3">
        <f>3336</f>
        <v>3336</v>
      </c>
      <c r="B3343" s="3" t="s">
        <v>3345</v>
      </c>
      <c r="C3343" s="3" t="s">
        <v>9</v>
      </c>
      <c r="D3343" s="3" t="s">
        <v>9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/>
      <c r="P3343" s="3"/>
      <c r="Q3343" s="3"/>
    </row>
    <row r="3344" spans="1:17" ht="15" x14ac:dyDescent="0.25">
      <c r="A3344" s="3">
        <f>3337</f>
        <v>3337</v>
      </c>
      <c r="B3344" s="3" t="s">
        <v>3346</v>
      </c>
      <c r="C3344" s="3" t="s">
        <v>9</v>
      </c>
      <c r="D3344" s="3" t="s">
        <v>9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/>
      <c r="P3344" s="3"/>
      <c r="Q3344" s="3"/>
    </row>
    <row r="3345" spans="1:17" ht="15" x14ac:dyDescent="0.25">
      <c r="A3345" s="3">
        <f>3338</f>
        <v>3338</v>
      </c>
      <c r="B3345" s="3" t="s">
        <v>3347</v>
      </c>
      <c r="C3345" s="3" t="s">
        <v>9</v>
      </c>
      <c r="D3345" s="3" t="s">
        <v>9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/>
      <c r="P3345" s="3"/>
      <c r="Q3345" s="3"/>
    </row>
    <row r="3346" spans="1:17" ht="15" x14ac:dyDescent="0.25">
      <c r="A3346" s="3">
        <f>3339</f>
        <v>3339</v>
      </c>
      <c r="B3346" s="3" t="s">
        <v>3348</v>
      </c>
      <c r="C3346" s="3" t="s">
        <v>9</v>
      </c>
      <c r="D3346" s="3" t="s">
        <v>9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/>
      <c r="P3346" s="3"/>
      <c r="Q3346" s="3"/>
    </row>
    <row r="3347" spans="1:17" ht="15" x14ac:dyDescent="0.25">
      <c r="A3347" s="3">
        <f>3340</f>
        <v>3340</v>
      </c>
      <c r="B3347" s="3" t="s">
        <v>3349</v>
      </c>
      <c r="C3347" s="3" t="s">
        <v>9</v>
      </c>
      <c r="D3347" s="3" t="s">
        <v>9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/>
      <c r="P3347" s="3"/>
      <c r="Q3347" s="3"/>
    </row>
    <row r="3348" spans="1:17" ht="15" x14ac:dyDescent="0.25">
      <c r="A3348" s="3">
        <f>3341</f>
        <v>3341</v>
      </c>
      <c r="B3348" s="3" t="s">
        <v>3350</v>
      </c>
      <c r="C3348" s="3" t="s">
        <v>9</v>
      </c>
      <c r="D3348" s="3" t="s">
        <v>9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/>
      <c r="P3348" s="3"/>
      <c r="Q3348" s="3"/>
    </row>
    <row r="3349" spans="1:17" ht="15" x14ac:dyDescent="0.25">
      <c r="A3349" s="3">
        <f>3342</f>
        <v>3342</v>
      </c>
      <c r="B3349" s="3" t="s">
        <v>3351</v>
      </c>
      <c r="C3349" s="3" t="s">
        <v>9</v>
      </c>
      <c r="D3349" s="3" t="s">
        <v>9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/>
      <c r="P3349" s="3"/>
      <c r="Q3349" s="3"/>
    </row>
    <row r="3350" spans="1:17" ht="15" x14ac:dyDescent="0.25">
      <c r="A3350" s="3">
        <f>3343</f>
        <v>3343</v>
      </c>
      <c r="B3350" s="3" t="s">
        <v>3352</v>
      </c>
      <c r="C3350" s="3" t="s">
        <v>9</v>
      </c>
      <c r="D3350" s="3" t="s">
        <v>9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/>
      <c r="P3350" s="3"/>
      <c r="Q3350" s="3"/>
    </row>
    <row r="3351" spans="1:17" ht="15" x14ac:dyDescent="0.25">
      <c r="A3351" s="3">
        <f>3344</f>
        <v>3344</v>
      </c>
      <c r="B3351" s="3" t="s">
        <v>3353</v>
      </c>
      <c r="C3351" s="3" t="s">
        <v>9</v>
      </c>
      <c r="D3351" s="3" t="s">
        <v>9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/>
      <c r="P3351" s="3"/>
      <c r="Q3351" s="3"/>
    </row>
    <row r="3352" spans="1:17" ht="15" x14ac:dyDescent="0.25">
      <c r="A3352" s="3">
        <f>3345</f>
        <v>3345</v>
      </c>
      <c r="B3352" s="3" t="s">
        <v>3354</v>
      </c>
      <c r="C3352" s="3" t="s">
        <v>9</v>
      </c>
      <c r="D3352" s="3" t="s">
        <v>9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/>
      <c r="P3352" s="3"/>
      <c r="Q3352" s="3"/>
    </row>
    <row r="3353" spans="1:17" ht="15" x14ac:dyDescent="0.25">
      <c r="A3353" s="3">
        <f>3346</f>
        <v>3346</v>
      </c>
      <c r="B3353" s="3" t="s">
        <v>3355</v>
      </c>
      <c r="C3353" s="3" t="s">
        <v>9</v>
      </c>
      <c r="D3353" s="3" t="s">
        <v>9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/>
      <c r="P3353" s="3"/>
      <c r="Q3353" s="3"/>
    </row>
    <row r="3354" spans="1:17" ht="15" x14ac:dyDescent="0.25">
      <c r="A3354" s="3">
        <f>3347</f>
        <v>3347</v>
      </c>
      <c r="B3354" s="3" t="s">
        <v>3356</v>
      </c>
      <c r="C3354" s="3" t="s">
        <v>9</v>
      </c>
      <c r="D3354" s="3" t="s">
        <v>9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/>
      <c r="P3354" s="3"/>
      <c r="Q3354" s="3"/>
    </row>
    <row r="3355" spans="1:17" ht="15" x14ac:dyDescent="0.25">
      <c r="A3355" s="3">
        <f>3348</f>
        <v>3348</v>
      </c>
      <c r="B3355" s="3" t="s">
        <v>3357</v>
      </c>
      <c r="C3355" s="3" t="s">
        <v>9</v>
      </c>
      <c r="D3355" s="3" t="s">
        <v>9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/>
      <c r="P3355" s="3"/>
      <c r="Q3355" s="3"/>
    </row>
    <row r="3356" spans="1:17" ht="15" x14ac:dyDescent="0.25">
      <c r="A3356" s="3">
        <f>3349</f>
        <v>3349</v>
      </c>
      <c r="B3356" s="3" t="s">
        <v>3358</v>
      </c>
      <c r="C3356" s="3" t="s">
        <v>9</v>
      </c>
      <c r="D3356" s="3" t="s">
        <v>9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/>
      <c r="P3356" s="3"/>
      <c r="Q3356" s="3"/>
    </row>
    <row r="3357" spans="1:17" ht="15" x14ac:dyDescent="0.25">
      <c r="A3357" s="3">
        <f>3350</f>
        <v>3350</v>
      </c>
      <c r="B3357" s="3" t="s">
        <v>3359</v>
      </c>
      <c r="C3357" s="3" t="s">
        <v>9</v>
      </c>
      <c r="D3357" s="3" t="s">
        <v>9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/>
      <c r="P3357" s="3"/>
      <c r="Q3357" s="3"/>
    </row>
    <row r="3358" spans="1:17" ht="15" x14ac:dyDescent="0.25">
      <c r="A3358" s="3">
        <f>3351</f>
        <v>3351</v>
      </c>
      <c r="B3358" s="3" t="s">
        <v>3360</v>
      </c>
      <c r="C3358" s="3" t="s">
        <v>9</v>
      </c>
      <c r="D3358" s="3" t="s">
        <v>9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/>
      <c r="P3358" s="3"/>
      <c r="Q3358" s="3"/>
    </row>
    <row r="3359" spans="1:17" ht="15" x14ac:dyDescent="0.25">
      <c r="A3359" s="3">
        <f>3352</f>
        <v>3352</v>
      </c>
      <c r="B3359" s="3" t="s">
        <v>3361</v>
      </c>
      <c r="C3359" s="3" t="s">
        <v>9</v>
      </c>
      <c r="D3359" s="3" t="s">
        <v>9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/>
      <c r="P3359" s="3"/>
      <c r="Q3359" s="3"/>
    </row>
    <row r="3360" spans="1:17" ht="15" x14ac:dyDescent="0.25">
      <c r="A3360" s="3">
        <f>3353</f>
        <v>3353</v>
      </c>
      <c r="B3360" s="3" t="s">
        <v>3362</v>
      </c>
      <c r="C3360" s="3" t="s">
        <v>9</v>
      </c>
      <c r="D3360" s="3" t="s">
        <v>9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/>
      <c r="P3360" s="3"/>
      <c r="Q3360" s="3"/>
    </row>
    <row r="3361" spans="1:17" ht="15" x14ac:dyDescent="0.25">
      <c r="A3361" s="3">
        <f>3354</f>
        <v>3354</v>
      </c>
      <c r="B3361" s="3" t="s">
        <v>3363</v>
      </c>
      <c r="C3361" s="3" t="s">
        <v>9</v>
      </c>
      <c r="D3361" s="3" t="s">
        <v>9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/>
      <c r="P3361" s="3"/>
      <c r="Q3361" s="3"/>
    </row>
    <row r="3362" spans="1:17" ht="15" x14ac:dyDescent="0.25">
      <c r="A3362" s="3">
        <f>3355</f>
        <v>3355</v>
      </c>
      <c r="B3362" s="3" t="s">
        <v>3364</v>
      </c>
      <c r="C3362" s="3" t="s">
        <v>9</v>
      </c>
      <c r="D3362" s="3" t="s">
        <v>9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/>
      <c r="P3362" s="3"/>
      <c r="Q3362" s="3"/>
    </row>
    <row r="3363" spans="1:17" ht="15" x14ac:dyDescent="0.25">
      <c r="A3363" s="3">
        <f>3356</f>
        <v>3356</v>
      </c>
      <c r="B3363" s="3" t="s">
        <v>3365</v>
      </c>
      <c r="C3363" s="3" t="s">
        <v>9</v>
      </c>
      <c r="D3363" s="3" t="s">
        <v>9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/>
      <c r="P3363" s="3"/>
      <c r="Q3363" s="3"/>
    </row>
    <row r="3364" spans="1:17" ht="15" x14ac:dyDescent="0.25">
      <c r="A3364" s="3">
        <f>3357</f>
        <v>3357</v>
      </c>
      <c r="B3364" s="3" t="s">
        <v>3366</v>
      </c>
      <c r="C3364" s="3" t="s">
        <v>9</v>
      </c>
      <c r="D3364" s="3" t="s">
        <v>9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/>
      <c r="P3364" s="3"/>
      <c r="Q3364" s="3"/>
    </row>
    <row r="3365" spans="1:17" ht="15" x14ac:dyDescent="0.25">
      <c r="A3365" s="3">
        <f>3358</f>
        <v>3358</v>
      </c>
      <c r="B3365" s="3" t="s">
        <v>3367</v>
      </c>
      <c r="C3365" s="3" t="s">
        <v>9</v>
      </c>
      <c r="D3365" s="3" t="s">
        <v>9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/>
      <c r="P3365" s="3"/>
      <c r="Q3365" s="3"/>
    </row>
    <row r="3366" spans="1:17" ht="15" x14ac:dyDescent="0.25">
      <c r="A3366" s="3">
        <f>3359</f>
        <v>3359</v>
      </c>
      <c r="B3366" s="3" t="s">
        <v>3368</v>
      </c>
      <c r="C3366" s="3" t="s">
        <v>9</v>
      </c>
      <c r="D3366" s="3" t="s">
        <v>9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/>
      <c r="P3366" s="3"/>
      <c r="Q3366" s="3"/>
    </row>
    <row r="3367" spans="1:17" ht="15" x14ac:dyDescent="0.25">
      <c r="A3367" s="3">
        <f>3360</f>
        <v>3360</v>
      </c>
      <c r="B3367" s="3" t="s">
        <v>3369</v>
      </c>
      <c r="C3367" s="3" t="s">
        <v>9</v>
      </c>
      <c r="D3367" s="3" t="s">
        <v>9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/>
      <c r="P3367" s="3"/>
      <c r="Q3367" s="3"/>
    </row>
    <row r="3368" spans="1:17" ht="15" x14ac:dyDescent="0.25">
      <c r="A3368" s="3">
        <f>3361</f>
        <v>3361</v>
      </c>
      <c r="B3368" s="3" t="s">
        <v>3370</v>
      </c>
      <c r="C3368" s="3" t="s">
        <v>9</v>
      </c>
      <c r="D3368" s="3" t="s">
        <v>9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/>
      <c r="P3368" s="3"/>
      <c r="Q3368" s="3"/>
    </row>
    <row r="3369" spans="1:17" ht="15" x14ac:dyDescent="0.25">
      <c r="A3369" s="3">
        <f>3362</f>
        <v>3362</v>
      </c>
      <c r="B3369" s="3" t="s">
        <v>3371</v>
      </c>
      <c r="C3369" s="3" t="s">
        <v>9</v>
      </c>
      <c r="D3369" s="3" t="s">
        <v>9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/>
      <c r="P3369" s="3"/>
      <c r="Q3369" s="3"/>
    </row>
    <row r="3370" spans="1:17" ht="15" x14ac:dyDescent="0.25">
      <c r="A3370" s="3">
        <f>3363</f>
        <v>3363</v>
      </c>
      <c r="B3370" s="3" t="s">
        <v>3372</v>
      </c>
      <c r="C3370" s="3" t="s">
        <v>9</v>
      </c>
      <c r="D3370" s="3" t="s">
        <v>9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/>
      <c r="P3370" s="3"/>
      <c r="Q3370" s="3"/>
    </row>
    <row r="3371" spans="1:17" ht="15" x14ac:dyDescent="0.25">
      <c r="A3371" s="3">
        <f>3364</f>
        <v>3364</v>
      </c>
      <c r="B3371" s="3" t="s">
        <v>3373</v>
      </c>
      <c r="C3371" s="3" t="s">
        <v>9</v>
      </c>
      <c r="D3371" s="3" t="s">
        <v>9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/>
      <c r="P3371" s="3"/>
      <c r="Q3371" s="3"/>
    </row>
    <row r="3372" spans="1:17" ht="15" x14ac:dyDescent="0.25">
      <c r="A3372" s="3">
        <f>3365</f>
        <v>3365</v>
      </c>
      <c r="B3372" s="3" t="s">
        <v>3374</v>
      </c>
      <c r="C3372" s="3" t="s">
        <v>9</v>
      </c>
      <c r="D3372" s="3" t="s">
        <v>9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/>
      <c r="P3372" s="3"/>
      <c r="Q3372" s="3"/>
    </row>
    <row r="3373" spans="1:17" ht="15" x14ac:dyDescent="0.25">
      <c r="A3373" s="3">
        <f>3366</f>
        <v>3366</v>
      </c>
      <c r="B3373" s="3" t="s">
        <v>3375</v>
      </c>
      <c r="C3373" s="3" t="s">
        <v>9</v>
      </c>
      <c r="D3373" s="3" t="s">
        <v>9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/>
      <c r="P3373" s="3"/>
      <c r="Q3373" s="3"/>
    </row>
    <row r="3374" spans="1:17" ht="15" x14ac:dyDescent="0.25">
      <c r="A3374" s="3">
        <f>3367</f>
        <v>3367</v>
      </c>
      <c r="B3374" s="3" t="s">
        <v>3376</v>
      </c>
      <c r="C3374" s="3" t="s">
        <v>9</v>
      </c>
      <c r="D3374" s="3" t="s">
        <v>9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/>
      <c r="P3374" s="3"/>
      <c r="Q3374" s="3"/>
    </row>
    <row r="3375" spans="1:17" ht="15" x14ac:dyDescent="0.25">
      <c r="A3375" s="3">
        <f>3368</f>
        <v>3368</v>
      </c>
      <c r="B3375" s="3" t="s">
        <v>3377</v>
      </c>
      <c r="C3375" s="3" t="s">
        <v>9</v>
      </c>
      <c r="D3375" s="3" t="s">
        <v>9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/>
      <c r="P3375" s="3"/>
      <c r="Q3375" s="3"/>
    </row>
    <row r="3376" spans="1:17" ht="15" x14ac:dyDescent="0.25">
      <c r="A3376" s="3">
        <f>3369</f>
        <v>3369</v>
      </c>
      <c r="B3376" s="3" t="s">
        <v>3378</v>
      </c>
      <c r="C3376" s="3" t="s">
        <v>9</v>
      </c>
      <c r="D3376" s="3" t="s">
        <v>9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/>
      <c r="P3376" s="3"/>
      <c r="Q3376" s="3"/>
    </row>
    <row r="3377" spans="1:17" ht="15" x14ac:dyDescent="0.25">
      <c r="A3377" s="3">
        <f>3370</f>
        <v>3370</v>
      </c>
      <c r="B3377" s="3" t="s">
        <v>3379</v>
      </c>
      <c r="C3377" s="3" t="s">
        <v>9</v>
      </c>
      <c r="D3377" s="3" t="s">
        <v>9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/>
      <c r="P3377" s="3"/>
      <c r="Q3377" s="3"/>
    </row>
    <row r="3378" spans="1:17" ht="15" x14ac:dyDescent="0.25">
      <c r="A3378" s="3">
        <f>3371</f>
        <v>3371</v>
      </c>
      <c r="B3378" s="3" t="s">
        <v>3380</v>
      </c>
      <c r="C3378" s="3" t="s">
        <v>9</v>
      </c>
      <c r="D3378" s="3" t="s">
        <v>9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/>
      <c r="P3378" s="3"/>
      <c r="Q3378" s="3"/>
    </row>
    <row r="3379" spans="1:17" ht="15" x14ac:dyDescent="0.25">
      <c r="A3379" s="3">
        <f>3372</f>
        <v>3372</v>
      </c>
      <c r="B3379" s="3" t="s">
        <v>3381</v>
      </c>
      <c r="C3379" s="3" t="s">
        <v>9</v>
      </c>
      <c r="D3379" s="3" t="s">
        <v>9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/>
      <c r="P3379" s="3"/>
      <c r="Q3379" s="3"/>
    </row>
    <row r="3380" spans="1:17" ht="15" x14ac:dyDescent="0.25">
      <c r="A3380" s="3">
        <f>3373</f>
        <v>3373</v>
      </c>
      <c r="B3380" s="3" t="s">
        <v>3382</v>
      </c>
      <c r="C3380" s="3" t="s">
        <v>9</v>
      </c>
      <c r="D3380" s="3" t="s">
        <v>9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/>
      <c r="P3380" s="3"/>
      <c r="Q3380" s="3"/>
    </row>
    <row r="3381" spans="1:17" ht="15" x14ac:dyDescent="0.25">
      <c r="A3381" s="3">
        <f>3374</f>
        <v>3374</v>
      </c>
      <c r="B3381" s="3" t="s">
        <v>3383</v>
      </c>
      <c r="C3381" s="3" t="s">
        <v>9</v>
      </c>
      <c r="D3381" s="3" t="s">
        <v>9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/>
      <c r="P3381" s="3"/>
      <c r="Q3381" s="3"/>
    </row>
    <row r="3382" spans="1:17" ht="15" x14ac:dyDescent="0.25">
      <c r="A3382" s="3">
        <f>3375</f>
        <v>3375</v>
      </c>
      <c r="B3382" s="3" t="s">
        <v>3384</v>
      </c>
      <c r="C3382" s="3" t="s">
        <v>9</v>
      </c>
      <c r="D3382" s="3" t="s">
        <v>9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/>
      <c r="P3382" s="3"/>
      <c r="Q3382" s="3"/>
    </row>
    <row r="3383" spans="1:17" ht="15" x14ac:dyDescent="0.25">
      <c r="A3383" s="3">
        <f>3376</f>
        <v>3376</v>
      </c>
      <c r="B3383" s="3" t="s">
        <v>3385</v>
      </c>
      <c r="C3383" s="3" t="s">
        <v>9</v>
      </c>
      <c r="D3383" s="3" t="s">
        <v>9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/>
      <c r="P3383" s="3"/>
      <c r="Q3383" s="3"/>
    </row>
    <row r="3384" spans="1:17" ht="15" x14ac:dyDescent="0.25">
      <c r="A3384" s="3">
        <f>3377</f>
        <v>3377</v>
      </c>
      <c r="B3384" s="3" t="s">
        <v>3386</v>
      </c>
      <c r="C3384" s="3" t="s">
        <v>9</v>
      </c>
      <c r="D3384" s="3" t="s">
        <v>9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/>
      <c r="P3384" s="3"/>
      <c r="Q3384" s="3"/>
    </row>
    <row r="3385" spans="1:17" ht="15" x14ac:dyDescent="0.25">
      <c r="A3385" s="3">
        <f>3378</f>
        <v>3378</v>
      </c>
      <c r="B3385" s="3" t="s">
        <v>3387</v>
      </c>
      <c r="C3385" s="3" t="s">
        <v>9</v>
      </c>
      <c r="D3385" s="3" t="s">
        <v>9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/>
      <c r="P3385" s="3"/>
      <c r="Q3385" s="3"/>
    </row>
    <row r="3386" spans="1:17" ht="15" x14ac:dyDescent="0.25">
      <c r="A3386" s="3">
        <f>3379</f>
        <v>3379</v>
      </c>
      <c r="B3386" s="3" t="s">
        <v>3388</v>
      </c>
      <c r="C3386" s="3" t="s">
        <v>9</v>
      </c>
      <c r="D3386" s="3" t="s">
        <v>9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/>
      <c r="P3386" s="3"/>
      <c r="Q3386" s="3"/>
    </row>
    <row r="3387" spans="1:17" ht="15" x14ac:dyDescent="0.25">
      <c r="A3387" s="3">
        <f>3380</f>
        <v>3380</v>
      </c>
      <c r="B3387" s="3" t="s">
        <v>3389</v>
      </c>
      <c r="C3387" s="3" t="s">
        <v>9</v>
      </c>
      <c r="D3387" s="3" t="s">
        <v>9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/>
      <c r="P3387" s="3"/>
      <c r="Q3387" s="3"/>
    </row>
    <row r="3388" spans="1:17" ht="15" x14ac:dyDescent="0.25">
      <c r="A3388" s="3">
        <f>3381</f>
        <v>3381</v>
      </c>
      <c r="B3388" s="3" t="s">
        <v>3390</v>
      </c>
      <c r="C3388" s="3" t="s">
        <v>9</v>
      </c>
      <c r="D3388" s="3" t="s">
        <v>9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/>
      <c r="P3388" s="3"/>
      <c r="Q3388" s="3"/>
    </row>
    <row r="3389" spans="1:17" ht="15" x14ac:dyDescent="0.25">
      <c r="A3389" s="3">
        <f>3382</f>
        <v>3382</v>
      </c>
      <c r="B3389" s="3" t="s">
        <v>3391</v>
      </c>
      <c r="C3389" s="3" t="s">
        <v>9</v>
      </c>
      <c r="D3389" s="3" t="s">
        <v>9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/>
      <c r="P3389" s="3"/>
      <c r="Q3389" s="3"/>
    </row>
    <row r="3390" spans="1:17" ht="15" x14ac:dyDescent="0.25">
      <c r="A3390" s="3">
        <f>3383</f>
        <v>3383</v>
      </c>
      <c r="B3390" s="3" t="s">
        <v>3392</v>
      </c>
      <c r="C3390" s="3" t="s">
        <v>9</v>
      </c>
      <c r="D3390" s="3" t="s">
        <v>9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/>
      <c r="P3390" s="3"/>
      <c r="Q3390" s="3"/>
    </row>
    <row r="3391" spans="1:17" ht="15" x14ac:dyDescent="0.25">
      <c r="A3391" s="3">
        <f>3384</f>
        <v>3384</v>
      </c>
      <c r="B3391" s="3" t="s">
        <v>3393</v>
      </c>
      <c r="C3391" s="3" t="s">
        <v>9</v>
      </c>
      <c r="D3391" s="3" t="s">
        <v>9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/>
      <c r="P3391" s="3"/>
      <c r="Q3391" s="3"/>
    </row>
    <row r="3392" spans="1:17" ht="15" x14ac:dyDescent="0.25">
      <c r="A3392" s="3">
        <f>3385</f>
        <v>3385</v>
      </c>
      <c r="B3392" s="3" t="s">
        <v>3394</v>
      </c>
      <c r="C3392" s="3" t="s">
        <v>9</v>
      </c>
      <c r="D3392" s="3" t="s">
        <v>9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/>
      <c r="P3392" s="3"/>
      <c r="Q3392" s="3"/>
    </row>
    <row r="3393" spans="1:17" ht="15" x14ac:dyDescent="0.25">
      <c r="A3393" s="3">
        <f>3386</f>
        <v>3386</v>
      </c>
      <c r="B3393" s="3" t="s">
        <v>3395</v>
      </c>
      <c r="C3393" s="3" t="s">
        <v>9</v>
      </c>
      <c r="D3393" s="3" t="s">
        <v>9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/>
      <c r="P3393" s="3"/>
      <c r="Q3393" s="3"/>
    </row>
    <row r="3394" spans="1:17" ht="15" x14ac:dyDescent="0.25">
      <c r="A3394" s="3">
        <f>3387</f>
        <v>3387</v>
      </c>
      <c r="B3394" s="3" t="s">
        <v>3396</v>
      </c>
      <c r="C3394" s="3" t="s">
        <v>9</v>
      </c>
      <c r="D3394" s="3" t="s">
        <v>9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/>
      <c r="P3394" s="3"/>
      <c r="Q3394" s="3"/>
    </row>
    <row r="3395" spans="1:17" ht="15" x14ac:dyDescent="0.25">
      <c r="A3395" s="3">
        <f>3388</f>
        <v>3388</v>
      </c>
      <c r="B3395" s="3" t="s">
        <v>3397</v>
      </c>
      <c r="C3395" s="3" t="s">
        <v>9</v>
      </c>
      <c r="D3395" s="3" t="s">
        <v>9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/>
      <c r="P3395" s="3"/>
      <c r="Q3395" s="3"/>
    </row>
    <row r="3396" spans="1:17" ht="15" x14ac:dyDescent="0.25">
      <c r="A3396" s="3">
        <f>3389</f>
        <v>3389</v>
      </c>
      <c r="B3396" s="3" t="s">
        <v>3398</v>
      </c>
      <c r="C3396" s="3" t="s">
        <v>9</v>
      </c>
      <c r="D3396" s="3" t="s">
        <v>9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/>
      <c r="P3396" s="3"/>
      <c r="Q3396" s="3"/>
    </row>
    <row r="3397" spans="1:17" ht="15" x14ac:dyDescent="0.25">
      <c r="A3397" s="3">
        <f>3390</f>
        <v>3390</v>
      </c>
      <c r="B3397" s="3" t="s">
        <v>3399</v>
      </c>
      <c r="C3397" s="3" t="s">
        <v>9</v>
      </c>
      <c r="D3397" s="3" t="s">
        <v>9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/>
      <c r="P3397" s="3"/>
      <c r="Q3397" s="3"/>
    </row>
    <row r="3398" spans="1:17" ht="15" x14ac:dyDescent="0.25">
      <c r="A3398" s="3">
        <f>3391</f>
        <v>3391</v>
      </c>
      <c r="B3398" s="3" t="s">
        <v>3400</v>
      </c>
      <c r="C3398" s="3" t="s">
        <v>9</v>
      </c>
      <c r="D3398" s="3" t="s">
        <v>9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/>
      <c r="P3398" s="3"/>
      <c r="Q3398" s="3"/>
    </row>
    <row r="3399" spans="1:17" ht="15" x14ac:dyDescent="0.25">
      <c r="A3399" s="3">
        <f>3392</f>
        <v>3392</v>
      </c>
      <c r="B3399" s="3" t="s">
        <v>3401</v>
      </c>
      <c r="C3399" s="3" t="s">
        <v>9</v>
      </c>
      <c r="D3399" s="3" t="s">
        <v>9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/>
      <c r="P3399" s="3"/>
      <c r="Q3399" s="3"/>
    </row>
    <row r="3400" spans="1:17" ht="15" x14ac:dyDescent="0.25">
      <c r="A3400" s="3">
        <f>3393</f>
        <v>3393</v>
      </c>
      <c r="B3400" s="3" t="s">
        <v>3402</v>
      </c>
      <c r="C3400" s="3" t="s">
        <v>9</v>
      </c>
      <c r="D3400" s="3" t="s">
        <v>9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/>
      <c r="P3400" s="3"/>
      <c r="Q3400" s="3"/>
    </row>
    <row r="3401" spans="1:17" ht="15" x14ac:dyDescent="0.25">
      <c r="A3401" s="3">
        <f>3394</f>
        <v>3394</v>
      </c>
      <c r="B3401" s="3" t="s">
        <v>3403</v>
      </c>
      <c r="C3401" s="3" t="s">
        <v>9</v>
      </c>
      <c r="D3401" s="3" t="s">
        <v>9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/>
      <c r="P3401" s="3"/>
      <c r="Q3401" s="3"/>
    </row>
    <row r="3402" spans="1:17" ht="15" x14ac:dyDescent="0.25">
      <c r="A3402" s="3">
        <f>3395</f>
        <v>3395</v>
      </c>
      <c r="B3402" s="3" t="s">
        <v>3404</v>
      </c>
      <c r="C3402" s="3" t="s">
        <v>9</v>
      </c>
      <c r="D3402" s="3" t="s">
        <v>9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/>
      <c r="P3402" s="3"/>
      <c r="Q3402" s="3"/>
    </row>
    <row r="3403" spans="1:17" ht="15" x14ac:dyDescent="0.25">
      <c r="A3403" s="3">
        <f>3396</f>
        <v>3396</v>
      </c>
      <c r="B3403" s="3" t="s">
        <v>3405</v>
      </c>
      <c r="C3403" s="3" t="s">
        <v>9</v>
      </c>
      <c r="D3403" s="3" t="s">
        <v>9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/>
      <c r="P3403" s="3"/>
      <c r="Q3403" s="3"/>
    </row>
    <row r="3404" spans="1:17" ht="15" x14ac:dyDescent="0.25">
      <c r="A3404" s="3">
        <f>3397</f>
        <v>3397</v>
      </c>
      <c r="B3404" s="3" t="s">
        <v>3406</v>
      </c>
      <c r="C3404" s="3" t="s">
        <v>9</v>
      </c>
      <c r="D3404" s="3" t="s">
        <v>9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/>
      <c r="P3404" s="3"/>
      <c r="Q3404" s="3"/>
    </row>
    <row r="3405" spans="1:17" ht="15" x14ac:dyDescent="0.25">
      <c r="A3405" s="3">
        <f>3398</f>
        <v>3398</v>
      </c>
      <c r="B3405" s="3" t="s">
        <v>3407</v>
      </c>
      <c r="C3405" s="3" t="s">
        <v>9</v>
      </c>
      <c r="D3405" s="3" t="s">
        <v>9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/>
      <c r="P3405" s="3"/>
      <c r="Q3405" s="3"/>
    </row>
    <row r="3406" spans="1:17" ht="15" x14ac:dyDescent="0.25">
      <c r="A3406" s="3">
        <f>3399</f>
        <v>3399</v>
      </c>
      <c r="B3406" s="3" t="s">
        <v>3408</v>
      </c>
      <c r="C3406" s="3" t="s">
        <v>9</v>
      </c>
      <c r="D3406" s="3" t="s">
        <v>9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/>
      <c r="P3406" s="3"/>
      <c r="Q3406" s="3"/>
    </row>
    <row r="3407" spans="1:17" ht="15" x14ac:dyDescent="0.25">
      <c r="A3407" s="3">
        <f>3400</f>
        <v>3400</v>
      </c>
      <c r="B3407" s="3" t="s">
        <v>3409</v>
      </c>
      <c r="C3407" s="3" t="s">
        <v>9</v>
      </c>
      <c r="D3407" s="3" t="s">
        <v>10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/>
      <c r="P3407" s="3"/>
      <c r="Q3407" s="3"/>
    </row>
    <row r="3408" spans="1:17" ht="15" x14ac:dyDescent="0.25">
      <c r="A3408" s="3">
        <f>3401</f>
        <v>3401</v>
      </c>
      <c r="B3408" s="3" t="s">
        <v>3410</v>
      </c>
      <c r="C3408" s="3" t="s">
        <v>10</v>
      </c>
      <c r="D3408" s="3" t="s">
        <v>9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/>
      <c r="P3408" s="3"/>
      <c r="Q3408" s="3"/>
    </row>
    <row r="3409" spans="1:17" ht="15" x14ac:dyDescent="0.25">
      <c r="A3409" s="3">
        <f>3402</f>
        <v>3402</v>
      </c>
      <c r="B3409" s="3" t="s">
        <v>3411</v>
      </c>
      <c r="C3409" s="3" t="s">
        <v>10</v>
      </c>
      <c r="D3409" s="3" t="s">
        <v>9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/>
      <c r="P3409" s="3"/>
      <c r="Q3409" s="3"/>
    </row>
    <row r="3410" spans="1:17" ht="15" x14ac:dyDescent="0.25">
      <c r="A3410" s="3">
        <f>3403</f>
        <v>3403</v>
      </c>
      <c r="B3410" s="3" t="s">
        <v>3412</v>
      </c>
      <c r="C3410" s="3" t="s">
        <v>10</v>
      </c>
      <c r="D3410" s="3" t="s">
        <v>9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/>
      <c r="P3410" s="3"/>
      <c r="Q3410" s="3"/>
    </row>
    <row r="3411" spans="1:17" ht="15" x14ac:dyDescent="0.25">
      <c r="A3411" s="3">
        <f>3404</f>
        <v>3404</v>
      </c>
      <c r="B3411" s="3" t="s">
        <v>3413</v>
      </c>
      <c r="C3411" s="3" t="s">
        <v>9</v>
      </c>
      <c r="D3411" s="3" t="s">
        <v>10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/>
      <c r="P3411" s="3"/>
      <c r="Q3411" s="3"/>
    </row>
    <row r="3412" spans="1:17" ht="15" x14ac:dyDescent="0.25">
      <c r="A3412" s="3">
        <f>3405</f>
        <v>3405</v>
      </c>
      <c r="B3412" s="3" t="s">
        <v>3414</v>
      </c>
      <c r="C3412" s="3" t="s">
        <v>9</v>
      </c>
      <c r="D3412" s="3" t="s">
        <v>10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/>
      <c r="P3412" s="3"/>
      <c r="Q3412" s="3"/>
    </row>
    <row r="3413" spans="1:17" ht="15" x14ac:dyDescent="0.25">
      <c r="A3413" s="3">
        <f>3406</f>
        <v>3406</v>
      </c>
      <c r="B3413" s="3" t="s">
        <v>3415</v>
      </c>
      <c r="C3413" s="3" t="s">
        <v>9</v>
      </c>
      <c r="D3413" s="3" t="s">
        <v>10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/>
      <c r="P3413" s="3"/>
      <c r="Q3413" s="3"/>
    </row>
    <row r="3414" spans="1:17" ht="15" x14ac:dyDescent="0.25">
      <c r="A3414" s="3">
        <f>3407</f>
        <v>3407</v>
      </c>
      <c r="B3414" s="3" t="s">
        <v>3416</v>
      </c>
      <c r="C3414" s="3" t="s">
        <v>9</v>
      </c>
      <c r="D3414" s="3" t="s">
        <v>10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/>
      <c r="P3414" s="3"/>
      <c r="Q3414" s="3"/>
    </row>
    <row r="3415" spans="1:17" ht="15" x14ac:dyDescent="0.25">
      <c r="A3415" s="3">
        <f>3408</f>
        <v>3408</v>
      </c>
      <c r="B3415" s="3" t="s">
        <v>3417</v>
      </c>
      <c r="C3415" s="3" t="s">
        <v>9</v>
      </c>
      <c r="D3415" s="3" t="s">
        <v>10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/>
      <c r="P3415" s="3"/>
      <c r="Q3415" s="3"/>
    </row>
    <row r="3416" spans="1:17" ht="15" x14ac:dyDescent="0.25">
      <c r="A3416" s="3">
        <f>3409</f>
        <v>3409</v>
      </c>
      <c r="B3416" s="3" t="s">
        <v>3418</v>
      </c>
      <c r="C3416" s="3" t="s">
        <v>9</v>
      </c>
      <c r="D3416" s="3" t="s">
        <v>10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/>
      <c r="P3416" s="3"/>
      <c r="Q3416" s="3"/>
    </row>
    <row r="3417" spans="1:17" ht="15" x14ac:dyDescent="0.25">
      <c r="A3417" s="3">
        <f>3410</f>
        <v>3410</v>
      </c>
      <c r="B3417" s="3" t="s">
        <v>3419</v>
      </c>
      <c r="C3417" s="3" t="s">
        <v>9</v>
      </c>
      <c r="D3417" s="3" t="s">
        <v>10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/>
      <c r="P3417" s="3"/>
      <c r="Q3417" s="3"/>
    </row>
    <row r="3418" spans="1:17" ht="15" x14ac:dyDescent="0.25">
      <c r="A3418" s="3">
        <f>3411</f>
        <v>3411</v>
      </c>
      <c r="B3418" s="3" t="s">
        <v>3420</v>
      </c>
      <c r="C3418" s="3" t="s">
        <v>9</v>
      </c>
      <c r="D3418" s="3" t="s">
        <v>10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/>
      <c r="P3418" s="3"/>
      <c r="Q3418" s="3"/>
    </row>
    <row r="3419" spans="1:17" ht="15" x14ac:dyDescent="0.25">
      <c r="A3419" s="3">
        <f>3412</f>
        <v>3412</v>
      </c>
      <c r="B3419" s="3" t="s">
        <v>3421</v>
      </c>
      <c r="C3419" s="3" t="s">
        <v>9</v>
      </c>
      <c r="D3419" s="3" t="s">
        <v>10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/>
      <c r="P3419" s="3"/>
      <c r="Q3419" s="3"/>
    </row>
    <row r="3420" spans="1:17" ht="15" x14ac:dyDescent="0.25">
      <c r="A3420" s="3">
        <f>3413</f>
        <v>3413</v>
      </c>
      <c r="B3420" s="3" t="s">
        <v>3422</v>
      </c>
      <c r="C3420" s="3" t="s">
        <v>9</v>
      </c>
      <c r="D3420" s="3" t="s">
        <v>10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/>
      <c r="P3420" s="3"/>
      <c r="Q3420" s="3"/>
    </row>
    <row r="3421" spans="1:17" ht="15" x14ac:dyDescent="0.25">
      <c r="A3421" s="3">
        <f>3414</f>
        <v>3414</v>
      </c>
      <c r="B3421" s="3" t="s">
        <v>3423</v>
      </c>
      <c r="C3421" s="3" t="s">
        <v>9</v>
      </c>
      <c r="D3421" s="3" t="s">
        <v>10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/>
      <c r="P3421" s="3"/>
      <c r="Q3421" s="3"/>
    </row>
    <row r="3422" spans="1:17" ht="15" x14ac:dyDescent="0.25">
      <c r="A3422" s="3">
        <f>3415</f>
        <v>3415</v>
      </c>
      <c r="B3422" s="3" t="s">
        <v>3424</v>
      </c>
      <c r="C3422" s="3" t="s">
        <v>9</v>
      </c>
      <c r="D3422" s="3" t="s">
        <v>10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/>
      <c r="P3422" s="3"/>
      <c r="Q3422" s="3"/>
    </row>
    <row r="3423" spans="1:17" ht="15" x14ac:dyDescent="0.25">
      <c r="A3423" s="3">
        <f>3416</f>
        <v>3416</v>
      </c>
      <c r="B3423" s="3" t="s">
        <v>3425</v>
      </c>
      <c r="C3423" s="3" t="s">
        <v>9</v>
      </c>
      <c r="D3423" s="3" t="s">
        <v>10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/>
      <c r="P3423" s="3"/>
      <c r="Q3423" s="3"/>
    </row>
    <row r="3424" spans="1:17" ht="15" x14ac:dyDescent="0.25">
      <c r="A3424" s="3">
        <f>3417</f>
        <v>3417</v>
      </c>
      <c r="B3424" s="3" t="s">
        <v>3426</v>
      </c>
      <c r="C3424" s="3" t="s">
        <v>9</v>
      </c>
      <c r="D3424" s="3" t="s">
        <v>10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/>
      <c r="P3424" s="3"/>
      <c r="Q3424" s="3"/>
    </row>
    <row r="3425" spans="1:17" ht="15" x14ac:dyDescent="0.25">
      <c r="A3425" s="3">
        <f>3418</f>
        <v>3418</v>
      </c>
      <c r="B3425" s="3" t="s">
        <v>3427</v>
      </c>
      <c r="C3425" s="3" t="s">
        <v>9</v>
      </c>
      <c r="D3425" s="3" t="s">
        <v>10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/>
      <c r="P3425" s="3"/>
      <c r="Q3425" s="3"/>
    </row>
    <row r="3426" spans="1:17" ht="15" x14ac:dyDescent="0.25">
      <c r="A3426" s="3">
        <f>3419</f>
        <v>3419</v>
      </c>
      <c r="B3426" s="3" t="s">
        <v>3428</v>
      </c>
      <c r="C3426" s="3" t="s">
        <v>9</v>
      </c>
      <c r="D3426" s="3" t="s">
        <v>10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/>
      <c r="P3426" s="3"/>
      <c r="Q3426" s="3"/>
    </row>
    <row r="3427" spans="1:17" ht="15" x14ac:dyDescent="0.25">
      <c r="A3427" s="3">
        <f>3420</f>
        <v>3420</v>
      </c>
      <c r="B3427" s="3" t="s">
        <v>3429</v>
      </c>
      <c r="C3427" s="3" t="s">
        <v>9</v>
      </c>
      <c r="D3427" s="3" t="s">
        <v>10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/>
      <c r="P3427" s="3"/>
      <c r="Q3427" s="3"/>
    </row>
    <row r="3428" spans="1:17" ht="15" x14ac:dyDescent="0.25">
      <c r="A3428" s="3">
        <f>3421</f>
        <v>3421</v>
      </c>
      <c r="B3428" s="3" t="s">
        <v>3430</v>
      </c>
      <c r="C3428" s="3" t="s">
        <v>9</v>
      </c>
      <c r="D3428" s="3" t="s">
        <v>10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/>
      <c r="P3428" s="3"/>
      <c r="Q3428" s="3"/>
    </row>
    <row r="3429" spans="1:17" ht="15" x14ac:dyDescent="0.25">
      <c r="A3429" s="3">
        <f>3422</f>
        <v>3422</v>
      </c>
      <c r="B3429" s="3" t="s">
        <v>3431</v>
      </c>
      <c r="C3429" s="3" t="s">
        <v>9</v>
      </c>
      <c r="D3429" s="3" t="s">
        <v>10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/>
      <c r="P3429" s="3"/>
      <c r="Q3429" s="3"/>
    </row>
    <row r="3430" spans="1:17" ht="15" x14ac:dyDescent="0.25">
      <c r="A3430" s="3">
        <f>3423</f>
        <v>3423</v>
      </c>
      <c r="B3430" s="3" t="s">
        <v>3432</v>
      </c>
      <c r="C3430" s="3" t="s">
        <v>9</v>
      </c>
      <c r="D3430" s="3" t="s">
        <v>10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/>
      <c r="P3430" s="3"/>
      <c r="Q3430" s="3"/>
    </row>
    <row r="3431" spans="1:17" ht="15" x14ac:dyDescent="0.25">
      <c r="A3431" s="3">
        <f>3424</f>
        <v>3424</v>
      </c>
      <c r="B3431" s="3" t="s">
        <v>3433</v>
      </c>
      <c r="C3431" s="3" t="s">
        <v>9</v>
      </c>
      <c r="D3431" s="3" t="s">
        <v>10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/>
      <c r="P3431" s="3"/>
      <c r="Q3431" s="3"/>
    </row>
    <row r="3432" spans="1:17" ht="15" x14ac:dyDescent="0.25">
      <c r="A3432" s="3">
        <f>3425</f>
        <v>3425</v>
      </c>
      <c r="B3432" s="3" t="s">
        <v>3434</v>
      </c>
      <c r="C3432" s="3" t="s">
        <v>9</v>
      </c>
      <c r="D3432" s="3" t="s">
        <v>10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/>
      <c r="P3432" s="3"/>
      <c r="Q3432" s="3"/>
    </row>
    <row r="3433" spans="1:17" ht="15" x14ac:dyDescent="0.25">
      <c r="A3433" s="3">
        <f>3426</f>
        <v>3426</v>
      </c>
      <c r="B3433" s="3" t="s">
        <v>3435</v>
      </c>
      <c r="C3433" s="3" t="s">
        <v>9</v>
      </c>
      <c r="D3433" s="3" t="s">
        <v>10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/>
      <c r="P3433" s="3"/>
      <c r="Q3433" s="3"/>
    </row>
    <row r="3434" spans="1:17" ht="15" x14ac:dyDescent="0.25">
      <c r="A3434" s="3">
        <f>3427</f>
        <v>3427</v>
      </c>
      <c r="B3434" s="3" t="s">
        <v>3436</v>
      </c>
      <c r="C3434" s="3" t="s">
        <v>9</v>
      </c>
      <c r="D3434" s="3" t="s">
        <v>10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/>
      <c r="P3434" s="3"/>
      <c r="Q3434" s="3"/>
    </row>
    <row r="3435" spans="1:17" ht="15" x14ac:dyDescent="0.25">
      <c r="A3435" s="3">
        <f>3428</f>
        <v>3428</v>
      </c>
      <c r="B3435" s="3" t="s">
        <v>3437</v>
      </c>
      <c r="C3435" s="3" t="s">
        <v>9</v>
      </c>
      <c r="D3435" s="3" t="s">
        <v>10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/>
      <c r="P3435" s="3"/>
      <c r="Q3435" s="3"/>
    </row>
    <row r="3436" spans="1:17" ht="15" x14ac:dyDescent="0.25">
      <c r="A3436" s="3">
        <f>3429</f>
        <v>3429</v>
      </c>
      <c r="B3436" s="3" t="s">
        <v>3438</v>
      </c>
      <c r="C3436" s="3" t="s">
        <v>9</v>
      </c>
      <c r="D3436" s="3" t="s">
        <v>10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/>
      <c r="P3436" s="3"/>
      <c r="Q3436" s="3"/>
    </row>
    <row r="3437" spans="1:17" ht="15" x14ac:dyDescent="0.25">
      <c r="A3437" s="3">
        <f>3430</f>
        <v>3430</v>
      </c>
      <c r="B3437" s="3" t="s">
        <v>3439</v>
      </c>
      <c r="C3437" s="3" t="s">
        <v>9</v>
      </c>
      <c r="D3437" s="3" t="s">
        <v>10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/>
      <c r="P3437" s="3"/>
      <c r="Q3437" s="3"/>
    </row>
    <row r="3438" spans="1:17" ht="15" x14ac:dyDescent="0.25">
      <c r="A3438" s="3">
        <f>3431</f>
        <v>3431</v>
      </c>
      <c r="B3438" s="3" t="s">
        <v>3440</v>
      </c>
      <c r="C3438" s="3" t="s">
        <v>9</v>
      </c>
      <c r="D3438" s="3" t="s">
        <v>10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/>
      <c r="P3438" s="3"/>
      <c r="Q3438" s="3"/>
    </row>
    <row r="3439" spans="1:17" ht="15" x14ac:dyDescent="0.25">
      <c r="A3439" s="3">
        <f>3432</f>
        <v>3432</v>
      </c>
      <c r="B3439" s="3" t="s">
        <v>3441</v>
      </c>
      <c r="C3439" s="3" t="s">
        <v>9</v>
      </c>
      <c r="D3439" s="3" t="s">
        <v>10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/>
      <c r="P3439" s="3"/>
      <c r="Q3439" s="3"/>
    </row>
    <row r="3440" spans="1:17" ht="15" x14ac:dyDescent="0.25">
      <c r="A3440" s="3">
        <f>3433</f>
        <v>3433</v>
      </c>
      <c r="B3440" s="3" t="s">
        <v>3442</v>
      </c>
      <c r="C3440" s="3" t="s">
        <v>9</v>
      </c>
      <c r="D3440" s="3" t="s">
        <v>10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/>
      <c r="P3440" s="3"/>
      <c r="Q3440" s="3"/>
    </row>
    <row r="3441" spans="1:17" ht="15" x14ac:dyDescent="0.25">
      <c r="A3441" s="3">
        <f>3434</f>
        <v>3434</v>
      </c>
      <c r="B3441" s="3" t="s">
        <v>3443</v>
      </c>
      <c r="C3441" s="3" t="s">
        <v>9</v>
      </c>
      <c r="D3441" s="3" t="s">
        <v>10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/>
      <c r="P3441" s="3"/>
      <c r="Q3441" s="3"/>
    </row>
    <row r="3442" spans="1:17" ht="15" x14ac:dyDescent="0.25">
      <c r="A3442" s="3">
        <f>3435</f>
        <v>3435</v>
      </c>
      <c r="B3442" s="3" t="s">
        <v>3444</v>
      </c>
      <c r="C3442" s="3" t="s">
        <v>9</v>
      </c>
      <c r="D3442" s="3" t="s">
        <v>10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/>
      <c r="P3442" s="3"/>
      <c r="Q3442" s="3"/>
    </row>
    <row r="3443" spans="1:17" ht="15" x14ac:dyDescent="0.25">
      <c r="A3443" s="3">
        <f>3436</f>
        <v>3436</v>
      </c>
      <c r="B3443" s="3" t="s">
        <v>3445</v>
      </c>
      <c r="C3443" s="3" t="s">
        <v>9</v>
      </c>
      <c r="D3443" s="3" t="s">
        <v>10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/>
      <c r="P3443" s="3"/>
      <c r="Q3443" s="3"/>
    </row>
    <row r="3444" spans="1:17" ht="15" x14ac:dyDescent="0.25">
      <c r="A3444" s="3">
        <f>3437</f>
        <v>3437</v>
      </c>
      <c r="B3444" s="3" t="s">
        <v>3446</v>
      </c>
      <c r="C3444" s="3" t="s">
        <v>9</v>
      </c>
      <c r="D3444" s="3" t="s">
        <v>10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/>
      <c r="P3444" s="3"/>
      <c r="Q3444" s="3"/>
    </row>
    <row r="3445" spans="1:17" ht="15" x14ac:dyDescent="0.25">
      <c r="A3445" s="3">
        <f>3438</f>
        <v>3438</v>
      </c>
      <c r="B3445" s="3" t="s">
        <v>3447</v>
      </c>
      <c r="C3445" s="3" t="s">
        <v>9</v>
      </c>
      <c r="D3445" s="3" t="s">
        <v>10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/>
      <c r="P3445" s="3"/>
      <c r="Q3445" s="3"/>
    </row>
    <row r="3446" spans="1:17" ht="15" x14ac:dyDescent="0.25">
      <c r="A3446" s="3">
        <f>3439</f>
        <v>3439</v>
      </c>
      <c r="B3446" s="3" t="s">
        <v>3448</v>
      </c>
      <c r="C3446" s="3" t="s">
        <v>9</v>
      </c>
      <c r="D3446" s="3" t="s">
        <v>10</v>
      </c>
      <c r="E3446" s="3">
        <v>0</v>
      </c>
      <c r="F3446" s="3">
        <v>0</v>
      </c>
      <c r="G3446" s="3">
        <v>1</v>
      </c>
      <c r="H3446" s="3">
        <v>0</v>
      </c>
      <c r="I3446" s="3">
        <v>0</v>
      </c>
      <c r="J3446" s="3">
        <v>1</v>
      </c>
      <c r="K3446" s="3">
        <v>0</v>
      </c>
      <c r="L3446" s="3">
        <v>1</v>
      </c>
      <c r="M3446" s="3">
        <v>0</v>
      </c>
      <c r="N3446" s="3">
        <v>0</v>
      </c>
      <c r="O3446" s="3"/>
      <c r="P3446" s="3"/>
      <c r="Q3446" s="3"/>
    </row>
    <row r="3447" spans="1:17" ht="15" x14ac:dyDescent="0.25">
      <c r="A3447" s="3">
        <f>3440</f>
        <v>3440</v>
      </c>
      <c r="B3447" s="3" t="s">
        <v>3449</v>
      </c>
      <c r="C3447" s="3" t="s">
        <v>9</v>
      </c>
      <c r="D3447" s="3" t="s">
        <v>10</v>
      </c>
      <c r="E3447" s="3">
        <v>0</v>
      </c>
      <c r="F3447" s="3">
        <v>0</v>
      </c>
      <c r="G3447" s="3">
        <v>1</v>
      </c>
      <c r="H3447" s="3">
        <v>0</v>
      </c>
      <c r="I3447" s="3">
        <v>0</v>
      </c>
      <c r="J3447" s="3">
        <v>1</v>
      </c>
      <c r="K3447" s="3">
        <v>0</v>
      </c>
      <c r="L3447" s="3">
        <v>1</v>
      </c>
      <c r="M3447" s="3">
        <v>0</v>
      </c>
      <c r="N3447" s="3">
        <v>0</v>
      </c>
      <c r="O3447" s="3"/>
      <c r="P3447" s="3"/>
      <c r="Q3447" s="3"/>
    </row>
    <row r="3448" spans="1:17" ht="15" x14ac:dyDescent="0.25">
      <c r="A3448" s="3">
        <f>3441</f>
        <v>3441</v>
      </c>
      <c r="B3448" s="3" t="s">
        <v>3450</v>
      </c>
      <c r="C3448" s="3" t="s">
        <v>9</v>
      </c>
      <c r="D3448" s="3" t="s">
        <v>10</v>
      </c>
      <c r="E3448" s="3">
        <v>0</v>
      </c>
      <c r="F3448" s="3">
        <v>0</v>
      </c>
      <c r="G3448" s="3">
        <v>1</v>
      </c>
      <c r="H3448" s="3">
        <v>0</v>
      </c>
      <c r="I3448" s="3">
        <v>0</v>
      </c>
      <c r="J3448" s="3">
        <v>1</v>
      </c>
      <c r="K3448" s="3">
        <v>0</v>
      </c>
      <c r="L3448" s="3">
        <v>1</v>
      </c>
      <c r="M3448" s="3">
        <v>0</v>
      </c>
      <c r="N3448" s="3">
        <v>0</v>
      </c>
      <c r="O3448" s="3"/>
      <c r="P3448" s="3"/>
      <c r="Q3448" s="3"/>
    </row>
    <row r="3449" spans="1:17" ht="15" x14ac:dyDescent="0.25">
      <c r="A3449" s="3">
        <f>3442</f>
        <v>3442</v>
      </c>
      <c r="B3449" s="3" t="s">
        <v>3451</v>
      </c>
      <c r="C3449" s="3" t="s">
        <v>9</v>
      </c>
      <c r="D3449" s="3" t="s">
        <v>10</v>
      </c>
      <c r="E3449" s="3">
        <v>0</v>
      </c>
      <c r="F3449" s="3">
        <v>0</v>
      </c>
      <c r="G3449" s="3">
        <v>1</v>
      </c>
      <c r="H3449" s="3">
        <v>0</v>
      </c>
      <c r="I3449" s="3">
        <v>0</v>
      </c>
      <c r="J3449" s="3">
        <v>1</v>
      </c>
      <c r="K3449" s="3">
        <v>0</v>
      </c>
      <c r="L3449" s="3">
        <v>1</v>
      </c>
      <c r="M3449" s="3">
        <v>0</v>
      </c>
      <c r="N3449" s="3">
        <v>0</v>
      </c>
      <c r="O3449" s="3"/>
      <c r="P3449" s="3"/>
      <c r="Q3449" s="3"/>
    </row>
    <row r="3450" spans="1:17" ht="15" x14ac:dyDescent="0.25">
      <c r="A3450" s="3">
        <f>3443</f>
        <v>3443</v>
      </c>
      <c r="B3450" s="3" t="s">
        <v>3452</v>
      </c>
      <c r="C3450" s="3" t="s">
        <v>9</v>
      </c>
      <c r="D3450" s="3" t="s">
        <v>10</v>
      </c>
      <c r="E3450" s="3">
        <v>0</v>
      </c>
      <c r="F3450" s="3">
        <v>0</v>
      </c>
      <c r="G3450" s="3">
        <v>1</v>
      </c>
      <c r="H3450" s="3">
        <v>0</v>
      </c>
      <c r="I3450" s="3">
        <v>0</v>
      </c>
      <c r="J3450" s="3">
        <v>1</v>
      </c>
      <c r="K3450" s="3">
        <v>0</v>
      </c>
      <c r="L3450" s="3">
        <v>1</v>
      </c>
      <c r="M3450" s="3">
        <v>0</v>
      </c>
      <c r="N3450" s="3">
        <v>0</v>
      </c>
      <c r="O3450" s="3"/>
      <c r="P3450" s="3"/>
      <c r="Q3450" s="3"/>
    </row>
    <row r="3451" spans="1:17" ht="15" x14ac:dyDescent="0.25">
      <c r="A3451" s="3">
        <f>3444</f>
        <v>3444</v>
      </c>
      <c r="B3451" s="3" t="s">
        <v>3453</v>
      </c>
      <c r="C3451" s="3" t="s">
        <v>9</v>
      </c>
      <c r="D3451" s="3" t="s">
        <v>10</v>
      </c>
      <c r="E3451" s="3">
        <v>0</v>
      </c>
      <c r="F3451" s="3">
        <v>0</v>
      </c>
      <c r="G3451" s="3">
        <v>1</v>
      </c>
      <c r="H3451" s="3">
        <v>0</v>
      </c>
      <c r="I3451" s="3">
        <v>0</v>
      </c>
      <c r="J3451" s="3">
        <v>1</v>
      </c>
      <c r="K3451" s="3">
        <v>0</v>
      </c>
      <c r="L3451" s="3">
        <v>1</v>
      </c>
      <c r="M3451" s="3">
        <v>0</v>
      </c>
      <c r="N3451" s="3">
        <v>0</v>
      </c>
      <c r="O3451" s="3"/>
      <c r="P3451" s="3"/>
      <c r="Q3451" s="3"/>
    </row>
    <row r="3452" spans="1:17" ht="15" x14ac:dyDescent="0.25">
      <c r="A3452" s="3">
        <f>3445</f>
        <v>3445</v>
      </c>
      <c r="B3452" s="3" t="s">
        <v>3454</v>
      </c>
      <c r="C3452" s="3" t="s">
        <v>9</v>
      </c>
      <c r="D3452" s="3" t="s">
        <v>10</v>
      </c>
      <c r="E3452" s="3">
        <v>0</v>
      </c>
      <c r="F3452" s="3">
        <v>0</v>
      </c>
      <c r="G3452" s="3">
        <v>1</v>
      </c>
      <c r="H3452" s="3">
        <v>0</v>
      </c>
      <c r="I3452" s="3">
        <v>0</v>
      </c>
      <c r="J3452" s="3">
        <v>1</v>
      </c>
      <c r="K3452" s="3">
        <v>0</v>
      </c>
      <c r="L3452" s="3">
        <v>1</v>
      </c>
      <c r="M3452" s="3">
        <v>0</v>
      </c>
      <c r="N3452" s="3">
        <v>0</v>
      </c>
      <c r="O3452" s="3"/>
      <c r="P3452" s="3"/>
      <c r="Q3452" s="3"/>
    </row>
    <row r="3453" spans="1:17" ht="15" x14ac:dyDescent="0.25">
      <c r="A3453" s="3">
        <f>3446</f>
        <v>3446</v>
      </c>
      <c r="B3453" s="3" t="s">
        <v>3455</v>
      </c>
      <c r="C3453" s="3" t="s">
        <v>9</v>
      </c>
      <c r="D3453" s="3" t="s">
        <v>10</v>
      </c>
      <c r="E3453" s="3">
        <v>0</v>
      </c>
      <c r="F3453" s="3">
        <v>0</v>
      </c>
      <c r="G3453" s="3">
        <v>1</v>
      </c>
      <c r="H3453" s="3">
        <v>0</v>
      </c>
      <c r="I3453" s="3">
        <v>0</v>
      </c>
      <c r="J3453" s="3">
        <v>1</v>
      </c>
      <c r="K3453" s="3">
        <v>0</v>
      </c>
      <c r="L3453" s="3">
        <v>1</v>
      </c>
      <c r="M3453" s="3">
        <v>0</v>
      </c>
      <c r="N3453" s="3">
        <v>0</v>
      </c>
      <c r="O3453" s="3"/>
      <c r="P3453" s="3"/>
      <c r="Q3453" s="3"/>
    </row>
    <row r="3454" spans="1:17" ht="15" x14ac:dyDescent="0.25">
      <c r="A3454" s="3">
        <f>3447</f>
        <v>3447</v>
      </c>
      <c r="B3454" s="3" t="s">
        <v>3456</v>
      </c>
      <c r="C3454" s="3" t="s">
        <v>9</v>
      </c>
      <c r="D3454" s="3" t="s">
        <v>10</v>
      </c>
      <c r="E3454" s="3">
        <v>0</v>
      </c>
      <c r="F3454" s="3">
        <v>0</v>
      </c>
      <c r="G3454" s="3">
        <v>1</v>
      </c>
      <c r="H3454" s="3">
        <v>0</v>
      </c>
      <c r="I3454" s="3">
        <v>0</v>
      </c>
      <c r="J3454" s="3">
        <v>1</v>
      </c>
      <c r="K3454" s="3">
        <v>0</v>
      </c>
      <c r="L3454" s="3">
        <v>1</v>
      </c>
      <c r="M3454" s="3">
        <v>0</v>
      </c>
      <c r="N3454" s="3">
        <v>0</v>
      </c>
      <c r="O3454" s="3"/>
      <c r="P3454" s="3"/>
      <c r="Q3454" s="3"/>
    </row>
    <row r="3455" spans="1:17" ht="15" x14ac:dyDescent="0.25">
      <c r="A3455" s="3">
        <f>3448</f>
        <v>3448</v>
      </c>
      <c r="B3455" s="3" t="s">
        <v>3457</v>
      </c>
      <c r="C3455" s="3" t="s">
        <v>9</v>
      </c>
      <c r="D3455" s="3" t="s">
        <v>10</v>
      </c>
      <c r="E3455" s="3">
        <v>0</v>
      </c>
      <c r="F3455" s="3">
        <v>0</v>
      </c>
      <c r="G3455" s="3">
        <v>1</v>
      </c>
      <c r="H3455" s="3">
        <v>0</v>
      </c>
      <c r="I3455" s="3">
        <v>0</v>
      </c>
      <c r="J3455" s="3">
        <v>1</v>
      </c>
      <c r="K3455" s="3">
        <v>0</v>
      </c>
      <c r="L3455" s="3">
        <v>1</v>
      </c>
      <c r="M3455" s="3">
        <v>0</v>
      </c>
      <c r="N3455" s="3">
        <v>0</v>
      </c>
      <c r="O3455" s="3"/>
      <c r="P3455" s="3"/>
      <c r="Q3455" s="3"/>
    </row>
    <row r="3456" spans="1:17" ht="15" x14ac:dyDescent="0.25">
      <c r="A3456" s="3">
        <f>3449</f>
        <v>3449</v>
      </c>
      <c r="B3456" s="3" t="s">
        <v>3458</v>
      </c>
      <c r="C3456" s="3" t="s">
        <v>9</v>
      </c>
      <c r="D3456" s="3" t="s">
        <v>10</v>
      </c>
      <c r="E3456" s="3">
        <v>0</v>
      </c>
      <c r="F3456" s="3">
        <v>0</v>
      </c>
      <c r="G3456" s="3">
        <v>1</v>
      </c>
      <c r="H3456" s="3">
        <v>0</v>
      </c>
      <c r="I3456" s="3">
        <v>0</v>
      </c>
      <c r="J3456" s="3">
        <v>1</v>
      </c>
      <c r="K3456" s="3">
        <v>0</v>
      </c>
      <c r="L3456" s="3">
        <v>0</v>
      </c>
      <c r="M3456" s="3">
        <v>0</v>
      </c>
      <c r="N3456" s="3">
        <v>0</v>
      </c>
      <c r="O3456" s="3"/>
      <c r="P3456" s="3"/>
      <c r="Q3456" s="3"/>
    </row>
    <row r="3457" spans="1:17" ht="15" x14ac:dyDescent="0.25">
      <c r="A3457" s="3">
        <f>3450</f>
        <v>3450</v>
      </c>
      <c r="B3457" s="3" t="s">
        <v>3459</v>
      </c>
      <c r="C3457" s="3" t="s">
        <v>9</v>
      </c>
      <c r="D3457" s="3" t="s">
        <v>10</v>
      </c>
      <c r="E3457" s="3">
        <v>0</v>
      </c>
      <c r="F3457" s="3">
        <v>0</v>
      </c>
      <c r="G3457" s="3">
        <v>1</v>
      </c>
      <c r="H3457" s="3">
        <v>0</v>
      </c>
      <c r="I3457" s="3">
        <v>0</v>
      </c>
      <c r="J3457" s="3">
        <v>1</v>
      </c>
      <c r="K3457" s="3">
        <v>0</v>
      </c>
      <c r="L3457" s="3">
        <v>0</v>
      </c>
      <c r="M3457" s="3">
        <v>0</v>
      </c>
      <c r="N3457" s="3">
        <v>0</v>
      </c>
      <c r="O3457" s="3"/>
      <c r="P3457" s="3"/>
      <c r="Q3457" s="3"/>
    </row>
    <row r="3458" spans="1:17" ht="15" x14ac:dyDescent="0.25">
      <c r="A3458" s="3">
        <f>3451</f>
        <v>3451</v>
      </c>
      <c r="B3458" s="3" t="s">
        <v>3460</v>
      </c>
      <c r="C3458" s="3" t="s">
        <v>9</v>
      </c>
      <c r="D3458" s="3" t="s">
        <v>10</v>
      </c>
      <c r="E3458" s="3">
        <v>0</v>
      </c>
      <c r="F3458" s="3">
        <v>0</v>
      </c>
      <c r="G3458" s="3">
        <v>1</v>
      </c>
      <c r="H3458" s="3">
        <v>0</v>
      </c>
      <c r="I3458" s="3">
        <v>0</v>
      </c>
      <c r="J3458" s="3">
        <v>1</v>
      </c>
      <c r="K3458" s="3">
        <v>0</v>
      </c>
      <c r="L3458" s="3">
        <v>0</v>
      </c>
      <c r="M3458" s="3">
        <v>0</v>
      </c>
      <c r="N3458" s="3">
        <v>0</v>
      </c>
      <c r="O3458" s="3"/>
      <c r="P3458" s="3"/>
      <c r="Q3458" s="3"/>
    </row>
    <row r="3459" spans="1:17" ht="15" x14ac:dyDescent="0.25">
      <c r="A3459" s="3">
        <f>3452</f>
        <v>3452</v>
      </c>
      <c r="B3459" s="3" t="s">
        <v>3461</v>
      </c>
      <c r="C3459" s="3" t="s">
        <v>9</v>
      </c>
      <c r="D3459" s="3" t="s">
        <v>10</v>
      </c>
      <c r="E3459" s="3">
        <v>0</v>
      </c>
      <c r="F3459" s="3">
        <v>0</v>
      </c>
      <c r="G3459" s="3">
        <v>1</v>
      </c>
      <c r="H3459" s="3">
        <v>0</v>
      </c>
      <c r="I3459" s="3">
        <v>0</v>
      </c>
      <c r="J3459" s="3">
        <v>1</v>
      </c>
      <c r="K3459" s="3">
        <v>0</v>
      </c>
      <c r="L3459" s="3">
        <v>0</v>
      </c>
      <c r="M3459" s="3">
        <v>0</v>
      </c>
      <c r="N3459" s="3">
        <v>0</v>
      </c>
      <c r="O3459" s="3"/>
      <c r="P3459" s="3"/>
      <c r="Q3459" s="3"/>
    </row>
    <row r="3460" spans="1:17" ht="15" x14ac:dyDescent="0.25">
      <c r="A3460" s="3">
        <f>3453</f>
        <v>3453</v>
      </c>
      <c r="B3460" s="3" t="s">
        <v>3462</v>
      </c>
      <c r="C3460" s="3" t="s">
        <v>9</v>
      </c>
      <c r="D3460" s="3" t="s">
        <v>10</v>
      </c>
      <c r="E3460" s="3">
        <v>0</v>
      </c>
      <c r="F3460" s="3">
        <v>0</v>
      </c>
      <c r="G3460" s="3">
        <v>1</v>
      </c>
      <c r="H3460" s="3">
        <v>0</v>
      </c>
      <c r="I3460" s="3">
        <v>0</v>
      </c>
      <c r="J3460" s="3">
        <v>1</v>
      </c>
      <c r="K3460" s="3">
        <v>0</v>
      </c>
      <c r="L3460" s="3">
        <v>0</v>
      </c>
      <c r="M3460" s="3">
        <v>0</v>
      </c>
      <c r="N3460" s="3">
        <v>0</v>
      </c>
      <c r="O3460" s="3"/>
      <c r="P3460" s="3"/>
      <c r="Q3460" s="3"/>
    </row>
    <row r="3461" spans="1:17" ht="15" x14ac:dyDescent="0.25">
      <c r="A3461" s="3">
        <f>3454</f>
        <v>3454</v>
      </c>
      <c r="B3461" s="3" t="s">
        <v>3463</v>
      </c>
      <c r="C3461" s="3" t="s">
        <v>9</v>
      </c>
      <c r="D3461" s="3" t="s">
        <v>10</v>
      </c>
      <c r="E3461" s="3">
        <v>0</v>
      </c>
      <c r="F3461" s="3">
        <v>0</v>
      </c>
      <c r="G3461" s="3">
        <v>1</v>
      </c>
      <c r="H3461" s="3">
        <v>0</v>
      </c>
      <c r="I3461" s="3">
        <v>0</v>
      </c>
      <c r="J3461" s="3">
        <v>1</v>
      </c>
      <c r="K3461" s="3">
        <v>0</v>
      </c>
      <c r="L3461" s="3">
        <v>0</v>
      </c>
      <c r="M3461" s="3">
        <v>0</v>
      </c>
      <c r="N3461" s="3">
        <v>0</v>
      </c>
      <c r="O3461" s="3"/>
      <c r="P3461" s="3"/>
      <c r="Q3461" s="3"/>
    </row>
    <row r="3462" spans="1:17" ht="15" x14ac:dyDescent="0.25">
      <c r="A3462" s="3">
        <f>3455</f>
        <v>3455</v>
      </c>
      <c r="B3462" s="3" t="s">
        <v>3464</v>
      </c>
      <c r="C3462" s="3" t="s">
        <v>9</v>
      </c>
      <c r="D3462" s="3" t="s">
        <v>10</v>
      </c>
      <c r="E3462" s="3">
        <v>0</v>
      </c>
      <c r="F3462" s="3">
        <v>0</v>
      </c>
      <c r="G3462" s="3">
        <v>1</v>
      </c>
      <c r="H3462" s="3">
        <v>0</v>
      </c>
      <c r="I3462" s="3">
        <v>0</v>
      </c>
      <c r="J3462" s="3">
        <v>1</v>
      </c>
      <c r="K3462" s="3">
        <v>0</v>
      </c>
      <c r="L3462" s="3">
        <v>0</v>
      </c>
      <c r="M3462" s="3">
        <v>0</v>
      </c>
      <c r="N3462" s="3">
        <v>0</v>
      </c>
      <c r="O3462" s="3"/>
      <c r="P3462" s="3"/>
      <c r="Q3462" s="3"/>
    </row>
    <row r="3463" spans="1:17" ht="15" x14ac:dyDescent="0.25">
      <c r="A3463" s="3">
        <f>3456</f>
        <v>3456</v>
      </c>
      <c r="B3463" s="3" t="s">
        <v>3465</v>
      </c>
      <c r="C3463" s="3" t="s">
        <v>9</v>
      </c>
      <c r="D3463" s="3" t="s">
        <v>10</v>
      </c>
      <c r="E3463" s="3">
        <v>0</v>
      </c>
      <c r="F3463" s="3">
        <v>0</v>
      </c>
      <c r="G3463" s="3">
        <v>1</v>
      </c>
      <c r="H3463" s="3">
        <v>0</v>
      </c>
      <c r="I3463" s="3">
        <v>0</v>
      </c>
      <c r="J3463" s="3">
        <v>1</v>
      </c>
      <c r="K3463" s="3">
        <v>0</v>
      </c>
      <c r="L3463" s="3">
        <v>0</v>
      </c>
      <c r="M3463" s="3">
        <v>0</v>
      </c>
      <c r="N3463" s="3">
        <v>0</v>
      </c>
      <c r="O3463" s="3"/>
      <c r="P3463" s="3"/>
      <c r="Q3463" s="3"/>
    </row>
    <row r="3464" spans="1:17" ht="15" x14ac:dyDescent="0.25">
      <c r="A3464" s="3">
        <f>3457</f>
        <v>3457</v>
      </c>
      <c r="B3464" s="3" t="s">
        <v>3466</v>
      </c>
      <c r="C3464" s="3" t="s">
        <v>9</v>
      </c>
      <c r="D3464" s="3" t="s">
        <v>10</v>
      </c>
      <c r="E3464" s="3">
        <v>0</v>
      </c>
      <c r="F3464" s="3">
        <v>0</v>
      </c>
      <c r="G3464" s="3">
        <v>1</v>
      </c>
      <c r="H3464" s="3">
        <v>0</v>
      </c>
      <c r="I3464" s="3">
        <v>0</v>
      </c>
      <c r="J3464" s="3">
        <v>1</v>
      </c>
      <c r="K3464" s="3">
        <v>0</v>
      </c>
      <c r="L3464" s="3">
        <v>0</v>
      </c>
      <c r="M3464" s="3">
        <v>0</v>
      </c>
      <c r="N3464" s="3">
        <v>0</v>
      </c>
      <c r="O3464" s="3"/>
      <c r="P3464" s="3"/>
      <c r="Q3464" s="3"/>
    </row>
    <row r="3465" spans="1:17" ht="15" x14ac:dyDescent="0.25">
      <c r="A3465" s="3">
        <f>3458</f>
        <v>3458</v>
      </c>
      <c r="B3465" s="3" t="s">
        <v>3467</v>
      </c>
      <c r="C3465" s="3" t="s">
        <v>9</v>
      </c>
      <c r="D3465" s="3" t="s">
        <v>10</v>
      </c>
      <c r="E3465" s="3">
        <v>0</v>
      </c>
      <c r="F3465" s="3">
        <v>0</v>
      </c>
      <c r="G3465" s="3">
        <v>1</v>
      </c>
      <c r="H3465" s="3">
        <v>0</v>
      </c>
      <c r="I3465" s="3">
        <v>0</v>
      </c>
      <c r="J3465" s="3">
        <v>1</v>
      </c>
      <c r="K3465" s="3">
        <v>0</v>
      </c>
      <c r="L3465" s="3">
        <v>0</v>
      </c>
      <c r="M3465" s="3">
        <v>0</v>
      </c>
      <c r="N3465" s="3">
        <v>0</v>
      </c>
      <c r="O3465" s="3"/>
      <c r="P3465" s="3"/>
      <c r="Q3465" s="3"/>
    </row>
    <row r="3466" spans="1:17" ht="15" x14ac:dyDescent="0.25">
      <c r="A3466" s="3">
        <f>3459</f>
        <v>3459</v>
      </c>
      <c r="B3466" s="3" t="s">
        <v>3468</v>
      </c>
      <c r="C3466" s="3" t="s">
        <v>9</v>
      </c>
      <c r="D3466" s="3" t="s">
        <v>10</v>
      </c>
      <c r="E3466" s="3">
        <v>0</v>
      </c>
      <c r="F3466" s="3">
        <v>0</v>
      </c>
      <c r="G3466" s="3">
        <v>1</v>
      </c>
      <c r="H3466" s="3">
        <v>0</v>
      </c>
      <c r="I3466" s="3">
        <v>0</v>
      </c>
      <c r="J3466" s="3">
        <v>1</v>
      </c>
      <c r="K3466" s="3">
        <v>0</v>
      </c>
      <c r="L3466" s="3">
        <v>0</v>
      </c>
      <c r="M3466" s="3">
        <v>0</v>
      </c>
      <c r="N3466" s="3">
        <v>0</v>
      </c>
      <c r="O3466" s="3"/>
      <c r="P3466" s="3"/>
      <c r="Q3466" s="3"/>
    </row>
    <row r="3467" spans="1:17" ht="15" x14ac:dyDescent="0.25">
      <c r="A3467" s="3">
        <f>3460</f>
        <v>3460</v>
      </c>
      <c r="B3467" s="3" t="s">
        <v>3469</v>
      </c>
      <c r="C3467" s="3" t="s">
        <v>9</v>
      </c>
      <c r="D3467" s="3" t="s">
        <v>10</v>
      </c>
      <c r="E3467" s="3">
        <v>0</v>
      </c>
      <c r="F3467" s="3">
        <v>0</v>
      </c>
      <c r="G3467" s="3">
        <v>1</v>
      </c>
      <c r="H3467" s="3">
        <v>0</v>
      </c>
      <c r="I3467" s="3">
        <v>0</v>
      </c>
      <c r="J3467" s="3">
        <v>1</v>
      </c>
      <c r="K3467" s="3">
        <v>0</v>
      </c>
      <c r="L3467" s="3">
        <v>0</v>
      </c>
      <c r="M3467" s="3">
        <v>0</v>
      </c>
      <c r="N3467" s="3">
        <v>0</v>
      </c>
      <c r="O3467" s="3"/>
      <c r="P3467" s="3"/>
      <c r="Q3467" s="3"/>
    </row>
    <row r="3468" spans="1:17" ht="15" x14ac:dyDescent="0.25">
      <c r="A3468" s="3">
        <f>3461</f>
        <v>3461</v>
      </c>
      <c r="B3468" s="3" t="s">
        <v>3470</v>
      </c>
      <c r="C3468" s="3" t="s">
        <v>9</v>
      </c>
      <c r="D3468" s="3" t="s">
        <v>10</v>
      </c>
      <c r="E3468" s="3">
        <v>0</v>
      </c>
      <c r="F3468" s="3">
        <v>0</v>
      </c>
      <c r="G3468" s="3">
        <v>1</v>
      </c>
      <c r="H3468" s="3">
        <v>0</v>
      </c>
      <c r="I3468" s="3">
        <v>0</v>
      </c>
      <c r="J3468" s="3">
        <v>1</v>
      </c>
      <c r="K3468" s="3">
        <v>0</v>
      </c>
      <c r="L3468" s="3">
        <v>0</v>
      </c>
      <c r="M3468" s="3">
        <v>0</v>
      </c>
      <c r="N3468" s="3">
        <v>0</v>
      </c>
      <c r="O3468" s="3"/>
      <c r="P3468" s="3"/>
      <c r="Q3468" s="3"/>
    </row>
    <row r="3469" spans="1:17" ht="15" x14ac:dyDescent="0.25">
      <c r="A3469" s="3">
        <f>3462</f>
        <v>3462</v>
      </c>
      <c r="B3469" s="3" t="s">
        <v>3471</v>
      </c>
      <c r="C3469" s="3" t="s">
        <v>9</v>
      </c>
      <c r="D3469" s="3" t="s">
        <v>10</v>
      </c>
      <c r="E3469" s="3">
        <v>0</v>
      </c>
      <c r="F3469" s="3">
        <v>0</v>
      </c>
      <c r="G3469" s="3">
        <v>1</v>
      </c>
      <c r="H3469" s="3">
        <v>0</v>
      </c>
      <c r="I3469" s="3">
        <v>0</v>
      </c>
      <c r="J3469" s="3">
        <v>1</v>
      </c>
      <c r="K3469" s="3">
        <v>0</v>
      </c>
      <c r="L3469" s="3">
        <v>0</v>
      </c>
      <c r="M3469" s="3">
        <v>0</v>
      </c>
      <c r="N3469" s="3">
        <v>0</v>
      </c>
      <c r="O3469" s="3"/>
      <c r="P3469" s="3"/>
      <c r="Q3469" s="3"/>
    </row>
    <row r="3470" spans="1:17" ht="15" x14ac:dyDescent="0.25">
      <c r="A3470" s="3">
        <f>3463</f>
        <v>3463</v>
      </c>
      <c r="B3470" s="3" t="s">
        <v>3472</v>
      </c>
      <c r="C3470" s="3" t="s">
        <v>9</v>
      </c>
      <c r="D3470" s="3" t="s">
        <v>10</v>
      </c>
      <c r="E3470" s="3">
        <v>0</v>
      </c>
      <c r="F3470" s="3">
        <v>0</v>
      </c>
      <c r="G3470" s="3">
        <v>1</v>
      </c>
      <c r="H3470" s="3">
        <v>0</v>
      </c>
      <c r="I3470" s="3">
        <v>0</v>
      </c>
      <c r="J3470" s="3">
        <v>1</v>
      </c>
      <c r="K3470" s="3">
        <v>0</v>
      </c>
      <c r="L3470" s="3">
        <v>0</v>
      </c>
      <c r="M3470" s="3">
        <v>0</v>
      </c>
      <c r="N3470" s="3">
        <v>0</v>
      </c>
      <c r="O3470" s="3"/>
      <c r="P3470" s="3"/>
      <c r="Q3470" s="3"/>
    </row>
    <row r="3471" spans="1:17" ht="15" x14ac:dyDescent="0.25">
      <c r="A3471" s="3">
        <f>3464</f>
        <v>3464</v>
      </c>
      <c r="B3471" s="3" t="s">
        <v>3473</v>
      </c>
      <c r="C3471" s="3" t="s">
        <v>9</v>
      </c>
      <c r="D3471" s="3" t="s">
        <v>10</v>
      </c>
      <c r="E3471" s="3">
        <v>0</v>
      </c>
      <c r="F3471" s="3">
        <v>0</v>
      </c>
      <c r="G3471" s="3">
        <v>1</v>
      </c>
      <c r="H3471" s="3">
        <v>0</v>
      </c>
      <c r="I3471" s="3">
        <v>0</v>
      </c>
      <c r="J3471" s="3">
        <v>1</v>
      </c>
      <c r="K3471" s="3">
        <v>0</v>
      </c>
      <c r="L3471" s="3">
        <v>0</v>
      </c>
      <c r="M3471" s="3">
        <v>0</v>
      </c>
      <c r="N3471" s="3">
        <v>0</v>
      </c>
      <c r="O3471" s="3"/>
      <c r="P3471" s="3"/>
      <c r="Q3471" s="3"/>
    </row>
    <row r="3472" spans="1:17" ht="15" x14ac:dyDescent="0.25">
      <c r="A3472" s="3">
        <f>3465</f>
        <v>3465</v>
      </c>
      <c r="B3472" s="3" t="s">
        <v>3474</v>
      </c>
      <c r="C3472" s="3" t="s">
        <v>9</v>
      </c>
      <c r="D3472" s="3" t="s">
        <v>10</v>
      </c>
      <c r="E3472" s="3">
        <v>0</v>
      </c>
      <c r="F3472" s="3">
        <v>0</v>
      </c>
      <c r="G3472" s="3">
        <v>1</v>
      </c>
      <c r="H3472" s="3">
        <v>0</v>
      </c>
      <c r="I3472" s="3">
        <v>0</v>
      </c>
      <c r="J3472" s="3">
        <v>1</v>
      </c>
      <c r="K3472" s="3">
        <v>0</v>
      </c>
      <c r="L3472" s="3">
        <v>0</v>
      </c>
      <c r="M3472" s="3">
        <v>0</v>
      </c>
      <c r="N3472" s="3">
        <v>0</v>
      </c>
      <c r="O3472" s="3"/>
      <c r="P3472" s="3"/>
      <c r="Q3472" s="3"/>
    </row>
    <row r="3473" spans="1:17" ht="15" x14ac:dyDescent="0.25">
      <c r="A3473" s="3">
        <f>3466</f>
        <v>3466</v>
      </c>
      <c r="B3473" s="3" t="s">
        <v>3475</v>
      </c>
      <c r="C3473" s="3" t="s">
        <v>9</v>
      </c>
      <c r="D3473" s="3" t="s">
        <v>10</v>
      </c>
      <c r="E3473" s="3">
        <v>0</v>
      </c>
      <c r="F3473" s="3">
        <v>0</v>
      </c>
      <c r="G3473" s="3">
        <v>1</v>
      </c>
      <c r="H3473" s="3">
        <v>0</v>
      </c>
      <c r="I3473" s="3">
        <v>0</v>
      </c>
      <c r="J3473" s="3">
        <v>1</v>
      </c>
      <c r="K3473" s="3">
        <v>0</v>
      </c>
      <c r="L3473" s="3">
        <v>0</v>
      </c>
      <c r="M3473" s="3">
        <v>0</v>
      </c>
      <c r="N3473" s="3">
        <v>0</v>
      </c>
      <c r="O3473" s="3"/>
      <c r="P3473" s="3"/>
      <c r="Q3473" s="3"/>
    </row>
    <row r="3474" spans="1:17" ht="15" x14ac:dyDescent="0.25">
      <c r="A3474" s="3">
        <f>3467</f>
        <v>3467</v>
      </c>
      <c r="B3474" s="3" t="s">
        <v>3476</v>
      </c>
      <c r="C3474" s="3" t="s">
        <v>9</v>
      </c>
      <c r="D3474" s="3" t="s">
        <v>10</v>
      </c>
      <c r="E3474" s="3">
        <v>0</v>
      </c>
      <c r="F3474" s="3">
        <v>0</v>
      </c>
      <c r="G3474" s="3">
        <v>1</v>
      </c>
      <c r="H3474" s="3">
        <v>0</v>
      </c>
      <c r="I3474" s="3">
        <v>0</v>
      </c>
      <c r="J3474" s="3">
        <v>1</v>
      </c>
      <c r="K3474" s="3">
        <v>0</v>
      </c>
      <c r="L3474" s="3">
        <v>0</v>
      </c>
      <c r="M3474" s="3">
        <v>0</v>
      </c>
      <c r="N3474" s="3">
        <v>0</v>
      </c>
      <c r="O3474" s="3"/>
      <c r="P3474" s="3"/>
      <c r="Q3474" s="3"/>
    </row>
    <row r="3475" spans="1:17" ht="15" x14ac:dyDescent="0.25">
      <c r="A3475" s="3">
        <f>3468</f>
        <v>3468</v>
      </c>
      <c r="B3475" s="3" t="s">
        <v>3477</v>
      </c>
      <c r="C3475" s="3" t="s">
        <v>9</v>
      </c>
      <c r="D3475" s="3" t="s">
        <v>10</v>
      </c>
      <c r="E3475" s="3">
        <v>0</v>
      </c>
      <c r="F3475" s="3">
        <v>0</v>
      </c>
      <c r="G3475" s="3">
        <v>1</v>
      </c>
      <c r="H3475" s="3">
        <v>0</v>
      </c>
      <c r="I3475" s="3">
        <v>0</v>
      </c>
      <c r="J3475" s="3">
        <v>1</v>
      </c>
      <c r="K3475" s="3">
        <v>0</v>
      </c>
      <c r="L3475" s="3">
        <v>0</v>
      </c>
      <c r="M3475" s="3">
        <v>0</v>
      </c>
      <c r="N3475" s="3">
        <v>0</v>
      </c>
      <c r="O3475" s="3"/>
      <c r="P3475" s="3"/>
      <c r="Q3475" s="3"/>
    </row>
    <row r="3476" spans="1:17" ht="15" x14ac:dyDescent="0.25">
      <c r="A3476" s="3">
        <f>3469</f>
        <v>3469</v>
      </c>
      <c r="B3476" s="3" t="s">
        <v>3478</v>
      </c>
      <c r="C3476" s="3" t="s">
        <v>9</v>
      </c>
      <c r="D3476" s="3" t="s">
        <v>10</v>
      </c>
      <c r="E3476" s="3">
        <v>0</v>
      </c>
      <c r="F3476" s="3">
        <v>0</v>
      </c>
      <c r="G3476" s="3">
        <v>1</v>
      </c>
      <c r="H3476" s="3">
        <v>0</v>
      </c>
      <c r="I3476" s="3">
        <v>0</v>
      </c>
      <c r="J3476" s="3">
        <v>1</v>
      </c>
      <c r="K3476" s="3">
        <v>0</v>
      </c>
      <c r="L3476" s="3">
        <v>0</v>
      </c>
      <c r="M3476" s="3">
        <v>0</v>
      </c>
      <c r="N3476" s="3">
        <v>0</v>
      </c>
      <c r="O3476" s="3"/>
      <c r="P3476" s="3"/>
      <c r="Q3476" s="3"/>
    </row>
    <row r="3477" spans="1:17" ht="15" x14ac:dyDescent="0.25">
      <c r="A3477" s="3">
        <f>3470</f>
        <v>3470</v>
      </c>
      <c r="B3477" s="3" t="s">
        <v>3479</v>
      </c>
      <c r="C3477" s="3" t="s">
        <v>9</v>
      </c>
      <c r="D3477" s="3" t="s">
        <v>10</v>
      </c>
      <c r="E3477" s="3">
        <v>0</v>
      </c>
      <c r="F3477" s="3">
        <v>0</v>
      </c>
      <c r="G3477" s="3">
        <v>1</v>
      </c>
      <c r="H3477" s="3">
        <v>0</v>
      </c>
      <c r="I3477" s="3">
        <v>0</v>
      </c>
      <c r="J3477" s="3">
        <v>1</v>
      </c>
      <c r="K3477" s="3">
        <v>0</v>
      </c>
      <c r="L3477" s="3">
        <v>0</v>
      </c>
      <c r="M3477" s="3">
        <v>0</v>
      </c>
      <c r="N3477" s="3">
        <v>0</v>
      </c>
      <c r="O3477" s="3"/>
      <c r="P3477" s="3"/>
      <c r="Q3477" s="3"/>
    </row>
    <row r="3478" spans="1:17" ht="15" x14ac:dyDescent="0.25">
      <c r="A3478" s="3">
        <f>3471</f>
        <v>3471</v>
      </c>
      <c r="B3478" s="3" t="s">
        <v>3480</v>
      </c>
      <c r="C3478" s="3" t="s">
        <v>9</v>
      </c>
      <c r="D3478" s="3" t="s">
        <v>10</v>
      </c>
      <c r="E3478" s="3">
        <v>0</v>
      </c>
      <c r="F3478" s="3">
        <v>0</v>
      </c>
      <c r="G3478" s="3">
        <v>1</v>
      </c>
      <c r="H3478" s="3">
        <v>0</v>
      </c>
      <c r="I3478" s="3">
        <v>0</v>
      </c>
      <c r="J3478" s="3">
        <v>1</v>
      </c>
      <c r="K3478" s="3">
        <v>0</v>
      </c>
      <c r="L3478" s="3">
        <v>0</v>
      </c>
      <c r="M3478" s="3">
        <v>0</v>
      </c>
      <c r="N3478" s="3">
        <v>0</v>
      </c>
      <c r="O3478" s="3"/>
      <c r="P3478" s="3"/>
      <c r="Q3478" s="3"/>
    </row>
    <row r="3479" spans="1:17" ht="15" x14ac:dyDescent="0.25">
      <c r="A3479" s="3">
        <f>3472</f>
        <v>3472</v>
      </c>
      <c r="B3479" s="3" t="s">
        <v>3481</v>
      </c>
      <c r="C3479" s="3" t="s">
        <v>9</v>
      </c>
      <c r="D3479" s="3" t="s">
        <v>10</v>
      </c>
      <c r="E3479" s="3">
        <v>0</v>
      </c>
      <c r="F3479" s="3">
        <v>0</v>
      </c>
      <c r="G3479" s="3">
        <v>1</v>
      </c>
      <c r="H3479" s="3">
        <v>0</v>
      </c>
      <c r="I3479" s="3">
        <v>0</v>
      </c>
      <c r="J3479" s="3">
        <v>1</v>
      </c>
      <c r="K3479" s="3">
        <v>0</v>
      </c>
      <c r="L3479" s="3">
        <v>0</v>
      </c>
      <c r="M3479" s="3">
        <v>0</v>
      </c>
      <c r="N3479" s="3">
        <v>0</v>
      </c>
      <c r="O3479" s="3"/>
      <c r="P3479" s="3"/>
      <c r="Q3479" s="3"/>
    </row>
    <row r="3480" spans="1:17" ht="15" x14ac:dyDescent="0.25">
      <c r="A3480" s="3">
        <f>3473</f>
        <v>3473</v>
      </c>
      <c r="B3480" s="3" t="s">
        <v>3482</v>
      </c>
      <c r="C3480" s="3" t="s">
        <v>9</v>
      </c>
      <c r="D3480" s="3" t="s">
        <v>10</v>
      </c>
      <c r="E3480" s="3">
        <v>0</v>
      </c>
      <c r="F3480" s="3">
        <v>0</v>
      </c>
      <c r="G3480" s="3">
        <v>1</v>
      </c>
      <c r="H3480" s="3">
        <v>0</v>
      </c>
      <c r="I3480" s="3">
        <v>0</v>
      </c>
      <c r="J3480" s="3">
        <v>1</v>
      </c>
      <c r="K3480" s="3">
        <v>0</v>
      </c>
      <c r="L3480" s="3">
        <v>0</v>
      </c>
      <c r="M3480" s="3">
        <v>0</v>
      </c>
      <c r="N3480" s="3">
        <v>0</v>
      </c>
      <c r="O3480" s="3"/>
      <c r="P3480" s="3"/>
      <c r="Q3480" s="3"/>
    </row>
    <row r="3481" spans="1:17" ht="15" x14ac:dyDescent="0.25">
      <c r="A3481" s="3">
        <f>3474</f>
        <v>3474</v>
      </c>
      <c r="B3481" s="3" t="s">
        <v>3483</v>
      </c>
      <c r="C3481" s="3" t="s">
        <v>9</v>
      </c>
      <c r="D3481" s="3" t="s">
        <v>10</v>
      </c>
      <c r="E3481" s="3">
        <v>0</v>
      </c>
      <c r="F3481" s="3">
        <v>0</v>
      </c>
      <c r="G3481" s="3">
        <v>1</v>
      </c>
      <c r="H3481" s="3">
        <v>0</v>
      </c>
      <c r="I3481" s="3">
        <v>0</v>
      </c>
      <c r="J3481" s="3">
        <v>1</v>
      </c>
      <c r="K3481" s="3">
        <v>0</v>
      </c>
      <c r="L3481" s="3">
        <v>0</v>
      </c>
      <c r="M3481" s="3">
        <v>0</v>
      </c>
      <c r="N3481" s="3">
        <v>0</v>
      </c>
      <c r="O3481" s="3"/>
      <c r="P3481" s="3"/>
      <c r="Q3481" s="3"/>
    </row>
    <row r="3482" spans="1:17" ht="15" x14ac:dyDescent="0.25">
      <c r="A3482" s="3">
        <f>3475</f>
        <v>3475</v>
      </c>
      <c r="B3482" s="3" t="s">
        <v>3484</v>
      </c>
      <c r="C3482" s="3" t="s">
        <v>9</v>
      </c>
      <c r="D3482" s="3" t="s">
        <v>10</v>
      </c>
      <c r="E3482" s="3">
        <v>0</v>
      </c>
      <c r="F3482" s="3">
        <v>0</v>
      </c>
      <c r="G3482" s="3">
        <v>1</v>
      </c>
      <c r="H3482" s="3">
        <v>0</v>
      </c>
      <c r="I3482" s="3">
        <v>0</v>
      </c>
      <c r="J3482" s="3">
        <v>1</v>
      </c>
      <c r="K3482" s="3">
        <v>0</v>
      </c>
      <c r="L3482" s="3">
        <v>0</v>
      </c>
      <c r="M3482" s="3">
        <v>0</v>
      </c>
      <c r="N3482" s="3">
        <v>0</v>
      </c>
      <c r="O3482" s="3"/>
      <c r="P3482" s="3"/>
      <c r="Q3482" s="3"/>
    </row>
    <row r="3483" spans="1:17" ht="15" x14ac:dyDescent="0.25">
      <c r="A3483" s="3">
        <f>3476</f>
        <v>3476</v>
      </c>
      <c r="B3483" s="3" t="s">
        <v>3485</v>
      </c>
      <c r="C3483" s="3" t="s">
        <v>9</v>
      </c>
      <c r="D3483" s="3" t="s">
        <v>10</v>
      </c>
      <c r="E3483" s="3">
        <v>0</v>
      </c>
      <c r="F3483" s="3">
        <v>0</v>
      </c>
      <c r="G3483" s="3">
        <v>1</v>
      </c>
      <c r="H3483" s="3">
        <v>0</v>
      </c>
      <c r="I3483" s="3">
        <v>0</v>
      </c>
      <c r="J3483" s="3">
        <v>1</v>
      </c>
      <c r="K3483" s="3">
        <v>0</v>
      </c>
      <c r="L3483" s="3">
        <v>0</v>
      </c>
      <c r="M3483" s="3">
        <v>0</v>
      </c>
      <c r="N3483" s="3">
        <v>0</v>
      </c>
      <c r="O3483" s="3"/>
      <c r="P3483" s="3"/>
      <c r="Q3483" s="3"/>
    </row>
    <row r="3484" spans="1:17" ht="15" x14ac:dyDescent="0.25">
      <c r="A3484" s="3">
        <f>3477</f>
        <v>3477</v>
      </c>
      <c r="B3484" s="3" t="s">
        <v>3486</v>
      </c>
      <c r="C3484" s="3" t="s">
        <v>9</v>
      </c>
      <c r="D3484" s="3" t="s">
        <v>10</v>
      </c>
      <c r="E3484" s="3">
        <v>0</v>
      </c>
      <c r="F3484" s="3">
        <v>0</v>
      </c>
      <c r="G3484" s="3">
        <v>1</v>
      </c>
      <c r="H3484" s="3">
        <v>0</v>
      </c>
      <c r="I3484" s="3">
        <v>0</v>
      </c>
      <c r="J3484" s="3">
        <v>1</v>
      </c>
      <c r="K3484" s="3">
        <v>0</v>
      </c>
      <c r="L3484" s="3">
        <v>0</v>
      </c>
      <c r="M3484" s="3">
        <v>0</v>
      </c>
      <c r="N3484" s="3">
        <v>0</v>
      </c>
      <c r="O3484" s="3"/>
      <c r="P3484" s="3"/>
      <c r="Q3484" s="3"/>
    </row>
    <row r="3485" spans="1:17" ht="15" x14ac:dyDescent="0.25">
      <c r="A3485" s="3">
        <f>3478</f>
        <v>3478</v>
      </c>
      <c r="B3485" s="3" t="s">
        <v>3487</v>
      </c>
      <c r="C3485" s="3" t="s">
        <v>9</v>
      </c>
      <c r="D3485" s="3" t="s">
        <v>10</v>
      </c>
      <c r="E3485" s="3">
        <v>0</v>
      </c>
      <c r="F3485" s="3">
        <v>0</v>
      </c>
      <c r="G3485" s="3">
        <v>1</v>
      </c>
      <c r="H3485" s="3">
        <v>0</v>
      </c>
      <c r="I3485" s="3">
        <v>0</v>
      </c>
      <c r="J3485" s="3">
        <v>1</v>
      </c>
      <c r="K3485" s="3">
        <v>0</v>
      </c>
      <c r="L3485" s="3">
        <v>0</v>
      </c>
      <c r="M3485" s="3">
        <v>0</v>
      </c>
      <c r="N3485" s="3">
        <v>0</v>
      </c>
      <c r="O3485" s="3"/>
      <c r="P3485" s="3"/>
      <c r="Q3485" s="3"/>
    </row>
    <row r="3486" spans="1:17" ht="15" x14ac:dyDescent="0.25">
      <c r="A3486" s="3">
        <f>3479</f>
        <v>3479</v>
      </c>
      <c r="B3486" s="3" t="s">
        <v>3488</v>
      </c>
      <c r="C3486" s="3" t="s">
        <v>9</v>
      </c>
      <c r="D3486" s="3" t="s">
        <v>10</v>
      </c>
      <c r="E3486" s="3">
        <v>0</v>
      </c>
      <c r="F3486" s="3">
        <v>0</v>
      </c>
      <c r="G3486" s="3">
        <v>1</v>
      </c>
      <c r="H3486" s="3">
        <v>0</v>
      </c>
      <c r="I3486" s="3">
        <v>0</v>
      </c>
      <c r="J3486" s="3">
        <v>1</v>
      </c>
      <c r="K3486" s="3">
        <v>0</v>
      </c>
      <c r="L3486" s="3">
        <v>0</v>
      </c>
      <c r="M3486" s="3">
        <v>0</v>
      </c>
      <c r="N3486" s="3">
        <v>0</v>
      </c>
      <c r="O3486" s="3"/>
      <c r="P3486" s="3"/>
      <c r="Q3486" s="3"/>
    </row>
    <row r="3487" spans="1:17" ht="15" x14ac:dyDescent="0.25">
      <c r="A3487" s="3">
        <f>3480</f>
        <v>3480</v>
      </c>
      <c r="B3487" s="3" t="s">
        <v>3489</v>
      </c>
      <c r="C3487" s="3" t="s">
        <v>9</v>
      </c>
      <c r="D3487" s="3" t="s">
        <v>10</v>
      </c>
      <c r="E3487" s="3">
        <v>0</v>
      </c>
      <c r="F3487" s="3">
        <v>0</v>
      </c>
      <c r="G3487" s="3">
        <v>1</v>
      </c>
      <c r="H3487" s="3">
        <v>0</v>
      </c>
      <c r="I3487" s="3">
        <v>0</v>
      </c>
      <c r="J3487" s="3">
        <v>1</v>
      </c>
      <c r="K3487" s="3">
        <v>0</v>
      </c>
      <c r="L3487" s="3">
        <v>0</v>
      </c>
      <c r="M3487" s="3">
        <v>0</v>
      </c>
      <c r="N3487" s="3">
        <v>0</v>
      </c>
      <c r="O3487" s="3"/>
      <c r="P3487" s="3"/>
      <c r="Q3487" s="3"/>
    </row>
    <row r="3488" spans="1:17" ht="15" x14ac:dyDescent="0.25">
      <c r="A3488" s="3">
        <f>3481</f>
        <v>3481</v>
      </c>
      <c r="B3488" s="3" t="s">
        <v>3490</v>
      </c>
      <c r="C3488" s="3" t="s">
        <v>9</v>
      </c>
      <c r="D3488" s="3" t="s">
        <v>10</v>
      </c>
      <c r="E3488" s="3">
        <v>0</v>
      </c>
      <c r="F3488" s="3">
        <v>0</v>
      </c>
      <c r="G3488" s="3">
        <v>1</v>
      </c>
      <c r="H3488" s="3">
        <v>0</v>
      </c>
      <c r="I3488" s="3">
        <v>0</v>
      </c>
      <c r="J3488" s="3">
        <v>1</v>
      </c>
      <c r="K3488" s="3">
        <v>0</v>
      </c>
      <c r="L3488" s="3">
        <v>0</v>
      </c>
      <c r="M3488" s="3">
        <v>0</v>
      </c>
      <c r="N3488" s="3">
        <v>0</v>
      </c>
      <c r="O3488" s="3"/>
      <c r="P3488" s="3"/>
      <c r="Q3488" s="3"/>
    </row>
    <row r="3489" spans="1:17" ht="15" x14ac:dyDescent="0.25">
      <c r="A3489" s="3">
        <f>3482</f>
        <v>3482</v>
      </c>
      <c r="B3489" s="3" t="s">
        <v>3491</v>
      </c>
      <c r="C3489" s="3" t="s">
        <v>9</v>
      </c>
      <c r="D3489" s="3" t="s">
        <v>10</v>
      </c>
      <c r="E3489" s="3">
        <v>0</v>
      </c>
      <c r="F3489" s="3">
        <v>0</v>
      </c>
      <c r="G3489" s="3">
        <v>1</v>
      </c>
      <c r="H3489" s="3">
        <v>0</v>
      </c>
      <c r="I3489" s="3">
        <v>0</v>
      </c>
      <c r="J3489" s="3">
        <v>1</v>
      </c>
      <c r="K3489" s="3">
        <v>0</v>
      </c>
      <c r="L3489" s="3">
        <v>0</v>
      </c>
      <c r="M3489" s="3">
        <v>0</v>
      </c>
      <c r="N3489" s="3">
        <v>0</v>
      </c>
      <c r="O3489" s="3"/>
      <c r="P3489" s="3"/>
      <c r="Q3489" s="3"/>
    </row>
    <row r="3490" spans="1:17" ht="15" x14ac:dyDescent="0.25">
      <c r="A3490" s="3">
        <f>3483</f>
        <v>3483</v>
      </c>
      <c r="B3490" s="3" t="s">
        <v>3492</v>
      </c>
      <c r="C3490" s="3" t="s">
        <v>9</v>
      </c>
      <c r="D3490" s="3" t="s">
        <v>10</v>
      </c>
      <c r="E3490" s="3">
        <v>0</v>
      </c>
      <c r="F3490" s="3">
        <v>0</v>
      </c>
      <c r="G3490" s="3">
        <v>1</v>
      </c>
      <c r="H3490" s="3">
        <v>0</v>
      </c>
      <c r="I3490" s="3">
        <v>0</v>
      </c>
      <c r="J3490" s="3">
        <v>1</v>
      </c>
      <c r="K3490" s="3">
        <v>0</v>
      </c>
      <c r="L3490" s="3">
        <v>0</v>
      </c>
      <c r="M3490" s="3">
        <v>0</v>
      </c>
      <c r="N3490" s="3">
        <v>0</v>
      </c>
      <c r="O3490" s="3"/>
      <c r="P3490" s="3"/>
      <c r="Q3490" s="3"/>
    </row>
    <row r="3491" spans="1:17" ht="15" x14ac:dyDescent="0.25">
      <c r="A3491" s="3">
        <f>3484</f>
        <v>3484</v>
      </c>
      <c r="B3491" s="3" t="s">
        <v>3493</v>
      </c>
      <c r="C3491" s="3" t="s">
        <v>9</v>
      </c>
      <c r="D3491" s="3" t="s">
        <v>10</v>
      </c>
      <c r="E3491" s="3">
        <v>0</v>
      </c>
      <c r="F3491" s="3">
        <v>0</v>
      </c>
      <c r="G3491" s="3">
        <v>1</v>
      </c>
      <c r="H3491" s="3">
        <v>0</v>
      </c>
      <c r="I3491" s="3">
        <v>0</v>
      </c>
      <c r="J3491" s="3">
        <v>1</v>
      </c>
      <c r="K3491" s="3">
        <v>0</v>
      </c>
      <c r="L3491" s="3">
        <v>0</v>
      </c>
      <c r="M3491" s="3">
        <v>0</v>
      </c>
      <c r="N3491" s="3">
        <v>0</v>
      </c>
      <c r="O3491" s="3"/>
      <c r="P3491" s="3"/>
      <c r="Q3491" s="3"/>
    </row>
    <row r="3492" spans="1:17" ht="15" x14ac:dyDescent="0.25">
      <c r="A3492" s="3">
        <f>3485</f>
        <v>3485</v>
      </c>
      <c r="B3492" s="3" t="s">
        <v>3494</v>
      </c>
      <c r="C3492" s="3" t="s">
        <v>9</v>
      </c>
      <c r="D3492" s="3" t="s">
        <v>10</v>
      </c>
      <c r="E3492" s="3">
        <v>0</v>
      </c>
      <c r="F3492" s="3">
        <v>0</v>
      </c>
      <c r="G3492" s="3">
        <v>1</v>
      </c>
      <c r="H3492" s="3">
        <v>0</v>
      </c>
      <c r="I3492" s="3">
        <v>0</v>
      </c>
      <c r="J3492" s="3">
        <v>1</v>
      </c>
      <c r="K3492" s="3">
        <v>0</v>
      </c>
      <c r="L3492" s="3">
        <v>0</v>
      </c>
      <c r="M3492" s="3">
        <v>0</v>
      </c>
      <c r="N3492" s="3">
        <v>0</v>
      </c>
      <c r="O3492" s="3"/>
      <c r="P3492" s="3"/>
      <c r="Q3492" s="3"/>
    </row>
    <row r="3493" spans="1:17" ht="15" x14ac:dyDescent="0.25">
      <c r="A3493" s="3">
        <f>3486</f>
        <v>3486</v>
      </c>
      <c r="B3493" s="3" t="s">
        <v>3495</v>
      </c>
      <c r="C3493" s="3" t="s">
        <v>9</v>
      </c>
      <c r="D3493" s="3" t="s">
        <v>10</v>
      </c>
      <c r="E3493" s="3">
        <v>0</v>
      </c>
      <c r="F3493" s="3">
        <v>0</v>
      </c>
      <c r="G3493" s="3">
        <v>1</v>
      </c>
      <c r="H3493" s="3">
        <v>0</v>
      </c>
      <c r="I3493" s="3">
        <v>0</v>
      </c>
      <c r="J3493" s="3">
        <v>1</v>
      </c>
      <c r="K3493" s="3">
        <v>0</v>
      </c>
      <c r="L3493" s="3">
        <v>0</v>
      </c>
      <c r="M3493" s="3">
        <v>0</v>
      </c>
      <c r="N3493" s="3">
        <v>0</v>
      </c>
      <c r="O3493" s="3"/>
      <c r="P3493" s="3"/>
      <c r="Q3493" s="3"/>
    </row>
    <row r="3494" spans="1:17" ht="15" x14ac:dyDescent="0.25">
      <c r="A3494" s="3">
        <f>3487</f>
        <v>3487</v>
      </c>
      <c r="B3494" s="3" t="s">
        <v>3496</v>
      </c>
      <c r="C3494" s="3" t="s">
        <v>9</v>
      </c>
      <c r="D3494" s="3" t="s">
        <v>10</v>
      </c>
      <c r="E3494" s="3">
        <v>0</v>
      </c>
      <c r="F3494" s="3">
        <v>0</v>
      </c>
      <c r="G3494" s="3">
        <v>1</v>
      </c>
      <c r="H3494" s="3">
        <v>0</v>
      </c>
      <c r="I3494" s="3">
        <v>0</v>
      </c>
      <c r="J3494" s="3">
        <v>1</v>
      </c>
      <c r="K3494" s="3">
        <v>0</v>
      </c>
      <c r="L3494" s="3">
        <v>0</v>
      </c>
      <c r="M3494" s="3">
        <v>0</v>
      </c>
      <c r="N3494" s="3">
        <v>0</v>
      </c>
      <c r="O3494" s="3"/>
      <c r="P3494" s="3"/>
      <c r="Q3494" s="3"/>
    </row>
    <row r="3495" spans="1:17" ht="15" x14ac:dyDescent="0.25">
      <c r="A3495" s="3">
        <f>3488</f>
        <v>3488</v>
      </c>
      <c r="B3495" s="3" t="s">
        <v>3497</v>
      </c>
      <c r="C3495" s="3" t="s">
        <v>9</v>
      </c>
      <c r="D3495" s="3" t="s">
        <v>10</v>
      </c>
      <c r="E3495" s="3">
        <v>0</v>
      </c>
      <c r="F3495" s="3">
        <v>0</v>
      </c>
      <c r="G3495" s="3">
        <v>1</v>
      </c>
      <c r="H3495" s="3">
        <v>0</v>
      </c>
      <c r="I3495" s="3">
        <v>0</v>
      </c>
      <c r="J3495" s="3">
        <v>1</v>
      </c>
      <c r="K3495" s="3">
        <v>0</v>
      </c>
      <c r="L3495" s="3">
        <v>0</v>
      </c>
      <c r="M3495" s="3">
        <v>0</v>
      </c>
      <c r="N3495" s="3">
        <v>0</v>
      </c>
      <c r="O3495" s="3"/>
      <c r="P3495" s="3"/>
      <c r="Q3495" s="3"/>
    </row>
    <row r="3496" spans="1:17" ht="15" x14ac:dyDescent="0.25">
      <c r="A3496" s="3">
        <f>3489</f>
        <v>3489</v>
      </c>
      <c r="B3496" s="3" t="s">
        <v>3498</v>
      </c>
      <c r="C3496" s="3" t="s">
        <v>9</v>
      </c>
      <c r="D3496" s="3" t="s">
        <v>10</v>
      </c>
      <c r="E3496" s="3">
        <v>0</v>
      </c>
      <c r="F3496" s="3">
        <v>0</v>
      </c>
      <c r="G3496" s="3">
        <v>1</v>
      </c>
      <c r="H3496" s="3">
        <v>0</v>
      </c>
      <c r="I3496" s="3">
        <v>0</v>
      </c>
      <c r="J3496" s="3">
        <v>1</v>
      </c>
      <c r="K3496" s="3">
        <v>0</v>
      </c>
      <c r="L3496" s="3">
        <v>0</v>
      </c>
      <c r="M3496" s="3">
        <v>0</v>
      </c>
      <c r="N3496" s="3">
        <v>0</v>
      </c>
      <c r="O3496" s="3"/>
      <c r="P3496" s="3"/>
      <c r="Q3496" s="3"/>
    </row>
    <row r="3497" spans="1:17" ht="15" x14ac:dyDescent="0.25">
      <c r="A3497" s="3">
        <f>3490</f>
        <v>3490</v>
      </c>
      <c r="B3497" s="3" t="s">
        <v>3499</v>
      </c>
      <c r="C3497" s="3" t="s">
        <v>9</v>
      </c>
      <c r="D3497" s="3" t="s">
        <v>10</v>
      </c>
      <c r="E3497" s="3">
        <v>0</v>
      </c>
      <c r="F3497" s="3">
        <v>0</v>
      </c>
      <c r="G3497" s="3">
        <v>1</v>
      </c>
      <c r="H3497" s="3">
        <v>0</v>
      </c>
      <c r="I3497" s="3">
        <v>0</v>
      </c>
      <c r="J3497" s="3">
        <v>1</v>
      </c>
      <c r="K3497" s="3">
        <v>0</v>
      </c>
      <c r="L3497" s="3">
        <v>0</v>
      </c>
      <c r="M3497" s="3">
        <v>0</v>
      </c>
      <c r="N3497" s="3">
        <v>0</v>
      </c>
      <c r="O3497" s="3"/>
      <c r="P3497" s="3"/>
      <c r="Q3497" s="3"/>
    </row>
    <row r="3498" spans="1:17" ht="15" x14ac:dyDescent="0.25">
      <c r="A3498" s="3">
        <f>3491</f>
        <v>3491</v>
      </c>
      <c r="B3498" s="3" t="s">
        <v>3500</v>
      </c>
      <c r="C3498" s="3" t="s">
        <v>9</v>
      </c>
      <c r="D3498" s="3" t="s">
        <v>10</v>
      </c>
      <c r="E3498" s="3">
        <v>0</v>
      </c>
      <c r="F3498" s="3">
        <v>0</v>
      </c>
      <c r="G3498" s="3">
        <v>1</v>
      </c>
      <c r="H3498" s="3">
        <v>0</v>
      </c>
      <c r="I3498" s="3">
        <v>0</v>
      </c>
      <c r="J3498" s="3">
        <v>1</v>
      </c>
      <c r="K3498" s="3">
        <v>0</v>
      </c>
      <c r="L3498" s="3">
        <v>0</v>
      </c>
      <c r="M3498" s="3">
        <v>0</v>
      </c>
      <c r="N3498" s="3">
        <v>0</v>
      </c>
      <c r="O3498" s="3"/>
      <c r="P3498" s="3"/>
      <c r="Q3498" s="3"/>
    </row>
    <row r="3499" spans="1:17" ht="15" x14ac:dyDescent="0.25">
      <c r="A3499" s="3">
        <f>3492</f>
        <v>3492</v>
      </c>
      <c r="B3499" s="3" t="s">
        <v>3501</v>
      </c>
      <c r="C3499" s="3" t="s">
        <v>9</v>
      </c>
      <c r="D3499" s="3" t="s">
        <v>10</v>
      </c>
      <c r="E3499" s="3">
        <v>0</v>
      </c>
      <c r="F3499" s="3">
        <v>0</v>
      </c>
      <c r="G3499" s="3">
        <v>1</v>
      </c>
      <c r="H3499" s="3">
        <v>0</v>
      </c>
      <c r="I3499" s="3">
        <v>0</v>
      </c>
      <c r="J3499" s="3">
        <v>1</v>
      </c>
      <c r="K3499" s="3">
        <v>0</v>
      </c>
      <c r="L3499" s="3">
        <v>0</v>
      </c>
      <c r="M3499" s="3">
        <v>0</v>
      </c>
      <c r="N3499" s="3">
        <v>0</v>
      </c>
      <c r="O3499" s="3"/>
      <c r="P3499" s="3"/>
      <c r="Q3499" s="3"/>
    </row>
    <row r="3500" spans="1:17" ht="15" x14ac:dyDescent="0.25">
      <c r="A3500" s="3">
        <f>3493</f>
        <v>3493</v>
      </c>
      <c r="B3500" s="3" t="s">
        <v>3502</v>
      </c>
      <c r="C3500" s="3" t="s">
        <v>9</v>
      </c>
      <c r="D3500" s="3" t="s">
        <v>10</v>
      </c>
      <c r="E3500" s="3">
        <v>0</v>
      </c>
      <c r="F3500" s="3">
        <v>0</v>
      </c>
      <c r="G3500" s="3">
        <v>1</v>
      </c>
      <c r="H3500" s="3">
        <v>0</v>
      </c>
      <c r="I3500" s="3">
        <v>0</v>
      </c>
      <c r="J3500" s="3">
        <v>1</v>
      </c>
      <c r="K3500" s="3">
        <v>0</v>
      </c>
      <c r="L3500" s="3">
        <v>0</v>
      </c>
      <c r="M3500" s="3">
        <v>0</v>
      </c>
      <c r="N3500" s="3">
        <v>0</v>
      </c>
      <c r="O3500" s="3"/>
      <c r="P3500" s="3"/>
      <c r="Q3500" s="3"/>
    </row>
    <row r="3501" spans="1:17" ht="15" x14ac:dyDescent="0.25">
      <c r="A3501" s="3">
        <f>3494</f>
        <v>3494</v>
      </c>
      <c r="B3501" s="3" t="s">
        <v>3503</v>
      </c>
      <c r="C3501" s="3" t="s">
        <v>9</v>
      </c>
      <c r="D3501" s="3" t="s">
        <v>10</v>
      </c>
      <c r="E3501" s="3">
        <v>0</v>
      </c>
      <c r="F3501" s="3">
        <v>0</v>
      </c>
      <c r="G3501" s="3">
        <v>1</v>
      </c>
      <c r="H3501" s="3">
        <v>0</v>
      </c>
      <c r="I3501" s="3">
        <v>0</v>
      </c>
      <c r="J3501" s="3">
        <v>1</v>
      </c>
      <c r="K3501" s="3">
        <v>0</v>
      </c>
      <c r="L3501" s="3">
        <v>0</v>
      </c>
      <c r="M3501" s="3">
        <v>0</v>
      </c>
      <c r="N3501" s="3">
        <v>0</v>
      </c>
      <c r="O3501" s="3"/>
      <c r="P3501" s="3"/>
      <c r="Q3501" s="3"/>
    </row>
    <row r="3502" spans="1:17" ht="15" x14ac:dyDescent="0.25">
      <c r="A3502" s="3">
        <f>3495</f>
        <v>3495</v>
      </c>
      <c r="B3502" s="3" t="s">
        <v>3504</v>
      </c>
      <c r="C3502" s="3" t="s">
        <v>9</v>
      </c>
      <c r="D3502" s="3" t="s">
        <v>10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1</v>
      </c>
      <c r="K3502" s="3">
        <v>0</v>
      </c>
      <c r="L3502" s="3">
        <v>0</v>
      </c>
      <c r="M3502" s="3">
        <v>0</v>
      </c>
      <c r="N3502" s="3">
        <v>0</v>
      </c>
      <c r="O3502" s="3"/>
      <c r="P3502" s="3"/>
      <c r="Q3502" s="3"/>
    </row>
    <row r="3503" spans="1:17" ht="15" x14ac:dyDescent="0.25">
      <c r="A3503" s="3">
        <f>3496</f>
        <v>3496</v>
      </c>
      <c r="B3503" s="3" t="s">
        <v>3505</v>
      </c>
      <c r="C3503" s="3" t="s">
        <v>9</v>
      </c>
      <c r="D3503" s="3" t="s">
        <v>10</v>
      </c>
      <c r="E3503" s="3">
        <v>0</v>
      </c>
      <c r="F3503" s="3">
        <v>0</v>
      </c>
      <c r="G3503" s="3">
        <v>1</v>
      </c>
      <c r="H3503" s="3">
        <v>0</v>
      </c>
      <c r="I3503" s="3">
        <v>0</v>
      </c>
      <c r="J3503" s="3">
        <v>1</v>
      </c>
      <c r="K3503" s="3">
        <v>0</v>
      </c>
      <c r="L3503" s="3">
        <v>0</v>
      </c>
      <c r="M3503" s="3">
        <v>0</v>
      </c>
      <c r="N3503" s="3">
        <v>0</v>
      </c>
      <c r="O3503" s="3"/>
      <c r="P3503" s="3"/>
      <c r="Q3503" s="3"/>
    </row>
    <row r="3504" spans="1:17" ht="15" x14ac:dyDescent="0.25">
      <c r="A3504" s="3">
        <f>3497</f>
        <v>3497</v>
      </c>
      <c r="B3504" s="3" t="s">
        <v>3506</v>
      </c>
      <c r="C3504" s="3" t="s">
        <v>9</v>
      </c>
      <c r="D3504" s="3" t="s">
        <v>10</v>
      </c>
      <c r="E3504" s="3">
        <v>0</v>
      </c>
      <c r="F3504" s="3">
        <v>0</v>
      </c>
      <c r="G3504" s="3">
        <v>1</v>
      </c>
      <c r="H3504" s="3">
        <v>0</v>
      </c>
      <c r="I3504" s="3">
        <v>0</v>
      </c>
      <c r="J3504" s="3">
        <v>1</v>
      </c>
      <c r="K3504" s="3">
        <v>0</v>
      </c>
      <c r="L3504" s="3">
        <v>0</v>
      </c>
      <c r="M3504" s="3">
        <v>0</v>
      </c>
      <c r="N3504" s="3">
        <v>0</v>
      </c>
      <c r="O3504" s="3"/>
      <c r="P3504" s="3"/>
      <c r="Q3504" s="3"/>
    </row>
    <row r="3505" spans="1:17" ht="15" x14ac:dyDescent="0.25">
      <c r="A3505" s="3">
        <f>3498</f>
        <v>3498</v>
      </c>
      <c r="B3505" s="3" t="s">
        <v>3507</v>
      </c>
      <c r="C3505" s="3" t="s">
        <v>9</v>
      </c>
      <c r="D3505" s="3" t="s">
        <v>10</v>
      </c>
      <c r="E3505" s="3">
        <v>0</v>
      </c>
      <c r="F3505" s="3">
        <v>0</v>
      </c>
      <c r="G3505" s="3">
        <v>1</v>
      </c>
      <c r="H3505" s="3">
        <v>0</v>
      </c>
      <c r="I3505" s="3">
        <v>0</v>
      </c>
      <c r="J3505" s="3">
        <v>1</v>
      </c>
      <c r="K3505" s="3">
        <v>0</v>
      </c>
      <c r="L3505" s="3">
        <v>0</v>
      </c>
      <c r="M3505" s="3">
        <v>0</v>
      </c>
      <c r="N3505" s="3">
        <v>0</v>
      </c>
      <c r="O3505" s="3"/>
      <c r="P3505" s="3"/>
      <c r="Q3505" s="3"/>
    </row>
    <row r="3506" spans="1:17" ht="15" x14ac:dyDescent="0.25">
      <c r="A3506" s="3">
        <f>3499</f>
        <v>3499</v>
      </c>
      <c r="B3506" s="3" t="s">
        <v>3508</v>
      </c>
      <c r="C3506" s="3" t="s">
        <v>9</v>
      </c>
      <c r="D3506" s="3" t="s">
        <v>10</v>
      </c>
      <c r="E3506" s="3">
        <v>0</v>
      </c>
      <c r="F3506" s="3">
        <v>0</v>
      </c>
      <c r="G3506" s="3">
        <v>1</v>
      </c>
      <c r="H3506" s="3">
        <v>0</v>
      </c>
      <c r="I3506" s="3">
        <v>0</v>
      </c>
      <c r="J3506" s="3">
        <v>1</v>
      </c>
      <c r="K3506" s="3">
        <v>0</v>
      </c>
      <c r="L3506" s="3">
        <v>0</v>
      </c>
      <c r="M3506" s="3">
        <v>0</v>
      </c>
      <c r="N3506" s="3">
        <v>0</v>
      </c>
      <c r="O3506" s="3"/>
      <c r="P3506" s="3"/>
      <c r="Q3506" s="3"/>
    </row>
    <row r="3507" spans="1:17" ht="15" x14ac:dyDescent="0.25">
      <c r="A3507" s="3">
        <f>3500</f>
        <v>3500</v>
      </c>
      <c r="B3507" s="3" t="s">
        <v>3509</v>
      </c>
      <c r="C3507" s="3" t="s">
        <v>9</v>
      </c>
      <c r="D3507" s="3" t="s">
        <v>10</v>
      </c>
      <c r="E3507" s="3">
        <v>0</v>
      </c>
      <c r="F3507" s="3">
        <v>0</v>
      </c>
      <c r="G3507" s="3">
        <v>1</v>
      </c>
      <c r="H3507" s="3">
        <v>0</v>
      </c>
      <c r="I3507" s="3">
        <v>0</v>
      </c>
      <c r="J3507" s="3">
        <v>1</v>
      </c>
      <c r="K3507" s="3">
        <v>0</v>
      </c>
      <c r="L3507" s="3">
        <v>0</v>
      </c>
      <c r="M3507" s="3">
        <v>0</v>
      </c>
      <c r="N3507" s="3">
        <v>0</v>
      </c>
      <c r="O3507" s="3"/>
      <c r="P3507" s="3"/>
      <c r="Q3507" s="3"/>
    </row>
    <row r="3508" spans="1:17" ht="15" x14ac:dyDescent="0.25">
      <c r="A3508" s="3">
        <f>3501</f>
        <v>3501</v>
      </c>
      <c r="B3508" s="3" t="s">
        <v>3510</v>
      </c>
      <c r="C3508" s="3" t="s">
        <v>9</v>
      </c>
      <c r="D3508" s="3" t="s">
        <v>10</v>
      </c>
      <c r="E3508" s="3">
        <v>0</v>
      </c>
      <c r="F3508" s="3">
        <v>0</v>
      </c>
      <c r="G3508" s="3">
        <v>1</v>
      </c>
      <c r="H3508" s="3">
        <v>0</v>
      </c>
      <c r="I3508" s="3">
        <v>0</v>
      </c>
      <c r="J3508" s="3">
        <v>1</v>
      </c>
      <c r="K3508" s="3">
        <v>0</v>
      </c>
      <c r="L3508" s="3">
        <v>0</v>
      </c>
      <c r="M3508" s="3">
        <v>0</v>
      </c>
      <c r="N3508" s="3">
        <v>0</v>
      </c>
      <c r="O3508" s="3"/>
      <c r="P3508" s="3"/>
      <c r="Q3508" s="3"/>
    </row>
    <row r="3509" spans="1:17" ht="15" x14ac:dyDescent="0.25">
      <c r="A3509" s="3">
        <f>3502</f>
        <v>3502</v>
      </c>
      <c r="B3509" s="3" t="s">
        <v>3511</v>
      </c>
      <c r="C3509" s="3" t="s">
        <v>9</v>
      </c>
      <c r="D3509" s="3" t="s">
        <v>10</v>
      </c>
      <c r="E3509" s="3">
        <v>0</v>
      </c>
      <c r="F3509" s="3">
        <v>0</v>
      </c>
      <c r="G3509" s="3">
        <v>1</v>
      </c>
      <c r="H3509" s="3">
        <v>0</v>
      </c>
      <c r="I3509" s="3">
        <v>0</v>
      </c>
      <c r="J3509" s="3">
        <v>1</v>
      </c>
      <c r="K3509" s="3">
        <v>0</v>
      </c>
      <c r="L3509" s="3">
        <v>0</v>
      </c>
      <c r="M3509" s="3">
        <v>0</v>
      </c>
      <c r="N3509" s="3">
        <v>0</v>
      </c>
      <c r="O3509" s="3"/>
      <c r="P3509" s="3"/>
      <c r="Q3509" s="3"/>
    </row>
    <row r="3510" spans="1:17" ht="15" x14ac:dyDescent="0.25">
      <c r="A3510" s="3">
        <f>3503</f>
        <v>3503</v>
      </c>
      <c r="B3510" s="3" t="s">
        <v>3512</v>
      </c>
      <c r="C3510" s="3" t="s">
        <v>9</v>
      </c>
      <c r="D3510" s="3" t="s">
        <v>10</v>
      </c>
      <c r="E3510" s="3">
        <v>0</v>
      </c>
      <c r="F3510" s="3">
        <v>0</v>
      </c>
      <c r="G3510" s="3">
        <v>1</v>
      </c>
      <c r="H3510" s="3">
        <v>0</v>
      </c>
      <c r="I3510" s="3">
        <v>0</v>
      </c>
      <c r="J3510" s="3">
        <v>1</v>
      </c>
      <c r="K3510" s="3">
        <v>0</v>
      </c>
      <c r="L3510" s="3">
        <v>0</v>
      </c>
      <c r="M3510" s="3">
        <v>0</v>
      </c>
      <c r="N3510" s="3">
        <v>0</v>
      </c>
      <c r="O3510" s="3"/>
      <c r="P3510" s="3"/>
      <c r="Q3510" s="3"/>
    </row>
    <row r="3511" spans="1:17" ht="15" x14ac:dyDescent="0.25">
      <c r="A3511" s="3">
        <f>3504</f>
        <v>3504</v>
      </c>
      <c r="B3511" s="3" t="s">
        <v>3513</v>
      </c>
      <c r="C3511" s="3" t="s">
        <v>9</v>
      </c>
      <c r="D3511" s="3" t="s">
        <v>10</v>
      </c>
      <c r="E3511" s="3">
        <v>0</v>
      </c>
      <c r="F3511" s="3">
        <v>0</v>
      </c>
      <c r="G3511" s="3">
        <v>1</v>
      </c>
      <c r="H3511" s="3">
        <v>0</v>
      </c>
      <c r="I3511" s="3">
        <v>0</v>
      </c>
      <c r="J3511" s="3">
        <v>1</v>
      </c>
      <c r="K3511" s="3">
        <v>0</v>
      </c>
      <c r="L3511" s="3">
        <v>0</v>
      </c>
      <c r="M3511" s="3">
        <v>0</v>
      </c>
      <c r="N3511" s="3">
        <v>0</v>
      </c>
      <c r="O3511" s="3"/>
      <c r="P3511" s="3"/>
      <c r="Q3511" s="3"/>
    </row>
    <row r="3512" spans="1:17" ht="15" x14ac:dyDescent="0.25">
      <c r="A3512" s="3">
        <f>3505</f>
        <v>3505</v>
      </c>
      <c r="B3512" s="3" t="s">
        <v>3514</v>
      </c>
      <c r="C3512" s="3" t="s">
        <v>9</v>
      </c>
      <c r="D3512" s="3" t="s">
        <v>10</v>
      </c>
      <c r="E3512" s="3">
        <v>0</v>
      </c>
      <c r="F3512" s="3">
        <v>0</v>
      </c>
      <c r="G3512" s="3">
        <v>1</v>
      </c>
      <c r="H3512" s="3">
        <v>0</v>
      </c>
      <c r="I3512" s="3">
        <v>0</v>
      </c>
      <c r="J3512" s="3">
        <v>1</v>
      </c>
      <c r="K3512" s="3">
        <v>0</v>
      </c>
      <c r="L3512" s="3">
        <v>0</v>
      </c>
      <c r="M3512" s="3">
        <v>0</v>
      </c>
      <c r="N3512" s="3">
        <v>0</v>
      </c>
      <c r="O3512" s="3"/>
      <c r="P3512" s="3"/>
      <c r="Q3512" s="3"/>
    </row>
    <row r="3513" spans="1:17" ht="15" x14ac:dyDescent="0.25">
      <c r="A3513" s="3">
        <f>3506</f>
        <v>3506</v>
      </c>
      <c r="B3513" s="3" t="s">
        <v>3515</v>
      </c>
      <c r="C3513" s="3" t="s">
        <v>9</v>
      </c>
      <c r="D3513" s="3" t="s">
        <v>10</v>
      </c>
      <c r="E3513" s="3">
        <v>0</v>
      </c>
      <c r="F3513" s="3">
        <v>0</v>
      </c>
      <c r="G3513" s="3">
        <v>1</v>
      </c>
      <c r="H3513" s="3">
        <v>0</v>
      </c>
      <c r="I3513" s="3">
        <v>0</v>
      </c>
      <c r="J3513" s="3">
        <v>1</v>
      </c>
      <c r="K3513" s="3">
        <v>0</v>
      </c>
      <c r="L3513" s="3">
        <v>0</v>
      </c>
      <c r="M3513" s="3">
        <v>0</v>
      </c>
      <c r="N3513" s="3">
        <v>0</v>
      </c>
      <c r="O3513" s="3"/>
      <c r="P3513" s="3"/>
      <c r="Q3513" s="3"/>
    </row>
    <row r="3514" spans="1:17" ht="15" x14ac:dyDescent="0.25">
      <c r="A3514" s="3">
        <f>3507</f>
        <v>3507</v>
      </c>
      <c r="B3514" s="3" t="s">
        <v>3516</v>
      </c>
      <c r="C3514" s="3" t="s">
        <v>9</v>
      </c>
      <c r="D3514" s="3" t="s">
        <v>10</v>
      </c>
      <c r="E3514" s="3">
        <v>0</v>
      </c>
      <c r="F3514" s="3">
        <v>0</v>
      </c>
      <c r="G3514" s="3">
        <v>1</v>
      </c>
      <c r="H3514" s="3">
        <v>0</v>
      </c>
      <c r="I3514" s="3">
        <v>0</v>
      </c>
      <c r="J3514" s="3">
        <v>1</v>
      </c>
      <c r="K3514" s="3">
        <v>0</v>
      </c>
      <c r="L3514" s="3">
        <v>0</v>
      </c>
      <c r="M3514" s="3">
        <v>0</v>
      </c>
      <c r="N3514" s="3">
        <v>0</v>
      </c>
      <c r="O3514" s="3"/>
      <c r="P3514" s="3"/>
      <c r="Q3514" s="3"/>
    </row>
    <row r="3515" spans="1:17" ht="15" x14ac:dyDescent="0.25">
      <c r="A3515" s="3">
        <f>3508</f>
        <v>3508</v>
      </c>
      <c r="B3515" s="3" t="s">
        <v>3517</v>
      </c>
      <c r="C3515" s="3" t="s">
        <v>9</v>
      </c>
      <c r="D3515" s="3" t="s">
        <v>10</v>
      </c>
      <c r="E3515" s="3">
        <v>0</v>
      </c>
      <c r="F3515" s="3">
        <v>0</v>
      </c>
      <c r="G3515" s="3">
        <v>1</v>
      </c>
      <c r="H3515" s="3">
        <v>0</v>
      </c>
      <c r="I3515" s="3">
        <v>0</v>
      </c>
      <c r="J3515" s="3">
        <v>1</v>
      </c>
      <c r="K3515" s="3">
        <v>0</v>
      </c>
      <c r="L3515" s="3">
        <v>0</v>
      </c>
      <c r="M3515" s="3">
        <v>0</v>
      </c>
      <c r="N3515" s="3">
        <v>0</v>
      </c>
      <c r="O3515" s="3"/>
      <c r="P3515" s="3"/>
      <c r="Q3515" s="3"/>
    </row>
    <row r="3516" spans="1:17" ht="15" x14ac:dyDescent="0.25">
      <c r="A3516" s="3">
        <f>3509</f>
        <v>3509</v>
      </c>
      <c r="B3516" s="3" t="s">
        <v>3518</v>
      </c>
      <c r="C3516" s="3" t="s">
        <v>9</v>
      </c>
      <c r="D3516" s="3" t="s">
        <v>10</v>
      </c>
      <c r="E3516" s="3">
        <v>0</v>
      </c>
      <c r="F3516" s="3">
        <v>0</v>
      </c>
      <c r="G3516" s="3">
        <v>1</v>
      </c>
      <c r="H3516" s="3">
        <v>0</v>
      </c>
      <c r="I3516" s="3">
        <v>0</v>
      </c>
      <c r="J3516" s="3">
        <v>1</v>
      </c>
      <c r="K3516" s="3">
        <v>0</v>
      </c>
      <c r="L3516" s="3">
        <v>0</v>
      </c>
      <c r="M3516" s="3">
        <v>0</v>
      </c>
      <c r="N3516" s="3">
        <v>0</v>
      </c>
      <c r="O3516" s="3"/>
      <c r="P3516" s="3"/>
      <c r="Q3516" s="3"/>
    </row>
    <row r="3517" spans="1:17" ht="15" x14ac:dyDescent="0.25">
      <c r="A3517" s="3">
        <f>3510</f>
        <v>3510</v>
      </c>
      <c r="B3517" s="3" t="s">
        <v>3519</v>
      </c>
      <c r="C3517" s="3" t="s">
        <v>9</v>
      </c>
      <c r="D3517" s="3" t="s">
        <v>10</v>
      </c>
      <c r="E3517" s="3">
        <v>0</v>
      </c>
      <c r="F3517" s="3">
        <v>0</v>
      </c>
      <c r="G3517" s="3">
        <v>1</v>
      </c>
      <c r="H3517" s="3">
        <v>0</v>
      </c>
      <c r="I3517" s="3">
        <v>0</v>
      </c>
      <c r="J3517" s="3">
        <v>1</v>
      </c>
      <c r="K3517" s="3">
        <v>0</v>
      </c>
      <c r="L3517" s="3">
        <v>0</v>
      </c>
      <c r="M3517" s="3">
        <v>0</v>
      </c>
      <c r="N3517" s="3">
        <v>0</v>
      </c>
      <c r="O3517" s="3"/>
      <c r="P3517" s="3"/>
      <c r="Q3517" s="3"/>
    </row>
    <row r="3518" spans="1:17" ht="15" x14ac:dyDescent="0.25">
      <c r="A3518" s="3">
        <f>3511</f>
        <v>3511</v>
      </c>
      <c r="B3518" s="3" t="s">
        <v>3520</v>
      </c>
      <c r="C3518" s="3" t="s">
        <v>9</v>
      </c>
      <c r="D3518" s="3" t="s">
        <v>10</v>
      </c>
      <c r="E3518" s="3">
        <v>0</v>
      </c>
      <c r="F3518" s="3">
        <v>0</v>
      </c>
      <c r="G3518" s="3">
        <v>1</v>
      </c>
      <c r="H3518" s="3">
        <v>0</v>
      </c>
      <c r="I3518" s="3">
        <v>0</v>
      </c>
      <c r="J3518" s="3">
        <v>1</v>
      </c>
      <c r="K3518" s="3">
        <v>0</v>
      </c>
      <c r="L3518" s="3">
        <v>0</v>
      </c>
      <c r="M3518" s="3">
        <v>0</v>
      </c>
      <c r="N3518" s="3">
        <v>0</v>
      </c>
      <c r="O3518" s="3"/>
      <c r="P3518" s="3"/>
      <c r="Q3518" s="3"/>
    </row>
    <row r="3519" spans="1:17" ht="15" x14ac:dyDescent="0.25">
      <c r="A3519" s="3">
        <f>3512</f>
        <v>3512</v>
      </c>
      <c r="B3519" s="3" t="s">
        <v>3521</v>
      </c>
      <c r="C3519" s="3" t="s">
        <v>9</v>
      </c>
      <c r="D3519" s="3" t="s">
        <v>10</v>
      </c>
      <c r="E3519" s="3">
        <v>0</v>
      </c>
      <c r="F3519" s="3">
        <v>0</v>
      </c>
      <c r="G3519" s="3">
        <v>1</v>
      </c>
      <c r="H3519" s="3">
        <v>0</v>
      </c>
      <c r="I3519" s="3">
        <v>0</v>
      </c>
      <c r="J3519" s="3">
        <v>1</v>
      </c>
      <c r="K3519" s="3">
        <v>0</v>
      </c>
      <c r="L3519" s="3">
        <v>0</v>
      </c>
      <c r="M3519" s="3">
        <v>0</v>
      </c>
      <c r="N3519" s="3">
        <v>0</v>
      </c>
      <c r="O3519" s="3"/>
      <c r="P3519" s="3"/>
      <c r="Q3519" s="3"/>
    </row>
    <row r="3520" spans="1:17" ht="15" x14ac:dyDescent="0.25">
      <c r="A3520" s="3">
        <f>3513</f>
        <v>3513</v>
      </c>
      <c r="B3520" s="3" t="s">
        <v>3522</v>
      </c>
      <c r="C3520" s="3" t="s">
        <v>9</v>
      </c>
      <c r="D3520" s="3" t="s">
        <v>10</v>
      </c>
      <c r="E3520" s="3">
        <v>0</v>
      </c>
      <c r="F3520" s="3">
        <v>0</v>
      </c>
      <c r="G3520" s="3">
        <v>1</v>
      </c>
      <c r="H3520" s="3">
        <v>0</v>
      </c>
      <c r="I3520" s="3">
        <v>0</v>
      </c>
      <c r="J3520" s="3">
        <v>1</v>
      </c>
      <c r="K3520" s="3">
        <v>0</v>
      </c>
      <c r="L3520" s="3">
        <v>0</v>
      </c>
      <c r="M3520" s="3">
        <v>0</v>
      </c>
      <c r="N3520" s="3">
        <v>0</v>
      </c>
      <c r="O3520" s="3"/>
      <c r="P3520" s="3"/>
      <c r="Q3520" s="3"/>
    </row>
    <row r="3521" spans="1:17" ht="15" x14ac:dyDescent="0.25">
      <c r="A3521" s="3">
        <f>3514</f>
        <v>3514</v>
      </c>
      <c r="B3521" s="3" t="s">
        <v>3523</v>
      </c>
      <c r="C3521" s="3" t="s">
        <v>9</v>
      </c>
      <c r="D3521" s="3" t="s">
        <v>10</v>
      </c>
      <c r="E3521" s="3">
        <v>0</v>
      </c>
      <c r="F3521" s="3">
        <v>0</v>
      </c>
      <c r="G3521" s="3">
        <v>1</v>
      </c>
      <c r="H3521" s="3">
        <v>0</v>
      </c>
      <c r="I3521" s="3">
        <v>0</v>
      </c>
      <c r="J3521" s="3">
        <v>1</v>
      </c>
      <c r="K3521" s="3">
        <v>0</v>
      </c>
      <c r="L3521" s="3">
        <v>0</v>
      </c>
      <c r="M3521" s="3">
        <v>0</v>
      </c>
      <c r="N3521" s="3">
        <v>0</v>
      </c>
      <c r="O3521" s="3"/>
      <c r="P3521" s="3"/>
      <c r="Q3521" s="3"/>
    </row>
    <row r="3522" spans="1:17" ht="15" x14ac:dyDescent="0.25">
      <c r="A3522" s="3">
        <f>3515</f>
        <v>3515</v>
      </c>
      <c r="B3522" s="3" t="s">
        <v>3524</v>
      </c>
      <c r="C3522" s="3" t="s">
        <v>9</v>
      </c>
      <c r="D3522" s="3" t="s">
        <v>10</v>
      </c>
      <c r="E3522" s="3">
        <v>0</v>
      </c>
      <c r="F3522" s="3">
        <v>0</v>
      </c>
      <c r="G3522" s="3">
        <v>1</v>
      </c>
      <c r="H3522" s="3">
        <v>0</v>
      </c>
      <c r="I3522" s="3">
        <v>0</v>
      </c>
      <c r="J3522" s="3">
        <v>1</v>
      </c>
      <c r="K3522" s="3">
        <v>0</v>
      </c>
      <c r="L3522" s="3">
        <v>0</v>
      </c>
      <c r="M3522" s="3">
        <v>0</v>
      </c>
      <c r="N3522" s="3">
        <v>0</v>
      </c>
      <c r="O3522" s="3"/>
      <c r="P3522" s="3"/>
      <c r="Q3522" s="3"/>
    </row>
    <row r="3523" spans="1:17" ht="15" x14ac:dyDescent="0.25">
      <c r="A3523" s="3">
        <f>3516</f>
        <v>3516</v>
      </c>
      <c r="B3523" s="3" t="s">
        <v>3525</v>
      </c>
      <c r="C3523" s="3" t="s">
        <v>9</v>
      </c>
      <c r="D3523" s="3" t="s">
        <v>10</v>
      </c>
      <c r="E3523" s="3">
        <v>0</v>
      </c>
      <c r="F3523" s="3">
        <v>0</v>
      </c>
      <c r="G3523" s="3">
        <v>1</v>
      </c>
      <c r="H3523" s="3">
        <v>0</v>
      </c>
      <c r="I3523" s="3">
        <v>0</v>
      </c>
      <c r="J3523" s="3">
        <v>1</v>
      </c>
      <c r="K3523" s="3">
        <v>0</v>
      </c>
      <c r="L3523" s="3">
        <v>0</v>
      </c>
      <c r="M3523" s="3">
        <v>0</v>
      </c>
      <c r="N3523" s="3">
        <v>0</v>
      </c>
      <c r="O3523" s="3"/>
      <c r="P3523" s="3"/>
      <c r="Q3523" s="3"/>
    </row>
    <row r="3524" spans="1:17" ht="15" x14ac:dyDescent="0.25">
      <c r="A3524" s="3">
        <f>3517</f>
        <v>3517</v>
      </c>
      <c r="B3524" s="3" t="s">
        <v>3526</v>
      </c>
      <c r="C3524" s="3" t="s">
        <v>9</v>
      </c>
      <c r="D3524" s="3" t="s">
        <v>10</v>
      </c>
      <c r="E3524" s="3">
        <v>0</v>
      </c>
      <c r="F3524" s="3">
        <v>0</v>
      </c>
      <c r="G3524" s="3">
        <v>1</v>
      </c>
      <c r="H3524" s="3">
        <v>0</v>
      </c>
      <c r="I3524" s="3">
        <v>0</v>
      </c>
      <c r="J3524" s="3">
        <v>1</v>
      </c>
      <c r="K3524" s="3">
        <v>0</v>
      </c>
      <c r="L3524" s="3">
        <v>0</v>
      </c>
      <c r="M3524" s="3">
        <v>0</v>
      </c>
      <c r="N3524" s="3">
        <v>0</v>
      </c>
      <c r="O3524" s="3"/>
      <c r="P3524" s="3"/>
      <c r="Q3524" s="3"/>
    </row>
    <row r="3525" spans="1:17" ht="15" x14ac:dyDescent="0.25">
      <c r="A3525" s="3">
        <f>3518</f>
        <v>3518</v>
      </c>
      <c r="B3525" s="3" t="s">
        <v>3527</v>
      </c>
      <c r="C3525" s="3" t="s">
        <v>9</v>
      </c>
      <c r="D3525" s="3" t="s">
        <v>10</v>
      </c>
      <c r="E3525" s="3">
        <v>0</v>
      </c>
      <c r="F3525" s="3">
        <v>0</v>
      </c>
      <c r="G3525" s="3">
        <v>1</v>
      </c>
      <c r="H3525" s="3">
        <v>0</v>
      </c>
      <c r="I3525" s="3">
        <v>0</v>
      </c>
      <c r="J3525" s="3">
        <v>1</v>
      </c>
      <c r="K3525" s="3">
        <v>0</v>
      </c>
      <c r="L3525" s="3">
        <v>0</v>
      </c>
      <c r="M3525" s="3">
        <v>0</v>
      </c>
      <c r="N3525" s="3">
        <v>0</v>
      </c>
      <c r="O3525" s="3"/>
      <c r="P3525" s="3"/>
      <c r="Q3525" s="3"/>
    </row>
    <row r="3526" spans="1:17" ht="15" x14ac:dyDescent="0.25">
      <c r="A3526" s="3">
        <f>3519</f>
        <v>3519</v>
      </c>
      <c r="B3526" s="3" t="s">
        <v>3528</v>
      </c>
      <c r="C3526" s="3" t="s">
        <v>9</v>
      </c>
      <c r="D3526" s="3" t="s">
        <v>10</v>
      </c>
      <c r="E3526" s="3">
        <v>0</v>
      </c>
      <c r="F3526" s="3">
        <v>0</v>
      </c>
      <c r="G3526" s="3">
        <v>1</v>
      </c>
      <c r="H3526" s="3">
        <v>0</v>
      </c>
      <c r="I3526" s="3">
        <v>0</v>
      </c>
      <c r="J3526" s="3">
        <v>1</v>
      </c>
      <c r="K3526" s="3">
        <v>0</v>
      </c>
      <c r="L3526" s="3">
        <v>0</v>
      </c>
      <c r="M3526" s="3">
        <v>0</v>
      </c>
      <c r="N3526" s="3">
        <v>0</v>
      </c>
      <c r="O3526" s="3"/>
      <c r="P3526" s="3"/>
      <c r="Q3526" s="3"/>
    </row>
    <row r="3527" spans="1:17" ht="15" x14ac:dyDescent="0.25">
      <c r="A3527" s="3">
        <f>3520</f>
        <v>3520</v>
      </c>
      <c r="B3527" s="3" t="s">
        <v>3529</v>
      </c>
      <c r="C3527" s="3" t="s">
        <v>9</v>
      </c>
      <c r="D3527" s="3" t="s">
        <v>10</v>
      </c>
      <c r="E3527" s="3">
        <v>0</v>
      </c>
      <c r="F3527" s="3">
        <v>0</v>
      </c>
      <c r="G3527" s="3">
        <v>1</v>
      </c>
      <c r="H3527" s="3">
        <v>0</v>
      </c>
      <c r="I3527" s="3">
        <v>0</v>
      </c>
      <c r="J3527" s="3">
        <v>1</v>
      </c>
      <c r="K3527" s="3">
        <v>0</v>
      </c>
      <c r="L3527" s="3">
        <v>0</v>
      </c>
      <c r="M3527" s="3">
        <v>0</v>
      </c>
      <c r="N3527" s="3">
        <v>0</v>
      </c>
      <c r="O3527" s="3"/>
      <c r="P3527" s="3"/>
      <c r="Q3527" s="3"/>
    </row>
    <row r="3528" spans="1:17" ht="15" x14ac:dyDescent="0.25">
      <c r="A3528" s="3">
        <f>3521</f>
        <v>3521</v>
      </c>
      <c r="B3528" s="3" t="s">
        <v>3530</v>
      </c>
      <c r="C3528" s="3" t="s">
        <v>9</v>
      </c>
      <c r="D3528" s="3" t="s">
        <v>10</v>
      </c>
      <c r="E3528" s="3">
        <v>0</v>
      </c>
      <c r="F3528" s="3">
        <v>0</v>
      </c>
      <c r="G3528" s="3">
        <v>1</v>
      </c>
      <c r="H3528" s="3">
        <v>0</v>
      </c>
      <c r="I3528" s="3">
        <v>0</v>
      </c>
      <c r="J3528" s="3">
        <v>1</v>
      </c>
      <c r="K3528" s="3">
        <v>0</v>
      </c>
      <c r="L3528" s="3">
        <v>0</v>
      </c>
      <c r="M3528" s="3">
        <v>0</v>
      </c>
      <c r="N3528" s="3">
        <v>0</v>
      </c>
      <c r="O3528" s="3"/>
      <c r="P3528" s="3"/>
      <c r="Q3528" s="3"/>
    </row>
    <row r="3529" spans="1:17" ht="15" x14ac:dyDescent="0.25">
      <c r="A3529" s="3">
        <f>3522</f>
        <v>3522</v>
      </c>
      <c r="B3529" s="3" t="s">
        <v>3531</v>
      </c>
      <c r="C3529" s="3" t="s">
        <v>9</v>
      </c>
      <c r="D3529" s="3" t="s">
        <v>10</v>
      </c>
      <c r="E3529" s="3">
        <v>0</v>
      </c>
      <c r="F3529" s="3">
        <v>0</v>
      </c>
      <c r="G3529" s="3">
        <v>1</v>
      </c>
      <c r="H3529" s="3">
        <v>0</v>
      </c>
      <c r="I3529" s="3">
        <v>0</v>
      </c>
      <c r="J3529" s="3">
        <v>1</v>
      </c>
      <c r="K3529" s="3">
        <v>0</v>
      </c>
      <c r="L3529" s="3">
        <v>0</v>
      </c>
      <c r="M3529" s="3">
        <v>0</v>
      </c>
      <c r="N3529" s="3">
        <v>0</v>
      </c>
      <c r="O3529" s="3"/>
      <c r="P3529" s="3"/>
      <c r="Q3529" s="3"/>
    </row>
    <row r="3530" spans="1:17" ht="15" x14ac:dyDescent="0.25">
      <c r="A3530" s="3">
        <f>3523</f>
        <v>3523</v>
      </c>
      <c r="B3530" s="3" t="s">
        <v>3532</v>
      </c>
      <c r="C3530" s="3" t="s">
        <v>9</v>
      </c>
      <c r="D3530" s="3" t="s">
        <v>10</v>
      </c>
      <c r="E3530" s="3">
        <v>0</v>
      </c>
      <c r="F3530" s="3">
        <v>0</v>
      </c>
      <c r="G3530" s="3">
        <v>1</v>
      </c>
      <c r="H3530" s="3">
        <v>0</v>
      </c>
      <c r="I3530" s="3">
        <v>0</v>
      </c>
      <c r="J3530" s="3">
        <v>1</v>
      </c>
      <c r="K3530" s="3">
        <v>0</v>
      </c>
      <c r="L3530" s="3">
        <v>0</v>
      </c>
      <c r="M3530" s="3">
        <v>0</v>
      </c>
      <c r="N3530" s="3">
        <v>0</v>
      </c>
      <c r="O3530" s="3"/>
      <c r="P3530" s="3"/>
      <c r="Q3530" s="3"/>
    </row>
    <row r="3531" spans="1:17" ht="15" x14ac:dyDescent="0.25">
      <c r="A3531" s="3">
        <f>3524</f>
        <v>3524</v>
      </c>
      <c r="B3531" s="3" t="s">
        <v>3533</v>
      </c>
      <c r="C3531" s="3" t="s">
        <v>9</v>
      </c>
      <c r="D3531" s="3" t="s">
        <v>10</v>
      </c>
      <c r="E3531" s="3">
        <v>0</v>
      </c>
      <c r="F3531" s="3">
        <v>0</v>
      </c>
      <c r="G3531" s="3">
        <v>1</v>
      </c>
      <c r="H3531" s="3">
        <v>0</v>
      </c>
      <c r="I3531" s="3">
        <v>0</v>
      </c>
      <c r="J3531" s="3">
        <v>1</v>
      </c>
      <c r="K3531" s="3">
        <v>0</v>
      </c>
      <c r="L3531" s="3">
        <v>0</v>
      </c>
      <c r="M3531" s="3">
        <v>0</v>
      </c>
      <c r="N3531" s="3">
        <v>0</v>
      </c>
      <c r="O3531" s="3"/>
      <c r="P3531" s="3"/>
      <c r="Q3531" s="3"/>
    </row>
    <row r="3532" spans="1:17" ht="15" x14ac:dyDescent="0.25">
      <c r="A3532" s="3">
        <f>3525</f>
        <v>3525</v>
      </c>
      <c r="B3532" s="3" t="s">
        <v>3534</v>
      </c>
      <c r="C3532" s="3" t="s">
        <v>9</v>
      </c>
      <c r="D3532" s="3" t="s">
        <v>10</v>
      </c>
      <c r="E3532" s="3">
        <v>0</v>
      </c>
      <c r="F3532" s="3">
        <v>0</v>
      </c>
      <c r="G3532" s="3">
        <v>1</v>
      </c>
      <c r="H3532" s="3">
        <v>0</v>
      </c>
      <c r="I3532" s="3">
        <v>0</v>
      </c>
      <c r="J3532" s="3">
        <v>1</v>
      </c>
      <c r="K3532" s="3">
        <v>0</v>
      </c>
      <c r="L3532" s="3">
        <v>0</v>
      </c>
      <c r="M3532" s="3">
        <v>0</v>
      </c>
      <c r="N3532" s="3">
        <v>0</v>
      </c>
      <c r="O3532" s="3"/>
      <c r="P3532" s="3"/>
      <c r="Q3532" s="3"/>
    </row>
    <row r="3533" spans="1:17" ht="15" x14ac:dyDescent="0.25">
      <c r="A3533" s="3">
        <f>3526</f>
        <v>3526</v>
      </c>
      <c r="B3533" s="3" t="s">
        <v>3535</v>
      </c>
      <c r="C3533" s="3" t="s">
        <v>9</v>
      </c>
      <c r="D3533" s="3" t="s">
        <v>10</v>
      </c>
      <c r="E3533" s="3">
        <v>0</v>
      </c>
      <c r="F3533" s="3">
        <v>0</v>
      </c>
      <c r="G3533" s="3">
        <v>1</v>
      </c>
      <c r="H3533" s="3">
        <v>0</v>
      </c>
      <c r="I3533" s="3">
        <v>0</v>
      </c>
      <c r="J3533" s="3">
        <v>1</v>
      </c>
      <c r="K3533" s="3">
        <v>0</v>
      </c>
      <c r="L3533" s="3">
        <v>0</v>
      </c>
      <c r="M3533" s="3">
        <v>0</v>
      </c>
      <c r="N3533" s="3">
        <v>0</v>
      </c>
      <c r="O3533" s="3"/>
      <c r="P3533" s="3"/>
      <c r="Q3533" s="3"/>
    </row>
    <row r="3534" spans="1:17" ht="15" x14ac:dyDescent="0.25">
      <c r="A3534" s="3">
        <f>3527</f>
        <v>3527</v>
      </c>
      <c r="B3534" s="3" t="s">
        <v>3536</v>
      </c>
      <c r="C3534" s="3" t="s">
        <v>9</v>
      </c>
      <c r="D3534" s="3" t="s">
        <v>10</v>
      </c>
      <c r="E3534" s="3">
        <v>0</v>
      </c>
      <c r="F3534" s="3">
        <v>0</v>
      </c>
      <c r="G3534" s="3">
        <v>1</v>
      </c>
      <c r="H3534" s="3">
        <v>0</v>
      </c>
      <c r="I3534" s="3">
        <v>0</v>
      </c>
      <c r="J3534" s="3">
        <v>1</v>
      </c>
      <c r="K3534" s="3">
        <v>0</v>
      </c>
      <c r="L3534" s="3">
        <v>0</v>
      </c>
      <c r="M3534" s="3">
        <v>0</v>
      </c>
      <c r="N3534" s="3">
        <v>0</v>
      </c>
      <c r="O3534" s="3"/>
      <c r="P3534" s="3"/>
      <c r="Q3534" s="3"/>
    </row>
    <row r="3535" spans="1:17" ht="15" x14ac:dyDescent="0.25">
      <c r="A3535" s="3">
        <f>3528</f>
        <v>3528</v>
      </c>
      <c r="B3535" s="3" t="s">
        <v>3537</v>
      </c>
      <c r="C3535" s="3" t="s">
        <v>9</v>
      </c>
      <c r="D3535" s="3" t="s">
        <v>10</v>
      </c>
      <c r="E3535" s="3">
        <v>0</v>
      </c>
      <c r="F3535" s="3">
        <v>0</v>
      </c>
      <c r="G3535" s="3">
        <v>1</v>
      </c>
      <c r="H3535" s="3">
        <v>0</v>
      </c>
      <c r="I3535" s="3">
        <v>0</v>
      </c>
      <c r="J3535" s="3">
        <v>1</v>
      </c>
      <c r="K3535" s="3">
        <v>0</v>
      </c>
      <c r="L3535" s="3">
        <v>0</v>
      </c>
      <c r="M3535" s="3">
        <v>0</v>
      </c>
      <c r="N3535" s="3">
        <v>0</v>
      </c>
      <c r="O3535" s="3"/>
      <c r="P3535" s="3"/>
      <c r="Q3535" s="3"/>
    </row>
    <row r="3536" spans="1:17" ht="15" x14ac:dyDescent="0.25">
      <c r="A3536" s="3">
        <f>3529</f>
        <v>3529</v>
      </c>
      <c r="B3536" s="3" t="s">
        <v>3538</v>
      </c>
      <c r="C3536" s="3" t="s">
        <v>9</v>
      </c>
      <c r="D3536" s="3" t="s">
        <v>9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/>
      <c r="P3536" s="3"/>
      <c r="Q3536" s="3"/>
    </row>
    <row r="3537" spans="1:17" ht="15" x14ac:dyDescent="0.25">
      <c r="A3537" s="3">
        <f>3530</f>
        <v>3530</v>
      </c>
      <c r="B3537" s="3" t="s">
        <v>3539</v>
      </c>
      <c r="C3537" s="3" t="s">
        <v>9</v>
      </c>
      <c r="D3537" s="3" t="s">
        <v>9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/>
      <c r="P3537" s="3"/>
      <c r="Q3537" s="3"/>
    </row>
    <row r="3538" spans="1:17" ht="15" x14ac:dyDescent="0.25">
      <c r="A3538" s="3">
        <f>3531</f>
        <v>3531</v>
      </c>
      <c r="B3538" s="3" t="s">
        <v>3540</v>
      </c>
      <c r="C3538" s="3" t="s">
        <v>9</v>
      </c>
      <c r="D3538" s="3" t="s">
        <v>9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/>
      <c r="P3538" s="3"/>
      <c r="Q3538" s="3"/>
    </row>
    <row r="3539" spans="1:17" ht="15" x14ac:dyDescent="0.25">
      <c r="A3539" s="3">
        <f>3532</f>
        <v>3532</v>
      </c>
      <c r="B3539" s="3" t="s">
        <v>3541</v>
      </c>
      <c r="C3539" s="3" t="s">
        <v>9</v>
      </c>
      <c r="D3539" s="3" t="s">
        <v>9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/>
      <c r="P3539" s="3"/>
      <c r="Q3539" s="3"/>
    </row>
    <row r="3540" spans="1:17" ht="15" x14ac:dyDescent="0.25">
      <c r="A3540" s="3">
        <f>3533</f>
        <v>3533</v>
      </c>
      <c r="B3540" s="3" t="s">
        <v>3542</v>
      </c>
      <c r="C3540" s="3" t="s">
        <v>9</v>
      </c>
      <c r="D3540" s="3" t="s">
        <v>9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/>
      <c r="P3540" s="3"/>
      <c r="Q3540" s="3"/>
    </row>
    <row r="3541" spans="1:17" ht="15" x14ac:dyDescent="0.25">
      <c r="A3541" s="3">
        <f>3534</f>
        <v>3534</v>
      </c>
      <c r="B3541" s="3" t="s">
        <v>3543</v>
      </c>
      <c r="C3541" s="3" t="s">
        <v>9</v>
      </c>
      <c r="D3541" s="3" t="s">
        <v>9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/>
      <c r="P3541" s="3"/>
      <c r="Q3541" s="3"/>
    </row>
    <row r="3542" spans="1:17" ht="15" x14ac:dyDescent="0.25">
      <c r="A3542" s="3">
        <f>3535</f>
        <v>3535</v>
      </c>
      <c r="B3542" s="3" t="s">
        <v>3544</v>
      </c>
      <c r="C3542" s="3" t="s">
        <v>9</v>
      </c>
      <c r="D3542" s="3" t="s">
        <v>9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/>
      <c r="P3542" s="3"/>
      <c r="Q3542" s="3"/>
    </row>
    <row r="3543" spans="1:17" ht="15" x14ac:dyDescent="0.25">
      <c r="A3543" s="3">
        <f>3536</f>
        <v>3536</v>
      </c>
      <c r="B3543" s="3" t="s">
        <v>3545</v>
      </c>
      <c r="C3543" s="3" t="s">
        <v>9</v>
      </c>
      <c r="D3543" s="3" t="s">
        <v>9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/>
      <c r="P3543" s="3"/>
      <c r="Q3543" s="3"/>
    </row>
    <row r="3544" spans="1:17" ht="15" x14ac:dyDescent="0.25">
      <c r="A3544" s="3">
        <f>3537</f>
        <v>3537</v>
      </c>
      <c r="B3544" s="3" t="s">
        <v>3546</v>
      </c>
      <c r="C3544" s="3" t="s">
        <v>9</v>
      </c>
      <c r="D3544" s="3" t="s">
        <v>9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/>
      <c r="P3544" s="3"/>
      <c r="Q3544" s="3"/>
    </row>
    <row r="3545" spans="1:17" ht="15" x14ac:dyDescent="0.25">
      <c r="A3545" s="3">
        <f>3538</f>
        <v>3538</v>
      </c>
      <c r="B3545" s="3" t="s">
        <v>3547</v>
      </c>
      <c r="C3545" s="3" t="s">
        <v>9</v>
      </c>
      <c r="D3545" s="3" t="s">
        <v>9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/>
      <c r="P3545" s="3"/>
      <c r="Q3545" s="3"/>
    </row>
    <row r="3546" spans="1:17" ht="15" x14ac:dyDescent="0.25">
      <c r="A3546" s="3">
        <f>3539</f>
        <v>3539</v>
      </c>
      <c r="B3546" s="3" t="s">
        <v>3548</v>
      </c>
      <c r="C3546" s="3" t="s">
        <v>9</v>
      </c>
      <c r="D3546" s="3" t="s">
        <v>9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/>
      <c r="P3546" s="3"/>
      <c r="Q3546" s="3"/>
    </row>
    <row r="3547" spans="1:17" ht="15" x14ac:dyDescent="0.25">
      <c r="A3547" s="3">
        <f>3540</f>
        <v>3540</v>
      </c>
      <c r="B3547" s="3" t="s">
        <v>3549</v>
      </c>
      <c r="C3547" s="3" t="s">
        <v>9</v>
      </c>
      <c r="D3547" s="3" t="s">
        <v>9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/>
      <c r="P3547" s="3"/>
      <c r="Q3547" s="3"/>
    </row>
    <row r="3548" spans="1:17" ht="15" x14ac:dyDescent="0.25">
      <c r="A3548" s="3">
        <f>3541</f>
        <v>3541</v>
      </c>
      <c r="B3548" s="3" t="s">
        <v>3550</v>
      </c>
      <c r="C3548" s="3" t="s">
        <v>9</v>
      </c>
      <c r="D3548" s="3" t="s">
        <v>9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/>
      <c r="P3548" s="3"/>
      <c r="Q3548" s="3"/>
    </row>
    <row r="3549" spans="1:17" ht="15" x14ac:dyDescent="0.25">
      <c r="A3549" s="3">
        <f>3542</f>
        <v>3542</v>
      </c>
      <c r="B3549" s="3" t="s">
        <v>3551</v>
      </c>
      <c r="C3549" s="3" t="s">
        <v>9</v>
      </c>
      <c r="D3549" s="3" t="s">
        <v>9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/>
      <c r="P3549" s="3"/>
      <c r="Q3549" s="3"/>
    </row>
    <row r="3550" spans="1:17" ht="15" x14ac:dyDescent="0.25">
      <c r="A3550" s="3">
        <f>3543</f>
        <v>3543</v>
      </c>
      <c r="B3550" s="3" t="s">
        <v>3552</v>
      </c>
      <c r="C3550" s="3" t="s">
        <v>9</v>
      </c>
      <c r="D3550" s="3" t="s">
        <v>9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/>
      <c r="P3550" s="3"/>
      <c r="Q3550" s="3"/>
    </row>
    <row r="3551" spans="1:17" ht="15" x14ac:dyDescent="0.25">
      <c r="A3551" s="3">
        <f>3544</f>
        <v>3544</v>
      </c>
      <c r="B3551" s="3" t="s">
        <v>3553</v>
      </c>
      <c r="C3551" s="3" t="s">
        <v>9</v>
      </c>
      <c r="D3551" s="3" t="s">
        <v>9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/>
      <c r="P3551" s="3"/>
      <c r="Q3551" s="3"/>
    </row>
    <row r="3552" spans="1:17" ht="15" x14ac:dyDescent="0.25">
      <c r="A3552" s="3">
        <f>3545</f>
        <v>3545</v>
      </c>
      <c r="B3552" s="3" t="s">
        <v>3554</v>
      </c>
      <c r="C3552" s="3" t="s">
        <v>9</v>
      </c>
      <c r="D3552" s="3" t="s">
        <v>9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/>
      <c r="P3552" s="3"/>
      <c r="Q3552" s="3"/>
    </row>
    <row r="3553" spans="1:17" ht="15" x14ac:dyDescent="0.25">
      <c r="A3553" s="3">
        <f>3546</f>
        <v>3546</v>
      </c>
      <c r="B3553" s="3" t="s">
        <v>3555</v>
      </c>
      <c r="C3553" s="3" t="s">
        <v>9</v>
      </c>
      <c r="D3553" s="3" t="s">
        <v>9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/>
      <c r="P3553" s="3"/>
      <c r="Q3553" s="3"/>
    </row>
    <row r="3554" spans="1:17" ht="15" x14ac:dyDescent="0.25">
      <c r="A3554" s="3">
        <f>3547</f>
        <v>3547</v>
      </c>
      <c r="B3554" s="3" t="s">
        <v>3556</v>
      </c>
      <c r="C3554" s="3" t="s">
        <v>9</v>
      </c>
      <c r="D3554" s="3" t="s">
        <v>9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/>
      <c r="P3554" s="3"/>
      <c r="Q3554" s="3"/>
    </row>
    <row r="3555" spans="1:17" ht="15" x14ac:dyDescent="0.25">
      <c r="A3555" s="3">
        <f>3548</f>
        <v>3548</v>
      </c>
      <c r="B3555" s="3" t="s">
        <v>3557</v>
      </c>
      <c r="C3555" s="3" t="s">
        <v>9</v>
      </c>
      <c r="D3555" s="3" t="s">
        <v>9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/>
      <c r="P3555" s="3"/>
      <c r="Q3555" s="3"/>
    </row>
    <row r="3556" spans="1:17" ht="15" x14ac:dyDescent="0.25">
      <c r="A3556" s="3">
        <f>3549</f>
        <v>3549</v>
      </c>
      <c r="B3556" s="3" t="s">
        <v>3558</v>
      </c>
      <c r="C3556" s="3" t="s">
        <v>9</v>
      </c>
      <c r="D3556" s="3" t="s">
        <v>9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/>
      <c r="P3556" s="3"/>
      <c r="Q3556" s="3"/>
    </row>
    <row r="3557" spans="1:17" ht="15" x14ac:dyDescent="0.25">
      <c r="A3557" s="3">
        <f>3550</f>
        <v>3550</v>
      </c>
      <c r="B3557" s="3" t="s">
        <v>3559</v>
      </c>
      <c r="C3557" s="3" t="s">
        <v>9</v>
      </c>
      <c r="D3557" s="3" t="s">
        <v>9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/>
      <c r="P3557" s="3"/>
      <c r="Q3557" s="3"/>
    </row>
    <row r="3558" spans="1:17" ht="15" x14ac:dyDescent="0.25">
      <c r="A3558" s="3">
        <f>3551</f>
        <v>3551</v>
      </c>
      <c r="B3558" s="3" t="s">
        <v>3560</v>
      </c>
      <c r="C3558" s="3" t="s">
        <v>9</v>
      </c>
      <c r="D3558" s="3" t="s">
        <v>9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/>
      <c r="P3558" s="3"/>
      <c r="Q3558" s="3"/>
    </row>
    <row r="3559" spans="1:17" ht="15" x14ac:dyDescent="0.25">
      <c r="A3559" s="3">
        <f>3552</f>
        <v>3552</v>
      </c>
      <c r="B3559" s="3" t="s">
        <v>3561</v>
      </c>
      <c r="C3559" s="3" t="s">
        <v>9</v>
      </c>
      <c r="D3559" s="3" t="s">
        <v>9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/>
      <c r="P3559" s="3"/>
      <c r="Q3559" s="3"/>
    </row>
    <row r="3560" spans="1:17" ht="15" x14ac:dyDescent="0.25">
      <c r="A3560" s="3">
        <f>3553</f>
        <v>3553</v>
      </c>
      <c r="B3560" s="3" t="s">
        <v>3562</v>
      </c>
      <c r="C3560" s="3" t="s">
        <v>9</v>
      </c>
      <c r="D3560" s="3" t="s">
        <v>9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/>
      <c r="P3560" s="3"/>
      <c r="Q3560" s="3"/>
    </row>
    <row r="3561" spans="1:17" ht="15" x14ac:dyDescent="0.25">
      <c r="A3561" s="3">
        <f>3554</f>
        <v>3554</v>
      </c>
      <c r="B3561" s="3" t="s">
        <v>3563</v>
      </c>
      <c r="C3561" s="3" t="s">
        <v>9</v>
      </c>
      <c r="D3561" s="3" t="s">
        <v>9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/>
      <c r="P3561" s="3"/>
      <c r="Q3561" s="3"/>
    </row>
    <row r="3562" spans="1:17" ht="15" x14ac:dyDescent="0.25">
      <c r="A3562" s="3">
        <f>3555</f>
        <v>3555</v>
      </c>
      <c r="B3562" s="3" t="s">
        <v>3564</v>
      </c>
      <c r="C3562" s="3" t="s">
        <v>9</v>
      </c>
      <c r="D3562" s="3" t="s">
        <v>9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/>
      <c r="P3562" s="3"/>
      <c r="Q3562" s="3"/>
    </row>
    <row r="3563" spans="1:17" ht="15" x14ac:dyDescent="0.25">
      <c r="A3563" s="3">
        <f>3556</f>
        <v>3556</v>
      </c>
      <c r="B3563" s="3" t="s">
        <v>3565</v>
      </c>
      <c r="C3563" s="3" t="s">
        <v>9</v>
      </c>
      <c r="D3563" s="3" t="s">
        <v>9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/>
      <c r="P3563" s="3"/>
      <c r="Q3563" s="3"/>
    </row>
    <row r="3564" spans="1:17" ht="15" x14ac:dyDescent="0.25">
      <c r="A3564" s="3">
        <f>3557</f>
        <v>3557</v>
      </c>
      <c r="B3564" s="3" t="s">
        <v>3566</v>
      </c>
      <c r="C3564" s="3" t="s">
        <v>9</v>
      </c>
      <c r="D3564" s="3" t="s">
        <v>9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/>
      <c r="P3564" s="3"/>
      <c r="Q3564" s="3"/>
    </row>
    <row r="3565" spans="1:17" ht="15" x14ac:dyDescent="0.25">
      <c r="A3565" s="3">
        <f>3558</f>
        <v>3558</v>
      </c>
      <c r="B3565" s="3" t="s">
        <v>3567</v>
      </c>
      <c r="C3565" s="3" t="s">
        <v>9</v>
      </c>
      <c r="D3565" s="3" t="s">
        <v>9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/>
      <c r="P3565" s="3"/>
      <c r="Q3565" s="3"/>
    </row>
    <row r="3566" spans="1:17" ht="15" x14ac:dyDescent="0.25">
      <c r="A3566" s="3">
        <f>3559</f>
        <v>3559</v>
      </c>
      <c r="B3566" s="3" t="s">
        <v>3568</v>
      </c>
      <c r="C3566" s="3" t="s">
        <v>9</v>
      </c>
      <c r="D3566" s="3" t="s">
        <v>9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/>
      <c r="P3566" s="3"/>
      <c r="Q3566" s="3"/>
    </row>
    <row r="3567" spans="1:17" ht="15" x14ac:dyDescent="0.25">
      <c r="A3567" s="3">
        <f>3560</f>
        <v>3560</v>
      </c>
      <c r="B3567" s="3" t="s">
        <v>3569</v>
      </c>
      <c r="C3567" s="3" t="s">
        <v>9</v>
      </c>
      <c r="D3567" s="3" t="s">
        <v>9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/>
      <c r="P3567" s="3"/>
      <c r="Q3567" s="3"/>
    </row>
    <row r="3568" spans="1:17" ht="15" x14ac:dyDescent="0.25">
      <c r="A3568" s="3">
        <f>3561</f>
        <v>3561</v>
      </c>
      <c r="B3568" s="3" t="s">
        <v>3570</v>
      </c>
      <c r="C3568" s="3" t="s">
        <v>9</v>
      </c>
      <c r="D3568" s="3" t="s">
        <v>9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/>
      <c r="P3568" s="3"/>
      <c r="Q3568" s="3"/>
    </row>
    <row r="3569" spans="1:17" ht="15" x14ac:dyDescent="0.25">
      <c r="A3569" s="3">
        <f>3562</f>
        <v>3562</v>
      </c>
      <c r="B3569" s="3" t="s">
        <v>3571</v>
      </c>
      <c r="C3569" s="3" t="s">
        <v>9</v>
      </c>
      <c r="D3569" s="3" t="s">
        <v>9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/>
      <c r="P3569" s="3"/>
      <c r="Q3569" s="3"/>
    </row>
    <row r="3570" spans="1:17" ht="15" x14ac:dyDescent="0.25">
      <c r="A3570" s="3">
        <f>3563</f>
        <v>3563</v>
      </c>
      <c r="B3570" s="3" t="s">
        <v>3572</v>
      </c>
      <c r="C3570" s="3" t="s">
        <v>9</v>
      </c>
      <c r="D3570" s="3" t="s">
        <v>9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/>
      <c r="P3570" s="3"/>
      <c r="Q3570" s="3"/>
    </row>
    <row r="3571" spans="1:17" ht="15" x14ac:dyDescent="0.25">
      <c r="A3571" s="3">
        <f>3564</f>
        <v>3564</v>
      </c>
      <c r="B3571" s="3" t="s">
        <v>3573</v>
      </c>
      <c r="C3571" s="3" t="s">
        <v>9</v>
      </c>
      <c r="D3571" s="3" t="s">
        <v>9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/>
      <c r="P3571" s="3"/>
      <c r="Q3571" s="3"/>
    </row>
    <row r="3572" spans="1:17" ht="15" x14ac:dyDescent="0.25">
      <c r="A3572" s="3">
        <f>3565</f>
        <v>3565</v>
      </c>
      <c r="B3572" s="3" t="s">
        <v>3574</v>
      </c>
      <c r="C3572" s="3" t="s">
        <v>9</v>
      </c>
      <c r="D3572" s="3" t="s">
        <v>9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/>
      <c r="P3572" s="3"/>
      <c r="Q3572" s="3"/>
    </row>
    <row r="3573" spans="1:17" ht="15" x14ac:dyDescent="0.25">
      <c r="A3573" s="3">
        <f>3566</f>
        <v>3566</v>
      </c>
      <c r="B3573" s="3" t="s">
        <v>3575</v>
      </c>
      <c r="C3573" s="3" t="s">
        <v>9</v>
      </c>
      <c r="D3573" s="3" t="s">
        <v>9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/>
      <c r="P3573" s="3"/>
      <c r="Q3573" s="3"/>
    </row>
    <row r="3574" spans="1:17" ht="15" x14ac:dyDescent="0.25">
      <c r="A3574" s="3">
        <f>3567</f>
        <v>3567</v>
      </c>
      <c r="B3574" s="3" t="s">
        <v>3576</v>
      </c>
      <c r="C3574" s="3" t="s">
        <v>9</v>
      </c>
      <c r="D3574" s="3" t="s">
        <v>9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/>
      <c r="P3574" s="3"/>
      <c r="Q3574" s="3"/>
    </row>
    <row r="3575" spans="1:17" ht="15" x14ac:dyDescent="0.25">
      <c r="A3575" s="3">
        <f>3568</f>
        <v>3568</v>
      </c>
      <c r="B3575" s="3" t="s">
        <v>3577</v>
      </c>
      <c r="C3575" s="3" t="s">
        <v>9</v>
      </c>
      <c r="D3575" s="3" t="s">
        <v>9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/>
      <c r="P3575" s="3"/>
      <c r="Q3575" s="3"/>
    </row>
    <row r="3576" spans="1:17" ht="15" x14ac:dyDescent="0.25">
      <c r="A3576" s="3">
        <f>3569</f>
        <v>3569</v>
      </c>
      <c r="B3576" s="3" t="s">
        <v>3578</v>
      </c>
      <c r="C3576" s="3" t="s">
        <v>9</v>
      </c>
      <c r="D3576" s="3" t="s">
        <v>9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/>
      <c r="P3576" s="3"/>
      <c r="Q3576" s="3"/>
    </row>
    <row r="3577" spans="1:17" ht="15" x14ac:dyDescent="0.25">
      <c r="A3577" s="3">
        <f>3570</f>
        <v>3570</v>
      </c>
      <c r="B3577" s="3" t="s">
        <v>3579</v>
      </c>
      <c r="C3577" s="3" t="s">
        <v>9</v>
      </c>
      <c r="D3577" s="3" t="s">
        <v>9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/>
      <c r="P3577" s="3"/>
      <c r="Q3577" s="3"/>
    </row>
    <row r="3578" spans="1:17" ht="15" x14ac:dyDescent="0.25">
      <c r="A3578" s="3">
        <f>3571</f>
        <v>3571</v>
      </c>
      <c r="B3578" s="3" t="s">
        <v>3580</v>
      </c>
      <c r="C3578" s="3" t="s">
        <v>9</v>
      </c>
      <c r="D3578" s="3" t="s">
        <v>9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/>
      <c r="P3578" s="3"/>
      <c r="Q3578" s="3"/>
    </row>
    <row r="3579" spans="1:17" ht="15" x14ac:dyDescent="0.25">
      <c r="A3579" s="3">
        <f>3572</f>
        <v>3572</v>
      </c>
      <c r="B3579" s="3" t="s">
        <v>3581</v>
      </c>
      <c r="C3579" s="3" t="s">
        <v>9</v>
      </c>
      <c r="D3579" s="3" t="s">
        <v>9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/>
      <c r="P3579" s="3"/>
      <c r="Q3579" s="3"/>
    </row>
    <row r="3580" spans="1:17" ht="15" x14ac:dyDescent="0.25">
      <c r="A3580" s="3">
        <f>3573</f>
        <v>3573</v>
      </c>
      <c r="B3580" s="3" t="s">
        <v>3582</v>
      </c>
      <c r="C3580" s="3" t="s">
        <v>9</v>
      </c>
      <c r="D3580" s="3" t="s">
        <v>9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/>
      <c r="P3580" s="3"/>
      <c r="Q3580" s="3"/>
    </row>
    <row r="3581" spans="1:17" ht="15" x14ac:dyDescent="0.25">
      <c r="A3581" s="3">
        <f>3574</f>
        <v>3574</v>
      </c>
      <c r="B3581" s="3" t="s">
        <v>3583</v>
      </c>
      <c r="C3581" s="3" t="s">
        <v>9</v>
      </c>
      <c r="D3581" s="3" t="s">
        <v>9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/>
      <c r="P3581" s="3"/>
      <c r="Q3581" s="3"/>
    </row>
    <row r="3582" spans="1:17" ht="15" x14ac:dyDescent="0.25">
      <c r="A3582" s="3">
        <f>3575</f>
        <v>3575</v>
      </c>
      <c r="B3582" s="3" t="s">
        <v>3584</v>
      </c>
      <c r="C3582" s="3" t="s">
        <v>9</v>
      </c>
      <c r="D3582" s="3" t="s">
        <v>9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/>
      <c r="P3582" s="3"/>
      <c r="Q3582" s="3"/>
    </row>
    <row r="3583" spans="1:17" ht="15" x14ac:dyDescent="0.25">
      <c r="A3583" s="3">
        <f>3576</f>
        <v>3576</v>
      </c>
      <c r="B3583" s="3" t="s">
        <v>3585</v>
      </c>
      <c r="C3583" s="3" t="s">
        <v>9</v>
      </c>
      <c r="D3583" s="3" t="s">
        <v>9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/>
      <c r="P3583" s="3"/>
      <c r="Q3583" s="3"/>
    </row>
    <row r="3584" spans="1:17" ht="15" x14ac:dyDescent="0.25">
      <c r="A3584" s="3">
        <f>3577</f>
        <v>3577</v>
      </c>
      <c r="B3584" s="3" t="s">
        <v>3586</v>
      </c>
      <c r="C3584" s="3" t="s">
        <v>9</v>
      </c>
      <c r="D3584" s="3" t="s">
        <v>9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/>
      <c r="P3584" s="3"/>
      <c r="Q3584" s="3"/>
    </row>
    <row r="3585" spans="1:17" ht="15" x14ac:dyDescent="0.25">
      <c r="A3585" s="3">
        <f>3578</f>
        <v>3578</v>
      </c>
      <c r="B3585" s="3" t="s">
        <v>3587</v>
      </c>
      <c r="C3585" s="3" t="s">
        <v>9</v>
      </c>
      <c r="D3585" s="3" t="s">
        <v>9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/>
      <c r="P3585" s="3"/>
      <c r="Q3585" s="3"/>
    </row>
    <row r="3586" spans="1:17" ht="15" x14ac:dyDescent="0.25">
      <c r="A3586" s="3">
        <f>3579</f>
        <v>3579</v>
      </c>
      <c r="B3586" s="3" t="s">
        <v>3588</v>
      </c>
      <c r="C3586" s="3" t="s">
        <v>9</v>
      </c>
      <c r="D3586" s="3" t="s">
        <v>9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/>
      <c r="P3586" s="3"/>
      <c r="Q3586" s="3"/>
    </row>
    <row r="3587" spans="1:17" ht="15" x14ac:dyDescent="0.25">
      <c r="A3587" s="3">
        <f>3580</f>
        <v>3580</v>
      </c>
      <c r="B3587" s="3" t="s">
        <v>3589</v>
      </c>
      <c r="C3587" s="3" t="s">
        <v>9</v>
      </c>
      <c r="D3587" s="3" t="s">
        <v>9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/>
      <c r="P3587" s="3"/>
      <c r="Q3587" s="3"/>
    </row>
    <row r="3588" spans="1:17" ht="15" x14ac:dyDescent="0.25">
      <c r="A3588" s="3">
        <f>3581</f>
        <v>3581</v>
      </c>
      <c r="B3588" s="3" t="s">
        <v>3590</v>
      </c>
      <c r="C3588" s="3" t="s">
        <v>9</v>
      </c>
      <c r="D3588" s="3" t="s">
        <v>9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/>
      <c r="P3588" s="3"/>
      <c r="Q3588" s="3"/>
    </row>
    <row r="3589" spans="1:17" ht="15" x14ac:dyDescent="0.25">
      <c r="A3589" s="3">
        <f>3582</f>
        <v>3582</v>
      </c>
      <c r="B3589" s="3" t="s">
        <v>3591</v>
      </c>
      <c r="C3589" s="3" t="s">
        <v>9</v>
      </c>
      <c r="D3589" s="3" t="s">
        <v>9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/>
      <c r="P3589" s="3"/>
      <c r="Q3589" s="3"/>
    </row>
    <row r="3590" spans="1:17" ht="15" x14ac:dyDescent="0.25">
      <c r="A3590" s="3">
        <f>3583</f>
        <v>3583</v>
      </c>
      <c r="B3590" s="3" t="s">
        <v>3592</v>
      </c>
      <c r="C3590" s="3" t="s">
        <v>9</v>
      </c>
      <c r="D3590" s="3" t="s">
        <v>9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/>
      <c r="P3590" s="3"/>
      <c r="Q3590" s="3"/>
    </row>
    <row r="3591" spans="1:17" ht="15" x14ac:dyDescent="0.25">
      <c r="A3591" s="3">
        <f>3584</f>
        <v>3584</v>
      </c>
      <c r="B3591" s="3" t="s">
        <v>3593</v>
      </c>
      <c r="C3591" s="3" t="s">
        <v>9</v>
      </c>
      <c r="D3591" s="3" t="s">
        <v>9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/>
      <c r="P3591" s="3"/>
      <c r="Q3591" s="3"/>
    </row>
    <row r="3592" spans="1:17" ht="15" x14ac:dyDescent="0.25">
      <c r="A3592" s="3">
        <f>3585</f>
        <v>3585</v>
      </c>
      <c r="B3592" s="3" t="s">
        <v>3594</v>
      </c>
      <c r="C3592" s="3" t="s">
        <v>9</v>
      </c>
      <c r="D3592" s="3" t="s">
        <v>9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/>
      <c r="P3592" s="3"/>
      <c r="Q3592" s="3"/>
    </row>
    <row r="3593" spans="1:17" ht="15" x14ac:dyDescent="0.25">
      <c r="A3593" s="3">
        <f>3586</f>
        <v>3586</v>
      </c>
      <c r="B3593" s="3" t="s">
        <v>3595</v>
      </c>
      <c r="C3593" s="3" t="s">
        <v>9</v>
      </c>
      <c r="D3593" s="3" t="s">
        <v>9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/>
      <c r="P3593" s="3"/>
      <c r="Q3593" s="3"/>
    </row>
    <row r="3594" spans="1:17" ht="15" x14ac:dyDescent="0.25">
      <c r="A3594" s="3">
        <f>3587</f>
        <v>3587</v>
      </c>
      <c r="B3594" s="3" t="s">
        <v>3596</v>
      </c>
      <c r="C3594" s="3" t="s">
        <v>9</v>
      </c>
      <c r="D3594" s="3" t="s">
        <v>9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/>
      <c r="P3594" s="3"/>
      <c r="Q3594" s="3"/>
    </row>
    <row r="3595" spans="1:17" ht="15" x14ac:dyDescent="0.25">
      <c r="A3595" s="3">
        <f>3588</f>
        <v>3588</v>
      </c>
      <c r="B3595" s="3" t="s">
        <v>3597</v>
      </c>
      <c r="C3595" s="3" t="s">
        <v>9</v>
      </c>
      <c r="D3595" s="3" t="s">
        <v>9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/>
      <c r="P3595" s="3"/>
      <c r="Q3595" s="3"/>
    </row>
    <row r="3596" spans="1:17" ht="15" x14ac:dyDescent="0.25">
      <c r="A3596" s="3">
        <f>3589</f>
        <v>3589</v>
      </c>
      <c r="B3596" s="3" t="s">
        <v>3598</v>
      </c>
      <c r="C3596" s="3" t="s">
        <v>9</v>
      </c>
      <c r="D3596" s="3" t="s">
        <v>9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/>
      <c r="P3596" s="3"/>
      <c r="Q3596" s="3"/>
    </row>
    <row r="3597" spans="1:17" ht="15" x14ac:dyDescent="0.25">
      <c r="A3597" s="3">
        <f>3590</f>
        <v>3590</v>
      </c>
      <c r="B3597" s="3" t="s">
        <v>3599</v>
      </c>
      <c r="C3597" s="3" t="s">
        <v>9</v>
      </c>
      <c r="D3597" s="3" t="s">
        <v>9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/>
      <c r="P3597" s="3"/>
      <c r="Q3597" s="3"/>
    </row>
    <row r="3598" spans="1:17" ht="15" x14ac:dyDescent="0.25">
      <c r="A3598" s="3">
        <f>3591</f>
        <v>3591</v>
      </c>
      <c r="B3598" s="3" t="s">
        <v>3600</v>
      </c>
      <c r="C3598" s="3" t="s">
        <v>9</v>
      </c>
      <c r="D3598" s="3" t="s">
        <v>9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/>
      <c r="P3598" s="3"/>
      <c r="Q3598" s="3"/>
    </row>
    <row r="3599" spans="1:17" ht="15" x14ac:dyDescent="0.25">
      <c r="A3599" s="3">
        <f>3592</f>
        <v>3592</v>
      </c>
      <c r="B3599" s="3" t="s">
        <v>3601</v>
      </c>
      <c r="C3599" s="3" t="s">
        <v>9</v>
      </c>
      <c r="D3599" s="3" t="s">
        <v>9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/>
      <c r="P3599" s="3"/>
      <c r="Q3599" s="3"/>
    </row>
    <row r="3600" spans="1:17" ht="15" x14ac:dyDescent="0.25">
      <c r="A3600" s="3">
        <f>3593</f>
        <v>3593</v>
      </c>
      <c r="B3600" s="3" t="s">
        <v>3602</v>
      </c>
      <c r="C3600" s="3" t="s">
        <v>9</v>
      </c>
      <c r="D3600" s="3" t="s">
        <v>9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/>
      <c r="P3600" s="3"/>
      <c r="Q3600" s="3"/>
    </row>
    <row r="3601" spans="1:17" ht="15" x14ac:dyDescent="0.25">
      <c r="A3601" s="3">
        <f>3594</f>
        <v>3594</v>
      </c>
      <c r="B3601" s="3" t="s">
        <v>3603</v>
      </c>
      <c r="C3601" s="3" t="s">
        <v>9</v>
      </c>
      <c r="D3601" s="3" t="s">
        <v>9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/>
      <c r="P3601" s="3"/>
      <c r="Q3601" s="3"/>
    </row>
    <row r="3602" spans="1:17" ht="15" x14ac:dyDescent="0.25">
      <c r="A3602" s="3">
        <f>3595</f>
        <v>3595</v>
      </c>
      <c r="B3602" s="3" t="s">
        <v>3604</v>
      </c>
      <c r="C3602" s="3" t="s">
        <v>9</v>
      </c>
      <c r="D3602" s="3" t="s">
        <v>9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/>
      <c r="P3602" s="3"/>
      <c r="Q3602" s="3"/>
    </row>
    <row r="3603" spans="1:17" ht="15" x14ac:dyDescent="0.25">
      <c r="A3603" s="3">
        <f>3596</f>
        <v>3596</v>
      </c>
      <c r="B3603" s="3" t="s">
        <v>3605</v>
      </c>
      <c r="C3603" s="3" t="s">
        <v>9</v>
      </c>
      <c r="D3603" s="3" t="s">
        <v>9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/>
      <c r="P3603" s="3"/>
      <c r="Q3603" s="3"/>
    </row>
    <row r="3604" spans="1:17" ht="15" x14ac:dyDescent="0.25">
      <c r="A3604" s="3">
        <f>3597</f>
        <v>3597</v>
      </c>
      <c r="B3604" s="3" t="s">
        <v>3606</v>
      </c>
      <c r="C3604" s="3" t="s">
        <v>9</v>
      </c>
      <c r="D3604" s="3" t="s">
        <v>9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/>
      <c r="P3604" s="3"/>
      <c r="Q3604" s="3"/>
    </row>
    <row r="3605" spans="1:17" ht="15" x14ac:dyDescent="0.25">
      <c r="A3605" s="3">
        <f>3598</f>
        <v>3598</v>
      </c>
      <c r="B3605" s="3" t="s">
        <v>3607</v>
      </c>
      <c r="C3605" s="3" t="s">
        <v>9</v>
      </c>
      <c r="D3605" s="3" t="s">
        <v>9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/>
      <c r="P3605" s="3"/>
      <c r="Q3605" s="3"/>
    </row>
    <row r="3606" spans="1:17" ht="15" x14ac:dyDescent="0.25">
      <c r="A3606" s="3">
        <f>3599</f>
        <v>3599</v>
      </c>
      <c r="B3606" s="3" t="s">
        <v>3608</v>
      </c>
      <c r="C3606" s="3" t="s">
        <v>9</v>
      </c>
      <c r="D3606" s="3" t="s">
        <v>9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/>
      <c r="P3606" s="3"/>
      <c r="Q3606" s="3"/>
    </row>
    <row r="3607" spans="1:17" ht="15" x14ac:dyDescent="0.25">
      <c r="A3607" s="3">
        <f>3600</f>
        <v>3600</v>
      </c>
      <c r="B3607" s="3" t="s">
        <v>3609</v>
      </c>
      <c r="C3607" s="3" t="s">
        <v>9</v>
      </c>
      <c r="D3607" s="3" t="s">
        <v>9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/>
      <c r="P3607" s="3"/>
      <c r="Q3607" s="3"/>
    </row>
    <row r="3608" spans="1:17" ht="15" x14ac:dyDescent="0.25">
      <c r="A3608" s="3">
        <f>3601</f>
        <v>3601</v>
      </c>
      <c r="B3608" s="3" t="s">
        <v>3610</v>
      </c>
      <c r="C3608" s="3" t="s">
        <v>9</v>
      </c>
      <c r="D3608" s="3" t="s">
        <v>9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/>
      <c r="P3608" s="3"/>
      <c r="Q3608" s="3"/>
    </row>
    <row r="3609" spans="1:17" ht="15" x14ac:dyDescent="0.25">
      <c r="A3609" s="3">
        <f>3602</f>
        <v>3602</v>
      </c>
      <c r="B3609" s="3" t="s">
        <v>3611</v>
      </c>
      <c r="C3609" s="3" t="s">
        <v>9</v>
      </c>
      <c r="D3609" s="3" t="s">
        <v>9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/>
      <c r="P3609" s="3"/>
      <c r="Q3609" s="3"/>
    </row>
    <row r="3610" spans="1:17" ht="15" x14ac:dyDescent="0.25">
      <c r="A3610" s="3">
        <f>3603</f>
        <v>3603</v>
      </c>
      <c r="B3610" s="3" t="s">
        <v>3612</v>
      </c>
      <c r="C3610" s="3" t="s">
        <v>10</v>
      </c>
      <c r="D3610" s="3" t="s">
        <v>9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/>
      <c r="P3610" s="3"/>
      <c r="Q3610" s="3"/>
    </row>
    <row r="3611" spans="1:17" ht="15" x14ac:dyDescent="0.25">
      <c r="A3611" s="3">
        <f>3604</f>
        <v>3604</v>
      </c>
      <c r="B3611" s="3" t="s">
        <v>3613</v>
      </c>
      <c r="C3611" s="3" t="s">
        <v>10</v>
      </c>
      <c r="D3611" s="3" t="s">
        <v>9</v>
      </c>
      <c r="E3611" s="3">
        <v>0</v>
      </c>
      <c r="F3611" s="3">
        <v>0</v>
      </c>
      <c r="G3611" s="3">
        <v>1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/>
      <c r="P3611" s="3"/>
      <c r="Q3611" s="3"/>
    </row>
    <row r="3612" spans="1:17" ht="15" x14ac:dyDescent="0.25">
      <c r="A3612" s="3">
        <f>3605</f>
        <v>3605</v>
      </c>
      <c r="B3612" s="3" t="s">
        <v>3614</v>
      </c>
      <c r="C3612" s="3" t="s">
        <v>10</v>
      </c>
      <c r="D3612" s="3" t="s">
        <v>9</v>
      </c>
      <c r="E3612" s="3">
        <v>0</v>
      </c>
      <c r="F3612" s="3">
        <v>0</v>
      </c>
      <c r="G3612" s="3">
        <v>1</v>
      </c>
      <c r="H3612" s="3">
        <v>0</v>
      </c>
      <c r="I3612" s="3">
        <v>0</v>
      </c>
      <c r="J3612" s="3">
        <v>1</v>
      </c>
      <c r="K3612" s="3">
        <v>0</v>
      </c>
      <c r="L3612" s="3">
        <v>0</v>
      </c>
      <c r="M3612" s="3">
        <v>0</v>
      </c>
      <c r="N3612" s="3">
        <v>0</v>
      </c>
      <c r="O3612" s="3"/>
      <c r="P3612" s="3"/>
      <c r="Q3612" s="3"/>
    </row>
    <row r="3613" spans="1:17" ht="15" x14ac:dyDescent="0.25">
      <c r="A3613" s="3">
        <f>3606</f>
        <v>3606</v>
      </c>
      <c r="B3613" s="3" t="s">
        <v>3615</v>
      </c>
      <c r="C3613" s="3" t="s">
        <v>10</v>
      </c>
      <c r="D3613" s="3" t="s">
        <v>9</v>
      </c>
      <c r="E3613" s="3">
        <v>0</v>
      </c>
      <c r="F3613" s="3">
        <v>0</v>
      </c>
      <c r="G3613" s="3">
        <v>1</v>
      </c>
      <c r="H3613" s="3">
        <v>0</v>
      </c>
      <c r="I3613" s="3">
        <v>0</v>
      </c>
      <c r="J3613" s="3">
        <v>1</v>
      </c>
      <c r="K3613" s="3">
        <v>0</v>
      </c>
      <c r="L3613" s="3">
        <v>0</v>
      </c>
      <c r="M3613" s="3">
        <v>0</v>
      </c>
      <c r="N3613" s="3">
        <v>0</v>
      </c>
      <c r="O3613" s="3"/>
      <c r="P3613" s="3"/>
      <c r="Q3613" s="3"/>
    </row>
    <row r="3614" spans="1:17" ht="15" x14ac:dyDescent="0.25">
      <c r="A3614" s="3">
        <f>3607</f>
        <v>3607</v>
      </c>
      <c r="B3614" s="3" t="s">
        <v>3616</v>
      </c>
      <c r="C3614" s="3" t="s">
        <v>10</v>
      </c>
      <c r="D3614" s="3" t="s">
        <v>9</v>
      </c>
      <c r="E3614" s="3">
        <v>0</v>
      </c>
      <c r="F3614" s="3">
        <v>0</v>
      </c>
      <c r="G3614" s="3">
        <v>1</v>
      </c>
      <c r="H3614" s="3">
        <v>0</v>
      </c>
      <c r="I3614" s="3">
        <v>0</v>
      </c>
      <c r="J3614" s="3">
        <v>1</v>
      </c>
      <c r="K3614" s="3">
        <v>0</v>
      </c>
      <c r="L3614" s="3">
        <v>0</v>
      </c>
      <c r="M3614" s="3">
        <v>0</v>
      </c>
      <c r="N3614" s="3">
        <v>0</v>
      </c>
      <c r="O3614" s="3"/>
      <c r="P3614" s="3"/>
      <c r="Q3614" s="3"/>
    </row>
    <row r="3615" spans="1:17" ht="15" x14ac:dyDescent="0.25">
      <c r="A3615" s="3">
        <f>3608</f>
        <v>3608</v>
      </c>
      <c r="B3615" s="3" t="s">
        <v>3617</v>
      </c>
      <c r="C3615" s="3" t="s">
        <v>10</v>
      </c>
      <c r="D3615" s="3" t="s">
        <v>9</v>
      </c>
      <c r="E3615" s="3">
        <v>0</v>
      </c>
      <c r="F3615" s="3">
        <v>0</v>
      </c>
      <c r="G3615" s="3">
        <v>1</v>
      </c>
      <c r="H3615" s="3">
        <v>0</v>
      </c>
      <c r="I3615" s="3">
        <v>0</v>
      </c>
      <c r="J3615" s="3">
        <v>1</v>
      </c>
      <c r="K3615" s="3">
        <v>0</v>
      </c>
      <c r="L3615" s="3">
        <v>0</v>
      </c>
      <c r="M3615" s="3">
        <v>0</v>
      </c>
      <c r="N3615" s="3">
        <v>0</v>
      </c>
      <c r="O3615" s="3"/>
      <c r="P3615" s="3"/>
      <c r="Q3615" s="3"/>
    </row>
    <row r="3616" spans="1:17" ht="15" x14ac:dyDescent="0.25">
      <c r="A3616" s="3">
        <f>3609</f>
        <v>3609</v>
      </c>
      <c r="B3616" s="3" t="s">
        <v>3618</v>
      </c>
      <c r="C3616" s="3" t="s">
        <v>10</v>
      </c>
      <c r="D3616" s="3" t="s">
        <v>9</v>
      </c>
      <c r="E3616" s="3">
        <v>0</v>
      </c>
      <c r="F3616" s="3">
        <v>0</v>
      </c>
      <c r="G3616" s="3">
        <v>1</v>
      </c>
      <c r="H3616" s="3">
        <v>0</v>
      </c>
      <c r="I3616" s="3">
        <v>0</v>
      </c>
      <c r="J3616" s="3">
        <v>1</v>
      </c>
      <c r="K3616" s="3">
        <v>0</v>
      </c>
      <c r="L3616" s="3">
        <v>0</v>
      </c>
      <c r="M3616" s="3">
        <v>0</v>
      </c>
      <c r="N3616" s="3">
        <v>0</v>
      </c>
      <c r="O3616" s="3"/>
      <c r="P3616" s="3"/>
      <c r="Q3616" s="3"/>
    </row>
    <row r="3617" spans="1:17" ht="15" x14ac:dyDescent="0.25">
      <c r="A3617" s="3">
        <f>3610</f>
        <v>3610</v>
      </c>
      <c r="B3617" s="3" t="s">
        <v>3619</v>
      </c>
      <c r="C3617" s="3" t="s">
        <v>10</v>
      </c>
      <c r="D3617" s="3" t="s">
        <v>9</v>
      </c>
      <c r="E3617" s="3">
        <v>0</v>
      </c>
      <c r="F3617" s="3">
        <v>0</v>
      </c>
      <c r="G3617" s="3">
        <v>1</v>
      </c>
      <c r="H3617" s="3">
        <v>0</v>
      </c>
      <c r="I3617" s="3">
        <v>0</v>
      </c>
      <c r="J3617" s="3">
        <v>1</v>
      </c>
      <c r="K3617" s="3">
        <v>0</v>
      </c>
      <c r="L3617" s="3">
        <v>0</v>
      </c>
      <c r="M3617" s="3">
        <v>0</v>
      </c>
      <c r="N3617" s="3">
        <v>0</v>
      </c>
      <c r="O3617" s="3"/>
      <c r="P3617" s="3"/>
      <c r="Q3617" s="3"/>
    </row>
    <row r="3618" spans="1:17" ht="15" x14ac:dyDescent="0.25">
      <c r="A3618" s="3">
        <f>3611</f>
        <v>3611</v>
      </c>
      <c r="B3618" s="3" t="s">
        <v>3620</v>
      </c>
      <c r="C3618" s="3" t="s">
        <v>10</v>
      </c>
      <c r="D3618" s="3" t="s">
        <v>9</v>
      </c>
      <c r="E3618" s="3">
        <v>0</v>
      </c>
      <c r="F3618" s="3">
        <v>0</v>
      </c>
      <c r="G3618" s="3">
        <v>1</v>
      </c>
      <c r="H3618" s="3">
        <v>0</v>
      </c>
      <c r="I3618" s="3">
        <v>0</v>
      </c>
      <c r="J3618" s="3">
        <v>1</v>
      </c>
      <c r="K3618" s="3">
        <v>0</v>
      </c>
      <c r="L3618" s="3">
        <v>0</v>
      </c>
      <c r="M3618" s="3">
        <v>0</v>
      </c>
      <c r="N3618" s="3">
        <v>0</v>
      </c>
      <c r="O3618" s="3"/>
      <c r="P3618" s="3"/>
      <c r="Q3618" s="3"/>
    </row>
    <row r="3619" spans="1:17" ht="15" x14ac:dyDescent="0.25">
      <c r="A3619" s="3">
        <f>3612</f>
        <v>3612</v>
      </c>
      <c r="B3619" s="3" t="s">
        <v>3621</v>
      </c>
      <c r="C3619" s="3" t="s">
        <v>10</v>
      </c>
      <c r="D3619" s="3" t="s">
        <v>9</v>
      </c>
      <c r="E3619" s="3">
        <v>0</v>
      </c>
      <c r="F3619" s="3">
        <v>0</v>
      </c>
      <c r="G3619" s="3">
        <v>1</v>
      </c>
      <c r="H3619" s="3">
        <v>0</v>
      </c>
      <c r="I3619" s="3">
        <v>0</v>
      </c>
      <c r="J3619" s="3">
        <v>1</v>
      </c>
      <c r="K3619" s="3">
        <v>0</v>
      </c>
      <c r="L3619" s="3">
        <v>0</v>
      </c>
      <c r="M3619" s="3">
        <v>0</v>
      </c>
      <c r="N3619" s="3">
        <v>0</v>
      </c>
      <c r="O3619" s="3"/>
      <c r="P3619" s="3"/>
      <c r="Q3619" s="3"/>
    </row>
    <row r="3620" spans="1:17" ht="15" x14ac:dyDescent="0.25">
      <c r="A3620" s="3">
        <f>3613</f>
        <v>3613</v>
      </c>
      <c r="B3620" s="3" t="s">
        <v>3622</v>
      </c>
      <c r="C3620" s="3" t="s">
        <v>10</v>
      </c>
      <c r="D3620" s="3" t="s">
        <v>9</v>
      </c>
      <c r="E3620" s="3">
        <v>0</v>
      </c>
      <c r="F3620" s="3">
        <v>0</v>
      </c>
      <c r="G3620" s="3">
        <v>1</v>
      </c>
      <c r="H3620" s="3">
        <v>0</v>
      </c>
      <c r="I3620" s="3">
        <v>0</v>
      </c>
      <c r="J3620" s="3">
        <v>1</v>
      </c>
      <c r="K3620" s="3">
        <v>0</v>
      </c>
      <c r="L3620" s="3">
        <v>0</v>
      </c>
      <c r="M3620" s="3">
        <v>0</v>
      </c>
      <c r="N3620" s="3">
        <v>0</v>
      </c>
      <c r="O3620" s="3"/>
      <c r="P3620" s="3"/>
      <c r="Q3620" s="3"/>
    </row>
    <row r="3621" spans="1:17" ht="15" x14ac:dyDescent="0.25">
      <c r="A3621" s="3">
        <f>3614</f>
        <v>3614</v>
      </c>
      <c r="B3621" s="3" t="s">
        <v>3623</v>
      </c>
      <c r="C3621" s="3" t="s">
        <v>10</v>
      </c>
      <c r="D3621" s="3" t="s">
        <v>9</v>
      </c>
      <c r="E3621" s="3">
        <v>0</v>
      </c>
      <c r="F3621" s="3">
        <v>0</v>
      </c>
      <c r="G3621" s="3">
        <v>1</v>
      </c>
      <c r="H3621" s="3">
        <v>0</v>
      </c>
      <c r="I3621" s="3">
        <v>0</v>
      </c>
      <c r="J3621" s="3">
        <v>1</v>
      </c>
      <c r="K3621" s="3">
        <v>0</v>
      </c>
      <c r="L3621" s="3">
        <v>0</v>
      </c>
      <c r="M3621" s="3">
        <v>0</v>
      </c>
      <c r="N3621" s="3">
        <v>0</v>
      </c>
      <c r="O3621" s="3"/>
      <c r="P3621" s="3"/>
      <c r="Q3621" s="3"/>
    </row>
    <row r="3622" spans="1:17" ht="15" x14ac:dyDescent="0.25">
      <c r="A3622" s="3">
        <f>3615</f>
        <v>3615</v>
      </c>
      <c r="B3622" s="3" t="s">
        <v>3624</v>
      </c>
      <c r="C3622" s="3" t="s">
        <v>10</v>
      </c>
      <c r="D3622" s="3" t="s">
        <v>9</v>
      </c>
      <c r="E3622" s="3">
        <v>0</v>
      </c>
      <c r="F3622" s="3">
        <v>0</v>
      </c>
      <c r="G3622" s="3">
        <v>1</v>
      </c>
      <c r="H3622" s="3">
        <v>0</v>
      </c>
      <c r="I3622" s="3">
        <v>0</v>
      </c>
      <c r="J3622" s="3">
        <v>1</v>
      </c>
      <c r="K3622" s="3">
        <v>0</v>
      </c>
      <c r="L3622" s="3">
        <v>0</v>
      </c>
      <c r="M3622" s="3">
        <v>0</v>
      </c>
      <c r="N3622" s="3">
        <v>0</v>
      </c>
      <c r="O3622" s="3"/>
      <c r="P3622" s="3"/>
      <c r="Q3622" s="3"/>
    </row>
    <row r="3623" spans="1:17" ht="15" x14ac:dyDescent="0.25">
      <c r="A3623" s="3">
        <f>3616</f>
        <v>3616</v>
      </c>
      <c r="B3623" s="3" t="s">
        <v>3625</v>
      </c>
      <c r="C3623" s="3" t="s">
        <v>10</v>
      </c>
      <c r="D3623" s="3" t="s">
        <v>9</v>
      </c>
      <c r="E3623" s="3">
        <v>0</v>
      </c>
      <c r="F3623" s="3">
        <v>0</v>
      </c>
      <c r="G3623" s="3">
        <v>1</v>
      </c>
      <c r="H3623" s="3">
        <v>0</v>
      </c>
      <c r="I3623" s="3">
        <v>0</v>
      </c>
      <c r="J3623" s="3">
        <v>1</v>
      </c>
      <c r="K3623" s="3">
        <v>0</v>
      </c>
      <c r="L3623" s="3">
        <v>0</v>
      </c>
      <c r="M3623" s="3">
        <v>0</v>
      </c>
      <c r="N3623" s="3">
        <v>0</v>
      </c>
      <c r="O3623" s="3"/>
      <c r="P3623" s="3"/>
      <c r="Q3623" s="3"/>
    </row>
    <row r="3624" spans="1:17" ht="15" x14ac:dyDescent="0.25">
      <c r="A3624" s="3">
        <f>3617</f>
        <v>3617</v>
      </c>
      <c r="B3624" s="3" t="s">
        <v>3626</v>
      </c>
      <c r="C3624" s="3" t="s">
        <v>10</v>
      </c>
      <c r="D3624" s="3" t="s">
        <v>9</v>
      </c>
      <c r="E3624" s="3">
        <v>0</v>
      </c>
      <c r="F3624" s="3">
        <v>0</v>
      </c>
      <c r="G3624" s="3">
        <v>1</v>
      </c>
      <c r="H3624" s="3">
        <v>0</v>
      </c>
      <c r="I3624" s="3">
        <v>0</v>
      </c>
      <c r="J3624" s="3">
        <v>1</v>
      </c>
      <c r="K3624" s="3">
        <v>0</v>
      </c>
      <c r="L3624" s="3">
        <v>0</v>
      </c>
      <c r="M3624" s="3">
        <v>0</v>
      </c>
      <c r="N3624" s="3">
        <v>0</v>
      </c>
      <c r="O3624" s="3"/>
      <c r="P3624" s="3"/>
      <c r="Q3624" s="3"/>
    </row>
    <row r="3625" spans="1:17" ht="15" x14ac:dyDescent="0.25">
      <c r="A3625" s="3">
        <f>3618</f>
        <v>3618</v>
      </c>
      <c r="B3625" s="3" t="s">
        <v>3627</v>
      </c>
      <c r="C3625" s="3" t="s">
        <v>10</v>
      </c>
      <c r="D3625" s="3" t="s">
        <v>9</v>
      </c>
      <c r="E3625" s="3">
        <v>0</v>
      </c>
      <c r="F3625" s="3">
        <v>0</v>
      </c>
      <c r="G3625" s="3">
        <v>1</v>
      </c>
      <c r="H3625" s="3">
        <v>0</v>
      </c>
      <c r="I3625" s="3">
        <v>0</v>
      </c>
      <c r="J3625" s="3">
        <v>1</v>
      </c>
      <c r="K3625" s="3">
        <v>0</v>
      </c>
      <c r="L3625" s="3">
        <v>0</v>
      </c>
      <c r="M3625" s="3">
        <v>0</v>
      </c>
      <c r="N3625" s="3">
        <v>0</v>
      </c>
      <c r="O3625" s="3"/>
      <c r="P3625" s="3"/>
      <c r="Q3625" s="3"/>
    </row>
    <row r="3626" spans="1:17" ht="15" x14ac:dyDescent="0.25">
      <c r="A3626" s="3">
        <f>3619</f>
        <v>3619</v>
      </c>
      <c r="B3626" s="3" t="s">
        <v>3628</v>
      </c>
      <c r="C3626" s="3" t="s">
        <v>10</v>
      </c>
      <c r="D3626" s="3" t="s">
        <v>9</v>
      </c>
      <c r="E3626" s="3">
        <v>0</v>
      </c>
      <c r="F3626" s="3">
        <v>0</v>
      </c>
      <c r="G3626" s="3">
        <v>1</v>
      </c>
      <c r="H3626" s="3">
        <v>0</v>
      </c>
      <c r="I3626" s="3">
        <v>0</v>
      </c>
      <c r="J3626" s="3">
        <v>1</v>
      </c>
      <c r="K3626" s="3">
        <v>0</v>
      </c>
      <c r="L3626" s="3">
        <v>0</v>
      </c>
      <c r="M3626" s="3">
        <v>0</v>
      </c>
      <c r="N3626" s="3">
        <v>0</v>
      </c>
      <c r="O3626" s="3"/>
      <c r="P3626" s="3"/>
      <c r="Q3626" s="3"/>
    </row>
    <row r="3627" spans="1:17" ht="15" x14ac:dyDescent="0.25">
      <c r="A3627" s="3">
        <f>3620</f>
        <v>3620</v>
      </c>
      <c r="B3627" s="3" t="s">
        <v>3629</v>
      </c>
      <c r="C3627" s="3" t="s">
        <v>10</v>
      </c>
      <c r="D3627" s="3" t="s">
        <v>9</v>
      </c>
      <c r="E3627" s="3">
        <v>0</v>
      </c>
      <c r="F3627" s="3">
        <v>0</v>
      </c>
      <c r="G3627" s="3">
        <v>1</v>
      </c>
      <c r="H3627" s="3">
        <v>0</v>
      </c>
      <c r="I3627" s="3">
        <v>0</v>
      </c>
      <c r="J3627" s="3">
        <v>1</v>
      </c>
      <c r="K3627" s="3">
        <v>0</v>
      </c>
      <c r="L3627" s="3">
        <v>0</v>
      </c>
      <c r="M3627" s="3">
        <v>0</v>
      </c>
      <c r="N3627" s="3">
        <v>0</v>
      </c>
      <c r="O3627" s="3"/>
      <c r="P3627" s="3"/>
      <c r="Q3627" s="3"/>
    </row>
    <row r="3628" spans="1:17" ht="15" x14ac:dyDescent="0.25">
      <c r="A3628" s="3">
        <f>3621</f>
        <v>3621</v>
      </c>
      <c r="B3628" s="3" t="s">
        <v>3630</v>
      </c>
      <c r="C3628" s="3" t="s">
        <v>10</v>
      </c>
      <c r="D3628" s="3" t="s">
        <v>9</v>
      </c>
      <c r="E3628" s="3">
        <v>0</v>
      </c>
      <c r="F3628" s="3">
        <v>0</v>
      </c>
      <c r="G3628" s="3">
        <v>1</v>
      </c>
      <c r="H3628" s="3">
        <v>0</v>
      </c>
      <c r="I3628" s="3">
        <v>0</v>
      </c>
      <c r="J3628" s="3">
        <v>1</v>
      </c>
      <c r="K3628" s="3">
        <v>0</v>
      </c>
      <c r="L3628" s="3">
        <v>0</v>
      </c>
      <c r="M3628" s="3">
        <v>0</v>
      </c>
      <c r="N3628" s="3">
        <v>0</v>
      </c>
      <c r="O3628" s="3"/>
      <c r="P3628" s="3"/>
      <c r="Q3628" s="3"/>
    </row>
    <row r="3629" spans="1:17" ht="15" x14ac:dyDescent="0.25">
      <c r="A3629" s="3">
        <f>3622</f>
        <v>3622</v>
      </c>
      <c r="B3629" s="3" t="s">
        <v>3631</v>
      </c>
      <c r="C3629" s="3" t="s">
        <v>10</v>
      </c>
      <c r="D3629" s="3" t="s">
        <v>9</v>
      </c>
      <c r="E3629" s="3">
        <v>0</v>
      </c>
      <c r="F3629" s="3">
        <v>0</v>
      </c>
      <c r="G3629" s="3">
        <v>1</v>
      </c>
      <c r="H3629" s="3">
        <v>0</v>
      </c>
      <c r="I3629" s="3">
        <v>0</v>
      </c>
      <c r="J3629" s="3">
        <v>1</v>
      </c>
      <c r="K3629" s="3">
        <v>0</v>
      </c>
      <c r="L3629" s="3">
        <v>0</v>
      </c>
      <c r="M3629" s="3">
        <v>0</v>
      </c>
      <c r="N3629" s="3">
        <v>0</v>
      </c>
      <c r="O3629" s="3"/>
      <c r="P3629" s="3"/>
      <c r="Q3629" s="3"/>
    </row>
    <row r="3630" spans="1:17" ht="15" x14ac:dyDescent="0.25">
      <c r="A3630" s="3">
        <f>3623</f>
        <v>3623</v>
      </c>
      <c r="B3630" s="3" t="s">
        <v>3632</v>
      </c>
      <c r="C3630" s="3" t="s">
        <v>10</v>
      </c>
      <c r="D3630" s="3" t="s">
        <v>9</v>
      </c>
      <c r="E3630" s="3">
        <v>0</v>
      </c>
      <c r="F3630" s="3">
        <v>0</v>
      </c>
      <c r="G3630" s="3">
        <v>1</v>
      </c>
      <c r="H3630" s="3">
        <v>0</v>
      </c>
      <c r="I3630" s="3">
        <v>0</v>
      </c>
      <c r="J3630" s="3">
        <v>1</v>
      </c>
      <c r="K3630" s="3">
        <v>0</v>
      </c>
      <c r="L3630" s="3">
        <v>0</v>
      </c>
      <c r="M3630" s="3">
        <v>0</v>
      </c>
      <c r="N3630" s="3">
        <v>0</v>
      </c>
      <c r="O3630" s="3"/>
      <c r="P3630" s="3"/>
      <c r="Q3630" s="3"/>
    </row>
    <row r="3631" spans="1:17" ht="15" x14ac:dyDescent="0.25">
      <c r="A3631" s="3">
        <f>3624</f>
        <v>3624</v>
      </c>
      <c r="B3631" s="3" t="s">
        <v>3633</v>
      </c>
      <c r="C3631" s="3" t="s">
        <v>10</v>
      </c>
      <c r="D3631" s="3" t="s">
        <v>9</v>
      </c>
      <c r="E3631" s="3">
        <v>0</v>
      </c>
      <c r="F3631" s="3">
        <v>0</v>
      </c>
      <c r="G3631" s="3">
        <v>1</v>
      </c>
      <c r="H3631" s="3">
        <v>0</v>
      </c>
      <c r="I3631" s="3">
        <v>0</v>
      </c>
      <c r="J3631" s="3">
        <v>1</v>
      </c>
      <c r="K3631" s="3">
        <v>0</v>
      </c>
      <c r="L3631" s="3">
        <v>0</v>
      </c>
      <c r="M3631" s="3">
        <v>0</v>
      </c>
      <c r="N3631" s="3">
        <v>0</v>
      </c>
      <c r="O3631" s="3"/>
      <c r="P3631" s="3"/>
      <c r="Q3631" s="3"/>
    </row>
    <row r="3632" spans="1:17" ht="15" x14ac:dyDescent="0.25">
      <c r="A3632" s="3">
        <f>3625</f>
        <v>3625</v>
      </c>
      <c r="B3632" s="3" t="s">
        <v>3634</v>
      </c>
      <c r="C3632" s="3" t="s">
        <v>10</v>
      </c>
      <c r="D3632" s="3" t="s">
        <v>9</v>
      </c>
      <c r="E3632" s="3">
        <v>0</v>
      </c>
      <c r="F3632" s="3">
        <v>0</v>
      </c>
      <c r="G3632" s="3">
        <v>1</v>
      </c>
      <c r="H3632" s="3">
        <v>0</v>
      </c>
      <c r="I3632" s="3">
        <v>0</v>
      </c>
      <c r="J3632" s="3">
        <v>1</v>
      </c>
      <c r="K3632" s="3">
        <v>0</v>
      </c>
      <c r="L3632" s="3">
        <v>0</v>
      </c>
      <c r="M3632" s="3">
        <v>0</v>
      </c>
      <c r="N3632" s="3">
        <v>0</v>
      </c>
      <c r="O3632" s="3"/>
      <c r="P3632" s="3"/>
      <c r="Q3632" s="3"/>
    </row>
    <row r="3633" spans="1:17" ht="15" x14ac:dyDescent="0.25">
      <c r="A3633" s="3">
        <f>3626</f>
        <v>3626</v>
      </c>
      <c r="B3633" s="3" t="s">
        <v>3635</v>
      </c>
      <c r="C3633" s="3" t="s">
        <v>10</v>
      </c>
      <c r="D3633" s="3" t="s">
        <v>9</v>
      </c>
      <c r="E3633" s="3">
        <v>0</v>
      </c>
      <c r="F3633" s="3">
        <v>0</v>
      </c>
      <c r="G3633" s="3">
        <v>1</v>
      </c>
      <c r="H3633" s="3">
        <v>0</v>
      </c>
      <c r="I3633" s="3">
        <v>0</v>
      </c>
      <c r="J3633" s="3">
        <v>1</v>
      </c>
      <c r="K3633" s="3">
        <v>0</v>
      </c>
      <c r="L3633" s="3">
        <v>0</v>
      </c>
      <c r="M3633" s="3">
        <v>0</v>
      </c>
      <c r="N3633" s="3">
        <v>0</v>
      </c>
      <c r="O3633" s="3"/>
      <c r="P3633" s="3"/>
      <c r="Q3633" s="3"/>
    </row>
    <row r="3634" spans="1:17" ht="15" x14ac:dyDescent="0.25">
      <c r="A3634" s="3">
        <f>3627</f>
        <v>3627</v>
      </c>
      <c r="B3634" s="3" t="s">
        <v>3636</v>
      </c>
      <c r="C3634" s="3" t="s">
        <v>10</v>
      </c>
      <c r="D3634" s="3" t="s">
        <v>9</v>
      </c>
      <c r="E3634" s="3">
        <v>0</v>
      </c>
      <c r="F3634" s="3">
        <v>0</v>
      </c>
      <c r="G3634" s="3">
        <v>1</v>
      </c>
      <c r="H3634" s="3">
        <v>0</v>
      </c>
      <c r="I3634" s="3">
        <v>0</v>
      </c>
      <c r="J3634" s="3">
        <v>1</v>
      </c>
      <c r="K3634" s="3">
        <v>0</v>
      </c>
      <c r="L3634" s="3">
        <v>0</v>
      </c>
      <c r="M3634" s="3">
        <v>0</v>
      </c>
      <c r="N3634" s="3">
        <v>0</v>
      </c>
      <c r="O3634" s="3"/>
      <c r="P3634" s="3"/>
      <c r="Q3634" s="3"/>
    </row>
    <row r="3635" spans="1:17" ht="15" x14ac:dyDescent="0.25">
      <c r="A3635" s="3">
        <f>3628</f>
        <v>3628</v>
      </c>
      <c r="B3635" s="3" t="s">
        <v>3637</v>
      </c>
      <c r="C3635" s="3" t="s">
        <v>10</v>
      </c>
      <c r="D3635" s="3" t="s">
        <v>9</v>
      </c>
      <c r="E3635" s="3">
        <v>0</v>
      </c>
      <c r="F3635" s="3">
        <v>0</v>
      </c>
      <c r="G3635" s="3">
        <v>1</v>
      </c>
      <c r="H3635" s="3">
        <v>0</v>
      </c>
      <c r="I3635" s="3">
        <v>0</v>
      </c>
      <c r="J3635" s="3">
        <v>1</v>
      </c>
      <c r="K3635" s="3">
        <v>0</v>
      </c>
      <c r="L3635" s="3">
        <v>0</v>
      </c>
      <c r="M3635" s="3">
        <v>0</v>
      </c>
      <c r="N3635" s="3">
        <v>0</v>
      </c>
      <c r="O3635" s="3"/>
      <c r="P3635" s="3"/>
      <c r="Q3635" s="3"/>
    </row>
    <row r="3636" spans="1:17" ht="15" x14ac:dyDescent="0.25">
      <c r="A3636" s="3">
        <f>3629</f>
        <v>3629</v>
      </c>
      <c r="B3636" s="3" t="s">
        <v>3638</v>
      </c>
      <c r="C3636" s="3" t="s">
        <v>10</v>
      </c>
      <c r="D3636" s="3" t="s">
        <v>9</v>
      </c>
      <c r="E3636" s="3">
        <v>0</v>
      </c>
      <c r="F3636" s="3">
        <v>0</v>
      </c>
      <c r="G3636" s="3">
        <v>1</v>
      </c>
      <c r="H3636" s="3">
        <v>0</v>
      </c>
      <c r="I3636" s="3">
        <v>0</v>
      </c>
      <c r="J3636" s="3">
        <v>1</v>
      </c>
      <c r="K3636" s="3">
        <v>0</v>
      </c>
      <c r="L3636" s="3">
        <v>0</v>
      </c>
      <c r="M3636" s="3">
        <v>0</v>
      </c>
      <c r="N3636" s="3">
        <v>0</v>
      </c>
      <c r="O3636" s="3"/>
      <c r="P3636" s="3"/>
      <c r="Q3636" s="3"/>
    </row>
    <row r="3637" spans="1:17" ht="15" x14ac:dyDescent="0.25">
      <c r="A3637" s="3">
        <f>3630</f>
        <v>3630</v>
      </c>
      <c r="B3637" s="3" t="s">
        <v>3639</v>
      </c>
      <c r="C3637" s="3" t="s">
        <v>10</v>
      </c>
      <c r="D3637" s="3" t="s">
        <v>9</v>
      </c>
      <c r="E3637" s="3">
        <v>0</v>
      </c>
      <c r="F3637" s="3">
        <v>0</v>
      </c>
      <c r="G3637" s="3">
        <v>1</v>
      </c>
      <c r="H3637" s="3">
        <v>0</v>
      </c>
      <c r="I3637" s="3">
        <v>0</v>
      </c>
      <c r="J3637" s="3">
        <v>1</v>
      </c>
      <c r="K3637" s="3">
        <v>0</v>
      </c>
      <c r="L3637" s="3">
        <v>0</v>
      </c>
      <c r="M3637" s="3">
        <v>0</v>
      </c>
      <c r="N3637" s="3">
        <v>0</v>
      </c>
      <c r="O3637" s="3"/>
      <c r="P3637" s="3"/>
      <c r="Q3637" s="3"/>
    </row>
    <row r="3638" spans="1:17" ht="15" x14ac:dyDescent="0.25">
      <c r="A3638" s="3">
        <f>3631</f>
        <v>3631</v>
      </c>
      <c r="B3638" s="3" t="s">
        <v>3640</v>
      </c>
      <c r="C3638" s="3" t="s">
        <v>10</v>
      </c>
      <c r="D3638" s="3" t="s">
        <v>9</v>
      </c>
      <c r="E3638" s="3">
        <v>0</v>
      </c>
      <c r="F3638" s="3">
        <v>0</v>
      </c>
      <c r="G3638" s="3">
        <v>1</v>
      </c>
      <c r="H3638" s="3">
        <v>0</v>
      </c>
      <c r="I3638" s="3">
        <v>0</v>
      </c>
      <c r="J3638" s="3">
        <v>1</v>
      </c>
      <c r="K3638" s="3">
        <v>0</v>
      </c>
      <c r="L3638" s="3">
        <v>0</v>
      </c>
      <c r="M3638" s="3">
        <v>0</v>
      </c>
      <c r="N3638" s="3">
        <v>0</v>
      </c>
      <c r="O3638" s="3"/>
      <c r="P3638" s="3"/>
      <c r="Q3638" s="3"/>
    </row>
    <row r="3639" spans="1:17" ht="15" x14ac:dyDescent="0.25">
      <c r="A3639" s="3">
        <f>3632</f>
        <v>3632</v>
      </c>
      <c r="B3639" s="3" t="s">
        <v>3641</v>
      </c>
      <c r="C3639" s="3" t="s">
        <v>10</v>
      </c>
      <c r="D3639" s="3" t="s">
        <v>9</v>
      </c>
      <c r="E3639" s="3">
        <v>0</v>
      </c>
      <c r="F3639" s="3">
        <v>0</v>
      </c>
      <c r="G3639" s="3">
        <v>1</v>
      </c>
      <c r="H3639" s="3">
        <v>0</v>
      </c>
      <c r="I3639" s="3">
        <v>0</v>
      </c>
      <c r="J3639" s="3">
        <v>1</v>
      </c>
      <c r="K3639" s="3">
        <v>0</v>
      </c>
      <c r="L3639" s="3">
        <v>0</v>
      </c>
      <c r="M3639" s="3">
        <v>0</v>
      </c>
      <c r="N3639" s="3">
        <v>0</v>
      </c>
      <c r="O3639" s="3"/>
      <c r="P3639" s="3"/>
      <c r="Q3639" s="3"/>
    </row>
    <row r="3640" spans="1:17" ht="15" x14ac:dyDescent="0.25">
      <c r="A3640" s="3">
        <f>3633</f>
        <v>3633</v>
      </c>
      <c r="B3640" s="3" t="s">
        <v>3642</v>
      </c>
      <c r="C3640" s="3" t="s">
        <v>10</v>
      </c>
      <c r="D3640" s="3" t="s">
        <v>9</v>
      </c>
      <c r="E3640" s="3">
        <v>0</v>
      </c>
      <c r="F3640" s="3">
        <v>0</v>
      </c>
      <c r="G3640" s="3">
        <v>1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0</v>
      </c>
      <c r="N3640" s="3">
        <v>0</v>
      </c>
      <c r="O3640" s="3"/>
      <c r="P3640" s="3"/>
      <c r="Q3640" s="3"/>
    </row>
    <row r="3641" spans="1:17" ht="15" x14ac:dyDescent="0.25">
      <c r="A3641" s="3">
        <f>3634</f>
        <v>3634</v>
      </c>
      <c r="B3641" s="3" t="s">
        <v>3643</v>
      </c>
      <c r="C3641" s="3" t="s">
        <v>9</v>
      </c>
      <c r="D3641" s="3" t="s">
        <v>10</v>
      </c>
      <c r="E3641" s="3">
        <v>0</v>
      </c>
      <c r="F3641" s="3">
        <v>0</v>
      </c>
      <c r="G3641" s="3">
        <v>1</v>
      </c>
      <c r="H3641" s="3">
        <v>0</v>
      </c>
      <c r="I3641" s="3">
        <v>0</v>
      </c>
      <c r="J3641" s="3">
        <v>1</v>
      </c>
      <c r="K3641" s="3">
        <v>0</v>
      </c>
      <c r="L3641" s="3">
        <v>0</v>
      </c>
      <c r="M3641" s="3">
        <v>0</v>
      </c>
      <c r="N3641" s="3">
        <v>0</v>
      </c>
      <c r="O3641" s="3"/>
      <c r="P3641" s="3"/>
      <c r="Q3641" s="3"/>
    </row>
    <row r="3642" spans="1:17" ht="15" x14ac:dyDescent="0.25">
      <c r="A3642" s="3">
        <f>3635</f>
        <v>3635</v>
      </c>
      <c r="B3642" s="3" t="s">
        <v>3644</v>
      </c>
      <c r="C3642" s="3" t="s">
        <v>10</v>
      </c>
      <c r="D3642" s="3" t="s">
        <v>9</v>
      </c>
      <c r="E3642" s="3">
        <v>0</v>
      </c>
      <c r="F3642" s="3">
        <v>0</v>
      </c>
      <c r="G3642" s="3">
        <v>1</v>
      </c>
      <c r="H3642" s="3">
        <v>0</v>
      </c>
      <c r="I3642" s="3">
        <v>0</v>
      </c>
      <c r="J3642" s="3">
        <v>1</v>
      </c>
      <c r="K3642" s="3">
        <v>0</v>
      </c>
      <c r="L3642" s="3">
        <v>0</v>
      </c>
      <c r="M3642" s="3">
        <v>0</v>
      </c>
      <c r="N3642" s="3">
        <v>0</v>
      </c>
      <c r="O3642" s="3"/>
      <c r="P3642" s="3"/>
      <c r="Q3642" s="3"/>
    </row>
    <row r="3643" spans="1:17" ht="15" x14ac:dyDescent="0.25">
      <c r="A3643" s="3">
        <f>3636</f>
        <v>3636</v>
      </c>
      <c r="B3643" s="3" t="s">
        <v>3645</v>
      </c>
      <c r="C3643" s="3" t="s">
        <v>9</v>
      </c>
      <c r="D3643" s="3" t="s">
        <v>10</v>
      </c>
      <c r="E3643" s="3">
        <v>0</v>
      </c>
      <c r="F3643" s="3">
        <v>0</v>
      </c>
      <c r="G3643" s="3">
        <v>1</v>
      </c>
      <c r="H3643" s="3">
        <v>0</v>
      </c>
      <c r="I3643" s="3">
        <v>0</v>
      </c>
      <c r="J3643" s="3">
        <v>1</v>
      </c>
      <c r="K3643" s="3">
        <v>0</v>
      </c>
      <c r="L3643" s="3">
        <v>0</v>
      </c>
      <c r="M3643" s="3">
        <v>0</v>
      </c>
      <c r="N3643" s="3">
        <v>0</v>
      </c>
      <c r="O3643" s="3"/>
      <c r="P3643" s="3"/>
      <c r="Q3643" s="3"/>
    </row>
    <row r="3644" spans="1:17" ht="15" x14ac:dyDescent="0.25">
      <c r="A3644" s="3">
        <f>3637</f>
        <v>3637</v>
      </c>
      <c r="B3644" s="3" t="s">
        <v>3646</v>
      </c>
      <c r="C3644" s="3" t="s">
        <v>9</v>
      </c>
      <c r="D3644" s="3" t="s">
        <v>10</v>
      </c>
      <c r="E3644" s="3">
        <v>0</v>
      </c>
      <c r="F3644" s="3">
        <v>0</v>
      </c>
      <c r="G3644" s="3">
        <v>1</v>
      </c>
      <c r="H3644" s="3">
        <v>0</v>
      </c>
      <c r="I3644" s="3">
        <v>0</v>
      </c>
      <c r="J3644" s="3">
        <v>1</v>
      </c>
      <c r="K3644" s="3">
        <v>0</v>
      </c>
      <c r="L3644" s="3">
        <v>0</v>
      </c>
      <c r="M3644" s="3">
        <v>0</v>
      </c>
      <c r="N3644" s="3">
        <v>0</v>
      </c>
      <c r="O3644" s="3"/>
      <c r="P3644" s="3"/>
      <c r="Q3644" s="3"/>
    </row>
    <row r="3645" spans="1:17" ht="15" x14ac:dyDescent="0.25">
      <c r="A3645" s="3">
        <f>3638</f>
        <v>3638</v>
      </c>
      <c r="B3645" s="3" t="s">
        <v>3647</v>
      </c>
      <c r="C3645" s="3" t="s">
        <v>9</v>
      </c>
      <c r="D3645" s="3" t="s">
        <v>10</v>
      </c>
      <c r="E3645" s="3">
        <v>0</v>
      </c>
      <c r="F3645" s="3">
        <v>0</v>
      </c>
      <c r="G3645" s="3">
        <v>1</v>
      </c>
      <c r="H3645" s="3">
        <v>0</v>
      </c>
      <c r="I3645" s="3">
        <v>0</v>
      </c>
      <c r="J3645" s="3">
        <v>1</v>
      </c>
      <c r="K3645" s="3">
        <v>0</v>
      </c>
      <c r="L3645" s="3">
        <v>0</v>
      </c>
      <c r="M3645" s="3">
        <v>0</v>
      </c>
      <c r="N3645" s="3">
        <v>0</v>
      </c>
      <c r="O3645" s="3"/>
      <c r="P3645" s="3"/>
      <c r="Q3645" s="3"/>
    </row>
    <row r="3646" spans="1:17" ht="15" x14ac:dyDescent="0.25">
      <c r="A3646" s="3">
        <f>3639</f>
        <v>3639</v>
      </c>
      <c r="B3646" s="3" t="s">
        <v>3648</v>
      </c>
      <c r="C3646" s="3" t="s">
        <v>9</v>
      </c>
      <c r="D3646" s="3" t="s">
        <v>10</v>
      </c>
      <c r="E3646" s="3">
        <v>0</v>
      </c>
      <c r="F3646" s="3">
        <v>0</v>
      </c>
      <c r="G3646" s="3">
        <v>1</v>
      </c>
      <c r="H3646" s="3">
        <v>0</v>
      </c>
      <c r="I3646" s="3">
        <v>0</v>
      </c>
      <c r="J3646" s="3">
        <v>1</v>
      </c>
      <c r="K3646" s="3">
        <v>0</v>
      </c>
      <c r="L3646" s="3">
        <v>0</v>
      </c>
      <c r="M3646" s="3">
        <v>0</v>
      </c>
      <c r="N3646" s="3">
        <v>0</v>
      </c>
      <c r="O3646" s="3"/>
      <c r="P3646" s="3"/>
      <c r="Q3646" s="3"/>
    </row>
    <row r="3647" spans="1:17" ht="15" x14ac:dyDescent="0.25">
      <c r="A3647" s="3">
        <f>3640</f>
        <v>3640</v>
      </c>
      <c r="B3647" s="3" t="s">
        <v>3649</v>
      </c>
      <c r="C3647" s="3" t="s">
        <v>9</v>
      </c>
      <c r="D3647" s="3" t="s">
        <v>10</v>
      </c>
      <c r="E3647" s="3">
        <v>0</v>
      </c>
      <c r="F3647" s="3">
        <v>0</v>
      </c>
      <c r="G3647" s="3">
        <v>1</v>
      </c>
      <c r="H3647" s="3">
        <v>0</v>
      </c>
      <c r="I3647" s="3">
        <v>0</v>
      </c>
      <c r="J3647" s="3">
        <v>1</v>
      </c>
      <c r="K3647" s="3">
        <v>0</v>
      </c>
      <c r="L3647" s="3">
        <v>0</v>
      </c>
      <c r="M3647" s="3">
        <v>0</v>
      </c>
      <c r="N3647" s="3">
        <v>0</v>
      </c>
      <c r="O3647" s="3"/>
      <c r="P3647" s="3"/>
      <c r="Q3647" s="3"/>
    </row>
    <row r="3648" spans="1:17" ht="15" x14ac:dyDescent="0.25">
      <c r="A3648" s="3">
        <f>3641</f>
        <v>3641</v>
      </c>
      <c r="B3648" s="3" t="s">
        <v>3650</v>
      </c>
      <c r="C3648" s="3" t="s">
        <v>9</v>
      </c>
      <c r="D3648" s="3" t="s">
        <v>10</v>
      </c>
      <c r="E3648" s="3">
        <v>0</v>
      </c>
      <c r="F3648" s="3">
        <v>0</v>
      </c>
      <c r="G3648" s="3">
        <v>1</v>
      </c>
      <c r="H3648" s="3">
        <v>0</v>
      </c>
      <c r="I3648" s="3">
        <v>0</v>
      </c>
      <c r="J3648" s="3">
        <v>1</v>
      </c>
      <c r="K3648" s="3">
        <v>0</v>
      </c>
      <c r="L3648" s="3">
        <v>0</v>
      </c>
      <c r="M3648" s="3">
        <v>0</v>
      </c>
      <c r="N3648" s="3">
        <v>0</v>
      </c>
      <c r="O3648" s="3"/>
      <c r="P3648" s="3"/>
      <c r="Q3648" s="3"/>
    </row>
    <row r="3649" spans="1:17" ht="15" x14ac:dyDescent="0.25">
      <c r="A3649" s="3">
        <f>3642</f>
        <v>3642</v>
      </c>
      <c r="B3649" s="3" t="s">
        <v>3651</v>
      </c>
      <c r="C3649" s="3" t="s">
        <v>9</v>
      </c>
      <c r="D3649" s="3" t="s">
        <v>10</v>
      </c>
      <c r="E3649" s="3">
        <v>0</v>
      </c>
      <c r="F3649" s="3">
        <v>0</v>
      </c>
      <c r="G3649" s="3">
        <v>1</v>
      </c>
      <c r="H3649" s="3">
        <v>0</v>
      </c>
      <c r="I3649" s="3">
        <v>0</v>
      </c>
      <c r="J3649" s="3">
        <v>1</v>
      </c>
      <c r="K3649" s="3">
        <v>0</v>
      </c>
      <c r="L3649" s="3">
        <v>0</v>
      </c>
      <c r="M3649" s="3">
        <v>0</v>
      </c>
      <c r="N3649" s="3">
        <v>0</v>
      </c>
      <c r="O3649" s="3"/>
      <c r="P3649" s="3"/>
      <c r="Q3649" s="3"/>
    </row>
    <row r="3650" spans="1:17" ht="15" x14ac:dyDescent="0.25">
      <c r="A3650" s="3">
        <f>3643</f>
        <v>3643</v>
      </c>
      <c r="B3650" s="3" t="s">
        <v>3652</v>
      </c>
      <c r="C3650" s="3" t="s">
        <v>9</v>
      </c>
      <c r="D3650" s="3" t="s">
        <v>10</v>
      </c>
      <c r="E3650" s="3">
        <v>0</v>
      </c>
      <c r="F3650" s="3">
        <v>0</v>
      </c>
      <c r="G3650" s="3">
        <v>1</v>
      </c>
      <c r="H3650" s="3">
        <v>0</v>
      </c>
      <c r="I3650" s="3">
        <v>0</v>
      </c>
      <c r="J3650" s="3">
        <v>1</v>
      </c>
      <c r="K3650" s="3">
        <v>0</v>
      </c>
      <c r="L3650" s="3">
        <v>0</v>
      </c>
      <c r="M3650" s="3">
        <v>0</v>
      </c>
      <c r="N3650" s="3">
        <v>0</v>
      </c>
      <c r="O3650" s="3"/>
      <c r="P3650" s="3"/>
      <c r="Q3650" s="3"/>
    </row>
    <row r="3651" spans="1:17" ht="15" x14ac:dyDescent="0.25">
      <c r="A3651" s="3">
        <f>3644</f>
        <v>3644</v>
      </c>
      <c r="B3651" s="3" t="s">
        <v>3653</v>
      </c>
      <c r="C3651" s="3" t="s">
        <v>9</v>
      </c>
      <c r="D3651" s="3" t="s">
        <v>10</v>
      </c>
      <c r="E3651" s="3">
        <v>0</v>
      </c>
      <c r="F3651" s="3">
        <v>0</v>
      </c>
      <c r="G3651" s="3">
        <v>1</v>
      </c>
      <c r="H3651" s="3">
        <v>0</v>
      </c>
      <c r="I3651" s="3">
        <v>0</v>
      </c>
      <c r="J3651" s="3">
        <v>1</v>
      </c>
      <c r="K3651" s="3">
        <v>0</v>
      </c>
      <c r="L3651" s="3">
        <v>0</v>
      </c>
      <c r="M3651" s="3">
        <v>0</v>
      </c>
      <c r="N3651" s="3">
        <v>0</v>
      </c>
      <c r="O3651" s="3"/>
      <c r="P3651" s="3"/>
      <c r="Q3651" s="3"/>
    </row>
    <row r="3652" spans="1:17" ht="15" x14ac:dyDescent="0.25">
      <c r="A3652" s="3">
        <f>3645</f>
        <v>3645</v>
      </c>
      <c r="B3652" s="3" t="s">
        <v>3654</v>
      </c>
      <c r="C3652" s="3" t="s">
        <v>9</v>
      </c>
      <c r="D3652" s="3" t="s">
        <v>10</v>
      </c>
      <c r="E3652" s="3">
        <v>0</v>
      </c>
      <c r="F3652" s="3">
        <v>0</v>
      </c>
      <c r="G3652" s="3">
        <v>1</v>
      </c>
      <c r="H3652" s="3">
        <v>0</v>
      </c>
      <c r="I3652" s="3">
        <v>0</v>
      </c>
      <c r="J3652" s="3">
        <v>1</v>
      </c>
      <c r="K3652" s="3">
        <v>0</v>
      </c>
      <c r="L3652" s="3">
        <v>0</v>
      </c>
      <c r="M3652" s="3">
        <v>0</v>
      </c>
      <c r="N3652" s="3">
        <v>0</v>
      </c>
      <c r="O3652" s="3"/>
      <c r="P3652" s="3"/>
      <c r="Q3652" s="3"/>
    </row>
    <row r="3653" spans="1:17" ht="15" x14ac:dyDescent="0.25">
      <c r="A3653" s="3">
        <f>3646</f>
        <v>3646</v>
      </c>
      <c r="B3653" s="3" t="s">
        <v>3655</v>
      </c>
      <c r="C3653" s="3" t="s">
        <v>9</v>
      </c>
      <c r="D3653" s="3" t="s">
        <v>10</v>
      </c>
      <c r="E3653" s="3">
        <v>0</v>
      </c>
      <c r="F3653" s="3">
        <v>0</v>
      </c>
      <c r="G3653" s="3">
        <v>1</v>
      </c>
      <c r="H3653" s="3">
        <v>0</v>
      </c>
      <c r="I3653" s="3">
        <v>0</v>
      </c>
      <c r="J3653" s="3">
        <v>1</v>
      </c>
      <c r="K3653" s="3">
        <v>0</v>
      </c>
      <c r="L3653" s="3">
        <v>0</v>
      </c>
      <c r="M3653" s="3">
        <v>0</v>
      </c>
      <c r="N3653" s="3">
        <v>0</v>
      </c>
      <c r="O3653" s="3"/>
      <c r="P3653" s="3"/>
      <c r="Q3653" s="3"/>
    </row>
    <row r="3654" spans="1:17" ht="15" x14ac:dyDescent="0.25">
      <c r="A3654" s="3">
        <f>3647</f>
        <v>3647</v>
      </c>
      <c r="B3654" s="3" t="s">
        <v>3656</v>
      </c>
      <c r="C3654" s="3" t="s">
        <v>9</v>
      </c>
      <c r="D3654" s="3" t="s">
        <v>10</v>
      </c>
      <c r="E3654" s="3">
        <v>0</v>
      </c>
      <c r="F3654" s="3">
        <v>0</v>
      </c>
      <c r="G3654" s="3">
        <v>1</v>
      </c>
      <c r="H3654" s="3">
        <v>0</v>
      </c>
      <c r="I3654" s="3">
        <v>0</v>
      </c>
      <c r="J3654" s="3">
        <v>1</v>
      </c>
      <c r="K3654" s="3">
        <v>0</v>
      </c>
      <c r="L3654" s="3">
        <v>0</v>
      </c>
      <c r="M3654" s="3">
        <v>0</v>
      </c>
      <c r="N3654" s="3">
        <v>0</v>
      </c>
      <c r="O3654" s="3"/>
      <c r="P3654" s="3"/>
      <c r="Q3654" s="3"/>
    </row>
    <row r="3655" spans="1:17" ht="15" x14ac:dyDescent="0.25">
      <c r="A3655" s="3">
        <f>3648</f>
        <v>3648</v>
      </c>
      <c r="B3655" s="3" t="s">
        <v>3657</v>
      </c>
      <c r="C3655" s="3" t="s">
        <v>9</v>
      </c>
      <c r="D3655" s="3" t="s">
        <v>10</v>
      </c>
      <c r="E3655" s="3">
        <v>0</v>
      </c>
      <c r="F3655" s="3">
        <v>0</v>
      </c>
      <c r="G3655" s="3">
        <v>1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0</v>
      </c>
      <c r="N3655" s="3">
        <v>0</v>
      </c>
      <c r="O3655" s="3"/>
      <c r="P3655" s="3"/>
      <c r="Q3655" s="3"/>
    </row>
    <row r="3656" spans="1:17" ht="15" x14ac:dyDescent="0.25">
      <c r="A3656" s="3">
        <f>3649</f>
        <v>3649</v>
      </c>
      <c r="B3656" s="3" t="s">
        <v>3658</v>
      </c>
      <c r="C3656" s="3" t="s">
        <v>9</v>
      </c>
      <c r="D3656" s="3" t="s">
        <v>10</v>
      </c>
      <c r="E3656" s="3">
        <v>0</v>
      </c>
      <c r="F3656" s="3">
        <v>0</v>
      </c>
      <c r="G3656" s="3">
        <v>1</v>
      </c>
      <c r="H3656" s="3">
        <v>0</v>
      </c>
      <c r="I3656" s="3">
        <v>0</v>
      </c>
      <c r="J3656" s="3">
        <v>1</v>
      </c>
      <c r="K3656" s="3">
        <v>0</v>
      </c>
      <c r="L3656" s="3">
        <v>0</v>
      </c>
      <c r="M3656" s="3">
        <v>0</v>
      </c>
      <c r="N3656" s="3">
        <v>0</v>
      </c>
      <c r="O3656" s="3"/>
      <c r="P3656" s="3"/>
      <c r="Q3656" s="3"/>
    </row>
    <row r="3657" spans="1:17" ht="15" x14ac:dyDescent="0.25">
      <c r="A3657" s="3">
        <f>3650</f>
        <v>3650</v>
      </c>
      <c r="B3657" s="3" t="s">
        <v>3659</v>
      </c>
      <c r="C3657" s="3" t="s">
        <v>9</v>
      </c>
      <c r="D3657" s="3" t="s">
        <v>10</v>
      </c>
      <c r="E3657" s="3">
        <v>0</v>
      </c>
      <c r="F3657" s="3">
        <v>0</v>
      </c>
      <c r="G3657" s="3">
        <v>1</v>
      </c>
      <c r="H3657" s="3">
        <v>0</v>
      </c>
      <c r="I3657" s="3">
        <v>0</v>
      </c>
      <c r="J3657" s="3">
        <v>1</v>
      </c>
      <c r="K3657" s="3">
        <v>0</v>
      </c>
      <c r="L3657" s="3">
        <v>0</v>
      </c>
      <c r="M3657" s="3">
        <v>0</v>
      </c>
      <c r="N3657" s="3">
        <v>0</v>
      </c>
      <c r="O3657" s="3"/>
      <c r="P3657" s="3"/>
      <c r="Q3657" s="3"/>
    </row>
    <row r="3658" spans="1:17" ht="15" x14ac:dyDescent="0.25">
      <c r="A3658" s="3">
        <f>3651</f>
        <v>3651</v>
      </c>
      <c r="B3658" s="3" t="s">
        <v>3660</v>
      </c>
      <c r="C3658" s="3" t="s">
        <v>9</v>
      </c>
      <c r="D3658" s="3" t="s">
        <v>10</v>
      </c>
      <c r="E3658" s="3">
        <v>0</v>
      </c>
      <c r="F3658" s="3">
        <v>0</v>
      </c>
      <c r="G3658" s="3">
        <v>1</v>
      </c>
      <c r="H3658" s="3">
        <v>0</v>
      </c>
      <c r="I3658" s="3">
        <v>0</v>
      </c>
      <c r="J3658" s="3">
        <v>1</v>
      </c>
      <c r="K3658" s="3">
        <v>0</v>
      </c>
      <c r="L3658" s="3">
        <v>0</v>
      </c>
      <c r="M3658" s="3">
        <v>0</v>
      </c>
      <c r="N3658" s="3">
        <v>0</v>
      </c>
      <c r="O3658" s="3"/>
      <c r="P3658" s="3"/>
      <c r="Q3658" s="3"/>
    </row>
    <row r="3659" spans="1:17" ht="15" x14ac:dyDescent="0.25">
      <c r="A3659" s="3">
        <f>3652</f>
        <v>3652</v>
      </c>
      <c r="B3659" s="3" t="s">
        <v>3661</v>
      </c>
      <c r="C3659" s="3" t="s">
        <v>9</v>
      </c>
      <c r="D3659" s="3" t="s">
        <v>10</v>
      </c>
      <c r="E3659" s="3">
        <v>0</v>
      </c>
      <c r="F3659" s="3">
        <v>0</v>
      </c>
      <c r="G3659" s="3">
        <v>1</v>
      </c>
      <c r="H3659" s="3">
        <v>0</v>
      </c>
      <c r="I3659" s="3">
        <v>0</v>
      </c>
      <c r="J3659" s="3">
        <v>1</v>
      </c>
      <c r="K3659" s="3">
        <v>0</v>
      </c>
      <c r="L3659" s="3">
        <v>0</v>
      </c>
      <c r="M3659" s="3">
        <v>0</v>
      </c>
      <c r="N3659" s="3">
        <v>0</v>
      </c>
      <c r="O3659" s="3"/>
      <c r="P3659" s="3"/>
      <c r="Q3659" s="3"/>
    </row>
    <row r="3660" spans="1:17" ht="15" x14ac:dyDescent="0.25">
      <c r="A3660" s="3">
        <f>3653</f>
        <v>3653</v>
      </c>
      <c r="B3660" s="3" t="s">
        <v>3662</v>
      </c>
      <c r="C3660" s="3" t="s">
        <v>9</v>
      </c>
      <c r="D3660" s="3" t="s">
        <v>10</v>
      </c>
      <c r="E3660" s="3">
        <v>0</v>
      </c>
      <c r="F3660" s="3">
        <v>0</v>
      </c>
      <c r="G3660" s="3">
        <v>1</v>
      </c>
      <c r="H3660" s="3">
        <v>0</v>
      </c>
      <c r="I3660" s="3">
        <v>0</v>
      </c>
      <c r="J3660" s="3">
        <v>1</v>
      </c>
      <c r="K3660" s="3">
        <v>0</v>
      </c>
      <c r="L3660" s="3">
        <v>0</v>
      </c>
      <c r="M3660" s="3">
        <v>0</v>
      </c>
      <c r="N3660" s="3">
        <v>0</v>
      </c>
      <c r="O3660" s="3"/>
      <c r="P3660" s="3"/>
      <c r="Q3660" s="3"/>
    </row>
    <row r="3661" spans="1:17" ht="15" x14ac:dyDescent="0.25">
      <c r="A3661" s="3">
        <f>3654</f>
        <v>3654</v>
      </c>
      <c r="B3661" s="3" t="s">
        <v>3663</v>
      </c>
      <c r="C3661" s="3" t="s">
        <v>9</v>
      </c>
      <c r="D3661" s="3" t="s">
        <v>10</v>
      </c>
      <c r="E3661" s="3">
        <v>0</v>
      </c>
      <c r="F3661" s="3">
        <v>0</v>
      </c>
      <c r="G3661" s="3">
        <v>1</v>
      </c>
      <c r="H3661" s="3">
        <v>0</v>
      </c>
      <c r="I3661" s="3">
        <v>0</v>
      </c>
      <c r="J3661" s="3">
        <v>1</v>
      </c>
      <c r="K3661" s="3">
        <v>0</v>
      </c>
      <c r="L3661" s="3">
        <v>0</v>
      </c>
      <c r="M3661" s="3">
        <v>0</v>
      </c>
      <c r="N3661" s="3">
        <v>0</v>
      </c>
      <c r="O3661" s="3"/>
      <c r="P3661" s="3"/>
      <c r="Q3661" s="3"/>
    </row>
    <row r="3662" spans="1:17" ht="15" x14ac:dyDescent="0.25">
      <c r="A3662" s="3">
        <f>3655</f>
        <v>3655</v>
      </c>
      <c r="B3662" s="3" t="s">
        <v>3664</v>
      </c>
      <c r="C3662" s="3" t="s">
        <v>9</v>
      </c>
      <c r="D3662" s="3" t="s">
        <v>10</v>
      </c>
      <c r="E3662" s="3">
        <v>0</v>
      </c>
      <c r="F3662" s="3">
        <v>0</v>
      </c>
      <c r="G3662" s="3">
        <v>1</v>
      </c>
      <c r="H3662" s="3">
        <v>0</v>
      </c>
      <c r="I3662" s="3">
        <v>0</v>
      </c>
      <c r="J3662" s="3">
        <v>1</v>
      </c>
      <c r="K3662" s="3">
        <v>0</v>
      </c>
      <c r="L3662" s="3">
        <v>0</v>
      </c>
      <c r="M3662" s="3">
        <v>0</v>
      </c>
      <c r="N3662" s="3">
        <v>0</v>
      </c>
      <c r="O3662" s="3"/>
      <c r="P3662" s="3"/>
      <c r="Q3662" s="3"/>
    </row>
    <row r="3663" spans="1:17" ht="15" x14ac:dyDescent="0.25">
      <c r="A3663" s="3">
        <f>3656</f>
        <v>3656</v>
      </c>
      <c r="B3663" s="3" t="s">
        <v>3665</v>
      </c>
      <c r="C3663" s="3" t="s">
        <v>9</v>
      </c>
      <c r="D3663" s="3" t="s">
        <v>10</v>
      </c>
      <c r="E3663" s="3">
        <v>0</v>
      </c>
      <c r="F3663" s="3">
        <v>0</v>
      </c>
      <c r="G3663" s="3">
        <v>1</v>
      </c>
      <c r="H3663" s="3">
        <v>0</v>
      </c>
      <c r="I3663" s="3">
        <v>0</v>
      </c>
      <c r="J3663" s="3">
        <v>1</v>
      </c>
      <c r="K3663" s="3">
        <v>0</v>
      </c>
      <c r="L3663" s="3">
        <v>0</v>
      </c>
      <c r="M3663" s="3">
        <v>0</v>
      </c>
      <c r="N3663" s="3">
        <v>0</v>
      </c>
      <c r="O3663" s="3"/>
      <c r="P3663" s="3"/>
      <c r="Q3663" s="3"/>
    </row>
    <row r="3664" spans="1:17" ht="15" x14ac:dyDescent="0.25">
      <c r="A3664" s="3">
        <f>3657</f>
        <v>3657</v>
      </c>
      <c r="B3664" s="3" t="s">
        <v>3666</v>
      </c>
      <c r="C3664" s="3" t="s">
        <v>9</v>
      </c>
      <c r="D3664" s="3" t="s">
        <v>10</v>
      </c>
      <c r="E3664" s="3">
        <v>0</v>
      </c>
      <c r="F3664" s="3">
        <v>0</v>
      </c>
      <c r="G3664" s="3">
        <v>1</v>
      </c>
      <c r="H3664" s="3">
        <v>0</v>
      </c>
      <c r="I3664" s="3">
        <v>0</v>
      </c>
      <c r="J3664" s="3">
        <v>1</v>
      </c>
      <c r="K3664" s="3">
        <v>0</v>
      </c>
      <c r="L3664" s="3">
        <v>0</v>
      </c>
      <c r="M3664" s="3">
        <v>0</v>
      </c>
      <c r="N3664" s="3">
        <v>0</v>
      </c>
      <c r="O3664" s="3"/>
      <c r="P3664" s="3"/>
      <c r="Q3664" s="3"/>
    </row>
    <row r="3665" spans="1:17" ht="15" x14ac:dyDescent="0.25">
      <c r="A3665" s="3">
        <f>3658</f>
        <v>3658</v>
      </c>
      <c r="B3665" s="3" t="s">
        <v>3667</v>
      </c>
      <c r="C3665" s="3" t="s">
        <v>9</v>
      </c>
      <c r="D3665" s="3" t="s">
        <v>10</v>
      </c>
      <c r="E3665" s="3">
        <v>0</v>
      </c>
      <c r="F3665" s="3">
        <v>0</v>
      </c>
      <c r="G3665" s="3">
        <v>1</v>
      </c>
      <c r="H3665" s="3">
        <v>0</v>
      </c>
      <c r="I3665" s="3">
        <v>0</v>
      </c>
      <c r="J3665" s="3">
        <v>1</v>
      </c>
      <c r="K3665" s="3">
        <v>0</v>
      </c>
      <c r="L3665" s="3">
        <v>0</v>
      </c>
      <c r="M3665" s="3">
        <v>0</v>
      </c>
      <c r="N3665" s="3">
        <v>0</v>
      </c>
      <c r="O3665" s="3"/>
      <c r="P3665" s="3"/>
      <c r="Q3665" s="3"/>
    </row>
    <row r="3666" spans="1:17" ht="15" x14ac:dyDescent="0.25">
      <c r="A3666" s="3">
        <f>3659</f>
        <v>3659</v>
      </c>
      <c r="B3666" s="3" t="s">
        <v>3668</v>
      </c>
      <c r="C3666" s="3" t="s">
        <v>9</v>
      </c>
      <c r="D3666" s="3" t="s">
        <v>10</v>
      </c>
      <c r="E3666" s="3">
        <v>0</v>
      </c>
      <c r="F3666" s="3">
        <v>0</v>
      </c>
      <c r="G3666" s="3">
        <v>1</v>
      </c>
      <c r="H3666" s="3">
        <v>0</v>
      </c>
      <c r="I3666" s="3">
        <v>0</v>
      </c>
      <c r="J3666" s="3">
        <v>1</v>
      </c>
      <c r="K3666" s="3">
        <v>0</v>
      </c>
      <c r="L3666" s="3">
        <v>0</v>
      </c>
      <c r="M3666" s="3">
        <v>0</v>
      </c>
      <c r="N3666" s="3">
        <v>0</v>
      </c>
      <c r="O3666" s="3"/>
      <c r="P3666" s="3"/>
      <c r="Q3666" s="3"/>
    </row>
    <row r="3667" spans="1:17" ht="15" x14ac:dyDescent="0.25">
      <c r="A3667" s="3">
        <f>3660</f>
        <v>3660</v>
      </c>
      <c r="B3667" s="3" t="s">
        <v>3669</v>
      </c>
      <c r="C3667" s="3" t="s">
        <v>9</v>
      </c>
      <c r="D3667" s="3" t="s">
        <v>10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/>
      <c r="P3667" s="3"/>
      <c r="Q3667" s="3"/>
    </row>
    <row r="3668" spans="1:17" ht="15" x14ac:dyDescent="0.25">
      <c r="A3668" s="3">
        <f>3661</f>
        <v>3661</v>
      </c>
      <c r="B3668" s="3" t="s">
        <v>3670</v>
      </c>
      <c r="C3668" s="3" t="s">
        <v>9</v>
      </c>
      <c r="D3668" s="3" t="s">
        <v>10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/>
      <c r="P3668" s="3"/>
      <c r="Q3668" s="3"/>
    </row>
    <row r="3669" spans="1:17" ht="15" x14ac:dyDescent="0.25">
      <c r="A3669" s="3">
        <f>3662</f>
        <v>3662</v>
      </c>
      <c r="B3669" s="3" t="s">
        <v>3671</v>
      </c>
      <c r="C3669" s="3" t="s">
        <v>9</v>
      </c>
      <c r="D3669" s="3" t="s">
        <v>10</v>
      </c>
      <c r="E3669" s="3">
        <v>0</v>
      </c>
      <c r="F3669" s="3">
        <v>0</v>
      </c>
      <c r="G3669" s="3">
        <v>0</v>
      </c>
      <c r="H3669" s="3">
        <v>22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/>
      <c r="P3669" s="3"/>
      <c r="Q3669" s="3"/>
    </row>
    <row r="3670" spans="1:17" ht="15" x14ac:dyDescent="0.25">
      <c r="A3670" s="3">
        <f>3663</f>
        <v>3663</v>
      </c>
      <c r="B3670" s="3" t="s">
        <v>3672</v>
      </c>
      <c r="C3670" s="3" t="s">
        <v>9</v>
      </c>
      <c r="D3670" s="3" t="s">
        <v>10</v>
      </c>
      <c r="E3670" s="3">
        <v>0</v>
      </c>
      <c r="F3670" s="3">
        <v>0</v>
      </c>
      <c r="G3670" s="3">
        <v>0</v>
      </c>
      <c r="H3670" s="3">
        <v>22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/>
      <c r="P3670" s="3"/>
      <c r="Q3670" s="3"/>
    </row>
    <row r="3671" spans="1:17" ht="15" x14ac:dyDescent="0.25">
      <c r="A3671" s="3">
        <f>3664</f>
        <v>3664</v>
      </c>
      <c r="B3671" s="3" t="s">
        <v>3673</v>
      </c>
      <c r="C3671" s="3" t="s">
        <v>9</v>
      </c>
      <c r="D3671" s="3" t="s">
        <v>10</v>
      </c>
      <c r="E3671" s="3">
        <v>0</v>
      </c>
      <c r="F3671" s="3">
        <v>0</v>
      </c>
      <c r="G3671" s="3">
        <v>0</v>
      </c>
      <c r="H3671" s="3">
        <v>22</v>
      </c>
      <c r="I3671" s="3">
        <v>0</v>
      </c>
      <c r="J3671" s="3">
        <v>0</v>
      </c>
      <c r="K3671" s="3">
        <v>0</v>
      </c>
      <c r="L3671" s="3">
        <v>0</v>
      </c>
      <c r="M3671" s="3">
        <v>22</v>
      </c>
      <c r="N3671" s="3">
        <v>0</v>
      </c>
      <c r="O3671" s="3"/>
      <c r="P3671" s="3"/>
      <c r="Q3671" s="3"/>
    </row>
    <row r="3672" spans="1:17" ht="15" x14ac:dyDescent="0.25">
      <c r="A3672" s="3">
        <f>3665</f>
        <v>3665</v>
      </c>
      <c r="B3672" s="3" t="s">
        <v>3674</v>
      </c>
      <c r="C3672" s="3" t="s">
        <v>9</v>
      </c>
      <c r="D3672" s="3" t="s">
        <v>10</v>
      </c>
      <c r="E3672" s="3">
        <v>0</v>
      </c>
      <c r="F3672" s="3">
        <v>0</v>
      </c>
      <c r="G3672" s="3">
        <v>0</v>
      </c>
      <c r="H3672" s="3">
        <v>22</v>
      </c>
      <c r="I3672" s="3">
        <v>0</v>
      </c>
      <c r="J3672" s="3">
        <v>0</v>
      </c>
      <c r="K3672" s="3">
        <v>0</v>
      </c>
      <c r="L3672" s="3">
        <v>0</v>
      </c>
      <c r="M3672" s="3">
        <v>22</v>
      </c>
      <c r="N3672" s="3">
        <v>0</v>
      </c>
      <c r="O3672" s="3"/>
      <c r="P3672" s="3"/>
      <c r="Q3672" s="3"/>
    </row>
    <row r="3673" spans="1:17" ht="15" x14ac:dyDescent="0.25">
      <c r="A3673" s="3">
        <f>3666</f>
        <v>3666</v>
      </c>
      <c r="B3673" s="3" t="s">
        <v>3675</v>
      </c>
      <c r="C3673" s="3" t="s">
        <v>9</v>
      </c>
      <c r="D3673" s="3" t="s">
        <v>10</v>
      </c>
      <c r="E3673" s="3">
        <v>0</v>
      </c>
      <c r="F3673" s="3">
        <v>0</v>
      </c>
      <c r="G3673" s="3">
        <v>0</v>
      </c>
      <c r="H3673" s="3">
        <v>22</v>
      </c>
      <c r="I3673" s="3">
        <v>0</v>
      </c>
      <c r="J3673" s="3">
        <v>0</v>
      </c>
      <c r="K3673" s="3">
        <v>0</v>
      </c>
      <c r="L3673" s="3">
        <v>0</v>
      </c>
      <c r="M3673" s="3">
        <v>22</v>
      </c>
      <c r="N3673" s="3">
        <v>0</v>
      </c>
      <c r="O3673" s="3"/>
      <c r="P3673" s="3"/>
      <c r="Q3673" s="3"/>
    </row>
    <row r="3674" spans="1:17" ht="15" x14ac:dyDescent="0.25">
      <c r="A3674" s="3">
        <f>3667</f>
        <v>3667</v>
      </c>
      <c r="B3674" s="3" t="s">
        <v>3676</v>
      </c>
      <c r="C3674" s="3" t="s">
        <v>9</v>
      </c>
      <c r="D3674" s="3" t="s">
        <v>10</v>
      </c>
      <c r="E3674" s="3">
        <v>0</v>
      </c>
      <c r="F3674" s="3">
        <v>0</v>
      </c>
      <c r="G3674" s="3">
        <v>1</v>
      </c>
      <c r="H3674" s="3">
        <v>22</v>
      </c>
      <c r="I3674" s="3">
        <v>0</v>
      </c>
      <c r="J3674" s="3">
        <v>0</v>
      </c>
      <c r="K3674" s="3">
        <v>0</v>
      </c>
      <c r="L3674" s="3">
        <v>0</v>
      </c>
      <c r="M3674" s="3">
        <v>22</v>
      </c>
      <c r="N3674" s="3">
        <v>0</v>
      </c>
      <c r="O3674" s="3"/>
      <c r="P3674" s="3"/>
      <c r="Q3674" s="3"/>
    </row>
    <row r="3675" spans="1:17" ht="15" x14ac:dyDescent="0.25">
      <c r="A3675" s="3">
        <f>3668</f>
        <v>3668</v>
      </c>
      <c r="B3675" s="3" t="s">
        <v>3677</v>
      </c>
      <c r="C3675" s="3" t="s">
        <v>9</v>
      </c>
      <c r="D3675" s="3" t="s">
        <v>10</v>
      </c>
      <c r="E3675" s="3">
        <v>0</v>
      </c>
      <c r="F3675" s="3">
        <v>0</v>
      </c>
      <c r="G3675" s="3">
        <v>1</v>
      </c>
      <c r="H3675" s="3">
        <v>22</v>
      </c>
      <c r="I3675" s="3">
        <v>0</v>
      </c>
      <c r="J3675" s="3">
        <v>0</v>
      </c>
      <c r="K3675" s="3">
        <v>0</v>
      </c>
      <c r="L3675" s="3">
        <v>1</v>
      </c>
      <c r="M3675" s="3">
        <v>22</v>
      </c>
      <c r="N3675" s="3">
        <v>0</v>
      </c>
      <c r="O3675" s="3"/>
      <c r="P3675" s="3"/>
      <c r="Q3675" s="3"/>
    </row>
    <row r="3676" spans="1:17" ht="15" x14ac:dyDescent="0.25">
      <c r="A3676" s="3">
        <f>3669</f>
        <v>3669</v>
      </c>
      <c r="B3676" s="3" t="s">
        <v>3678</v>
      </c>
      <c r="C3676" s="3" t="s">
        <v>9</v>
      </c>
      <c r="D3676" s="3" t="s">
        <v>10</v>
      </c>
      <c r="E3676" s="3">
        <v>0</v>
      </c>
      <c r="F3676" s="3">
        <v>0</v>
      </c>
      <c r="G3676" s="3">
        <v>1</v>
      </c>
      <c r="H3676" s="3">
        <v>22</v>
      </c>
      <c r="I3676" s="3">
        <v>0</v>
      </c>
      <c r="J3676" s="3">
        <v>0</v>
      </c>
      <c r="K3676" s="3">
        <v>0</v>
      </c>
      <c r="L3676" s="3">
        <v>1</v>
      </c>
      <c r="M3676" s="3">
        <v>22</v>
      </c>
      <c r="N3676" s="3">
        <v>0</v>
      </c>
      <c r="O3676" s="3"/>
      <c r="P3676" s="3"/>
      <c r="Q3676" s="3"/>
    </row>
    <row r="3677" spans="1:17" ht="15" x14ac:dyDescent="0.25">
      <c r="A3677" s="3">
        <f>3670</f>
        <v>3670</v>
      </c>
      <c r="B3677" s="3" t="s">
        <v>3679</v>
      </c>
      <c r="C3677" s="3" t="s">
        <v>9</v>
      </c>
      <c r="D3677" s="3" t="s">
        <v>10</v>
      </c>
      <c r="E3677" s="3">
        <v>0</v>
      </c>
      <c r="F3677" s="3">
        <v>0</v>
      </c>
      <c r="G3677" s="3">
        <v>1</v>
      </c>
      <c r="H3677" s="3">
        <v>22</v>
      </c>
      <c r="I3677" s="3">
        <v>0</v>
      </c>
      <c r="J3677" s="3">
        <v>0</v>
      </c>
      <c r="K3677" s="3">
        <v>0</v>
      </c>
      <c r="L3677" s="3">
        <v>1</v>
      </c>
      <c r="M3677" s="3">
        <v>22</v>
      </c>
      <c r="N3677" s="3">
        <v>0</v>
      </c>
      <c r="O3677" s="3"/>
      <c r="P3677" s="3"/>
      <c r="Q3677" s="3"/>
    </row>
    <row r="3678" spans="1:17" ht="15" x14ac:dyDescent="0.25">
      <c r="A3678" s="3">
        <f>3671</f>
        <v>3671</v>
      </c>
      <c r="B3678" s="3" t="s">
        <v>3680</v>
      </c>
      <c r="C3678" s="3" t="s">
        <v>9</v>
      </c>
      <c r="D3678" s="3" t="s">
        <v>10</v>
      </c>
      <c r="E3678" s="3">
        <v>0</v>
      </c>
      <c r="F3678" s="3">
        <v>0</v>
      </c>
      <c r="G3678" s="3">
        <v>1</v>
      </c>
      <c r="H3678" s="3">
        <v>22</v>
      </c>
      <c r="I3678" s="3">
        <v>0</v>
      </c>
      <c r="J3678" s="3">
        <v>0</v>
      </c>
      <c r="K3678" s="3">
        <v>0</v>
      </c>
      <c r="L3678" s="3">
        <v>1</v>
      </c>
      <c r="M3678" s="3">
        <v>22</v>
      </c>
      <c r="N3678" s="3">
        <v>0</v>
      </c>
      <c r="O3678" s="3"/>
      <c r="P3678" s="3"/>
      <c r="Q3678" s="3"/>
    </row>
    <row r="3679" spans="1:17" ht="15" x14ac:dyDescent="0.25">
      <c r="A3679" s="3">
        <f>3672</f>
        <v>3672</v>
      </c>
      <c r="B3679" s="3" t="s">
        <v>3681</v>
      </c>
      <c r="C3679" s="3" t="s">
        <v>9</v>
      </c>
      <c r="D3679" s="3" t="s">
        <v>10</v>
      </c>
      <c r="E3679" s="3">
        <v>0</v>
      </c>
      <c r="F3679" s="3">
        <v>0</v>
      </c>
      <c r="G3679" s="3">
        <v>1</v>
      </c>
      <c r="H3679" s="3">
        <v>22</v>
      </c>
      <c r="I3679" s="3">
        <v>0</v>
      </c>
      <c r="J3679" s="3">
        <v>0</v>
      </c>
      <c r="K3679" s="3">
        <v>0</v>
      </c>
      <c r="L3679" s="3">
        <v>1</v>
      </c>
      <c r="M3679" s="3">
        <v>22</v>
      </c>
      <c r="N3679" s="3">
        <v>0</v>
      </c>
      <c r="O3679" s="3"/>
      <c r="P3679" s="3"/>
      <c r="Q3679" s="3"/>
    </row>
    <row r="3680" spans="1:17" ht="15" x14ac:dyDescent="0.25">
      <c r="A3680" s="3">
        <f>3673</f>
        <v>3673</v>
      </c>
      <c r="B3680" s="3" t="s">
        <v>3682</v>
      </c>
      <c r="C3680" s="3" t="s">
        <v>9</v>
      </c>
      <c r="D3680" s="3" t="s">
        <v>10</v>
      </c>
      <c r="E3680" s="3">
        <v>0</v>
      </c>
      <c r="F3680" s="3">
        <v>0</v>
      </c>
      <c r="G3680" s="3">
        <v>1</v>
      </c>
      <c r="H3680" s="3">
        <v>22</v>
      </c>
      <c r="I3680" s="3">
        <v>0</v>
      </c>
      <c r="J3680" s="3">
        <v>0</v>
      </c>
      <c r="K3680" s="3">
        <v>0</v>
      </c>
      <c r="L3680" s="3">
        <v>1</v>
      </c>
      <c r="M3680" s="3">
        <v>22</v>
      </c>
      <c r="N3680" s="3">
        <v>0</v>
      </c>
      <c r="O3680" s="3"/>
      <c r="P3680" s="3"/>
      <c r="Q3680" s="3"/>
    </row>
    <row r="3681" spans="1:17" ht="15" x14ac:dyDescent="0.25">
      <c r="A3681" s="3">
        <f>3674</f>
        <v>3674</v>
      </c>
      <c r="B3681" s="3" t="s">
        <v>3683</v>
      </c>
      <c r="C3681" s="3" t="s">
        <v>9</v>
      </c>
      <c r="D3681" s="3" t="s">
        <v>10</v>
      </c>
      <c r="E3681" s="3">
        <v>0</v>
      </c>
      <c r="F3681" s="3">
        <v>0</v>
      </c>
      <c r="G3681" s="3">
        <v>1</v>
      </c>
      <c r="H3681" s="3">
        <v>22</v>
      </c>
      <c r="I3681" s="3">
        <v>0</v>
      </c>
      <c r="J3681" s="3">
        <v>0</v>
      </c>
      <c r="K3681" s="3">
        <v>0</v>
      </c>
      <c r="L3681" s="3">
        <v>1</v>
      </c>
      <c r="M3681" s="3">
        <v>22</v>
      </c>
      <c r="N3681" s="3">
        <v>0</v>
      </c>
      <c r="O3681" s="3"/>
      <c r="P3681" s="3"/>
      <c r="Q3681" s="3"/>
    </row>
    <row r="3682" spans="1:17" ht="15" x14ac:dyDescent="0.25">
      <c r="A3682" s="3">
        <f>3675</f>
        <v>3675</v>
      </c>
      <c r="B3682" s="3" t="s">
        <v>3684</v>
      </c>
      <c r="C3682" s="3" t="s">
        <v>9</v>
      </c>
      <c r="D3682" s="3" t="s">
        <v>10</v>
      </c>
      <c r="E3682" s="3">
        <v>0</v>
      </c>
      <c r="F3682" s="3">
        <v>0</v>
      </c>
      <c r="G3682" s="3">
        <v>1</v>
      </c>
      <c r="H3682" s="3">
        <v>22</v>
      </c>
      <c r="I3682" s="3">
        <v>0</v>
      </c>
      <c r="J3682" s="3">
        <v>0</v>
      </c>
      <c r="K3682" s="3">
        <v>0</v>
      </c>
      <c r="L3682" s="3">
        <v>1</v>
      </c>
      <c r="M3682" s="3">
        <v>22</v>
      </c>
      <c r="N3682" s="3">
        <v>0</v>
      </c>
      <c r="O3682" s="3"/>
      <c r="P3682" s="3"/>
      <c r="Q3682" s="3"/>
    </row>
    <row r="3683" spans="1:17" ht="15" x14ac:dyDescent="0.25">
      <c r="A3683" s="3">
        <f>3676</f>
        <v>3676</v>
      </c>
      <c r="B3683" s="3" t="s">
        <v>3685</v>
      </c>
      <c r="C3683" s="3" t="s">
        <v>9</v>
      </c>
      <c r="D3683" s="3" t="s">
        <v>10</v>
      </c>
      <c r="E3683" s="3">
        <v>0</v>
      </c>
      <c r="F3683" s="3">
        <v>0</v>
      </c>
      <c r="G3683" s="3">
        <v>1</v>
      </c>
      <c r="H3683" s="3">
        <v>22</v>
      </c>
      <c r="I3683" s="3">
        <v>0</v>
      </c>
      <c r="J3683" s="3">
        <v>0</v>
      </c>
      <c r="K3683" s="3">
        <v>0</v>
      </c>
      <c r="L3683" s="3">
        <v>1</v>
      </c>
      <c r="M3683" s="3">
        <v>22</v>
      </c>
      <c r="N3683" s="3">
        <v>0</v>
      </c>
      <c r="O3683" s="3"/>
      <c r="P3683" s="3"/>
      <c r="Q3683" s="3"/>
    </row>
    <row r="3684" spans="1:17" ht="15" x14ac:dyDescent="0.25">
      <c r="A3684" s="3">
        <f>3677</f>
        <v>3677</v>
      </c>
      <c r="B3684" s="3" t="s">
        <v>3686</v>
      </c>
      <c r="C3684" s="3" t="s">
        <v>9</v>
      </c>
      <c r="D3684" s="3" t="s">
        <v>10</v>
      </c>
      <c r="E3684" s="3">
        <v>0</v>
      </c>
      <c r="F3684" s="3">
        <v>0</v>
      </c>
      <c r="G3684" s="3">
        <v>1</v>
      </c>
      <c r="H3684" s="3">
        <v>22</v>
      </c>
      <c r="I3684" s="3">
        <v>0</v>
      </c>
      <c r="J3684" s="3">
        <v>0</v>
      </c>
      <c r="K3684" s="3">
        <v>0</v>
      </c>
      <c r="L3684" s="3">
        <v>1</v>
      </c>
      <c r="M3684" s="3">
        <v>22</v>
      </c>
      <c r="N3684" s="3">
        <v>0</v>
      </c>
      <c r="O3684" s="3"/>
      <c r="P3684" s="3"/>
      <c r="Q3684" s="3"/>
    </row>
    <row r="3685" spans="1:17" ht="15" x14ac:dyDescent="0.25">
      <c r="A3685" s="3">
        <f>3678</f>
        <v>3678</v>
      </c>
      <c r="B3685" s="3" t="s">
        <v>3687</v>
      </c>
      <c r="C3685" s="3" t="s">
        <v>9</v>
      </c>
      <c r="D3685" s="3" t="s">
        <v>10</v>
      </c>
      <c r="E3685" s="3">
        <v>0</v>
      </c>
      <c r="F3685" s="3">
        <v>0</v>
      </c>
      <c r="G3685" s="3">
        <v>1</v>
      </c>
      <c r="H3685" s="3">
        <v>22</v>
      </c>
      <c r="I3685" s="3">
        <v>0</v>
      </c>
      <c r="J3685" s="3">
        <v>0</v>
      </c>
      <c r="K3685" s="3">
        <v>0</v>
      </c>
      <c r="L3685" s="3">
        <v>1</v>
      </c>
      <c r="M3685" s="3">
        <v>22</v>
      </c>
      <c r="N3685" s="3">
        <v>0</v>
      </c>
      <c r="O3685" s="3"/>
      <c r="P3685" s="3"/>
      <c r="Q3685" s="3"/>
    </row>
    <row r="3686" spans="1:17" ht="15" x14ac:dyDescent="0.25">
      <c r="A3686" s="3">
        <f>3679</f>
        <v>3679</v>
      </c>
      <c r="B3686" s="3" t="s">
        <v>3688</v>
      </c>
      <c r="C3686" s="3" t="s">
        <v>9</v>
      </c>
      <c r="D3686" s="3" t="s">
        <v>10</v>
      </c>
      <c r="E3686" s="3">
        <v>0</v>
      </c>
      <c r="F3686" s="3">
        <v>0</v>
      </c>
      <c r="G3686" s="3">
        <v>1</v>
      </c>
      <c r="H3686" s="3">
        <v>22</v>
      </c>
      <c r="I3686" s="3">
        <v>0</v>
      </c>
      <c r="J3686" s="3">
        <v>0</v>
      </c>
      <c r="K3686" s="3">
        <v>0</v>
      </c>
      <c r="L3686" s="3">
        <v>1</v>
      </c>
      <c r="M3686" s="3">
        <v>22</v>
      </c>
      <c r="N3686" s="3">
        <v>0</v>
      </c>
      <c r="O3686" s="3"/>
      <c r="P3686" s="3"/>
      <c r="Q3686" s="3"/>
    </row>
    <row r="3687" spans="1:17" ht="15" x14ac:dyDescent="0.25">
      <c r="A3687" s="3">
        <f>3680</f>
        <v>3680</v>
      </c>
      <c r="B3687" s="3" t="s">
        <v>3689</v>
      </c>
      <c r="C3687" s="3" t="s">
        <v>9</v>
      </c>
      <c r="D3687" s="3" t="s">
        <v>10</v>
      </c>
      <c r="E3687" s="3">
        <v>0</v>
      </c>
      <c r="F3687" s="3">
        <v>0</v>
      </c>
      <c r="G3687" s="3">
        <v>1</v>
      </c>
      <c r="H3687" s="3">
        <v>22</v>
      </c>
      <c r="I3687" s="3">
        <v>0</v>
      </c>
      <c r="J3687" s="3">
        <v>0</v>
      </c>
      <c r="K3687" s="3">
        <v>0</v>
      </c>
      <c r="L3687" s="3">
        <v>1</v>
      </c>
      <c r="M3687" s="3">
        <v>22</v>
      </c>
      <c r="N3687" s="3">
        <v>0</v>
      </c>
      <c r="O3687" s="3"/>
      <c r="P3687" s="3"/>
      <c r="Q3687" s="3"/>
    </row>
    <row r="3688" spans="1:17" ht="15" x14ac:dyDescent="0.25">
      <c r="A3688" s="3">
        <f>3681</f>
        <v>3681</v>
      </c>
      <c r="B3688" s="3" t="s">
        <v>3690</v>
      </c>
      <c r="C3688" s="3" t="s">
        <v>9</v>
      </c>
      <c r="D3688" s="3" t="s">
        <v>10</v>
      </c>
      <c r="E3688" s="3">
        <v>0</v>
      </c>
      <c r="F3688" s="3">
        <v>0</v>
      </c>
      <c r="G3688" s="3">
        <v>1</v>
      </c>
      <c r="H3688" s="3">
        <v>22</v>
      </c>
      <c r="I3688" s="3">
        <v>0</v>
      </c>
      <c r="J3688" s="3">
        <v>0</v>
      </c>
      <c r="K3688" s="3">
        <v>0</v>
      </c>
      <c r="L3688" s="3">
        <v>1</v>
      </c>
      <c r="M3688" s="3">
        <v>22</v>
      </c>
      <c r="N3688" s="3">
        <v>0</v>
      </c>
      <c r="O3688" s="3"/>
      <c r="P3688" s="3"/>
      <c r="Q3688" s="3"/>
    </row>
    <row r="3689" spans="1:17" ht="15" x14ac:dyDescent="0.25">
      <c r="A3689" s="3">
        <f>3682</f>
        <v>3682</v>
      </c>
      <c r="B3689" s="3" t="s">
        <v>3691</v>
      </c>
      <c r="C3689" s="3" t="s">
        <v>9</v>
      </c>
      <c r="D3689" s="3" t="s">
        <v>10</v>
      </c>
      <c r="E3689" s="3">
        <v>0</v>
      </c>
      <c r="F3689" s="3">
        <v>0</v>
      </c>
      <c r="G3689" s="3">
        <v>1</v>
      </c>
      <c r="H3689" s="3">
        <v>22</v>
      </c>
      <c r="I3689" s="3">
        <v>0</v>
      </c>
      <c r="J3689" s="3">
        <v>0</v>
      </c>
      <c r="K3689" s="3">
        <v>0</v>
      </c>
      <c r="L3689" s="3">
        <v>1</v>
      </c>
      <c r="M3689" s="3">
        <v>22</v>
      </c>
      <c r="N3689" s="3">
        <v>0</v>
      </c>
      <c r="O3689" s="3"/>
      <c r="P3689" s="3"/>
      <c r="Q3689" s="3"/>
    </row>
    <row r="3690" spans="1:17" ht="15" x14ac:dyDescent="0.25">
      <c r="A3690" s="3">
        <f>3683</f>
        <v>3683</v>
      </c>
      <c r="B3690" s="3" t="s">
        <v>3692</v>
      </c>
      <c r="C3690" s="3" t="s">
        <v>9</v>
      </c>
      <c r="D3690" s="3" t="s">
        <v>10</v>
      </c>
      <c r="E3690" s="3">
        <v>0</v>
      </c>
      <c r="F3690" s="3">
        <v>0</v>
      </c>
      <c r="G3690" s="3">
        <v>1</v>
      </c>
      <c r="H3690" s="3">
        <v>22</v>
      </c>
      <c r="I3690" s="3">
        <v>0</v>
      </c>
      <c r="J3690" s="3">
        <v>0</v>
      </c>
      <c r="K3690" s="3">
        <v>0</v>
      </c>
      <c r="L3690" s="3">
        <v>1</v>
      </c>
      <c r="M3690" s="3">
        <v>22</v>
      </c>
      <c r="N3690" s="3">
        <v>0</v>
      </c>
      <c r="O3690" s="3"/>
      <c r="P3690" s="3"/>
      <c r="Q3690" s="3"/>
    </row>
    <row r="3691" spans="1:17" ht="15" x14ac:dyDescent="0.25">
      <c r="A3691" s="3">
        <f>3684</f>
        <v>3684</v>
      </c>
      <c r="B3691" s="3" t="s">
        <v>3693</v>
      </c>
      <c r="C3691" s="3" t="s">
        <v>9</v>
      </c>
      <c r="D3691" s="3" t="s">
        <v>10</v>
      </c>
      <c r="E3691" s="3">
        <v>0</v>
      </c>
      <c r="F3691" s="3">
        <v>0</v>
      </c>
      <c r="G3691" s="3">
        <v>1</v>
      </c>
      <c r="H3691" s="3">
        <v>22</v>
      </c>
      <c r="I3691" s="3">
        <v>0</v>
      </c>
      <c r="J3691" s="3">
        <v>0</v>
      </c>
      <c r="K3691" s="3">
        <v>0</v>
      </c>
      <c r="L3691" s="3">
        <v>1</v>
      </c>
      <c r="M3691" s="3">
        <v>22</v>
      </c>
      <c r="N3691" s="3">
        <v>0</v>
      </c>
      <c r="O3691" s="3"/>
      <c r="P3691" s="3"/>
      <c r="Q3691" s="3"/>
    </row>
    <row r="3692" spans="1:17" ht="15" x14ac:dyDescent="0.25">
      <c r="A3692" s="3">
        <f>3685</f>
        <v>3685</v>
      </c>
      <c r="B3692" s="3" t="s">
        <v>3694</v>
      </c>
      <c r="C3692" s="3" t="s">
        <v>9</v>
      </c>
      <c r="D3692" s="3" t="s">
        <v>10</v>
      </c>
      <c r="E3692" s="3">
        <v>0</v>
      </c>
      <c r="F3692" s="3">
        <v>0</v>
      </c>
      <c r="G3692" s="3">
        <v>1</v>
      </c>
      <c r="H3692" s="3">
        <v>22</v>
      </c>
      <c r="I3692" s="3">
        <v>0</v>
      </c>
      <c r="J3692" s="3">
        <v>0</v>
      </c>
      <c r="K3692" s="3">
        <v>0</v>
      </c>
      <c r="L3692" s="3">
        <v>1</v>
      </c>
      <c r="M3692" s="3">
        <v>22</v>
      </c>
      <c r="N3692" s="3">
        <v>0</v>
      </c>
      <c r="O3692" s="3"/>
      <c r="P3692" s="3"/>
      <c r="Q3692" s="3"/>
    </row>
    <row r="3693" spans="1:17" ht="15" x14ac:dyDescent="0.25">
      <c r="A3693" s="3">
        <f>3686</f>
        <v>3686</v>
      </c>
      <c r="B3693" s="3" t="s">
        <v>3695</v>
      </c>
      <c r="C3693" s="3" t="s">
        <v>9</v>
      </c>
      <c r="D3693" s="3" t="s">
        <v>10</v>
      </c>
      <c r="E3693" s="3">
        <v>0</v>
      </c>
      <c r="F3693" s="3">
        <v>0</v>
      </c>
      <c r="G3693" s="3">
        <v>1</v>
      </c>
      <c r="H3693" s="3">
        <v>22</v>
      </c>
      <c r="I3693" s="3">
        <v>0</v>
      </c>
      <c r="J3693" s="3">
        <v>0</v>
      </c>
      <c r="K3693" s="3">
        <v>0</v>
      </c>
      <c r="L3693" s="3">
        <v>1</v>
      </c>
      <c r="M3693" s="3">
        <v>22</v>
      </c>
      <c r="N3693" s="3">
        <v>0</v>
      </c>
      <c r="O3693" s="3"/>
      <c r="P3693" s="3"/>
      <c r="Q3693" s="3"/>
    </row>
    <row r="3694" spans="1:17" ht="15" x14ac:dyDescent="0.25">
      <c r="A3694" s="3">
        <f>3687</f>
        <v>3687</v>
      </c>
      <c r="B3694" s="3" t="s">
        <v>3696</v>
      </c>
      <c r="C3694" s="3" t="s">
        <v>9</v>
      </c>
      <c r="D3694" s="3" t="s">
        <v>10</v>
      </c>
      <c r="E3694" s="3">
        <v>0</v>
      </c>
      <c r="F3694" s="3">
        <v>0</v>
      </c>
      <c r="G3694" s="3">
        <v>1</v>
      </c>
      <c r="H3694" s="3">
        <v>22</v>
      </c>
      <c r="I3694" s="3">
        <v>0</v>
      </c>
      <c r="J3694" s="3">
        <v>0</v>
      </c>
      <c r="K3694" s="3">
        <v>0</v>
      </c>
      <c r="L3694" s="3">
        <v>1</v>
      </c>
      <c r="M3694" s="3">
        <v>22</v>
      </c>
      <c r="N3694" s="3">
        <v>0</v>
      </c>
      <c r="O3694" s="3"/>
      <c r="P3694" s="3"/>
      <c r="Q3694" s="3"/>
    </row>
    <row r="3695" spans="1:17" ht="15" x14ac:dyDescent="0.25">
      <c r="A3695" s="3">
        <f>3688</f>
        <v>3688</v>
      </c>
      <c r="B3695" s="3" t="s">
        <v>3697</v>
      </c>
      <c r="C3695" s="3" t="s">
        <v>9</v>
      </c>
      <c r="D3695" s="3" t="s">
        <v>10</v>
      </c>
      <c r="E3695" s="3">
        <v>0</v>
      </c>
      <c r="F3695" s="3">
        <v>0</v>
      </c>
      <c r="G3695" s="3">
        <v>1</v>
      </c>
      <c r="H3695" s="3">
        <v>22</v>
      </c>
      <c r="I3695" s="3">
        <v>0</v>
      </c>
      <c r="J3695" s="3">
        <v>0</v>
      </c>
      <c r="K3695" s="3">
        <v>0</v>
      </c>
      <c r="L3695" s="3">
        <v>1</v>
      </c>
      <c r="M3695" s="3">
        <v>22</v>
      </c>
      <c r="N3695" s="3">
        <v>0</v>
      </c>
      <c r="O3695" s="3"/>
      <c r="P3695" s="3"/>
      <c r="Q3695" s="3"/>
    </row>
    <row r="3696" spans="1:17" ht="15" x14ac:dyDescent="0.25">
      <c r="A3696" s="3">
        <f>3689</f>
        <v>3689</v>
      </c>
      <c r="B3696" s="3" t="s">
        <v>3698</v>
      </c>
      <c r="C3696" s="3" t="s">
        <v>9</v>
      </c>
      <c r="D3696" s="3" t="s">
        <v>10</v>
      </c>
      <c r="E3696" s="3">
        <v>0</v>
      </c>
      <c r="F3696" s="3">
        <v>0</v>
      </c>
      <c r="G3696" s="3">
        <v>1</v>
      </c>
      <c r="H3696" s="3">
        <v>22</v>
      </c>
      <c r="I3696" s="3">
        <v>0</v>
      </c>
      <c r="J3696" s="3">
        <v>0</v>
      </c>
      <c r="K3696" s="3">
        <v>0</v>
      </c>
      <c r="L3696" s="3">
        <v>1</v>
      </c>
      <c r="M3696" s="3">
        <v>22</v>
      </c>
      <c r="N3696" s="3">
        <v>0</v>
      </c>
      <c r="O3696" s="3"/>
      <c r="P3696" s="3"/>
      <c r="Q3696" s="3"/>
    </row>
    <row r="3697" spans="1:17" ht="15" x14ac:dyDescent="0.25">
      <c r="A3697" s="3">
        <f>3690</f>
        <v>3690</v>
      </c>
      <c r="B3697" s="3" t="s">
        <v>3699</v>
      </c>
      <c r="C3697" s="3" t="s">
        <v>9</v>
      </c>
      <c r="D3697" s="3" t="s">
        <v>10</v>
      </c>
      <c r="E3697" s="3">
        <v>0</v>
      </c>
      <c r="F3697" s="3">
        <v>0</v>
      </c>
      <c r="G3697" s="3">
        <v>1</v>
      </c>
      <c r="H3697" s="3">
        <v>22</v>
      </c>
      <c r="I3697" s="3">
        <v>0</v>
      </c>
      <c r="J3697" s="3">
        <v>0</v>
      </c>
      <c r="K3697" s="3">
        <v>0</v>
      </c>
      <c r="L3697" s="3">
        <v>1</v>
      </c>
      <c r="M3697" s="3">
        <v>22</v>
      </c>
      <c r="N3697" s="3">
        <v>0</v>
      </c>
      <c r="O3697" s="3"/>
      <c r="P3697" s="3"/>
      <c r="Q3697" s="3"/>
    </row>
    <row r="3698" spans="1:17" ht="15" x14ac:dyDescent="0.25">
      <c r="A3698" s="3">
        <f>3691</f>
        <v>3691</v>
      </c>
      <c r="B3698" s="3" t="s">
        <v>3700</v>
      </c>
      <c r="C3698" s="3" t="s">
        <v>9</v>
      </c>
      <c r="D3698" s="3" t="s">
        <v>10</v>
      </c>
      <c r="E3698" s="3">
        <v>0</v>
      </c>
      <c r="F3698" s="3">
        <v>0</v>
      </c>
      <c r="G3698" s="3">
        <v>1</v>
      </c>
      <c r="H3698" s="3">
        <v>22</v>
      </c>
      <c r="I3698" s="3">
        <v>0</v>
      </c>
      <c r="J3698" s="3">
        <v>0</v>
      </c>
      <c r="K3698" s="3">
        <v>0</v>
      </c>
      <c r="L3698" s="3">
        <v>1</v>
      </c>
      <c r="M3698" s="3">
        <v>22</v>
      </c>
      <c r="N3698" s="3">
        <v>0</v>
      </c>
      <c r="O3698" s="3"/>
      <c r="P3698" s="3"/>
      <c r="Q3698" s="3"/>
    </row>
    <row r="3699" spans="1:17" ht="15" x14ac:dyDescent="0.25">
      <c r="A3699" s="3">
        <f>3692</f>
        <v>3692</v>
      </c>
      <c r="B3699" s="3" t="s">
        <v>3701</v>
      </c>
      <c r="C3699" s="3" t="s">
        <v>9</v>
      </c>
      <c r="D3699" s="3" t="s">
        <v>10</v>
      </c>
      <c r="E3699" s="3">
        <v>0</v>
      </c>
      <c r="F3699" s="3">
        <v>0</v>
      </c>
      <c r="G3699" s="3">
        <v>1</v>
      </c>
      <c r="H3699" s="3">
        <v>22</v>
      </c>
      <c r="I3699" s="3">
        <v>0</v>
      </c>
      <c r="J3699" s="3">
        <v>0</v>
      </c>
      <c r="K3699" s="3">
        <v>0</v>
      </c>
      <c r="L3699" s="3">
        <v>1</v>
      </c>
      <c r="M3699" s="3">
        <v>22</v>
      </c>
      <c r="N3699" s="3">
        <v>0</v>
      </c>
      <c r="O3699" s="3"/>
      <c r="P3699" s="3"/>
      <c r="Q3699" s="3"/>
    </row>
    <row r="3700" spans="1:17" ht="15" x14ac:dyDescent="0.25">
      <c r="A3700" s="3">
        <f>3693</f>
        <v>3693</v>
      </c>
      <c r="B3700" s="3" t="s">
        <v>3702</v>
      </c>
      <c r="C3700" s="3" t="s">
        <v>9</v>
      </c>
      <c r="D3700" s="3" t="s">
        <v>10</v>
      </c>
      <c r="E3700" s="3">
        <v>0</v>
      </c>
      <c r="F3700" s="3">
        <v>0</v>
      </c>
      <c r="G3700" s="3">
        <v>1</v>
      </c>
      <c r="H3700" s="3">
        <v>22</v>
      </c>
      <c r="I3700" s="3">
        <v>0</v>
      </c>
      <c r="J3700" s="3">
        <v>0</v>
      </c>
      <c r="K3700" s="3">
        <v>0</v>
      </c>
      <c r="L3700" s="3">
        <v>1</v>
      </c>
      <c r="M3700" s="3">
        <v>22</v>
      </c>
      <c r="N3700" s="3">
        <v>0</v>
      </c>
      <c r="O3700" s="3"/>
      <c r="P3700" s="3"/>
      <c r="Q3700" s="3"/>
    </row>
    <row r="3701" spans="1:17" ht="15" x14ac:dyDescent="0.25">
      <c r="A3701" s="3">
        <f>3694</f>
        <v>3694</v>
      </c>
      <c r="B3701" s="3" t="s">
        <v>3703</v>
      </c>
      <c r="C3701" s="3" t="s">
        <v>9</v>
      </c>
      <c r="D3701" s="3" t="s">
        <v>10</v>
      </c>
      <c r="E3701" s="3">
        <v>0</v>
      </c>
      <c r="F3701" s="3">
        <v>0</v>
      </c>
      <c r="G3701" s="3">
        <v>1</v>
      </c>
      <c r="H3701" s="3">
        <v>22</v>
      </c>
      <c r="I3701" s="3">
        <v>0</v>
      </c>
      <c r="J3701" s="3">
        <v>0</v>
      </c>
      <c r="K3701" s="3">
        <v>0</v>
      </c>
      <c r="L3701" s="3">
        <v>1</v>
      </c>
      <c r="M3701" s="3">
        <v>22</v>
      </c>
      <c r="N3701" s="3">
        <v>0</v>
      </c>
      <c r="O3701" s="3"/>
      <c r="P3701" s="3"/>
      <c r="Q3701" s="3"/>
    </row>
    <row r="3702" spans="1:17" ht="15" x14ac:dyDescent="0.25">
      <c r="A3702" s="3">
        <f>3695</f>
        <v>3695</v>
      </c>
      <c r="B3702" s="3" t="s">
        <v>3704</v>
      </c>
      <c r="C3702" s="3" t="s">
        <v>9</v>
      </c>
      <c r="D3702" s="3" t="s">
        <v>10</v>
      </c>
      <c r="E3702" s="3">
        <v>0</v>
      </c>
      <c r="F3702" s="3">
        <v>0</v>
      </c>
      <c r="G3702" s="3">
        <v>1</v>
      </c>
      <c r="H3702" s="3">
        <v>22</v>
      </c>
      <c r="I3702" s="3">
        <v>0</v>
      </c>
      <c r="J3702" s="3">
        <v>0</v>
      </c>
      <c r="K3702" s="3">
        <v>0</v>
      </c>
      <c r="L3702" s="3">
        <v>1</v>
      </c>
      <c r="M3702" s="3">
        <v>22</v>
      </c>
      <c r="N3702" s="3">
        <v>0</v>
      </c>
      <c r="O3702" s="3"/>
      <c r="P3702" s="3"/>
      <c r="Q3702" s="3"/>
    </row>
    <row r="3703" spans="1:17" ht="15" x14ac:dyDescent="0.25">
      <c r="A3703" s="3">
        <f>3696</f>
        <v>3696</v>
      </c>
      <c r="B3703" s="3" t="s">
        <v>3705</v>
      </c>
      <c r="C3703" s="3" t="s">
        <v>9</v>
      </c>
      <c r="D3703" s="3" t="s">
        <v>10</v>
      </c>
      <c r="E3703" s="3">
        <v>0</v>
      </c>
      <c r="F3703" s="3">
        <v>0</v>
      </c>
      <c r="G3703" s="3">
        <v>1</v>
      </c>
      <c r="H3703" s="3">
        <v>22</v>
      </c>
      <c r="I3703" s="3">
        <v>0</v>
      </c>
      <c r="J3703" s="3">
        <v>0</v>
      </c>
      <c r="K3703" s="3">
        <v>0</v>
      </c>
      <c r="L3703" s="3">
        <v>1</v>
      </c>
      <c r="M3703" s="3">
        <v>22</v>
      </c>
      <c r="N3703" s="3">
        <v>0</v>
      </c>
      <c r="O3703" s="3"/>
      <c r="P3703" s="3"/>
      <c r="Q3703" s="3"/>
    </row>
    <row r="3704" spans="1:17" ht="15" x14ac:dyDescent="0.25">
      <c r="A3704" s="3">
        <f>3697</f>
        <v>3697</v>
      </c>
      <c r="B3704" s="3" t="s">
        <v>3706</v>
      </c>
      <c r="C3704" s="3" t="s">
        <v>9</v>
      </c>
      <c r="D3704" s="3" t="s">
        <v>10</v>
      </c>
      <c r="E3704" s="3">
        <v>0</v>
      </c>
      <c r="F3704" s="3">
        <v>0</v>
      </c>
      <c r="G3704" s="3">
        <v>1</v>
      </c>
      <c r="H3704" s="3">
        <v>22</v>
      </c>
      <c r="I3704" s="3">
        <v>0</v>
      </c>
      <c r="J3704" s="3">
        <v>0</v>
      </c>
      <c r="K3704" s="3">
        <v>0</v>
      </c>
      <c r="L3704" s="3">
        <v>1</v>
      </c>
      <c r="M3704" s="3">
        <v>22</v>
      </c>
      <c r="N3704" s="3">
        <v>0</v>
      </c>
      <c r="O3704" s="3"/>
      <c r="P3704" s="3"/>
      <c r="Q3704" s="3"/>
    </row>
    <row r="3705" spans="1:17" ht="15" x14ac:dyDescent="0.25">
      <c r="A3705" s="3">
        <f>3698</f>
        <v>3698</v>
      </c>
      <c r="B3705" s="3" t="s">
        <v>3707</v>
      </c>
      <c r="C3705" s="3" t="s">
        <v>9</v>
      </c>
      <c r="D3705" s="3" t="s">
        <v>10</v>
      </c>
      <c r="E3705" s="3">
        <v>0</v>
      </c>
      <c r="F3705" s="3">
        <v>0</v>
      </c>
      <c r="G3705" s="3">
        <v>1</v>
      </c>
      <c r="H3705" s="3">
        <v>22</v>
      </c>
      <c r="I3705" s="3">
        <v>0</v>
      </c>
      <c r="J3705" s="3">
        <v>0</v>
      </c>
      <c r="K3705" s="3">
        <v>0</v>
      </c>
      <c r="L3705" s="3">
        <v>1</v>
      </c>
      <c r="M3705" s="3">
        <v>22</v>
      </c>
      <c r="N3705" s="3">
        <v>0</v>
      </c>
      <c r="O3705" s="3"/>
      <c r="P3705" s="3"/>
      <c r="Q3705" s="3"/>
    </row>
    <row r="3706" spans="1:17" ht="15" x14ac:dyDescent="0.25">
      <c r="A3706" s="3">
        <f>3699</f>
        <v>3699</v>
      </c>
      <c r="B3706" s="3" t="s">
        <v>3708</v>
      </c>
      <c r="C3706" s="3" t="s">
        <v>9</v>
      </c>
      <c r="D3706" s="3" t="s">
        <v>10</v>
      </c>
      <c r="E3706" s="3">
        <v>0</v>
      </c>
      <c r="F3706" s="3">
        <v>0</v>
      </c>
      <c r="G3706" s="3">
        <v>1</v>
      </c>
      <c r="H3706" s="3">
        <v>22</v>
      </c>
      <c r="I3706" s="3">
        <v>0</v>
      </c>
      <c r="J3706" s="3">
        <v>0</v>
      </c>
      <c r="K3706" s="3">
        <v>0</v>
      </c>
      <c r="L3706" s="3">
        <v>1</v>
      </c>
      <c r="M3706" s="3">
        <v>22</v>
      </c>
      <c r="N3706" s="3">
        <v>0</v>
      </c>
      <c r="O3706" s="3"/>
      <c r="P3706" s="3"/>
      <c r="Q3706" s="3"/>
    </row>
    <row r="3707" spans="1:17" ht="15" x14ac:dyDescent="0.25">
      <c r="A3707" s="3">
        <f>3700</f>
        <v>3700</v>
      </c>
      <c r="B3707" s="3" t="s">
        <v>3709</v>
      </c>
      <c r="C3707" s="3" t="s">
        <v>9</v>
      </c>
      <c r="D3707" s="3" t="s">
        <v>10</v>
      </c>
      <c r="E3707" s="3">
        <v>0</v>
      </c>
      <c r="F3707" s="3">
        <v>0</v>
      </c>
      <c r="G3707" s="3">
        <v>1</v>
      </c>
      <c r="H3707" s="3">
        <v>22</v>
      </c>
      <c r="I3707" s="3">
        <v>0</v>
      </c>
      <c r="J3707" s="3">
        <v>0</v>
      </c>
      <c r="K3707" s="3">
        <v>0</v>
      </c>
      <c r="L3707" s="3">
        <v>1</v>
      </c>
      <c r="M3707" s="3">
        <v>22</v>
      </c>
      <c r="N3707" s="3">
        <v>0</v>
      </c>
      <c r="O3707" s="3"/>
      <c r="P3707" s="3"/>
      <c r="Q3707" s="3"/>
    </row>
    <row r="3708" spans="1:17" ht="15" x14ac:dyDescent="0.25">
      <c r="A3708" s="3">
        <f>3701</f>
        <v>3701</v>
      </c>
      <c r="B3708" s="3" t="s">
        <v>3710</v>
      </c>
      <c r="C3708" s="3" t="s">
        <v>9</v>
      </c>
      <c r="D3708" s="3" t="s">
        <v>10</v>
      </c>
      <c r="E3708" s="3">
        <v>0</v>
      </c>
      <c r="F3708" s="3">
        <v>0</v>
      </c>
      <c r="G3708" s="3">
        <v>1</v>
      </c>
      <c r="H3708" s="3">
        <v>22</v>
      </c>
      <c r="I3708" s="3">
        <v>0</v>
      </c>
      <c r="J3708" s="3">
        <v>0</v>
      </c>
      <c r="K3708" s="3">
        <v>0</v>
      </c>
      <c r="L3708" s="3">
        <v>1</v>
      </c>
      <c r="M3708" s="3">
        <v>22</v>
      </c>
      <c r="N3708" s="3">
        <v>0</v>
      </c>
      <c r="O3708" s="3"/>
      <c r="P3708" s="3"/>
      <c r="Q3708" s="3"/>
    </row>
    <row r="3709" spans="1:17" ht="15" x14ac:dyDescent="0.25">
      <c r="A3709" s="3">
        <f>3702</f>
        <v>3702</v>
      </c>
      <c r="B3709" s="3" t="s">
        <v>3711</v>
      </c>
      <c r="C3709" s="3" t="s">
        <v>9</v>
      </c>
      <c r="D3709" s="3" t="s">
        <v>10</v>
      </c>
      <c r="E3709" s="3">
        <v>0</v>
      </c>
      <c r="F3709" s="3">
        <v>0</v>
      </c>
      <c r="G3709" s="3">
        <v>1</v>
      </c>
      <c r="H3709" s="3">
        <v>22</v>
      </c>
      <c r="I3709" s="3">
        <v>0</v>
      </c>
      <c r="J3709" s="3">
        <v>0</v>
      </c>
      <c r="K3709" s="3">
        <v>0</v>
      </c>
      <c r="L3709" s="3">
        <v>1</v>
      </c>
      <c r="M3709" s="3">
        <v>22</v>
      </c>
      <c r="N3709" s="3">
        <v>0</v>
      </c>
      <c r="O3709" s="3"/>
      <c r="P3709" s="3"/>
      <c r="Q3709" s="3"/>
    </row>
    <row r="3710" spans="1:17" ht="15" x14ac:dyDescent="0.25">
      <c r="A3710" s="3">
        <f>3703</f>
        <v>3703</v>
      </c>
      <c r="B3710" s="3" t="s">
        <v>3712</v>
      </c>
      <c r="C3710" s="3" t="s">
        <v>9</v>
      </c>
      <c r="D3710" s="3" t="s">
        <v>10</v>
      </c>
      <c r="E3710" s="3">
        <v>0</v>
      </c>
      <c r="F3710" s="3">
        <v>0</v>
      </c>
      <c r="G3710" s="3">
        <v>1</v>
      </c>
      <c r="H3710" s="3">
        <v>22</v>
      </c>
      <c r="I3710" s="3">
        <v>0</v>
      </c>
      <c r="J3710" s="3">
        <v>0</v>
      </c>
      <c r="K3710" s="3">
        <v>0</v>
      </c>
      <c r="L3710" s="3">
        <v>1</v>
      </c>
      <c r="M3710" s="3">
        <v>22</v>
      </c>
      <c r="N3710" s="3">
        <v>0</v>
      </c>
      <c r="O3710" s="3"/>
      <c r="P3710" s="3"/>
      <c r="Q3710" s="3"/>
    </row>
    <row r="3711" spans="1:17" ht="15" x14ac:dyDescent="0.25">
      <c r="A3711" s="3">
        <f>3704</f>
        <v>3704</v>
      </c>
      <c r="B3711" s="3" t="s">
        <v>3713</v>
      </c>
      <c r="C3711" s="3" t="s">
        <v>9</v>
      </c>
      <c r="D3711" s="3" t="s">
        <v>10</v>
      </c>
      <c r="E3711" s="3">
        <v>0</v>
      </c>
      <c r="F3711" s="3">
        <v>0</v>
      </c>
      <c r="G3711" s="3">
        <v>1</v>
      </c>
      <c r="H3711" s="3">
        <v>22</v>
      </c>
      <c r="I3711" s="3">
        <v>0</v>
      </c>
      <c r="J3711" s="3">
        <v>0</v>
      </c>
      <c r="K3711" s="3">
        <v>0</v>
      </c>
      <c r="L3711" s="3">
        <v>1</v>
      </c>
      <c r="M3711" s="3">
        <v>22</v>
      </c>
      <c r="N3711" s="3">
        <v>0</v>
      </c>
      <c r="O3711" s="3"/>
      <c r="P3711" s="3"/>
      <c r="Q3711" s="3"/>
    </row>
    <row r="3712" spans="1:17" ht="15" x14ac:dyDescent="0.25">
      <c r="A3712" s="3">
        <f>3705</f>
        <v>3705</v>
      </c>
      <c r="B3712" s="3" t="s">
        <v>3714</v>
      </c>
      <c r="C3712" s="3" t="s">
        <v>9</v>
      </c>
      <c r="D3712" s="3" t="s">
        <v>10</v>
      </c>
      <c r="E3712" s="3">
        <v>0</v>
      </c>
      <c r="F3712" s="3">
        <v>0</v>
      </c>
      <c r="G3712" s="3">
        <v>1</v>
      </c>
      <c r="H3712" s="3">
        <v>22</v>
      </c>
      <c r="I3712" s="3">
        <v>0</v>
      </c>
      <c r="J3712" s="3">
        <v>0</v>
      </c>
      <c r="K3712" s="3">
        <v>0</v>
      </c>
      <c r="L3712" s="3">
        <v>1</v>
      </c>
      <c r="M3712" s="3">
        <v>22</v>
      </c>
      <c r="N3712" s="3">
        <v>0</v>
      </c>
      <c r="O3712" s="3"/>
      <c r="P3712" s="3"/>
      <c r="Q3712" s="3"/>
    </row>
    <row r="3713" spans="1:17" ht="15" x14ac:dyDescent="0.25">
      <c r="A3713" s="3">
        <f>3706</f>
        <v>3706</v>
      </c>
      <c r="B3713" s="3" t="s">
        <v>3715</v>
      </c>
      <c r="C3713" s="3" t="s">
        <v>9</v>
      </c>
      <c r="D3713" s="3" t="s">
        <v>10</v>
      </c>
      <c r="E3713" s="3">
        <v>0</v>
      </c>
      <c r="F3713" s="3">
        <v>0</v>
      </c>
      <c r="G3713" s="3">
        <v>1</v>
      </c>
      <c r="H3713" s="3">
        <v>22</v>
      </c>
      <c r="I3713" s="3">
        <v>0</v>
      </c>
      <c r="J3713" s="3">
        <v>0</v>
      </c>
      <c r="K3713" s="3">
        <v>0</v>
      </c>
      <c r="L3713" s="3">
        <v>1</v>
      </c>
      <c r="M3713" s="3">
        <v>22</v>
      </c>
      <c r="N3713" s="3">
        <v>0</v>
      </c>
      <c r="O3713" s="3"/>
      <c r="P3713" s="3"/>
      <c r="Q3713" s="3"/>
    </row>
    <row r="3714" spans="1:17" ht="15" x14ac:dyDescent="0.25">
      <c r="A3714" s="3">
        <f>3707</f>
        <v>3707</v>
      </c>
      <c r="B3714" s="3" t="s">
        <v>3716</v>
      </c>
      <c r="C3714" s="3" t="s">
        <v>9</v>
      </c>
      <c r="D3714" s="3" t="s">
        <v>10</v>
      </c>
      <c r="E3714" s="3">
        <v>0</v>
      </c>
      <c r="F3714" s="3">
        <v>0</v>
      </c>
      <c r="G3714" s="3">
        <v>1</v>
      </c>
      <c r="H3714" s="3">
        <v>22</v>
      </c>
      <c r="I3714" s="3">
        <v>0</v>
      </c>
      <c r="J3714" s="3">
        <v>0</v>
      </c>
      <c r="K3714" s="3">
        <v>0</v>
      </c>
      <c r="L3714" s="3">
        <v>1</v>
      </c>
      <c r="M3714" s="3">
        <v>22</v>
      </c>
      <c r="N3714" s="3">
        <v>0</v>
      </c>
      <c r="O3714" s="3"/>
      <c r="P3714" s="3"/>
      <c r="Q3714" s="3"/>
    </row>
    <row r="3715" spans="1:17" ht="15" x14ac:dyDescent="0.25">
      <c r="A3715" s="3">
        <f>3708</f>
        <v>3708</v>
      </c>
      <c r="B3715" s="3" t="s">
        <v>3717</v>
      </c>
      <c r="C3715" s="3" t="s">
        <v>9</v>
      </c>
      <c r="D3715" s="3" t="s">
        <v>10</v>
      </c>
      <c r="E3715" s="3">
        <v>0</v>
      </c>
      <c r="F3715" s="3">
        <v>0</v>
      </c>
      <c r="G3715" s="3">
        <v>1</v>
      </c>
      <c r="H3715" s="3">
        <v>22</v>
      </c>
      <c r="I3715" s="3">
        <v>0</v>
      </c>
      <c r="J3715" s="3">
        <v>0</v>
      </c>
      <c r="K3715" s="3">
        <v>0</v>
      </c>
      <c r="L3715" s="3">
        <v>1</v>
      </c>
      <c r="M3715" s="3">
        <v>22</v>
      </c>
      <c r="N3715" s="3">
        <v>0</v>
      </c>
      <c r="O3715" s="3"/>
      <c r="P3715" s="3"/>
      <c r="Q3715" s="3"/>
    </row>
    <row r="3716" spans="1:17" ht="15" x14ac:dyDescent="0.25">
      <c r="A3716" s="3">
        <f>3709</f>
        <v>3709</v>
      </c>
      <c r="B3716" s="3" t="s">
        <v>3718</v>
      </c>
      <c r="C3716" s="3" t="s">
        <v>9</v>
      </c>
      <c r="D3716" s="3" t="s">
        <v>10</v>
      </c>
      <c r="E3716" s="3">
        <v>0</v>
      </c>
      <c r="F3716" s="3">
        <v>0</v>
      </c>
      <c r="G3716" s="3">
        <v>1</v>
      </c>
      <c r="H3716" s="3">
        <v>22</v>
      </c>
      <c r="I3716" s="3">
        <v>0</v>
      </c>
      <c r="J3716" s="3">
        <v>0</v>
      </c>
      <c r="K3716" s="3">
        <v>0</v>
      </c>
      <c r="L3716" s="3">
        <v>1</v>
      </c>
      <c r="M3716" s="3">
        <v>22</v>
      </c>
      <c r="N3716" s="3">
        <v>0</v>
      </c>
      <c r="O3716" s="3"/>
      <c r="P3716" s="3"/>
      <c r="Q3716" s="3"/>
    </row>
    <row r="3717" spans="1:17" ht="15" x14ac:dyDescent="0.25">
      <c r="A3717" s="3">
        <f>3710</f>
        <v>3710</v>
      </c>
      <c r="B3717" s="3" t="s">
        <v>3719</v>
      </c>
      <c r="C3717" s="3" t="s">
        <v>9</v>
      </c>
      <c r="D3717" s="3" t="s">
        <v>10</v>
      </c>
      <c r="E3717" s="3">
        <v>0</v>
      </c>
      <c r="F3717" s="3">
        <v>0</v>
      </c>
      <c r="G3717" s="3">
        <v>1</v>
      </c>
      <c r="H3717" s="3">
        <v>22</v>
      </c>
      <c r="I3717" s="3">
        <v>0</v>
      </c>
      <c r="J3717" s="3">
        <v>0</v>
      </c>
      <c r="K3717" s="3">
        <v>0</v>
      </c>
      <c r="L3717" s="3">
        <v>1</v>
      </c>
      <c r="M3717" s="3">
        <v>22</v>
      </c>
      <c r="N3717" s="3">
        <v>0</v>
      </c>
      <c r="O3717" s="3"/>
      <c r="P3717" s="3"/>
      <c r="Q3717" s="3"/>
    </row>
    <row r="3718" spans="1:17" ht="15" x14ac:dyDescent="0.25">
      <c r="A3718" s="3">
        <f>3711</f>
        <v>3711</v>
      </c>
      <c r="B3718" s="3" t="s">
        <v>3720</v>
      </c>
      <c r="C3718" s="3" t="s">
        <v>9</v>
      </c>
      <c r="D3718" s="3" t="s">
        <v>10</v>
      </c>
      <c r="E3718" s="3">
        <v>0</v>
      </c>
      <c r="F3718" s="3">
        <v>0</v>
      </c>
      <c r="G3718" s="3">
        <v>1</v>
      </c>
      <c r="H3718" s="3">
        <v>22</v>
      </c>
      <c r="I3718" s="3">
        <v>0</v>
      </c>
      <c r="J3718" s="3">
        <v>0</v>
      </c>
      <c r="K3718" s="3">
        <v>0</v>
      </c>
      <c r="L3718" s="3">
        <v>1</v>
      </c>
      <c r="M3718" s="3">
        <v>22</v>
      </c>
      <c r="N3718" s="3">
        <v>0</v>
      </c>
      <c r="O3718" s="3"/>
      <c r="P3718" s="3"/>
      <c r="Q3718" s="3"/>
    </row>
    <row r="3719" spans="1:17" ht="15" x14ac:dyDescent="0.25">
      <c r="A3719" s="3">
        <f>3712</f>
        <v>3712</v>
      </c>
      <c r="B3719" s="3" t="s">
        <v>3721</v>
      </c>
      <c r="C3719" s="3" t="s">
        <v>9</v>
      </c>
      <c r="D3719" s="3" t="s">
        <v>10</v>
      </c>
      <c r="E3719" s="3">
        <v>0</v>
      </c>
      <c r="F3719" s="3">
        <v>0</v>
      </c>
      <c r="G3719" s="3">
        <v>1</v>
      </c>
      <c r="H3719" s="3">
        <v>22</v>
      </c>
      <c r="I3719" s="3">
        <v>0</v>
      </c>
      <c r="J3719" s="3">
        <v>0</v>
      </c>
      <c r="K3719" s="3">
        <v>0</v>
      </c>
      <c r="L3719" s="3">
        <v>1</v>
      </c>
      <c r="M3719" s="3">
        <v>22</v>
      </c>
      <c r="N3719" s="3">
        <v>0</v>
      </c>
      <c r="O3719" s="3"/>
      <c r="P3719" s="3"/>
      <c r="Q3719" s="3"/>
    </row>
    <row r="3720" spans="1:17" ht="15" x14ac:dyDescent="0.25">
      <c r="A3720" s="3">
        <f>3713</f>
        <v>3713</v>
      </c>
      <c r="B3720" s="3" t="s">
        <v>3722</v>
      </c>
      <c r="C3720" s="3" t="s">
        <v>9</v>
      </c>
      <c r="D3720" s="3" t="s">
        <v>10</v>
      </c>
      <c r="E3720" s="3">
        <v>0</v>
      </c>
      <c r="F3720" s="3">
        <v>0</v>
      </c>
      <c r="G3720" s="3">
        <v>1</v>
      </c>
      <c r="H3720" s="3">
        <v>22</v>
      </c>
      <c r="I3720" s="3">
        <v>0</v>
      </c>
      <c r="J3720" s="3">
        <v>0</v>
      </c>
      <c r="K3720" s="3">
        <v>0</v>
      </c>
      <c r="L3720" s="3">
        <v>1</v>
      </c>
      <c r="M3720" s="3">
        <v>22</v>
      </c>
      <c r="N3720" s="3">
        <v>0</v>
      </c>
      <c r="O3720" s="3"/>
      <c r="P3720" s="3"/>
      <c r="Q3720" s="3"/>
    </row>
    <row r="3721" spans="1:17" ht="15" x14ac:dyDescent="0.25">
      <c r="A3721" s="3">
        <f>3714</f>
        <v>3714</v>
      </c>
      <c r="B3721" s="3" t="s">
        <v>3723</v>
      </c>
      <c r="C3721" s="3" t="s">
        <v>9</v>
      </c>
      <c r="D3721" s="3" t="s">
        <v>10</v>
      </c>
      <c r="E3721" s="3">
        <v>0</v>
      </c>
      <c r="F3721" s="3">
        <v>0</v>
      </c>
      <c r="G3721" s="3">
        <v>1</v>
      </c>
      <c r="H3721" s="3">
        <v>22</v>
      </c>
      <c r="I3721" s="3">
        <v>0</v>
      </c>
      <c r="J3721" s="3">
        <v>0</v>
      </c>
      <c r="K3721" s="3">
        <v>0</v>
      </c>
      <c r="L3721" s="3">
        <v>1</v>
      </c>
      <c r="M3721" s="3">
        <v>22</v>
      </c>
      <c r="N3721" s="3">
        <v>0</v>
      </c>
      <c r="O3721" s="3"/>
      <c r="P3721" s="3"/>
      <c r="Q3721" s="3"/>
    </row>
    <row r="3722" spans="1:17" ht="15" x14ac:dyDescent="0.25">
      <c r="A3722" s="3">
        <f>3715</f>
        <v>3715</v>
      </c>
      <c r="B3722" s="3" t="s">
        <v>3724</v>
      </c>
      <c r="C3722" s="3" t="s">
        <v>9</v>
      </c>
      <c r="D3722" s="3" t="s">
        <v>10</v>
      </c>
      <c r="E3722" s="3">
        <v>0</v>
      </c>
      <c r="F3722" s="3">
        <v>0</v>
      </c>
      <c r="G3722" s="3">
        <v>1</v>
      </c>
      <c r="H3722" s="3">
        <v>22</v>
      </c>
      <c r="I3722" s="3">
        <v>0</v>
      </c>
      <c r="J3722" s="3">
        <v>0</v>
      </c>
      <c r="K3722" s="3">
        <v>0</v>
      </c>
      <c r="L3722" s="3">
        <v>1</v>
      </c>
      <c r="M3722" s="3">
        <v>22</v>
      </c>
      <c r="N3722" s="3">
        <v>0</v>
      </c>
      <c r="O3722" s="3"/>
      <c r="P3722" s="3"/>
      <c r="Q3722" s="3"/>
    </row>
    <row r="3723" spans="1:17" ht="15" x14ac:dyDescent="0.25">
      <c r="A3723" s="3">
        <f>3716</f>
        <v>3716</v>
      </c>
      <c r="B3723" s="3" t="s">
        <v>3725</v>
      </c>
      <c r="C3723" s="3" t="s">
        <v>9</v>
      </c>
      <c r="D3723" s="3" t="s">
        <v>9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/>
      <c r="P3723" s="3"/>
      <c r="Q3723" s="3"/>
    </row>
    <row r="3724" spans="1:17" ht="15" x14ac:dyDescent="0.25">
      <c r="A3724" s="3">
        <f>3717</f>
        <v>3717</v>
      </c>
      <c r="B3724" s="3" t="s">
        <v>3726</v>
      </c>
      <c r="C3724" s="3" t="s">
        <v>9</v>
      </c>
      <c r="D3724" s="3" t="s">
        <v>9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/>
      <c r="P3724" s="3"/>
      <c r="Q3724" s="3"/>
    </row>
    <row r="3725" spans="1:17" ht="15" x14ac:dyDescent="0.25">
      <c r="A3725" s="3">
        <f>3718</f>
        <v>3718</v>
      </c>
      <c r="B3725" s="3" t="s">
        <v>3727</v>
      </c>
      <c r="C3725" s="3" t="s">
        <v>9</v>
      </c>
      <c r="D3725" s="3" t="s">
        <v>9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/>
      <c r="P3725" s="3"/>
      <c r="Q3725" s="3"/>
    </row>
    <row r="3726" spans="1:17" ht="15" x14ac:dyDescent="0.25">
      <c r="A3726" s="3">
        <f>3719</f>
        <v>3719</v>
      </c>
      <c r="B3726" s="3" t="s">
        <v>3728</v>
      </c>
      <c r="C3726" s="3" t="s">
        <v>9</v>
      </c>
      <c r="D3726" s="3" t="s">
        <v>9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/>
      <c r="P3726" s="3"/>
      <c r="Q3726" s="3"/>
    </row>
    <row r="3727" spans="1:17" ht="15" x14ac:dyDescent="0.25">
      <c r="A3727" s="3">
        <f>3720</f>
        <v>3720</v>
      </c>
      <c r="B3727" s="3" t="s">
        <v>3729</v>
      </c>
      <c r="C3727" s="3" t="s">
        <v>9</v>
      </c>
      <c r="D3727" s="3" t="s">
        <v>9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/>
      <c r="P3727" s="3"/>
      <c r="Q3727" s="3"/>
    </row>
    <row r="3728" spans="1:17" ht="15" x14ac:dyDescent="0.25">
      <c r="A3728" s="3">
        <f>3721</f>
        <v>3721</v>
      </c>
      <c r="B3728" s="3" t="s">
        <v>3730</v>
      </c>
      <c r="C3728" s="3" t="s">
        <v>9</v>
      </c>
      <c r="D3728" s="3" t="s">
        <v>9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/>
      <c r="P3728" s="3"/>
      <c r="Q3728" s="3"/>
    </row>
    <row r="3729" spans="1:17" ht="15" x14ac:dyDescent="0.25">
      <c r="A3729" s="3">
        <f>3722</f>
        <v>3722</v>
      </c>
      <c r="B3729" s="3" t="s">
        <v>3731</v>
      </c>
      <c r="C3729" s="3" t="s">
        <v>9</v>
      </c>
      <c r="D3729" s="3" t="s">
        <v>9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/>
      <c r="P3729" s="3"/>
      <c r="Q3729" s="3"/>
    </row>
    <row r="3730" spans="1:17" ht="15" x14ac:dyDescent="0.25">
      <c r="A3730" s="3">
        <f>3723</f>
        <v>3723</v>
      </c>
      <c r="B3730" s="3" t="s">
        <v>3732</v>
      </c>
      <c r="C3730" s="3" t="s">
        <v>9</v>
      </c>
      <c r="D3730" s="3" t="s">
        <v>9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/>
      <c r="P3730" s="3"/>
      <c r="Q3730" s="3"/>
    </row>
    <row r="3731" spans="1:17" ht="15" x14ac:dyDescent="0.25">
      <c r="A3731" s="3">
        <f>3724</f>
        <v>3724</v>
      </c>
      <c r="B3731" s="3" t="s">
        <v>3733</v>
      </c>
      <c r="C3731" s="3" t="s">
        <v>9</v>
      </c>
      <c r="D3731" s="3" t="s">
        <v>9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/>
      <c r="P3731" s="3"/>
      <c r="Q3731" s="3"/>
    </row>
    <row r="3732" spans="1:17" ht="15" x14ac:dyDescent="0.25">
      <c r="A3732" s="3">
        <f>3725</f>
        <v>3725</v>
      </c>
      <c r="B3732" s="3" t="s">
        <v>3734</v>
      </c>
      <c r="C3732" s="3" t="s">
        <v>9</v>
      </c>
      <c r="D3732" s="3" t="s">
        <v>9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/>
      <c r="P3732" s="3"/>
      <c r="Q3732" s="3"/>
    </row>
    <row r="3733" spans="1:17" ht="15" x14ac:dyDescent="0.25">
      <c r="A3733" s="3">
        <f>3726</f>
        <v>3726</v>
      </c>
      <c r="B3733" s="3" t="s">
        <v>3735</v>
      </c>
      <c r="C3733" s="3" t="s">
        <v>9</v>
      </c>
      <c r="D3733" s="3" t="s">
        <v>9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/>
      <c r="P3733" s="3"/>
      <c r="Q3733" s="3"/>
    </row>
    <row r="3734" spans="1:17" ht="15" x14ac:dyDescent="0.25">
      <c r="A3734" s="3">
        <f>3727</f>
        <v>3727</v>
      </c>
      <c r="B3734" s="3" t="s">
        <v>3736</v>
      </c>
      <c r="C3734" s="3" t="s">
        <v>9</v>
      </c>
      <c r="D3734" s="3" t="s">
        <v>9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/>
      <c r="P3734" s="3"/>
      <c r="Q3734" s="3"/>
    </row>
    <row r="3735" spans="1:17" ht="15" x14ac:dyDescent="0.25">
      <c r="A3735" s="3">
        <f>3728</f>
        <v>3728</v>
      </c>
      <c r="B3735" s="3" t="s">
        <v>3737</v>
      </c>
      <c r="C3735" s="3" t="s">
        <v>9</v>
      </c>
      <c r="D3735" s="3" t="s">
        <v>9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/>
      <c r="P3735" s="3"/>
      <c r="Q3735" s="3"/>
    </row>
    <row r="3736" spans="1:17" ht="15" x14ac:dyDescent="0.25">
      <c r="A3736" s="3">
        <f>3729</f>
        <v>3729</v>
      </c>
      <c r="B3736" s="3" t="s">
        <v>3738</v>
      </c>
      <c r="C3736" s="3" t="s">
        <v>9</v>
      </c>
      <c r="D3736" s="3" t="s">
        <v>9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/>
      <c r="P3736" s="3"/>
      <c r="Q3736" s="3"/>
    </row>
    <row r="3737" spans="1:17" ht="15" x14ac:dyDescent="0.25">
      <c r="A3737" s="3">
        <f>3730</f>
        <v>3730</v>
      </c>
      <c r="B3737" s="3" t="s">
        <v>3739</v>
      </c>
      <c r="C3737" s="3" t="s">
        <v>9</v>
      </c>
      <c r="D3737" s="3" t="s">
        <v>9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/>
      <c r="P3737" s="3"/>
      <c r="Q3737" s="3"/>
    </row>
    <row r="3738" spans="1:17" ht="15" x14ac:dyDescent="0.25">
      <c r="A3738" s="3">
        <f>3731</f>
        <v>3731</v>
      </c>
      <c r="B3738" s="3" t="s">
        <v>3740</v>
      </c>
      <c r="C3738" s="3" t="s">
        <v>9</v>
      </c>
      <c r="D3738" s="3" t="s">
        <v>9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/>
      <c r="P3738" s="3"/>
      <c r="Q3738" s="3"/>
    </row>
    <row r="3739" spans="1:17" ht="15" x14ac:dyDescent="0.25">
      <c r="A3739" s="3">
        <f>3732</f>
        <v>3732</v>
      </c>
      <c r="B3739" s="3" t="s">
        <v>3741</v>
      </c>
      <c r="C3739" s="3" t="s">
        <v>9</v>
      </c>
      <c r="D3739" s="3" t="s">
        <v>9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/>
      <c r="P3739" s="3"/>
      <c r="Q3739" s="3"/>
    </row>
    <row r="3740" spans="1:17" ht="15" x14ac:dyDescent="0.25">
      <c r="A3740" s="3">
        <f>3733</f>
        <v>3733</v>
      </c>
      <c r="B3740" s="3" t="s">
        <v>3742</v>
      </c>
      <c r="C3740" s="3" t="s">
        <v>9</v>
      </c>
      <c r="D3740" s="3" t="s">
        <v>9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/>
      <c r="P3740" s="3"/>
      <c r="Q3740" s="3"/>
    </row>
    <row r="3741" spans="1:17" ht="15" x14ac:dyDescent="0.25">
      <c r="A3741" s="3">
        <f>3734</f>
        <v>3734</v>
      </c>
      <c r="B3741" s="3" t="s">
        <v>3743</v>
      </c>
      <c r="C3741" s="3" t="s">
        <v>9</v>
      </c>
      <c r="D3741" s="3" t="s">
        <v>9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/>
      <c r="P3741" s="3"/>
      <c r="Q3741" s="3"/>
    </row>
    <row r="3742" spans="1:17" ht="15" x14ac:dyDescent="0.25">
      <c r="A3742" s="3">
        <f>3735</f>
        <v>3735</v>
      </c>
      <c r="B3742" s="3" t="s">
        <v>3744</v>
      </c>
      <c r="C3742" s="3" t="s">
        <v>9</v>
      </c>
      <c r="D3742" s="3" t="s">
        <v>9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/>
      <c r="P3742" s="3"/>
      <c r="Q3742" s="3"/>
    </row>
    <row r="3743" spans="1:17" ht="15" x14ac:dyDescent="0.25">
      <c r="A3743" s="3">
        <f>3736</f>
        <v>3736</v>
      </c>
      <c r="B3743" s="3" t="s">
        <v>3745</v>
      </c>
      <c r="C3743" s="3" t="s">
        <v>9</v>
      </c>
      <c r="D3743" s="3" t="s">
        <v>9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/>
      <c r="P3743" s="3"/>
      <c r="Q3743" s="3"/>
    </row>
    <row r="3744" spans="1:17" ht="15" x14ac:dyDescent="0.25">
      <c r="A3744" s="3">
        <f>3737</f>
        <v>3737</v>
      </c>
      <c r="B3744" s="3" t="s">
        <v>3746</v>
      </c>
      <c r="C3744" s="3" t="s">
        <v>9</v>
      </c>
      <c r="D3744" s="3" t="s">
        <v>9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/>
      <c r="P3744" s="3"/>
      <c r="Q3744" s="3"/>
    </row>
    <row r="3745" spans="1:17" ht="15" x14ac:dyDescent="0.25">
      <c r="A3745" s="3">
        <f>3738</f>
        <v>3738</v>
      </c>
      <c r="B3745" s="3" t="s">
        <v>3747</v>
      </c>
      <c r="C3745" s="3" t="s">
        <v>9</v>
      </c>
      <c r="D3745" s="3" t="s">
        <v>9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/>
      <c r="P3745" s="3"/>
      <c r="Q3745" s="3"/>
    </row>
    <row r="3746" spans="1:17" ht="15" x14ac:dyDescent="0.25">
      <c r="A3746" s="3">
        <f>3739</f>
        <v>3739</v>
      </c>
      <c r="B3746" s="3" t="s">
        <v>3748</v>
      </c>
      <c r="C3746" s="3" t="s">
        <v>9</v>
      </c>
      <c r="D3746" s="3" t="s">
        <v>9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/>
      <c r="P3746" s="3"/>
      <c r="Q3746" s="3"/>
    </row>
    <row r="3747" spans="1:17" ht="15" x14ac:dyDescent="0.25">
      <c r="A3747" s="3">
        <f>3740</f>
        <v>3740</v>
      </c>
      <c r="B3747" s="3" t="s">
        <v>3749</v>
      </c>
      <c r="C3747" s="3" t="s">
        <v>9</v>
      </c>
      <c r="D3747" s="3" t="s">
        <v>9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/>
      <c r="P3747" s="3"/>
      <c r="Q3747" s="3"/>
    </row>
    <row r="3748" spans="1:17" ht="15" x14ac:dyDescent="0.25">
      <c r="A3748" s="3">
        <f>3741</f>
        <v>3741</v>
      </c>
      <c r="B3748" s="3" t="s">
        <v>3750</v>
      </c>
      <c r="C3748" s="3" t="s">
        <v>9</v>
      </c>
      <c r="D3748" s="3" t="s">
        <v>9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/>
      <c r="P3748" s="3"/>
      <c r="Q3748" s="3"/>
    </row>
    <row r="3749" spans="1:17" ht="15" x14ac:dyDescent="0.25">
      <c r="A3749" s="3">
        <f>3742</f>
        <v>3742</v>
      </c>
      <c r="B3749" s="3" t="s">
        <v>3751</v>
      </c>
      <c r="C3749" s="3" t="s">
        <v>9</v>
      </c>
      <c r="D3749" s="3" t="s">
        <v>9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/>
      <c r="P3749" s="3"/>
      <c r="Q3749" s="3"/>
    </row>
    <row r="3750" spans="1:17" ht="15" x14ac:dyDescent="0.25">
      <c r="A3750" s="3">
        <f>3743</f>
        <v>3743</v>
      </c>
      <c r="B3750" s="3" t="s">
        <v>3752</v>
      </c>
      <c r="C3750" s="3" t="s">
        <v>9</v>
      </c>
      <c r="D3750" s="3" t="s">
        <v>9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/>
      <c r="P3750" s="3"/>
      <c r="Q3750" s="3"/>
    </row>
    <row r="3751" spans="1:17" ht="15" x14ac:dyDescent="0.25">
      <c r="A3751" s="3">
        <f>3744</f>
        <v>3744</v>
      </c>
      <c r="B3751" s="3" t="s">
        <v>3753</v>
      </c>
      <c r="C3751" s="3" t="s">
        <v>9</v>
      </c>
      <c r="D3751" s="3" t="s">
        <v>9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/>
      <c r="P3751" s="3"/>
      <c r="Q3751" s="3"/>
    </row>
    <row r="3752" spans="1:17" ht="15" x14ac:dyDescent="0.25">
      <c r="A3752" s="3">
        <f>3745</f>
        <v>3745</v>
      </c>
      <c r="B3752" s="3" t="s">
        <v>3754</v>
      </c>
      <c r="C3752" s="3" t="s">
        <v>9</v>
      </c>
      <c r="D3752" s="3" t="s">
        <v>9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/>
      <c r="P3752" s="3"/>
      <c r="Q3752" s="3"/>
    </row>
    <row r="3753" spans="1:17" ht="15" x14ac:dyDescent="0.25">
      <c r="A3753" s="3">
        <f>3746</f>
        <v>3746</v>
      </c>
      <c r="B3753" s="3" t="s">
        <v>3755</v>
      </c>
      <c r="C3753" s="3" t="s">
        <v>9</v>
      </c>
      <c r="D3753" s="3" t="s">
        <v>9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/>
      <c r="P3753" s="3"/>
      <c r="Q3753" s="3"/>
    </row>
    <row r="3754" spans="1:17" ht="15" x14ac:dyDescent="0.25">
      <c r="A3754" s="3">
        <f>3747</f>
        <v>3747</v>
      </c>
      <c r="B3754" s="3" t="s">
        <v>3756</v>
      </c>
      <c r="C3754" s="3" t="s">
        <v>9</v>
      </c>
      <c r="D3754" s="3" t="s">
        <v>9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/>
      <c r="P3754" s="3"/>
      <c r="Q3754" s="3"/>
    </row>
    <row r="3755" spans="1:17" ht="15" x14ac:dyDescent="0.25">
      <c r="A3755" s="3">
        <f>3748</f>
        <v>3748</v>
      </c>
      <c r="B3755" s="3" t="s">
        <v>3757</v>
      </c>
      <c r="C3755" s="3" t="s">
        <v>9</v>
      </c>
      <c r="D3755" s="3" t="s">
        <v>9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/>
      <c r="P3755" s="3"/>
      <c r="Q3755" s="3"/>
    </row>
    <row r="3756" spans="1:17" ht="15" x14ac:dyDescent="0.25">
      <c r="A3756" s="3">
        <f>3749</f>
        <v>3749</v>
      </c>
      <c r="B3756" s="3" t="s">
        <v>3758</v>
      </c>
      <c r="C3756" s="3" t="s">
        <v>9</v>
      </c>
      <c r="D3756" s="3" t="s">
        <v>9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/>
      <c r="P3756" s="3"/>
      <c r="Q3756" s="3"/>
    </row>
    <row r="3757" spans="1:17" ht="15" x14ac:dyDescent="0.25">
      <c r="A3757" s="3">
        <f>3750</f>
        <v>3750</v>
      </c>
      <c r="B3757" s="3" t="s">
        <v>3759</v>
      </c>
      <c r="C3757" s="3" t="s">
        <v>9</v>
      </c>
      <c r="D3757" s="3" t="s">
        <v>9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/>
      <c r="P3757" s="3"/>
      <c r="Q3757" s="3"/>
    </row>
    <row r="3758" spans="1:17" ht="15" x14ac:dyDescent="0.25">
      <c r="A3758" s="3">
        <f>3751</f>
        <v>3751</v>
      </c>
      <c r="B3758" s="3" t="s">
        <v>3760</v>
      </c>
      <c r="C3758" s="3" t="s">
        <v>9</v>
      </c>
      <c r="D3758" s="3" t="s">
        <v>9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/>
      <c r="P3758" s="3"/>
      <c r="Q3758" s="3"/>
    </row>
    <row r="3759" spans="1:17" ht="15" x14ac:dyDescent="0.25">
      <c r="A3759" s="3">
        <f>3752</f>
        <v>3752</v>
      </c>
      <c r="B3759" s="3" t="s">
        <v>3761</v>
      </c>
      <c r="C3759" s="3" t="s">
        <v>9</v>
      </c>
      <c r="D3759" s="3" t="s">
        <v>9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/>
      <c r="P3759" s="3"/>
      <c r="Q3759" s="3"/>
    </row>
    <row r="3760" spans="1:17" ht="15" x14ac:dyDescent="0.25">
      <c r="A3760" s="3">
        <f>3753</f>
        <v>3753</v>
      </c>
      <c r="B3760" s="3" t="s">
        <v>3762</v>
      </c>
      <c r="C3760" s="3" t="s">
        <v>9</v>
      </c>
      <c r="D3760" s="3" t="s">
        <v>9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/>
      <c r="P3760" s="3"/>
      <c r="Q3760" s="3"/>
    </row>
    <row r="3761" spans="1:17" ht="15" x14ac:dyDescent="0.25">
      <c r="A3761" s="3">
        <f>3754</f>
        <v>3754</v>
      </c>
      <c r="B3761" s="3" t="s">
        <v>3763</v>
      </c>
      <c r="C3761" s="3" t="s">
        <v>9</v>
      </c>
      <c r="D3761" s="3" t="s">
        <v>9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/>
      <c r="P3761" s="3"/>
      <c r="Q3761" s="3"/>
    </row>
    <row r="3762" spans="1:17" ht="15" x14ac:dyDescent="0.25">
      <c r="A3762" s="3">
        <f>3755</f>
        <v>3755</v>
      </c>
      <c r="B3762" s="3" t="s">
        <v>3764</v>
      </c>
      <c r="C3762" s="3" t="s">
        <v>9</v>
      </c>
      <c r="D3762" s="3" t="s">
        <v>9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/>
      <c r="P3762" s="3"/>
      <c r="Q3762" s="3"/>
    </row>
    <row r="3763" spans="1:17" ht="15" x14ac:dyDescent="0.25">
      <c r="A3763" s="3">
        <f>3756</f>
        <v>3756</v>
      </c>
      <c r="B3763" s="3" t="s">
        <v>3765</v>
      </c>
      <c r="C3763" s="3" t="s">
        <v>9</v>
      </c>
      <c r="D3763" s="3" t="s">
        <v>9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/>
      <c r="P3763" s="3"/>
      <c r="Q3763" s="3"/>
    </row>
    <row r="3764" spans="1:17" ht="15" x14ac:dyDescent="0.25">
      <c r="A3764" s="3">
        <f>3757</f>
        <v>3757</v>
      </c>
      <c r="B3764" s="3" t="s">
        <v>3766</v>
      </c>
      <c r="C3764" s="3" t="s">
        <v>9</v>
      </c>
      <c r="D3764" s="3" t="s">
        <v>9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/>
      <c r="P3764" s="3"/>
      <c r="Q3764" s="3"/>
    </row>
    <row r="3765" spans="1:17" ht="15" x14ac:dyDescent="0.25">
      <c r="A3765" s="3">
        <f>3758</f>
        <v>3758</v>
      </c>
      <c r="B3765" s="3" t="s">
        <v>3767</v>
      </c>
      <c r="C3765" s="3" t="s">
        <v>9</v>
      </c>
      <c r="D3765" s="3" t="s">
        <v>9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/>
      <c r="P3765" s="3"/>
      <c r="Q3765" s="3"/>
    </row>
    <row r="3766" spans="1:17" ht="15" x14ac:dyDescent="0.25">
      <c r="A3766" s="3">
        <f>3759</f>
        <v>3759</v>
      </c>
      <c r="B3766" s="3" t="s">
        <v>3768</v>
      </c>
      <c r="C3766" s="3" t="s">
        <v>9</v>
      </c>
      <c r="D3766" s="3" t="s">
        <v>9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/>
      <c r="P3766" s="3"/>
      <c r="Q3766" s="3"/>
    </row>
    <row r="3767" spans="1:17" ht="15" x14ac:dyDescent="0.25">
      <c r="A3767" s="3">
        <f>3760</f>
        <v>3760</v>
      </c>
      <c r="B3767" s="3" t="s">
        <v>3769</v>
      </c>
      <c r="C3767" s="3" t="s">
        <v>9</v>
      </c>
      <c r="D3767" s="3" t="s">
        <v>9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/>
      <c r="P3767" s="3"/>
      <c r="Q3767" s="3"/>
    </row>
    <row r="3768" spans="1:17" ht="15" x14ac:dyDescent="0.25">
      <c r="A3768" s="3">
        <f>3761</f>
        <v>3761</v>
      </c>
      <c r="B3768" s="3" t="s">
        <v>3770</v>
      </c>
      <c r="C3768" s="3" t="s">
        <v>9</v>
      </c>
      <c r="D3768" s="3" t="s">
        <v>9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/>
      <c r="P3768" s="3"/>
      <c r="Q3768" s="3"/>
    </row>
    <row r="3769" spans="1:17" ht="15" x14ac:dyDescent="0.25">
      <c r="A3769" s="3">
        <f>3762</f>
        <v>3762</v>
      </c>
      <c r="B3769" s="3" t="s">
        <v>3771</v>
      </c>
      <c r="C3769" s="3" t="s">
        <v>9</v>
      </c>
      <c r="D3769" s="3" t="s">
        <v>9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/>
      <c r="P3769" s="3"/>
      <c r="Q3769" s="3"/>
    </row>
    <row r="3770" spans="1:17" ht="15" x14ac:dyDescent="0.25">
      <c r="A3770" s="3">
        <f>3763</f>
        <v>3763</v>
      </c>
      <c r="B3770" s="3" t="s">
        <v>3772</v>
      </c>
      <c r="C3770" s="3" t="s">
        <v>9</v>
      </c>
      <c r="D3770" s="3" t="s">
        <v>9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/>
      <c r="P3770" s="3"/>
      <c r="Q3770" s="3"/>
    </row>
    <row r="3771" spans="1:17" ht="15" x14ac:dyDescent="0.25">
      <c r="A3771" s="3">
        <f>3764</f>
        <v>3764</v>
      </c>
      <c r="B3771" s="3" t="s">
        <v>3773</v>
      </c>
      <c r="C3771" s="3" t="s">
        <v>9</v>
      </c>
      <c r="D3771" s="3" t="s">
        <v>9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/>
      <c r="P3771" s="3"/>
      <c r="Q3771" s="3"/>
    </row>
    <row r="3772" spans="1:17" ht="15" x14ac:dyDescent="0.25">
      <c r="A3772" s="3">
        <f>3765</f>
        <v>3765</v>
      </c>
      <c r="B3772" s="3" t="s">
        <v>3774</v>
      </c>
      <c r="C3772" s="3" t="s">
        <v>9</v>
      </c>
      <c r="D3772" s="3" t="s">
        <v>9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/>
      <c r="P3772" s="3"/>
      <c r="Q3772" s="3"/>
    </row>
    <row r="3773" spans="1:17" ht="15" x14ac:dyDescent="0.25">
      <c r="A3773" s="3">
        <f>3766</f>
        <v>3766</v>
      </c>
      <c r="B3773" s="3" t="s">
        <v>3775</v>
      </c>
      <c r="C3773" s="3" t="s">
        <v>9</v>
      </c>
      <c r="D3773" s="3" t="s">
        <v>9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/>
      <c r="P3773" s="3"/>
      <c r="Q3773" s="3"/>
    </row>
    <row r="3774" spans="1:17" ht="15" x14ac:dyDescent="0.25">
      <c r="A3774" s="3">
        <f>3767</f>
        <v>3767</v>
      </c>
      <c r="B3774" s="3" t="s">
        <v>3776</v>
      </c>
      <c r="C3774" s="3" t="s">
        <v>9</v>
      </c>
      <c r="D3774" s="3" t="s">
        <v>9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/>
      <c r="P3774" s="3"/>
      <c r="Q3774" s="3"/>
    </row>
    <row r="3775" spans="1:17" ht="15" x14ac:dyDescent="0.25">
      <c r="A3775" s="3">
        <f>3768</f>
        <v>3768</v>
      </c>
      <c r="B3775" s="3" t="s">
        <v>3777</v>
      </c>
      <c r="C3775" s="3" t="s">
        <v>9</v>
      </c>
      <c r="D3775" s="3" t="s">
        <v>9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/>
      <c r="P3775" s="3"/>
      <c r="Q3775" s="3"/>
    </row>
    <row r="3776" spans="1:17" ht="15" x14ac:dyDescent="0.25">
      <c r="A3776" s="3">
        <f>3769</f>
        <v>3769</v>
      </c>
      <c r="B3776" s="3" t="s">
        <v>3778</v>
      </c>
      <c r="C3776" s="3" t="s">
        <v>9</v>
      </c>
      <c r="D3776" s="3" t="s">
        <v>9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/>
      <c r="P3776" s="3"/>
      <c r="Q3776" s="3"/>
    </row>
    <row r="3777" spans="1:17" ht="15" x14ac:dyDescent="0.25">
      <c r="A3777" s="3">
        <f>3770</f>
        <v>3770</v>
      </c>
      <c r="B3777" s="3" t="s">
        <v>3779</v>
      </c>
      <c r="C3777" s="3" t="s">
        <v>9</v>
      </c>
      <c r="D3777" s="3" t="s">
        <v>9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/>
      <c r="P3777" s="3"/>
      <c r="Q3777" s="3"/>
    </row>
    <row r="3778" spans="1:17" ht="15" x14ac:dyDescent="0.25">
      <c r="A3778" s="3">
        <f>3771</f>
        <v>3771</v>
      </c>
      <c r="B3778" s="3" t="s">
        <v>3780</v>
      </c>
      <c r="C3778" s="3" t="s">
        <v>9</v>
      </c>
      <c r="D3778" s="3" t="s">
        <v>9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/>
      <c r="P3778" s="3"/>
      <c r="Q3778" s="3"/>
    </row>
    <row r="3779" spans="1:17" ht="15" x14ac:dyDescent="0.25">
      <c r="A3779" s="3">
        <f>3772</f>
        <v>3772</v>
      </c>
      <c r="B3779" s="3" t="s">
        <v>3781</v>
      </c>
      <c r="C3779" s="3" t="s">
        <v>9</v>
      </c>
      <c r="D3779" s="3" t="s">
        <v>9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/>
      <c r="P3779" s="3"/>
      <c r="Q3779" s="3"/>
    </row>
    <row r="3780" spans="1:17" ht="15" x14ac:dyDescent="0.25">
      <c r="A3780" s="3">
        <f>3773</f>
        <v>3773</v>
      </c>
      <c r="B3780" s="3" t="s">
        <v>3782</v>
      </c>
      <c r="C3780" s="3" t="s">
        <v>9</v>
      </c>
      <c r="D3780" s="3" t="s">
        <v>9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/>
      <c r="P3780" s="3"/>
      <c r="Q3780" s="3"/>
    </row>
    <row r="3781" spans="1:17" ht="15" x14ac:dyDescent="0.25">
      <c r="A3781" s="3">
        <f>3774</f>
        <v>3774</v>
      </c>
      <c r="B3781" s="3" t="s">
        <v>3783</v>
      </c>
      <c r="C3781" s="3" t="s">
        <v>9</v>
      </c>
      <c r="D3781" s="3" t="s">
        <v>9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/>
      <c r="P3781" s="3"/>
      <c r="Q3781" s="3"/>
    </row>
    <row r="3782" spans="1:17" ht="15" x14ac:dyDescent="0.25">
      <c r="A3782" s="3">
        <f>3775</f>
        <v>3775</v>
      </c>
      <c r="B3782" s="3" t="s">
        <v>3784</v>
      </c>
      <c r="C3782" s="3" t="s">
        <v>9</v>
      </c>
      <c r="D3782" s="3" t="s">
        <v>9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/>
      <c r="P3782" s="3"/>
      <c r="Q3782" s="3"/>
    </row>
    <row r="3783" spans="1:17" ht="15" x14ac:dyDescent="0.25">
      <c r="A3783" s="3">
        <f>3776</f>
        <v>3776</v>
      </c>
      <c r="B3783" s="3" t="s">
        <v>3785</v>
      </c>
      <c r="C3783" s="3" t="s">
        <v>9</v>
      </c>
      <c r="D3783" s="3" t="s">
        <v>9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/>
      <c r="P3783" s="3"/>
      <c r="Q3783" s="3"/>
    </row>
    <row r="3784" spans="1:17" ht="15" x14ac:dyDescent="0.25">
      <c r="A3784" s="3">
        <f>3777</f>
        <v>3777</v>
      </c>
      <c r="B3784" s="3" t="s">
        <v>3786</v>
      </c>
      <c r="C3784" s="3" t="s">
        <v>9</v>
      </c>
      <c r="D3784" s="3" t="s">
        <v>9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/>
      <c r="P3784" s="3"/>
      <c r="Q3784" s="3"/>
    </row>
    <row r="3785" spans="1:17" ht="15" x14ac:dyDescent="0.25">
      <c r="A3785" s="3">
        <f>3778</f>
        <v>3778</v>
      </c>
      <c r="B3785" s="3" t="s">
        <v>3787</v>
      </c>
      <c r="C3785" s="3" t="s">
        <v>9</v>
      </c>
      <c r="D3785" s="3" t="s">
        <v>9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/>
      <c r="P3785" s="3"/>
      <c r="Q3785" s="3"/>
    </row>
    <row r="3786" spans="1:17" ht="15" x14ac:dyDescent="0.25">
      <c r="A3786" s="3">
        <f>3779</f>
        <v>3779</v>
      </c>
      <c r="B3786" s="3" t="s">
        <v>3788</v>
      </c>
      <c r="C3786" s="3" t="s">
        <v>9</v>
      </c>
      <c r="D3786" s="3" t="s">
        <v>9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/>
      <c r="P3786" s="3"/>
      <c r="Q3786" s="3"/>
    </row>
    <row r="3787" spans="1:17" ht="15" x14ac:dyDescent="0.25">
      <c r="A3787" s="3">
        <f>3780</f>
        <v>3780</v>
      </c>
      <c r="B3787" s="3" t="s">
        <v>3789</v>
      </c>
      <c r="C3787" s="3" t="s">
        <v>9</v>
      </c>
      <c r="D3787" s="3" t="s">
        <v>9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/>
      <c r="P3787" s="3"/>
      <c r="Q3787" s="3"/>
    </row>
    <row r="3788" spans="1:17" ht="15" x14ac:dyDescent="0.25">
      <c r="A3788" s="3">
        <f>3781</f>
        <v>3781</v>
      </c>
      <c r="B3788" s="3" t="s">
        <v>3790</v>
      </c>
      <c r="C3788" s="3" t="s">
        <v>9</v>
      </c>
      <c r="D3788" s="3" t="s">
        <v>9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/>
      <c r="P3788" s="3"/>
      <c r="Q3788" s="3"/>
    </row>
    <row r="3789" spans="1:17" ht="15" x14ac:dyDescent="0.25">
      <c r="A3789" s="3">
        <f>3782</f>
        <v>3782</v>
      </c>
      <c r="B3789" s="3" t="s">
        <v>3791</v>
      </c>
      <c r="C3789" s="3" t="s">
        <v>9</v>
      </c>
      <c r="D3789" s="3" t="s">
        <v>9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/>
      <c r="P3789" s="3"/>
      <c r="Q3789" s="3"/>
    </row>
    <row r="3790" spans="1:17" ht="15" x14ac:dyDescent="0.25">
      <c r="A3790" s="3">
        <f>3783</f>
        <v>3783</v>
      </c>
      <c r="B3790" s="3" t="s">
        <v>3792</v>
      </c>
      <c r="C3790" s="3" t="s">
        <v>9</v>
      </c>
      <c r="D3790" s="3" t="s">
        <v>9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/>
      <c r="P3790" s="3"/>
      <c r="Q3790" s="3"/>
    </row>
    <row r="3791" spans="1:17" ht="15" x14ac:dyDescent="0.25">
      <c r="A3791" s="3">
        <f>3784</f>
        <v>3784</v>
      </c>
      <c r="B3791" s="3" t="s">
        <v>3793</v>
      </c>
      <c r="C3791" s="3" t="s">
        <v>9</v>
      </c>
      <c r="D3791" s="3" t="s">
        <v>9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/>
      <c r="P3791" s="3"/>
      <c r="Q3791" s="3"/>
    </row>
    <row r="3792" spans="1:17" ht="15" x14ac:dyDescent="0.25">
      <c r="A3792" s="3">
        <f>3785</f>
        <v>3785</v>
      </c>
      <c r="B3792" s="3" t="s">
        <v>3794</v>
      </c>
      <c r="C3792" s="3" t="s">
        <v>9</v>
      </c>
      <c r="D3792" s="3" t="s">
        <v>9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/>
      <c r="P3792" s="3"/>
      <c r="Q3792" s="3"/>
    </row>
    <row r="3793" spans="1:17" ht="15" x14ac:dyDescent="0.25">
      <c r="A3793" s="3">
        <f>3786</f>
        <v>3786</v>
      </c>
      <c r="B3793" s="3" t="s">
        <v>3795</v>
      </c>
      <c r="C3793" s="3" t="s">
        <v>9</v>
      </c>
      <c r="D3793" s="3" t="s">
        <v>9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/>
      <c r="P3793" s="3"/>
      <c r="Q3793" s="3"/>
    </row>
    <row r="3794" spans="1:17" ht="15" x14ac:dyDescent="0.25">
      <c r="A3794" s="3">
        <f>3787</f>
        <v>3787</v>
      </c>
      <c r="B3794" s="3" t="s">
        <v>3796</v>
      </c>
      <c r="C3794" s="3" t="s">
        <v>9</v>
      </c>
      <c r="D3794" s="3" t="s">
        <v>9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/>
      <c r="P3794" s="3"/>
      <c r="Q3794" s="3"/>
    </row>
    <row r="3795" spans="1:17" ht="15" x14ac:dyDescent="0.25">
      <c r="A3795" s="3">
        <f>3788</f>
        <v>3788</v>
      </c>
      <c r="B3795" s="3" t="s">
        <v>3797</v>
      </c>
      <c r="C3795" s="3" t="s">
        <v>9</v>
      </c>
      <c r="D3795" s="3" t="s">
        <v>9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/>
      <c r="P3795" s="3"/>
      <c r="Q3795" s="3"/>
    </row>
    <row r="3796" spans="1:17" ht="15" x14ac:dyDescent="0.25">
      <c r="A3796" s="3">
        <f>3789</f>
        <v>3789</v>
      </c>
      <c r="B3796" s="3" t="s">
        <v>3798</v>
      </c>
      <c r="C3796" s="3" t="s">
        <v>9</v>
      </c>
      <c r="D3796" s="3" t="s">
        <v>9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/>
      <c r="P3796" s="3"/>
      <c r="Q3796" s="3"/>
    </row>
    <row r="3797" spans="1:17" ht="15" x14ac:dyDescent="0.25">
      <c r="A3797" s="3">
        <f>3790</f>
        <v>3790</v>
      </c>
      <c r="B3797" s="3" t="s">
        <v>3799</v>
      </c>
      <c r="C3797" s="3" t="s">
        <v>9</v>
      </c>
      <c r="D3797" s="3" t="s">
        <v>9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/>
      <c r="P3797" s="3"/>
      <c r="Q3797" s="3"/>
    </row>
    <row r="3798" spans="1:17" ht="15" x14ac:dyDescent="0.25">
      <c r="A3798" s="3">
        <f>3791</f>
        <v>3791</v>
      </c>
      <c r="B3798" s="3" t="s">
        <v>3800</v>
      </c>
      <c r="C3798" s="3" t="s">
        <v>9</v>
      </c>
      <c r="D3798" s="3" t="s">
        <v>9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/>
      <c r="P3798" s="3"/>
      <c r="Q3798" s="3"/>
    </row>
    <row r="3799" spans="1:17" ht="15" x14ac:dyDescent="0.25">
      <c r="A3799" s="3">
        <f>3792</f>
        <v>3792</v>
      </c>
      <c r="B3799" s="3" t="s">
        <v>3801</v>
      </c>
      <c r="C3799" s="3" t="s">
        <v>9</v>
      </c>
      <c r="D3799" s="3" t="s">
        <v>9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/>
      <c r="P3799" s="3"/>
      <c r="Q3799" s="3"/>
    </row>
    <row r="3800" spans="1:17" ht="15" x14ac:dyDescent="0.25">
      <c r="A3800" s="3">
        <f>3793</f>
        <v>3793</v>
      </c>
      <c r="B3800" s="3" t="s">
        <v>3802</v>
      </c>
      <c r="C3800" s="3" t="s">
        <v>9</v>
      </c>
      <c r="D3800" s="3" t="s">
        <v>9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/>
      <c r="P3800" s="3"/>
      <c r="Q3800" s="3"/>
    </row>
    <row r="3801" spans="1:17" ht="15" x14ac:dyDescent="0.25">
      <c r="A3801" s="3">
        <f>3794</f>
        <v>3794</v>
      </c>
      <c r="B3801" s="3" t="s">
        <v>3803</v>
      </c>
      <c r="C3801" s="3" t="s">
        <v>9</v>
      </c>
      <c r="D3801" s="3" t="s">
        <v>9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/>
      <c r="P3801" s="3"/>
      <c r="Q3801" s="3"/>
    </row>
    <row r="3802" spans="1:17" ht="15" x14ac:dyDescent="0.25">
      <c r="A3802" s="3">
        <f>3795</f>
        <v>3795</v>
      </c>
      <c r="B3802" s="3" t="s">
        <v>3804</v>
      </c>
      <c r="C3802" s="3" t="s">
        <v>9</v>
      </c>
      <c r="D3802" s="3" t="s">
        <v>9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/>
      <c r="P3802" s="3"/>
      <c r="Q3802" s="3"/>
    </row>
    <row r="3803" spans="1:17" ht="15" x14ac:dyDescent="0.25">
      <c r="A3803" s="3">
        <f>3796</f>
        <v>3796</v>
      </c>
      <c r="B3803" s="3" t="s">
        <v>3805</v>
      </c>
      <c r="C3803" s="3" t="s">
        <v>9</v>
      </c>
      <c r="D3803" s="3" t="s">
        <v>9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/>
      <c r="P3803" s="3"/>
      <c r="Q3803" s="3"/>
    </row>
    <row r="3804" spans="1:17" ht="15" x14ac:dyDescent="0.25">
      <c r="A3804" s="3">
        <f>3797</f>
        <v>3797</v>
      </c>
      <c r="B3804" s="3" t="s">
        <v>3806</v>
      </c>
      <c r="C3804" s="3" t="s">
        <v>9</v>
      </c>
      <c r="D3804" s="3" t="s">
        <v>9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/>
      <c r="P3804" s="3"/>
      <c r="Q3804" s="3"/>
    </row>
    <row r="3805" spans="1:17" ht="15" x14ac:dyDescent="0.25">
      <c r="A3805" s="3">
        <f>3798</f>
        <v>3798</v>
      </c>
      <c r="B3805" s="3" t="s">
        <v>3807</v>
      </c>
      <c r="C3805" s="3" t="s">
        <v>9</v>
      </c>
      <c r="D3805" s="3" t="s">
        <v>9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/>
      <c r="P3805" s="3"/>
      <c r="Q3805" s="3"/>
    </row>
    <row r="3806" spans="1:17" ht="15" x14ac:dyDescent="0.25">
      <c r="A3806" s="3">
        <f>3799</f>
        <v>3799</v>
      </c>
      <c r="B3806" s="3" t="s">
        <v>3808</v>
      </c>
      <c r="C3806" s="3" t="s">
        <v>9</v>
      </c>
      <c r="D3806" s="3" t="s">
        <v>9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/>
      <c r="P3806" s="3"/>
      <c r="Q3806" s="3"/>
    </row>
    <row r="3807" spans="1:17" ht="15" x14ac:dyDescent="0.25">
      <c r="A3807" s="3">
        <f>3800</f>
        <v>3800</v>
      </c>
      <c r="B3807" s="3" t="s">
        <v>3809</v>
      </c>
      <c r="C3807" s="3" t="s">
        <v>9</v>
      </c>
      <c r="D3807" s="3" t="s">
        <v>9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/>
      <c r="P3807" s="3"/>
      <c r="Q3807" s="3"/>
    </row>
    <row r="3808" spans="1:17" ht="15" x14ac:dyDescent="0.25">
      <c r="A3808" s="3">
        <f>3801</f>
        <v>3801</v>
      </c>
      <c r="B3808" s="3" t="s">
        <v>3810</v>
      </c>
      <c r="C3808" s="3" t="s">
        <v>9</v>
      </c>
      <c r="D3808" s="3" t="s">
        <v>9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/>
      <c r="P3808" s="3"/>
      <c r="Q3808" s="3"/>
    </row>
    <row r="3809" spans="1:17" ht="15" x14ac:dyDescent="0.25">
      <c r="A3809" s="3">
        <f>3802</f>
        <v>3802</v>
      </c>
      <c r="B3809" s="3" t="s">
        <v>3811</v>
      </c>
      <c r="C3809" s="3" t="s">
        <v>9</v>
      </c>
      <c r="D3809" s="3" t="s">
        <v>9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/>
      <c r="P3809" s="3"/>
      <c r="Q3809" s="3"/>
    </row>
    <row r="3810" spans="1:17" ht="15" x14ac:dyDescent="0.25">
      <c r="A3810" s="3">
        <f>3803</f>
        <v>3803</v>
      </c>
      <c r="B3810" s="3" t="s">
        <v>3812</v>
      </c>
      <c r="C3810" s="3" t="s">
        <v>9</v>
      </c>
      <c r="D3810" s="3" t="s">
        <v>9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/>
      <c r="P3810" s="3"/>
      <c r="Q3810" s="3"/>
    </row>
    <row r="3811" spans="1:17" ht="15" x14ac:dyDescent="0.25">
      <c r="A3811" s="3">
        <f>3804</f>
        <v>3804</v>
      </c>
      <c r="B3811" s="3" t="s">
        <v>3813</v>
      </c>
      <c r="C3811" s="3" t="s">
        <v>9</v>
      </c>
      <c r="D3811" s="3" t="s">
        <v>9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/>
      <c r="P3811" s="3"/>
      <c r="Q3811" s="3"/>
    </row>
    <row r="3812" spans="1:17" ht="15" x14ac:dyDescent="0.25">
      <c r="A3812" s="3">
        <f>3805</f>
        <v>3805</v>
      </c>
      <c r="B3812" s="3" t="s">
        <v>3814</v>
      </c>
      <c r="C3812" s="3" t="s">
        <v>9</v>
      </c>
      <c r="D3812" s="3" t="s">
        <v>9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/>
      <c r="P3812" s="3"/>
      <c r="Q3812" s="3"/>
    </row>
    <row r="3813" spans="1:17" ht="15" x14ac:dyDescent="0.25">
      <c r="A3813" s="3">
        <f>3806</f>
        <v>3806</v>
      </c>
      <c r="B3813" s="3" t="s">
        <v>3815</v>
      </c>
      <c r="C3813" s="3" t="s">
        <v>9</v>
      </c>
      <c r="D3813" s="3" t="s">
        <v>9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/>
      <c r="P3813" s="3"/>
      <c r="Q3813" s="3"/>
    </row>
    <row r="3814" spans="1:17" ht="15" x14ac:dyDescent="0.25">
      <c r="A3814" s="3">
        <f>3807</f>
        <v>3807</v>
      </c>
      <c r="B3814" s="3" t="s">
        <v>3816</v>
      </c>
      <c r="C3814" s="3" t="s">
        <v>9</v>
      </c>
      <c r="D3814" s="3" t="s">
        <v>9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/>
      <c r="P3814" s="3"/>
      <c r="Q3814" s="3"/>
    </row>
    <row r="3815" spans="1:17" ht="15" x14ac:dyDescent="0.25">
      <c r="A3815" s="3">
        <f>3808</f>
        <v>3808</v>
      </c>
      <c r="B3815" s="3" t="s">
        <v>3817</v>
      </c>
      <c r="C3815" s="3" t="s">
        <v>9</v>
      </c>
      <c r="D3815" s="3" t="s">
        <v>9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/>
      <c r="P3815" s="3"/>
      <c r="Q3815" s="3"/>
    </row>
    <row r="3816" spans="1:17" ht="15" x14ac:dyDescent="0.25">
      <c r="A3816" s="3">
        <f>3809</f>
        <v>3809</v>
      </c>
      <c r="B3816" s="3" t="s">
        <v>3818</v>
      </c>
      <c r="C3816" s="3" t="s">
        <v>9</v>
      </c>
      <c r="D3816" s="3" t="s">
        <v>9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/>
      <c r="P3816" s="3"/>
      <c r="Q3816" s="3"/>
    </row>
    <row r="3817" spans="1:17" ht="15" x14ac:dyDescent="0.25">
      <c r="A3817" s="3">
        <f>3810</f>
        <v>3810</v>
      </c>
      <c r="B3817" s="3" t="s">
        <v>3819</v>
      </c>
      <c r="C3817" s="3" t="s">
        <v>9</v>
      </c>
      <c r="D3817" s="3" t="s">
        <v>9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/>
      <c r="P3817" s="3"/>
      <c r="Q3817" s="3"/>
    </row>
    <row r="3818" spans="1:17" ht="15" x14ac:dyDescent="0.25">
      <c r="A3818" s="3">
        <f>3811</f>
        <v>3811</v>
      </c>
      <c r="B3818" s="3" t="s">
        <v>3820</v>
      </c>
      <c r="C3818" s="3" t="s">
        <v>9</v>
      </c>
      <c r="D3818" s="3" t="s">
        <v>9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/>
      <c r="P3818" s="3"/>
      <c r="Q3818" s="3"/>
    </row>
    <row r="3819" spans="1:17" ht="15" x14ac:dyDescent="0.25">
      <c r="A3819" s="3">
        <f>3812</f>
        <v>3812</v>
      </c>
      <c r="B3819" s="3" t="s">
        <v>3821</v>
      </c>
      <c r="C3819" s="3" t="s">
        <v>9</v>
      </c>
      <c r="D3819" s="3" t="s">
        <v>9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/>
      <c r="P3819" s="3"/>
      <c r="Q3819" s="3"/>
    </row>
    <row r="3820" spans="1:17" ht="15" x14ac:dyDescent="0.25">
      <c r="A3820" s="3">
        <f>3813</f>
        <v>3813</v>
      </c>
      <c r="B3820" s="3" t="s">
        <v>3822</v>
      </c>
      <c r="C3820" s="3" t="s">
        <v>9</v>
      </c>
      <c r="D3820" s="3" t="s">
        <v>9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/>
      <c r="P3820" s="3"/>
      <c r="Q3820" s="3"/>
    </row>
    <row r="3821" spans="1:17" ht="15" x14ac:dyDescent="0.25">
      <c r="A3821" s="3">
        <f>3814</f>
        <v>3814</v>
      </c>
      <c r="B3821" s="3" t="s">
        <v>3823</v>
      </c>
      <c r="C3821" s="3" t="s">
        <v>9</v>
      </c>
      <c r="D3821" s="3" t="s">
        <v>9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/>
      <c r="P3821" s="3"/>
      <c r="Q3821" s="3"/>
    </row>
    <row r="3822" spans="1:17" ht="15" x14ac:dyDescent="0.25">
      <c r="A3822" s="3">
        <f>3815</f>
        <v>3815</v>
      </c>
      <c r="B3822" s="3" t="s">
        <v>3824</v>
      </c>
      <c r="C3822" s="3" t="s">
        <v>9</v>
      </c>
      <c r="D3822" s="3" t="s">
        <v>9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/>
      <c r="P3822" s="3"/>
      <c r="Q3822" s="3"/>
    </row>
    <row r="3823" spans="1:17" ht="15" x14ac:dyDescent="0.25">
      <c r="A3823" s="3">
        <f>3816</f>
        <v>3816</v>
      </c>
      <c r="B3823" s="3" t="s">
        <v>3825</v>
      </c>
      <c r="C3823" s="3" t="s">
        <v>9</v>
      </c>
      <c r="D3823" s="3" t="s">
        <v>9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/>
      <c r="P3823" s="3"/>
      <c r="Q3823" s="3"/>
    </row>
    <row r="3824" spans="1:17" ht="15" x14ac:dyDescent="0.25">
      <c r="A3824" s="3">
        <f>3817</f>
        <v>3817</v>
      </c>
      <c r="B3824" s="3" t="s">
        <v>3826</v>
      </c>
      <c r="C3824" s="3" t="s">
        <v>9</v>
      </c>
      <c r="D3824" s="3" t="s">
        <v>9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/>
      <c r="P3824" s="3"/>
      <c r="Q3824" s="3"/>
    </row>
    <row r="3825" spans="1:17" ht="15" x14ac:dyDescent="0.25">
      <c r="A3825" s="3">
        <f>3818</f>
        <v>3818</v>
      </c>
      <c r="B3825" s="3" t="s">
        <v>3827</v>
      </c>
      <c r="C3825" s="3" t="s">
        <v>9</v>
      </c>
      <c r="D3825" s="3" t="s">
        <v>9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/>
      <c r="P3825" s="3"/>
      <c r="Q3825" s="3"/>
    </row>
    <row r="3826" spans="1:17" ht="15" x14ac:dyDescent="0.25">
      <c r="A3826" s="3">
        <f>3819</f>
        <v>3819</v>
      </c>
      <c r="B3826" s="3" t="s">
        <v>3828</v>
      </c>
      <c r="C3826" s="3" t="s">
        <v>9</v>
      </c>
      <c r="D3826" s="3" t="s">
        <v>9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/>
      <c r="P3826" s="3"/>
      <c r="Q3826" s="3"/>
    </row>
    <row r="3827" spans="1:17" ht="15" x14ac:dyDescent="0.25">
      <c r="A3827" s="3">
        <f>3820</f>
        <v>3820</v>
      </c>
      <c r="B3827" s="3" t="s">
        <v>3829</v>
      </c>
      <c r="C3827" s="3" t="s">
        <v>9</v>
      </c>
      <c r="D3827" s="3" t="s">
        <v>9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/>
      <c r="P3827" s="3"/>
      <c r="Q3827" s="3"/>
    </row>
    <row r="3828" spans="1:17" ht="15" x14ac:dyDescent="0.25">
      <c r="A3828" s="3">
        <f>3821</f>
        <v>3821</v>
      </c>
      <c r="B3828" s="3" t="s">
        <v>3830</v>
      </c>
      <c r="C3828" s="3" t="s">
        <v>9</v>
      </c>
      <c r="D3828" s="3" t="s">
        <v>9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/>
      <c r="P3828" s="3"/>
      <c r="Q3828" s="3"/>
    </row>
    <row r="3829" spans="1:17" ht="15" x14ac:dyDescent="0.25">
      <c r="A3829" s="3">
        <f>3822</f>
        <v>3822</v>
      </c>
      <c r="B3829" s="3" t="s">
        <v>3831</v>
      </c>
      <c r="C3829" s="3" t="s">
        <v>9</v>
      </c>
      <c r="D3829" s="3" t="s">
        <v>9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/>
      <c r="P3829" s="3"/>
      <c r="Q3829" s="3"/>
    </row>
    <row r="3830" spans="1:17" ht="15" x14ac:dyDescent="0.25">
      <c r="A3830" s="3">
        <f>3823</f>
        <v>3823</v>
      </c>
      <c r="B3830" s="3" t="s">
        <v>3832</v>
      </c>
      <c r="C3830" s="3" t="s">
        <v>9</v>
      </c>
      <c r="D3830" s="3" t="s">
        <v>9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/>
      <c r="P3830" s="3"/>
      <c r="Q3830" s="3"/>
    </row>
    <row r="3831" spans="1:17" ht="15" x14ac:dyDescent="0.25">
      <c r="A3831" s="3">
        <f>3824</f>
        <v>3824</v>
      </c>
      <c r="B3831" s="3" t="s">
        <v>3833</v>
      </c>
      <c r="C3831" s="3" t="s">
        <v>9</v>
      </c>
      <c r="D3831" s="3" t="s">
        <v>9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/>
      <c r="P3831" s="3"/>
      <c r="Q3831" s="3"/>
    </row>
    <row r="3832" spans="1:17" ht="15" x14ac:dyDescent="0.25">
      <c r="A3832" s="3">
        <f>3825</f>
        <v>3825</v>
      </c>
      <c r="B3832" s="3" t="s">
        <v>3834</v>
      </c>
      <c r="C3832" s="3" t="s">
        <v>9</v>
      </c>
      <c r="D3832" s="3" t="s">
        <v>9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/>
      <c r="P3832" s="3"/>
      <c r="Q3832" s="3"/>
    </row>
    <row r="3833" spans="1:17" ht="15" x14ac:dyDescent="0.25">
      <c r="A3833" s="3">
        <f>3826</f>
        <v>3826</v>
      </c>
      <c r="B3833" s="3" t="s">
        <v>3835</v>
      </c>
      <c r="C3833" s="3" t="s">
        <v>9</v>
      </c>
      <c r="D3833" s="3" t="s">
        <v>9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/>
      <c r="P3833" s="3"/>
      <c r="Q3833" s="3"/>
    </row>
    <row r="3834" spans="1:17" ht="15" x14ac:dyDescent="0.25">
      <c r="A3834" s="3">
        <f>3827</f>
        <v>3827</v>
      </c>
      <c r="B3834" s="3" t="s">
        <v>3836</v>
      </c>
      <c r="C3834" s="3" t="s">
        <v>9</v>
      </c>
      <c r="D3834" s="3" t="s">
        <v>9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/>
      <c r="P3834" s="3"/>
      <c r="Q3834" s="3"/>
    </row>
    <row r="3835" spans="1:17" ht="15" x14ac:dyDescent="0.25">
      <c r="A3835" s="3">
        <f>3828</f>
        <v>3828</v>
      </c>
      <c r="B3835" s="3" t="s">
        <v>3837</v>
      </c>
      <c r="C3835" s="3" t="s">
        <v>9</v>
      </c>
      <c r="D3835" s="3" t="s">
        <v>9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/>
      <c r="P3835" s="3"/>
      <c r="Q3835" s="3"/>
    </row>
    <row r="3836" spans="1:17" ht="15" x14ac:dyDescent="0.25">
      <c r="A3836" s="3">
        <f>3829</f>
        <v>3829</v>
      </c>
      <c r="B3836" s="3" t="s">
        <v>3838</v>
      </c>
      <c r="C3836" s="3" t="s">
        <v>9</v>
      </c>
      <c r="D3836" s="3" t="s">
        <v>9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/>
      <c r="P3836" s="3"/>
      <c r="Q3836" s="3"/>
    </row>
    <row r="3837" spans="1:17" ht="15" x14ac:dyDescent="0.25">
      <c r="A3837" s="3">
        <f>3830</f>
        <v>3830</v>
      </c>
      <c r="B3837" s="3" t="s">
        <v>3839</v>
      </c>
      <c r="C3837" s="3" t="s">
        <v>9</v>
      </c>
      <c r="D3837" s="3" t="s">
        <v>9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/>
      <c r="P3837" s="3"/>
      <c r="Q3837" s="3"/>
    </row>
    <row r="3838" spans="1:17" ht="15" x14ac:dyDescent="0.25">
      <c r="A3838" s="3">
        <f>3831</f>
        <v>3831</v>
      </c>
      <c r="B3838" s="3" t="s">
        <v>3840</v>
      </c>
      <c r="C3838" s="3" t="s">
        <v>9</v>
      </c>
      <c r="D3838" s="3" t="s">
        <v>9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/>
      <c r="P3838" s="3"/>
      <c r="Q3838" s="3"/>
    </row>
    <row r="3839" spans="1:17" ht="15" x14ac:dyDescent="0.25">
      <c r="A3839" s="3">
        <f>3832</f>
        <v>3832</v>
      </c>
      <c r="B3839" s="3" t="s">
        <v>3841</v>
      </c>
      <c r="C3839" s="3" t="s">
        <v>9</v>
      </c>
      <c r="D3839" s="3" t="s">
        <v>9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/>
      <c r="P3839" s="3"/>
      <c r="Q3839" s="3"/>
    </row>
    <row r="3840" spans="1:17" ht="15" x14ac:dyDescent="0.25">
      <c r="A3840" s="3">
        <f>3833</f>
        <v>3833</v>
      </c>
      <c r="B3840" s="3" t="s">
        <v>3842</v>
      </c>
      <c r="C3840" s="3" t="s">
        <v>9</v>
      </c>
      <c r="D3840" s="3" t="s">
        <v>9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/>
      <c r="P3840" s="3"/>
      <c r="Q3840" s="3"/>
    </row>
    <row r="3841" spans="1:17" ht="15" x14ac:dyDescent="0.25">
      <c r="A3841" s="3">
        <f>3834</f>
        <v>3834</v>
      </c>
      <c r="B3841" s="3" t="s">
        <v>3843</v>
      </c>
      <c r="C3841" s="3" t="s">
        <v>9</v>
      </c>
      <c r="D3841" s="3" t="s">
        <v>9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/>
      <c r="P3841" s="3"/>
      <c r="Q3841" s="3"/>
    </row>
    <row r="3842" spans="1:17" ht="15" x14ac:dyDescent="0.25">
      <c r="A3842" s="3">
        <f>3835</f>
        <v>3835</v>
      </c>
      <c r="B3842" s="3" t="s">
        <v>3844</v>
      </c>
      <c r="C3842" s="3" t="s">
        <v>9</v>
      </c>
      <c r="D3842" s="3" t="s">
        <v>9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/>
      <c r="P3842" s="3"/>
      <c r="Q3842" s="3"/>
    </row>
    <row r="3843" spans="1:17" ht="15" x14ac:dyDescent="0.25">
      <c r="A3843" s="3">
        <f>3836</f>
        <v>3836</v>
      </c>
      <c r="B3843" s="3" t="s">
        <v>3845</v>
      </c>
      <c r="C3843" s="3" t="s">
        <v>9</v>
      </c>
      <c r="D3843" s="3" t="s">
        <v>9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/>
      <c r="P3843" s="3"/>
      <c r="Q3843" s="3"/>
    </row>
    <row r="3844" spans="1:17" ht="15" x14ac:dyDescent="0.25">
      <c r="A3844" s="3">
        <f>3837</f>
        <v>3837</v>
      </c>
      <c r="B3844" s="3" t="s">
        <v>3846</v>
      </c>
      <c r="C3844" s="3" t="s">
        <v>9</v>
      </c>
      <c r="D3844" s="3" t="s">
        <v>9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/>
      <c r="P3844" s="3"/>
      <c r="Q3844" s="3"/>
    </row>
    <row r="3845" spans="1:17" ht="15" x14ac:dyDescent="0.25">
      <c r="A3845" s="3">
        <f>3838</f>
        <v>3838</v>
      </c>
      <c r="B3845" s="3" t="s">
        <v>3847</v>
      </c>
      <c r="C3845" s="3" t="s">
        <v>9</v>
      </c>
      <c r="D3845" s="3" t="s">
        <v>9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/>
      <c r="P3845" s="3"/>
      <c r="Q3845" s="3"/>
    </row>
    <row r="3846" spans="1:17" ht="15" x14ac:dyDescent="0.25">
      <c r="A3846" s="3">
        <f>3839</f>
        <v>3839</v>
      </c>
      <c r="B3846" s="3" t="s">
        <v>3848</v>
      </c>
      <c r="C3846" s="3" t="s">
        <v>9</v>
      </c>
      <c r="D3846" s="3" t="s">
        <v>9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/>
      <c r="P3846" s="3"/>
      <c r="Q3846" s="3"/>
    </row>
    <row r="3847" spans="1:17" ht="15" x14ac:dyDescent="0.25">
      <c r="A3847" s="3">
        <f>3840</f>
        <v>3840</v>
      </c>
      <c r="B3847" s="3" t="s">
        <v>3849</v>
      </c>
      <c r="C3847" s="3" t="s">
        <v>9</v>
      </c>
      <c r="D3847" s="3" t="s">
        <v>9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/>
      <c r="P3847" s="3"/>
      <c r="Q3847" s="3"/>
    </row>
    <row r="3848" spans="1:17" ht="15" x14ac:dyDescent="0.25">
      <c r="A3848" s="3">
        <f>3841</f>
        <v>3841</v>
      </c>
      <c r="B3848" s="3" t="s">
        <v>3850</v>
      </c>
      <c r="C3848" s="3" t="s">
        <v>9</v>
      </c>
      <c r="D3848" s="3" t="s">
        <v>9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/>
      <c r="P3848" s="3"/>
      <c r="Q3848" s="3"/>
    </row>
    <row r="3849" spans="1:17" ht="15" x14ac:dyDescent="0.25">
      <c r="A3849" s="3">
        <f>3842</f>
        <v>3842</v>
      </c>
      <c r="B3849" s="3" t="s">
        <v>3851</v>
      </c>
      <c r="C3849" s="3" t="s">
        <v>9</v>
      </c>
      <c r="D3849" s="3" t="s">
        <v>9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/>
      <c r="P3849" s="3"/>
      <c r="Q3849" s="3"/>
    </row>
    <row r="3850" spans="1:17" ht="15" x14ac:dyDescent="0.25">
      <c r="A3850" s="3">
        <f>3843</f>
        <v>3843</v>
      </c>
      <c r="B3850" s="3" t="s">
        <v>3852</v>
      </c>
      <c r="C3850" s="3" t="s">
        <v>9</v>
      </c>
      <c r="D3850" s="3" t="s">
        <v>9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/>
      <c r="P3850" s="3"/>
      <c r="Q3850" s="3"/>
    </row>
    <row r="3851" spans="1:17" ht="15" x14ac:dyDescent="0.25">
      <c r="A3851" s="3">
        <f>3844</f>
        <v>3844</v>
      </c>
      <c r="B3851" s="3" t="s">
        <v>3853</v>
      </c>
      <c r="C3851" s="3" t="s">
        <v>9</v>
      </c>
      <c r="D3851" s="3" t="s">
        <v>9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/>
      <c r="P3851" s="3"/>
      <c r="Q3851" s="3"/>
    </row>
    <row r="3852" spans="1:17" ht="15" x14ac:dyDescent="0.25">
      <c r="A3852" s="3">
        <f>3845</f>
        <v>3845</v>
      </c>
      <c r="B3852" s="3" t="s">
        <v>3854</v>
      </c>
      <c r="C3852" s="3" t="s">
        <v>9</v>
      </c>
      <c r="D3852" s="3" t="s">
        <v>9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/>
      <c r="P3852" s="3"/>
      <c r="Q3852" s="3"/>
    </row>
    <row r="3853" spans="1:17" ht="15" x14ac:dyDescent="0.25">
      <c r="A3853" s="3">
        <f>3846</f>
        <v>3846</v>
      </c>
      <c r="B3853" s="3" t="s">
        <v>3855</v>
      </c>
      <c r="C3853" s="3" t="s">
        <v>9</v>
      </c>
      <c r="D3853" s="3" t="s">
        <v>9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/>
      <c r="P3853" s="3"/>
      <c r="Q3853" s="3"/>
    </row>
    <row r="3854" spans="1:17" ht="15" x14ac:dyDescent="0.25">
      <c r="A3854" s="3">
        <f>3847</f>
        <v>3847</v>
      </c>
      <c r="B3854" s="3" t="s">
        <v>3856</v>
      </c>
      <c r="C3854" s="3" t="s">
        <v>9</v>
      </c>
      <c r="D3854" s="3" t="s">
        <v>9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/>
      <c r="P3854" s="3"/>
      <c r="Q3854" s="3"/>
    </row>
    <row r="3855" spans="1:17" ht="15" x14ac:dyDescent="0.25">
      <c r="A3855" s="3">
        <f>3848</f>
        <v>3848</v>
      </c>
      <c r="B3855" s="3" t="s">
        <v>3857</v>
      </c>
      <c r="C3855" s="3" t="s">
        <v>9</v>
      </c>
      <c r="D3855" s="3" t="s">
        <v>9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/>
      <c r="P3855" s="3"/>
      <c r="Q3855" s="3"/>
    </row>
    <row r="3856" spans="1:17" ht="15" x14ac:dyDescent="0.25">
      <c r="A3856" s="3">
        <f>3849</f>
        <v>3849</v>
      </c>
      <c r="B3856" s="3" t="s">
        <v>3858</v>
      </c>
      <c r="C3856" s="3" t="s">
        <v>9</v>
      </c>
      <c r="D3856" s="3" t="s">
        <v>9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/>
      <c r="P3856" s="3"/>
      <c r="Q3856" s="3"/>
    </row>
    <row r="3857" spans="1:17" ht="15" x14ac:dyDescent="0.25">
      <c r="A3857" s="3">
        <f>3850</f>
        <v>3850</v>
      </c>
      <c r="B3857" s="3" t="s">
        <v>3859</v>
      </c>
      <c r="C3857" s="3" t="s">
        <v>9</v>
      </c>
      <c r="D3857" s="3" t="s">
        <v>9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/>
      <c r="P3857" s="3"/>
      <c r="Q3857" s="3"/>
    </row>
    <row r="3858" spans="1:17" ht="15" x14ac:dyDescent="0.25">
      <c r="A3858" s="3">
        <f>3851</f>
        <v>3851</v>
      </c>
      <c r="B3858" s="3" t="s">
        <v>3860</v>
      </c>
      <c r="C3858" s="3" t="s">
        <v>9</v>
      </c>
      <c r="D3858" s="3" t="s">
        <v>9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/>
      <c r="P3858" s="3"/>
      <c r="Q3858" s="3"/>
    </row>
    <row r="3859" spans="1:17" ht="15" x14ac:dyDescent="0.25">
      <c r="A3859" s="3">
        <f>3852</f>
        <v>3852</v>
      </c>
      <c r="B3859" s="3" t="s">
        <v>3861</v>
      </c>
      <c r="C3859" s="3" t="s">
        <v>9</v>
      </c>
      <c r="D3859" s="3" t="s">
        <v>9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/>
      <c r="P3859" s="3"/>
      <c r="Q3859" s="3"/>
    </row>
    <row r="3860" spans="1:17" ht="15" x14ac:dyDescent="0.25">
      <c r="A3860" s="3">
        <f>3853</f>
        <v>3853</v>
      </c>
      <c r="B3860" s="3" t="s">
        <v>3862</v>
      </c>
      <c r="C3860" s="3" t="s">
        <v>9</v>
      </c>
      <c r="D3860" s="3" t="s">
        <v>9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/>
      <c r="P3860" s="3"/>
      <c r="Q3860" s="3"/>
    </row>
    <row r="3861" spans="1:17" ht="15" x14ac:dyDescent="0.25">
      <c r="A3861" s="3">
        <f>3854</f>
        <v>3854</v>
      </c>
      <c r="B3861" s="3" t="s">
        <v>3863</v>
      </c>
      <c r="C3861" s="3" t="s">
        <v>9</v>
      </c>
      <c r="D3861" s="3" t="s">
        <v>9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/>
      <c r="P3861" s="3"/>
      <c r="Q3861" s="3"/>
    </row>
    <row r="3862" spans="1:17" ht="15" x14ac:dyDescent="0.25">
      <c r="A3862" s="3">
        <f>3855</f>
        <v>3855</v>
      </c>
      <c r="B3862" s="3" t="s">
        <v>3864</v>
      </c>
      <c r="C3862" s="3" t="s">
        <v>9</v>
      </c>
      <c r="D3862" s="3" t="s">
        <v>9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/>
      <c r="P3862" s="3"/>
      <c r="Q3862" s="3"/>
    </row>
    <row r="3863" spans="1:17" ht="15" x14ac:dyDescent="0.25">
      <c r="A3863" s="3">
        <f>3856</f>
        <v>3856</v>
      </c>
      <c r="B3863" s="3" t="s">
        <v>3865</v>
      </c>
      <c r="C3863" s="3" t="s">
        <v>9</v>
      </c>
      <c r="D3863" s="3" t="s">
        <v>9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/>
      <c r="P3863" s="3"/>
      <c r="Q3863" s="3"/>
    </row>
    <row r="3864" spans="1:17" ht="15" x14ac:dyDescent="0.25">
      <c r="A3864" s="3">
        <f>3857</f>
        <v>3857</v>
      </c>
      <c r="B3864" s="3" t="s">
        <v>3866</v>
      </c>
      <c r="C3864" s="3" t="s">
        <v>9</v>
      </c>
      <c r="D3864" s="3" t="s">
        <v>9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/>
      <c r="P3864" s="3"/>
      <c r="Q3864" s="3"/>
    </row>
    <row r="3865" spans="1:17" ht="15" x14ac:dyDescent="0.25">
      <c r="A3865" s="3">
        <f>3858</f>
        <v>3858</v>
      </c>
      <c r="B3865" s="3" t="s">
        <v>3867</v>
      </c>
      <c r="C3865" s="3" t="s">
        <v>9</v>
      </c>
      <c r="D3865" s="3" t="s">
        <v>9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/>
      <c r="P3865" s="3"/>
      <c r="Q3865" s="3"/>
    </row>
    <row r="3866" spans="1:17" ht="15" x14ac:dyDescent="0.25">
      <c r="A3866" s="3">
        <f>3859</f>
        <v>3859</v>
      </c>
      <c r="B3866" s="3" t="s">
        <v>3868</v>
      </c>
      <c r="C3866" s="3" t="s">
        <v>9</v>
      </c>
      <c r="D3866" s="3" t="s">
        <v>9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/>
      <c r="P3866" s="3"/>
      <c r="Q3866" s="3"/>
    </row>
    <row r="3867" spans="1:17" ht="15" x14ac:dyDescent="0.25">
      <c r="A3867" s="3">
        <f>3860</f>
        <v>3860</v>
      </c>
      <c r="B3867" s="3" t="s">
        <v>3869</v>
      </c>
      <c r="C3867" s="3" t="s">
        <v>9</v>
      </c>
      <c r="D3867" s="3" t="s">
        <v>9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/>
      <c r="P3867" s="3"/>
      <c r="Q3867" s="3"/>
    </row>
    <row r="3868" spans="1:17" ht="15" x14ac:dyDescent="0.25">
      <c r="A3868" s="3">
        <f>3861</f>
        <v>3861</v>
      </c>
      <c r="B3868" s="3" t="s">
        <v>3870</v>
      </c>
      <c r="C3868" s="3" t="s">
        <v>9</v>
      </c>
      <c r="D3868" s="3" t="s">
        <v>9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/>
      <c r="P3868" s="3"/>
      <c r="Q3868" s="3"/>
    </row>
    <row r="3869" spans="1:17" ht="15" x14ac:dyDescent="0.25">
      <c r="A3869" s="3">
        <f>3862</f>
        <v>3862</v>
      </c>
      <c r="B3869" s="3" t="s">
        <v>3871</v>
      </c>
      <c r="C3869" s="3" t="s">
        <v>9</v>
      </c>
      <c r="D3869" s="3" t="s">
        <v>9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/>
      <c r="P3869" s="3"/>
      <c r="Q3869" s="3"/>
    </row>
    <row r="3870" spans="1:17" ht="15" x14ac:dyDescent="0.25">
      <c r="A3870" s="3">
        <f>3863</f>
        <v>3863</v>
      </c>
      <c r="B3870" s="3" t="s">
        <v>3872</v>
      </c>
      <c r="C3870" s="3" t="s">
        <v>9</v>
      </c>
      <c r="D3870" s="3" t="s">
        <v>9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/>
      <c r="P3870" s="3"/>
      <c r="Q3870" s="3"/>
    </row>
    <row r="3871" spans="1:17" ht="15" x14ac:dyDescent="0.25">
      <c r="A3871" s="3">
        <f>3864</f>
        <v>3864</v>
      </c>
      <c r="B3871" s="3" t="s">
        <v>3873</v>
      </c>
      <c r="C3871" s="3" t="s">
        <v>9</v>
      </c>
      <c r="D3871" s="3" t="s">
        <v>9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/>
      <c r="P3871" s="3"/>
      <c r="Q3871" s="3"/>
    </row>
    <row r="3872" spans="1:17" ht="15" x14ac:dyDescent="0.25">
      <c r="A3872" s="3">
        <f>3865</f>
        <v>3865</v>
      </c>
      <c r="B3872" s="3" t="s">
        <v>3874</v>
      </c>
      <c r="C3872" s="3" t="s">
        <v>9</v>
      </c>
      <c r="D3872" s="3" t="s">
        <v>9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/>
      <c r="P3872" s="3"/>
      <c r="Q3872" s="3"/>
    </row>
    <row r="3873" spans="1:17" ht="15" x14ac:dyDescent="0.25">
      <c r="A3873" s="3">
        <f>3866</f>
        <v>3866</v>
      </c>
      <c r="B3873" s="3" t="s">
        <v>3875</v>
      </c>
      <c r="C3873" s="3" t="s">
        <v>9</v>
      </c>
      <c r="D3873" s="3" t="s">
        <v>9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/>
      <c r="P3873" s="3"/>
      <c r="Q3873" s="3"/>
    </row>
    <row r="3874" spans="1:17" ht="15" x14ac:dyDescent="0.25">
      <c r="A3874" s="3">
        <f>3867</f>
        <v>3867</v>
      </c>
      <c r="B3874" s="3" t="s">
        <v>3876</v>
      </c>
      <c r="C3874" s="3" t="s">
        <v>9</v>
      </c>
      <c r="D3874" s="3" t="s">
        <v>9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/>
      <c r="P3874" s="3"/>
      <c r="Q3874" s="3"/>
    </row>
    <row r="3875" spans="1:17" ht="15" x14ac:dyDescent="0.25">
      <c r="A3875" s="3">
        <f>3868</f>
        <v>3868</v>
      </c>
      <c r="B3875" s="3" t="s">
        <v>3877</v>
      </c>
      <c r="C3875" s="3" t="s">
        <v>9</v>
      </c>
      <c r="D3875" s="3" t="s">
        <v>9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/>
      <c r="P3875" s="3"/>
      <c r="Q3875" s="3"/>
    </row>
    <row r="3876" spans="1:17" ht="15" x14ac:dyDescent="0.25">
      <c r="A3876" s="3">
        <f>3869</f>
        <v>3869</v>
      </c>
      <c r="B3876" s="3" t="s">
        <v>3878</v>
      </c>
      <c r="C3876" s="3" t="s">
        <v>9</v>
      </c>
      <c r="D3876" s="3" t="s">
        <v>9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/>
      <c r="P3876" s="3"/>
      <c r="Q3876" s="3"/>
    </row>
    <row r="3877" spans="1:17" ht="15" x14ac:dyDescent="0.25">
      <c r="A3877" s="3">
        <f>3870</f>
        <v>3870</v>
      </c>
      <c r="B3877" s="3" t="s">
        <v>3879</v>
      </c>
      <c r="C3877" s="3" t="s">
        <v>9</v>
      </c>
      <c r="D3877" s="3" t="s">
        <v>9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/>
      <c r="P3877" s="3"/>
      <c r="Q3877" s="3"/>
    </row>
    <row r="3878" spans="1:17" ht="15" x14ac:dyDescent="0.25">
      <c r="A3878" s="3">
        <f>3871</f>
        <v>3871</v>
      </c>
      <c r="B3878" s="3" t="s">
        <v>3880</v>
      </c>
      <c r="C3878" s="3" t="s">
        <v>9</v>
      </c>
      <c r="D3878" s="3" t="s">
        <v>9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/>
      <c r="P3878" s="3"/>
      <c r="Q3878" s="3"/>
    </row>
    <row r="3879" spans="1:17" ht="15" x14ac:dyDescent="0.25">
      <c r="A3879" s="3">
        <f>3872</f>
        <v>3872</v>
      </c>
      <c r="B3879" s="3" t="s">
        <v>3881</v>
      </c>
      <c r="C3879" s="3" t="s">
        <v>9</v>
      </c>
      <c r="D3879" s="3" t="s">
        <v>9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/>
      <c r="P3879" s="3"/>
      <c r="Q3879" s="3"/>
    </row>
    <row r="3880" spans="1:17" ht="15" x14ac:dyDescent="0.25">
      <c r="A3880" s="3">
        <f>3873</f>
        <v>3873</v>
      </c>
      <c r="B3880" s="3" t="s">
        <v>3882</v>
      </c>
      <c r="C3880" s="3" t="s">
        <v>9</v>
      </c>
      <c r="D3880" s="3" t="s">
        <v>9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/>
      <c r="P3880" s="3"/>
      <c r="Q3880" s="3"/>
    </row>
    <row r="3881" spans="1:17" ht="15" x14ac:dyDescent="0.25">
      <c r="A3881" s="3">
        <f>3874</f>
        <v>3874</v>
      </c>
      <c r="B3881" s="3" t="s">
        <v>3883</v>
      </c>
      <c r="C3881" s="3" t="s">
        <v>9</v>
      </c>
      <c r="D3881" s="3" t="s">
        <v>9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/>
      <c r="P3881" s="3"/>
      <c r="Q3881" s="3"/>
    </row>
    <row r="3882" spans="1:17" ht="15" x14ac:dyDescent="0.25">
      <c r="A3882" s="3">
        <f>3875</f>
        <v>3875</v>
      </c>
      <c r="B3882" s="3" t="s">
        <v>3884</v>
      </c>
      <c r="C3882" s="3" t="s">
        <v>9</v>
      </c>
      <c r="D3882" s="3" t="s">
        <v>9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/>
      <c r="P3882" s="3"/>
      <c r="Q3882" s="3"/>
    </row>
    <row r="3883" spans="1:17" ht="15" x14ac:dyDescent="0.25">
      <c r="A3883" s="3">
        <f>3876</f>
        <v>3876</v>
      </c>
      <c r="B3883" s="3" t="s">
        <v>3885</v>
      </c>
      <c r="C3883" s="3" t="s">
        <v>9</v>
      </c>
      <c r="D3883" s="3" t="s">
        <v>9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/>
      <c r="P3883" s="3"/>
      <c r="Q3883" s="3"/>
    </row>
    <row r="3884" spans="1:17" ht="15" x14ac:dyDescent="0.25">
      <c r="A3884" s="3">
        <f>3877</f>
        <v>3877</v>
      </c>
      <c r="B3884" s="3" t="s">
        <v>3886</v>
      </c>
      <c r="C3884" s="3" t="s">
        <v>9</v>
      </c>
      <c r="D3884" s="3" t="s">
        <v>9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/>
      <c r="P3884" s="3"/>
      <c r="Q3884" s="3"/>
    </row>
    <row r="3885" spans="1:17" ht="15" x14ac:dyDescent="0.25">
      <c r="A3885" s="3">
        <f>3878</f>
        <v>3878</v>
      </c>
      <c r="B3885" s="3" t="s">
        <v>3887</v>
      </c>
      <c r="C3885" s="3" t="s">
        <v>9</v>
      </c>
      <c r="D3885" s="3" t="s">
        <v>9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/>
      <c r="P3885" s="3"/>
      <c r="Q3885" s="3"/>
    </row>
    <row r="3886" spans="1:17" ht="15" x14ac:dyDescent="0.25">
      <c r="A3886" s="3">
        <f>3879</f>
        <v>3879</v>
      </c>
      <c r="B3886" s="3" t="s">
        <v>3888</v>
      </c>
      <c r="C3886" s="3" t="s">
        <v>9</v>
      </c>
      <c r="D3886" s="3" t="s">
        <v>9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/>
      <c r="P3886" s="3"/>
      <c r="Q3886" s="3"/>
    </row>
    <row r="3887" spans="1:17" ht="15" x14ac:dyDescent="0.25">
      <c r="A3887" s="3">
        <f>3880</f>
        <v>3880</v>
      </c>
      <c r="B3887" s="3" t="s">
        <v>3889</v>
      </c>
      <c r="C3887" s="3" t="s">
        <v>9</v>
      </c>
      <c r="D3887" s="3" t="s">
        <v>9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/>
      <c r="P3887" s="3"/>
      <c r="Q3887" s="3"/>
    </row>
    <row r="3888" spans="1:17" ht="15" x14ac:dyDescent="0.25">
      <c r="A3888" s="3">
        <f>3881</f>
        <v>3881</v>
      </c>
      <c r="B3888" s="3" t="s">
        <v>3890</v>
      </c>
      <c r="C3888" s="3" t="s">
        <v>9</v>
      </c>
      <c r="D3888" s="3" t="s">
        <v>9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/>
      <c r="P3888" s="3"/>
      <c r="Q3888" s="3"/>
    </row>
    <row r="3889" spans="1:17" ht="15" x14ac:dyDescent="0.25">
      <c r="A3889" s="3">
        <f>3882</f>
        <v>3882</v>
      </c>
      <c r="B3889" s="3" t="s">
        <v>3891</v>
      </c>
      <c r="C3889" s="3" t="s">
        <v>9</v>
      </c>
      <c r="D3889" s="3" t="s">
        <v>9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/>
      <c r="P3889" s="3"/>
      <c r="Q3889" s="3"/>
    </row>
    <row r="3890" spans="1:17" ht="15" x14ac:dyDescent="0.25">
      <c r="A3890" s="3">
        <f>3883</f>
        <v>3883</v>
      </c>
      <c r="B3890" s="3" t="s">
        <v>3892</v>
      </c>
      <c r="C3890" s="3" t="s">
        <v>9</v>
      </c>
      <c r="D3890" s="3" t="s">
        <v>9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/>
      <c r="P3890" s="3"/>
      <c r="Q3890" s="3"/>
    </row>
    <row r="3891" spans="1:17" ht="15" x14ac:dyDescent="0.25">
      <c r="A3891" s="3">
        <f>3884</f>
        <v>3884</v>
      </c>
      <c r="B3891" s="3" t="s">
        <v>3893</v>
      </c>
      <c r="C3891" s="3" t="s">
        <v>9</v>
      </c>
      <c r="D3891" s="3" t="s">
        <v>9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/>
      <c r="P3891" s="3"/>
      <c r="Q3891" s="3"/>
    </row>
    <row r="3892" spans="1:17" ht="15" x14ac:dyDescent="0.25">
      <c r="A3892" s="3">
        <f>3885</f>
        <v>3885</v>
      </c>
      <c r="B3892" s="3" t="s">
        <v>3894</v>
      </c>
      <c r="C3892" s="3" t="s">
        <v>9</v>
      </c>
      <c r="D3892" s="3" t="s">
        <v>9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/>
      <c r="P3892" s="3"/>
      <c r="Q3892" s="3"/>
    </row>
    <row r="3893" spans="1:17" ht="15" x14ac:dyDescent="0.25">
      <c r="A3893" s="3">
        <f>3886</f>
        <v>3886</v>
      </c>
      <c r="B3893" s="3" t="s">
        <v>3895</v>
      </c>
      <c r="C3893" s="3" t="s">
        <v>9</v>
      </c>
      <c r="D3893" s="3" t="s">
        <v>9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/>
      <c r="P3893" s="3"/>
      <c r="Q3893" s="3"/>
    </row>
    <row r="3894" spans="1:17" ht="15" x14ac:dyDescent="0.25">
      <c r="A3894" s="3">
        <f>3887</f>
        <v>3887</v>
      </c>
      <c r="B3894" s="3" t="s">
        <v>3896</v>
      </c>
      <c r="C3894" s="3" t="s">
        <v>9</v>
      </c>
      <c r="D3894" s="3" t="s">
        <v>9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/>
      <c r="P3894" s="3"/>
      <c r="Q3894" s="3"/>
    </row>
    <row r="3895" spans="1:17" ht="15" x14ac:dyDescent="0.25">
      <c r="A3895" s="3">
        <f>3888</f>
        <v>3888</v>
      </c>
      <c r="B3895" s="3" t="s">
        <v>3897</v>
      </c>
      <c r="C3895" s="3" t="s">
        <v>9</v>
      </c>
      <c r="D3895" s="3" t="s">
        <v>9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/>
      <c r="P3895" s="3"/>
      <c r="Q3895" s="3"/>
    </row>
    <row r="3896" spans="1:17" ht="15" x14ac:dyDescent="0.25">
      <c r="A3896" s="3">
        <f>3889</f>
        <v>3889</v>
      </c>
      <c r="B3896" s="3" t="s">
        <v>3898</v>
      </c>
      <c r="C3896" s="3" t="s">
        <v>9</v>
      </c>
      <c r="D3896" s="3" t="s">
        <v>9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/>
      <c r="P3896" s="3"/>
      <c r="Q3896" s="3"/>
    </row>
    <row r="3897" spans="1:17" ht="15" x14ac:dyDescent="0.25">
      <c r="A3897" s="3">
        <f>3890</f>
        <v>3890</v>
      </c>
      <c r="B3897" s="3" t="s">
        <v>3899</v>
      </c>
      <c r="C3897" s="3" t="s">
        <v>9</v>
      </c>
      <c r="D3897" s="3" t="s">
        <v>9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/>
      <c r="P3897" s="3"/>
      <c r="Q3897" s="3"/>
    </row>
    <row r="3898" spans="1:17" ht="15" x14ac:dyDescent="0.25">
      <c r="A3898" s="3">
        <f>3891</f>
        <v>3891</v>
      </c>
      <c r="B3898" s="3" t="s">
        <v>3900</v>
      </c>
      <c r="C3898" s="3" t="s">
        <v>9</v>
      </c>
      <c r="D3898" s="3" t="s">
        <v>9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/>
      <c r="P3898" s="3"/>
      <c r="Q3898" s="3"/>
    </row>
    <row r="3899" spans="1:17" ht="15" x14ac:dyDescent="0.25">
      <c r="A3899" s="3">
        <f>3892</f>
        <v>3892</v>
      </c>
      <c r="B3899" s="3" t="s">
        <v>3901</v>
      </c>
      <c r="C3899" s="3" t="s">
        <v>9</v>
      </c>
      <c r="D3899" s="3" t="s">
        <v>9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/>
      <c r="P3899" s="3"/>
      <c r="Q3899" s="3"/>
    </row>
    <row r="3900" spans="1:17" ht="15" x14ac:dyDescent="0.25">
      <c r="A3900" s="3">
        <f>3893</f>
        <v>3893</v>
      </c>
      <c r="B3900" s="3" t="s">
        <v>3902</v>
      </c>
      <c r="C3900" s="3" t="s">
        <v>9</v>
      </c>
      <c r="D3900" s="3" t="s">
        <v>9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/>
      <c r="P3900" s="3"/>
      <c r="Q3900" s="3"/>
    </row>
    <row r="3901" spans="1:17" ht="15" x14ac:dyDescent="0.25">
      <c r="A3901" s="3">
        <f>3894</f>
        <v>3894</v>
      </c>
      <c r="B3901" s="3" t="s">
        <v>3903</v>
      </c>
      <c r="C3901" s="3" t="s">
        <v>9</v>
      </c>
      <c r="D3901" s="3" t="s">
        <v>9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/>
      <c r="P3901" s="3"/>
      <c r="Q3901" s="3"/>
    </row>
    <row r="3902" spans="1:17" ht="15" x14ac:dyDescent="0.25">
      <c r="A3902" s="3">
        <f>3895</f>
        <v>3895</v>
      </c>
      <c r="B3902" s="3" t="s">
        <v>3904</v>
      </c>
      <c r="C3902" s="3" t="s">
        <v>9</v>
      </c>
      <c r="D3902" s="3" t="s">
        <v>9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/>
      <c r="P3902" s="3"/>
      <c r="Q3902" s="3"/>
    </row>
    <row r="3903" spans="1:17" ht="15" x14ac:dyDescent="0.25">
      <c r="A3903" s="3">
        <f>3896</f>
        <v>3896</v>
      </c>
      <c r="B3903" s="3" t="s">
        <v>3905</v>
      </c>
      <c r="C3903" s="3" t="s">
        <v>9</v>
      </c>
      <c r="D3903" s="3" t="s">
        <v>9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/>
      <c r="P3903" s="3"/>
      <c r="Q3903" s="3"/>
    </row>
    <row r="3904" spans="1:17" ht="15" x14ac:dyDescent="0.25">
      <c r="A3904" s="3">
        <f>3897</f>
        <v>3897</v>
      </c>
      <c r="B3904" s="3" t="s">
        <v>3906</v>
      </c>
      <c r="C3904" s="3" t="s">
        <v>9</v>
      </c>
      <c r="D3904" s="3" t="s">
        <v>9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/>
      <c r="P3904" s="3"/>
      <c r="Q3904" s="3"/>
    </row>
    <row r="3905" spans="1:17" ht="15" x14ac:dyDescent="0.25">
      <c r="A3905" s="3">
        <f>3898</f>
        <v>3898</v>
      </c>
      <c r="B3905" s="3" t="s">
        <v>3907</v>
      </c>
      <c r="C3905" s="3" t="s">
        <v>9</v>
      </c>
      <c r="D3905" s="3" t="s">
        <v>9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/>
      <c r="P3905" s="3"/>
      <c r="Q3905" s="3"/>
    </row>
    <row r="3906" spans="1:17" ht="15" x14ac:dyDescent="0.25">
      <c r="A3906" s="3">
        <f>3899</f>
        <v>3899</v>
      </c>
      <c r="B3906" s="3" t="s">
        <v>3908</v>
      </c>
      <c r="C3906" s="3" t="s">
        <v>9</v>
      </c>
      <c r="D3906" s="3" t="s">
        <v>9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/>
      <c r="P3906" s="3"/>
      <c r="Q3906" s="3"/>
    </row>
    <row r="3907" spans="1:17" ht="15" x14ac:dyDescent="0.25">
      <c r="A3907" s="3">
        <f>3900</f>
        <v>3900</v>
      </c>
      <c r="B3907" s="3" t="s">
        <v>3909</v>
      </c>
      <c r="C3907" s="3" t="s">
        <v>9</v>
      </c>
      <c r="D3907" s="3" t="s">
        <v>9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/>
      <c r="P3907" s="3"/>
      <c r="Q3907" s="3"/>
    </row>
    <row r="3908" spans="1:17" ht="15" x14ac:dyDescent="0.25">
      <c r="A3908" s="3">
        <f>3901</f>
        <v>3901</v>
      </c>
      <c r="B3908" s="3" t="s">
        <v>3910</v>
      </c>
      <c r="C3908" s="3" t="s">
        <v>9</v>
      </c>
      <c r="D3908" s="3" t="s">
        <v>9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/>
      <c r="P3908" s="3"/>
      <c r="Q3908" s="3"/>
    </row>
    <row r="3909" spans="1:17" ht="15" x14ac:dyDescent="0.25">
      <c r="A3909" s="3">
        <f>3902</f>
        <v>3902</v>
      </c>
      <c r="B3909" s="3" t="s">
        <v>3911</v>
      </c>
      <c r="C3909" s="3" t="s">
        <v>9</v>
      </c>
      <c r="D3909" s="3" t="s">
        <v>9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/>
      <c r="P3909" s="3"/>
      <c r="Q3909" s="3"/>
    </row>
    <row r="3910" spans="1:17" ht="15" x14ac:dyDescent="0.25">
      <c r="A3910" s="3">
        <f>3903</f>
        <v>3903</v>
      </c>
      <c r="B3910" s="3" t="s">
        <v>3912</v>
      </c>
      <c r="C3910" s="3" t="s">
        <v>9</v>
      </c>
      <c r="D3910" s="3" t="s">
        <v>9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/>
      <c r="P3910" s="3"/>
      <c r="Q3910" s="3"/>
    </row>
    <row r="3911" spans="1:17" ht="15" x14ac:dyDescent="0.25">
      <c r="A3911" s="3">
        <f>3904</f>
        <v>3904</v>
      </c>
      <c r="B3911" s="3" t="s">
        <v>3913</v>
      </c>
      <c r="C3911" s="3" t="s">
        <v>9</v>
      </c>
      <c r="D3911" s="3" t="s">
        <v>9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/>
      <c r="P3911" s="3"/>
      <c r="Q3911" s="3"/>
    </row>
    <row r="3912" spans="1:17" ht="15" x14ac:dyDescent="0.25">
      <c r="A3912" s="3">
        <f>3905</f>
        <v>3905</v>
      </c>
      <c r="B3912" s="3" t="s">
        <v>3914</v>
      </c>
      <c r="C3912" s="3" t="s">
        <v>9</v>
      </c>
      <c r="D3912" s="3" t="s">
        <v>9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/>
      <c r="P3912" s="3"/>
      <c r="Q3912" s="3"/>
    </row>
    <row r="3913" spans="1:17" ht="15" x14ac:dyDescent="0.25">
      <c r="A3913" s="3">
        <f>3906</f>
        <v>3906</v>
      </c>
      <c r="B3913" s="3" t="s">
        <v>3915</v>
      </c>
      <c r="C3913" s="3" t="s">
        <v>9</v>
      </c>
      <c r="D3913" s="3" t="s">
        <v>9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/>
      <c r="P3913" s="3"/>
      <c r="Q3913" s="3"/>
    </row>
    <row r="3914" spans="1:17" ht="15" x14ac:dyDescent="0.25">
      <c r="A3914" s="3">
        <f>3907</f>
        <v>3907</v>
      </c>
      <c r="B3914" s="3" t="s">
        <v>3916</v>
      </c>
      <c r="C3914" s="3" t="s">
        <v>9</v>
      </c>
      <c r="D3914" s="3" t="s">
        <v>9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/>
      <c r="P3914" s="3"/>
      <c r="Q3914" s="3"/>
    </row>
    <row r="3915" spans="1:17" ht="15" x14ac:dyDescent="0.25">
      <c r="A3915" s="3">
        <f>3908</f>
        <v>3908</v>
      </c>
      <c r="B3915" s="3" t="s">
        <v>3917</v>
      </c>
      <c r="C3915" s="3" t="s">
        <v>9</v>
      </c>
      <c r="D3915" s="3" t="s">
        <v>9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/>
      <c r="P3915" s="3"/>
      <c r="Q3915" s="3"/>
    </row>
    <row r="3916" spans="1:17" ht="15" x14ac:dyDescent="0.25">
      <c r="A3916" s="3">
        <f>3909</f>
        <v>3909</v>
      </c>
      <c r="B3916" s="3" t="s">
        <v>3918</v>
      </c>
      <c r="C3916" s="3" t="s">
        <v>9</v>
      </c>
      <c r="D3916" s="3" t="s">
        <v>9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/>
      <c r="P3916" s="3"/>
      <c r="Q3916" s="3"/>
    </row>
    <row r="3917" spans="1:17" ht="15" x14ac:dyDescent="0.25">
      <c r="A3917" s="3">
        <f>3910</f>
        <v>3910</v>
      </c>
      <c r="B3917" s="3" t="s">
        <v>3919</v>
      </c>
      <c r="C3917" s="3" t="s">
        <v>9</v>
      </c>
      <c r="D3917" s="3" t="s">
        <v>9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/>
      <c r="P3917" s="3"/>
      <c r="Q3917" s="3"/>
    </row>
    <row r="3918" spans="1:17" ht="15" x14ac:dyDescent="0.25">
      <c r="A3918" s="3">
        <f>3911</f>
        <v>3911</v>
      </c>
      <c r="B3918" s="3" t="s">
        <v>3920</v>
      </c>
      <c r="C3918" s="3" t="s">
        <v>9</v>
      </c>
      <c r="D3918" s="3" t="s">
        <v>9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/>
      <c r="P3918" s="3"/>
      <c r="Q3918" s="3"/>
    </row>
    <row r="3919" spans="1:17" ht="15" x14ac:dyDescent="0.25">
      <c r="A3919" s="3">
        <f>3912</f>
        <v>3912</v>
      </c>
      <c r="B3919" s="3" t="s">
        <v>3921</v>
      </c>
      <c r="C3919" s="3" t="s">
        <v>9</v>
      </c>
      <c r="D3919" s="3" t="s">
        <v>9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/>
      <c r="P3919" s="3"/>
      <c r="Q3919" s="3"/>
    </row>
    <row r="3920" spans="1:17" ht="15" x14ac:dyDescent="0.25">
      <c r="A3920" s="3">
        <f>3913</f>
        <v>3913</v>
      </c>
      <c r="B3920" s="3" t="s">
        <v>3922</v>
      </c>
      <c r="C3920" s="3" t="s">
        <v>9</v>
      </c>
      <c r="D3920" s="3" t="s">
        <v>9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/>
      <c r="P3920" s="3"/>
      <c r="Q3920" s="3"/>
    </row>
    <row r="3921" spans="1:17" ht="15" x14ac:dyDescent="0.25">
      <c r="A3921" s="3">
        <f>3914</f>
        <v>3914</v>
      </c>
      <c r="B3921" s="3" t="s">
        <v>3923</v>
      </c>
      <c r="C3921" s="3" t="s">
        <v>9</v>
      </c>
      <c r="D3921" s="3" t="s">
        <v>9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/>
      <c r="P3921" s="3"/>
      <c r="Q3921" s="3"/>
    </row>
    <row r="3922" spans="1:17" ht="15" x14ac:dyDescent="0.25">
      <c r="A3922" s="3">
        <f>3915</f>
        <v>3915</v>
      </c>
      <c r="B3922" s="3" t="s">
        <v>3924</v>
      </c>
      <c r="C3922" s="3" t="s">
        <v>9</v>
      </c>
      <c r="D3922" s="3" t="s">
        <v>9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/>
      <c r="P3922" s="3"/>
      <c r="Q3922" s="3"/>
    </row>
    <row r="3923" spans="1:17" ht="15" x14ac:dyDescent="0.25">
      <c r="A3923" s="3">
        <f>3916</f>
        <v>3916</v>
      </c>
      <c r="B3923" s="3" t="s">
        <v>3925</v>
      </c>
      <c r="C3923" s="3" t="s">
        <v>9</v>
      </c>
      <c r="D3923" s="3" t="s">
        <v>9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/>
      <c r="P3923" s="3"/>
      <c r="Q3923" s="3"/>
    </row>
    <row r="3924" spans="1:17" ht="15" x14ac:dyDescent="0.25">
      <c r="A3924" s="3">
        <f>3917</f>
        <v>3917</v>
      </c>
      <c r="B3924" s="3" t="s">
        <v>3926</v>
      </c>
      <c r="C3924" s="3" t="s">
        <v>9</v>
      </c>
      <c r="D3924" s="3" t="s">
        <v>9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/>
      <c r="P3924" s="3"/>
      <c r="Q3924" s="3"/>
    </row>
    <row r="3925" spans="1:17" ht="15" x14ac:dyDescent="0.25">
      <c r="A3925" s="3">
        <f>3918</f>
        <v>3918</v>
      </c>
      <c r="B3925" s="3" t="s">
        <v>3927</v>
      </c>
      <c r="C3925" s="3" t="s">
        <v>9</v>
      </c>
      <c r="D3925" s="3" t="s">
        <v>9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/>
      <c r="P3925" s="3"/>
      <c r="Q3925" s="3"/>
    </row>
    <row r="3926" spans="1:17" ht="15" x14ac:dyDescent="0.25">
      <c r="A3926" s="3">
        <f>3919</f>
        <v>3919</v>
      </c>
      <c r="B3926" s="3" t="s">
        <v>3928</v>
      </c>
      <c r="C3926" s="3" t="s">
        <v>9</v>
      </c>
      <c r="D3926" s="3" t="s">
        <v>9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/>
      <c r="P3926" s="3"/>
      <c r="Q3926" s="3"/>
    </row>
    <row r="3927" spans="1:17" ht="15" x14ac:dyDescent="0.25">
      <c r="A3927" s="3">
        <f>3920</f>
        <v>3920</v>
      </c>
      <c r="B3927" s="3" t="s">
        <v>3929</v>
      </c>
      <c r="C3927" s="3" t="s">
        <v>9</v>
      </c>
      <c r="D3927" s="3" t="s">
        <v>9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/>
      <c r="P3927" s="3"/>
      <c r="Q3927" s="3"/>
    </row>
    <row r="3928" spans="1:17" ht="15" x14ac:dyDescent="0.25">
      <c r="A3928" s="3">
        <f>3921</f>
        <v>3921</v>
      </c>
      <c r="B3928" s="3" t="s">
        <v>3930</v>
      </c>
      <c r="C3928" s="3" t="s">
        <v>9</v>
      </c>
      <c r="D3928" s="3" t="s">
        <v>9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/>
      <c r="P3928" s="3"/>
      <c r="Q3928" s="3"/>
    </row>
    <row r="3929" spans="1:17" ht="15" x14ac:dyDescent="0.25">
      <c r="A3929" s="3">
        <f>3922</f>
        <v>3922</v>
      </c>
      <c r="B3929" s="3" t="s">
        <v>3931</v>
      </c>
      <c r="C3929" s="3" t="s">
        <v>9</v>
      </c>
      <c r="D3929" s="3" t="s">
        <v>9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/>
      <c r="P3929" s="3"/>
      <c r="Q3929" s="3"/>
    </row>
    <row r="3930" spans="1:17" ht="15" x14ac:dyDescent="0.25">
      <c r="A3930" s="3">
        <f>3923</f>
        <v>3923</v>
      </c>
      <c r="B3930" s="3" t="s">
        <v>3932</v>
      </c>
      <c r="C3930" s="3" t="s">
        <v>9</v>
      </c>
      <c r="D3930" s="3" t="s">
        <v>9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/>
      <c r="P3930" s="3"/>
      <c r="Q3930" s="3"/>
    </row>
    <row r="3931" spans="1:17" ht="15" x14ac:dyDescent="0.25">
      <c r="A3931" s="3">
        <f>3924</f>
        <v>3924</v>
      </c>
      <c r="B3931" s="3" t="s">
        <v>3933</v>
      </c>
      <c r="C3931" s="3" t="s">
        <v>9</v>
      </c>
      <c r="D3931" s="3" t="s">
        <v>9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/>
      <c r="P3931" s="3"/>
      <c r="Q3931" s="3"/>
    </row>
    <row r="3932" spans="1:17" ht="15" x14ac:dyDescent="0.25">
      <c r="A3932" s="3">
        <f>3925</f>
        <v>3925</v>
      </c>
      <c r="B3932" s="3" t="s">
        <v>3934</v>
      </c>
      <c r="C3932" s="3" t="s">
        <v>9</v>
      </c>
      <c r="D3932" s="3" t="s">
        <v>9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/>
      <c r="P3932" s="3"/>
      <c r="Q3932" s="3"/>
    </row>
    <row r="3933" spans="1:17" ht="15" x14ac:dyDescent="0.25">
      <c r="A3933" s="3">
        <f>3926</f>
        <v>3926</v>
      </c>
      <c r="B3933" s="3" t="s">
        <v>3935</v>
      </c>
      <c r="C3933" s="3" t="s">
        <v>9</v>
      </c>
      <c r="D3933" s="3" t="s">
        <v>9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/>
      <c r="P3933" s="3"/>
      <c r="Q3933" s="3"/>
    </row>
    <row r="3934" spans="1:17" ht="15" x14ac:dyDescent="0.25">
      <c r="A3934" s="3">
        <f>3927</f>
        <v>3927</v>
      </c>
      <c r="B3934" s="3" t="s">
        <v>3936</v>
      </c>
      <c r="C3934" s="3" t="s">
        <v>9</v>
      </c>
      <c r="D3934" s="3" t="s">
        <v>9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/>
      <c r="P3934" s="3"/>
      <c r="Q3934" s="3"/>
    </row>
    <row r="3935" spans="1:17" ht="15" x14ac:dyDescent="0.25">
      <c r="A3935" s="3">
        <f>3928</f>
        <v>3928</v>
      </c>
      <c r="B3935" s="3" t="s">
        <v>3937</v>
      </c>
      <c r="C3935" s="3" t="s">
        <v>9</v>
      </c>
      <c r="D3935" s="3" t="s">
        <v>9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/>
      <c r="P3935" s="3"/>
      <c r="Q3935" s="3"/>
    </row>
    <row r="3936" spans="1:17" ht="15" x14ac:dyDescent="0.25">
      <c r="A3936" s="3">
        <f>3929</f>
        <v>3929</v>
      </c>
      <c r="B3936" s="3" t="s">
        <v>3938</v>
      </c>
      <c r="C3936" s="3" t="s">
        <v>9</v>
      </c>
      <c r="D3936" s="3" t="s">
        <v>9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/>
      <c r="P3936" s="3"/>
      <c r="Q3936" s="3"/>
    </row>
    <row r="3937" spans="1:17" ht="15" x14ac:dyDescent="0.25">
      <c r="A3937" s="3">
        <f>3930</f>
        <v>3930</v>
      </c>
      <c r="B3937" s="3" t="s">
        <v>3939</v>
      </c>
      <c r="C3937" s="3" t="s">
        <v>9</v>
      </c>
      <c r="D3937" s="3" t="s">
        <v>9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/>
      <c r="P3937" s="3"/>
      <c r="Q3937" s="3"/>
    </row>
    <row r="3938" spans="1:17" ht="15" x14ac:dyDescent="0.25">
      <c r="A3938" s="3">
        <f>3931</f>
        <v>3931</v>
      </c>
      <c r="B3938" s="3" t="s">
        <v>3940</v>
      </c>
      <c r="C3938" s="3" t="s">
        <v>9</v>
      </c>
      <c r="D3938" s="3" t="s">
        <v>9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/>
      <c r="P3938" s="3"/>
      <c r="Q3938" s="3"/>
    </row>
    <row r="3939" spans="1:17" ht="15" x14ac:dyDescent="0.25">
      <c r="A3939" s="3">
        <f>3932</f>
        <v>3932</v>
      </c>
      <c r="B3939" s="3" t="s">
        <v>3941</v>
      </c>
      <c r="C3939" s="3" t="s">
        <v>9</v>
      </c>
      <c r="D3939" s="3" t="s">
        <v>9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/>
      <c r="P3939" s="3"/>
      <c r="Q3939" s="3"/>
    </row>
    <row r="3940" spans="1:17" ht="15" x14ac:dyDescent="0.25">
      <c r="A3940" s="3">
        <f>3933</f>
        <v>3933</v>
      </c>
      <c r="B3940" s="3" t="s">
        <v>3942</v>
      </c>
      <c r="C3940" s="3" t="s">
        <v>9</v>
      </c>
      <c r="D3940" s="3" t="s">
        <v>9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/>
      <c r="P3940" s="3"/>
      <c r="Q3940" s="3"/>
    </row>
    <row r="3941" spans="1:17" ht="15" x14ac:dyDescent="0.25">
      <c r="A3941" s="3">
        <f>3934</f>
        <v>3934</v>
      </c>
      <c r="B3941" s="3" t="s">
        <v>3943</v>
      </c>
      <c r="C3941" s="3" t="s">
        <v>9</v>
      </c>
      <c r="D3941" s="3" t="s">
        <v>9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/>
      <c r="P3941" s="3"/>
      <c r="Q3941" s="3"/>
    </row>
    <row r="3942" spans="1:17" ht="15" x14ac:dyDescent="0.25">
      <c r="A3942" s="3">
        <f>3935</f>
        <v>3935</v>
      </c>
      <c r="B3942" s="3" t="s">
        <v>3944</v>
      </c>
      <c r="C3942" s="3" t="s">
        <v>9</v>
      </c>
      <c r="D3942" s="3" t="s">
        <v>9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/>
      <c r="P3942" s="3"/>
      <c r="Q3942" s="3"/>
    </row>
    <row r="3943" spans="1:17" ht="15" x14ac:dyDescent="0.25">
      <c r="A3943" s="3">
        <f>3936</f>
        <v>3936</v>
      </c>
      <c r="B3943" s="3" t="s">
        <v>3945</v>
      </c>
      <c r="C3943" s="3" t="s">
        <v>9</v>
      </c>
      <c r="D3943" s="3" t="s">
        <v>9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/>
      <c r="P3943" s="3"/>
      <c r="Q3943" s="3"/>
    </row>
    <row r="3944" spans="1:17" ht="15" x14ac:dyDescent="0.25">
      <c r="A3944" s="3">
        <f>3937</f>
        <v>3937</v>
      </c>
      <c r="B3944" s="3" t="s">
        <v>3946</v>
      </c>
      <c r="C3944" s="3" t="s">
        <v>9</v>
      </c>
      <c r="D3944" s="3" t="s">
        <v>9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/>
      <c r="P3944" s="3"/>
      <c r="Q3944" s="3"/>
    </row>
    <row r="3945" spans="1:17" ht="15" x14ac:dyDescent="0.25">
      <c r="A3945" s="3">
        <f>3938</f>
        <v>3938</v>
      </c>
      <c r="B3945" s="3" t="s">
        <v>3947</v>
      </c>
      <c r="C3945" s="3" t="s">
        <v>9</v>
      </c>
      <c r="D3945" s="3" t="s">
        <v>9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/>
      <c r="P3945" s="3"/>
      <c r="Q3945" s="3"/>
    </row>
    <row r="3946" spans="1:17" ht="15" x14ac:dyDescent="0.25">
      <c r="A3946" s="3">
        <f>3939</f>
        <v>3939</v>
      </c>
      <c r="B3946" s="3" t="s">
        <v>3948</v>
      </c>
      <c r="C3946" s="3" t="s">
        <v>9</v>
      </c>
      <c r="D3946" s="3" t="s">
        <v>9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/>
      <c r="P3946" s="3"/>
      <c r="Q3946" s="3"/>
    </row>
    <row r="3947" spans="1:17" ht="15" x14ac:dyDescent="0.25">
      <c r="A3947" s="3">
        <f>3940</f>
        <v>3940</v>
      </c>
      <c r="B3947" s="3" t="s">
        <v>3949</v>
      </c>
      <c r="C3947" s="3" t="s">
        <v>9</v>
      </c>
      <c r="D3947" s="3" t="s">
        <v>9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/>
      <c r="P3947" s="3"/>
      <c r="Q3947" s="3"/>
    </row>
    <row r="3948" spans="1:17" ht="15" x14ac:dyDescent="0.25">
      <c r="A3948" s="3">
        <f>3941</f>
        <v>3941</v>
      </c>
      <c r="B3948" s="3" t="s">
        <v>3950</v>
      </c>
      <c r="C3948" s="3" t="s">
        <v>9</v>
      </c>
      <c r="D3948" s="3" t="s">
        <v>9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/>
      <c r="P3948" s="3"/>
      <c r="Q3948" s="3"/>
    </row>
    <row r="3949" spans="1:17" ht="15" x14ac:dyDescent="0.25">
      <c r="A3949" s="3">
        <f>3942</f>
        <v>3942</v>
      </c>
      <c r="B3949" s="3" t="s">
        <v>3951</v>
      </c>
      <c r="C3949" s="3" t="s">
        <v>9</v>
      </c>
      <c r="D3949" s="3" t="s">
        <v>9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/>
      <c r="P3949" s="3"/>
      <c r="Q3949" s="3"/>
    </row>
    <row r="3950" spans="1:17" ht="15" x14ac:dyDescent="0.25">
      <c r="A3950" s="3">
        <f>3943</f>
        <v>3943</v>
      </c>
      <c r="B3950" s="3" t="s">
        <v>3952</v>
      </c>
      <c r="C3950" s="3" t="s">
        <v>9</v>
      </c>
      <c r="D3950" s="3" t="s">
        <v>9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/>
      <c r="P3950" s="3"/>
      <c r="Q3950" s="3"/>
    </row>
    <row r="3951" spans="1:17" ht="15" x14ac:dyDescent="0.25">
      <c r="A3951" s="3">
        <f>3944</f>
        <v>3944</v>
      </c>
      <c r="B3951" s="3" t="s">
        <v>3953</v>
      </c>
      <c r="C3951" s="3" t="s">
        <v>9</v>
      </c>
      <c r="D3951" s="3" t="s">
        <v>9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/>
      <c r="P3951" s="3"/>
      <c r="Q3951" s="3"/>
    </row>
    <row r="3952" spans="1:17" ht="15" x14ac:dyDescent="0.25">
      <c r="A3952" s="3">
        <f>3945</f>
        <v>3945</v>
      </c>
      <c r="B3952" s="3" t="s">
        <v>3954</v>
      </c>
      <c r="C3952" s="3" t="s">
        <v>9</v>
      </c>
      <c r="D3952" s="3" t="s">
        <v>9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/>
      <c r="P3952" s="3"/>
      <c r="Q3952" s="3"/>
    </row>
    <row r="3953" spans="1:17" ht="15" x14ac:dyDescent="0.25">
      <c r="A3953" s="3">
        <f>3946</f>
        <v>3946</v>
      </c>
      <c r="B3953" s="3" t="s">
        <v>3955</v>
      </c>
      <c r="C3953" s="3" t="s">
        <v>9</v>
      </c>
      <c r="D3953" s="3" t="s">
        <v>9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/>
      <c r="P3953" s="3"/>
      <c r="Q3953" s="3"/>
    </row>
    <row r="3954" spans="1:17" ht="15" x14ac:dyDescent="0.25">
      <c r="A3954" s="3">
        <f>3947</f>
        <v>3947</v>
      </c>
      <c r="B3954" s="3" t="s">
        <v>3956</v>
      </c>
      <c r="C3954" s="3" t="s">
        <v>9</v>
      </c>
      <c r="D3954" s="3" t="s">
        <v>9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/>
      <c r="P3954" s="3"/>
      <c r="Q3954" s="3"/>
    </row>
    <row r="3955" spans="1:17" ht="15" x14ac:dyDescent="0.25">
      <c r="A3955" s="3">
        <f>3948</f>
        <v>3948</v>
      </c>
      <c r="B3955" s="3" t="s">
        <v>3957</v>
      </c>
      <c r="C3955" s="3" t="s">
        <v>9</v>
      </c>
      <c r="D3955" s="3" t="s">
        <v>9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/>
      <c r="P3955" s="3"/>
      <c r="Q3955" s="3"/>
    </row>
    <row r="3956" spans="1:17" ht="15" x14ac:dyDescent="0.25">
      <c r="A3956" s="3">
        <f>3949</f>
        <v>3949</v>
      </c>
      <c r="B3956" s="3" t="s">
        <v>3958</v>
      </c>
      <c r="C3956" s="3" t="s">
        <v>9</v>
      </c>
      <c r="D3956" s="3" t="s">
        <v>9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/>
      <c r="P3956" s="3"/>
      <c r="Q3956" s="3"/>
    </row>
    <row r="3957" spans="1:17" ht="15" x14ac:dyDescent="0.25">
      <c r="A3957" s="3">
        <f>3950</f>
        <v>3950</v>
      </c>
      <c r="B3957" s="3" t="s">
        <v>3959</v>
      </c>
      <c r="C3957" s="3" t="s">
        <v>9</v>
      </c>
      <c r="D3957" s="3" t="s">
        <v>9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/>
      <c r="P3957" s="3"/>
      <c r="Q3957" s="3"/>
    </row>
    <row r="3958" spans="1:17" ht="15" x14ac:dyDescent="0.25">
      <c r="A3958" s="3">
        <f>3951</f>
        <v>3951</v>
      </c>
      <c r="B3958" s="3" t="s">
        <v>3960</v>
      </c>
      <c r="C3958" s="3" t="s">
        <v>9</v>
      </c>
      <c r="D3958" s="3" t="s">
        <v>9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/>
      <c r="P3958" s="3"/>
      <c r="Q3958" s="3"/>
    </row>
    <row r="3959" spans="1:17" ht="15" x14ac:dyDescent="0.25">
      <c r="A3959" s="3">
        <f>3952</f>
        <v>3952</v>
      </c>
      <c r="B3959" s="3" t="s">
        <v>3961</v>
      </c>
      <c r="C3959" s="3" t="s">
        <v>9</v>
      </c>
      <c r="D3959" s="3" t="s">
        <v>9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/>
      <c r="P3959" s="3"/>
      <c r="Q3959" s="3"/>
    </row>
    <row r="3960" spans="1:17" ht="15" x14ac:dyDescent="0.25">
      <c r="A3960" s="3">
        <f>3953</f>
        <v>3953</v>
      </c>
      <c r="B3960" s="3" t="s">
        <v>3962</v>
      </c>
      <c r="C3960" s="3" t="s">
        <v>9</v>
      </c>
      <c r="D3960" s="3" t="s">
        <v>9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/>
      <c r="P3960" s="3"/>
      <c r="Q3960" s="3"/>
    </row>
    <row r="3961" spans="1:17" ht="15" x14ac:dyDescent="0.25">
      <c r="A3961" s="3">
        <f>3954</f>
        <v>3954</v>
      </c>
      <c r="B3961" s="3" t="s">
        <v>3963</v>
      </c>
      <c r="C3961" s="3" t="s">
        <v>9</v>
      </c>
      <c r="D3961" s="3" t="s">
        <v>9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/>
      <c r="P3961" s="3"/>
      <c r="Q3961" s="3"/>
    </row>
    <row r="3962" spans="1:17" ht="15" x14ac:dyDescent="0.25">
      <c r="A3962" s="3">
        <f>3955</f>
        <v>3955</v>
      </c>
      <c r="B3962" s="3" t="s">
        <v>3964</v>
      </c>
      <c r="C3962" s="3" t="s">
        <v>9</v>
      </c>
      <c r="D3962" s="3" t="s">
        <v>9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/>
      <c r="P3962" s="3"/>
      <c r="Q3962" s="3"/>
    </row>
    <row r="3963" spans="1:17" ht="15" x14ac:dyDescent="0.25">
      <c r="A3963" s="3">
        <f>3956</f>
        <v>3956</v>
      </c>
      <c r="B3963" s="3" t="s">
        <v>3965</v>
      </c>
      <c r="C3963" s="3" t="s">
        <v>9</v>
      </c>
      <c r="D3963" s="3" t="s">
        <v>9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/>
      <c r="P3963" s="3"/>
      <c r="Q3963" s="3"/>
    </row>
    <row r="3964" spans="1:17" ht="15" x14ac:dyDescent="0.25">
      <c r="A3964" s="3">
        <f>3957</f>
        <v>3957</v>
      </c>
      <c r="B3964" s="3" t="s">
        <v>3966</v>
      </c>
      <c r="C3964" s="3" t="s">
        <v>9</v>
      </c>
      <c r="D3964" s="3" t="s">
        <v>9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/>
      <c r="P3964" s="3"/>
      <c r="Q3964" s="3"/>
    </row>
    <row r="3965" spans="1:17" ht="15" x14ac:dyDescent="0.25">
      <c r="A3965" s="3">
        <f>3958</f>
        <v>3958</v>
      </c>
      <c r="B3965" s="3" t="s">
        <v>3967</v>
      </c>
      <c r="C3965" s="3" t="s">
        <v>9</v>
      </c>
      <c r="D3965" s="3" t="s">
        <v>9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/>
      <c r="P3965" s="3"/>
      <c r="Q3965" s="3"/>
    </row>
    <row r="3966" spans="1:17" ht="15" x14ac:dyDescent="0.25">
      <c r="A3966" s="3">
        <f>3959</f>
        <v>3959</v>
      </c>
      <c r="B3966" s="3" t="s">
        <v>3968</v>
      </c>
      <c r="C3966" s="3" t="s">
        <v>9</v>
      </c>
      <c r="D3966" s="3" t="s">
        <v>9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/>
      <c r="P3966" s="3"/>
      <c r="Q3966" s="3"/>
    </row>
    <row r="3967" spans="1:17" ht="15" x14ac:dyDescent="0.25">
      <c r="A3967" s="3">
        <f>3960</f>
        <v>3960</v>
      </c>
      <c r="B3967" s="3" t="s">
        <v>3969</v>
      </c>
      <c r="C3967" s="3" t="s">
        <v>9</v>
      </c>
      <c r="D3967" s="3" t="s">
        <v>9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/>
      <c r="P3967" s="3"/>
      <c r="Q3967" s="3"/>
    </row>
    <row r="3968" spans="1:17" ht="15" x14ac:dyDescent="0.25">
      <c r="A3968" s="3">
        <f>3961</f>
        <v>3961</v>
      </c>
      <c r="B3968" s="3" t="s">
        <v>3970</v>
      </c>
      <c r="C3968" s="3" t="s">
        <v>9</v>
      </c>
      <c r="D3968" s="3" t="s">
        <v>9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/>
      <c r="P3968" s="3"/>
      <c r="Q3968" s="3"/>
    </row>
    <row r="3969" spans="1:17" ht="15" x14ac:dyDescent="0.25">
      <c r="A3969" s="3">
        <f>3962</f>
        <v>3962</v>
      </c>
      <c r="B3969" s="3" t="s">
        <v>3971</v>
      </c>
      <c r="C3969" s="3" t="s">
        <v>9</v>
      </c>
      <c r="D3969" s="3" t="s">
        <v>9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/>
      <c r="P3969" s="3"/>
      <c r="Q3969" s="3"/>
    </row>
    <row r="3970" spans="1:17" ht="15" x14ac:dyDescent="0.25">
      <c r="A3970" s="3">
        <f>3963</f>
        <v>3963</v>
      </c>
      <c r="B3970" s="3" t="s">
        <v>3972</v>
      </c>
      <c r="C3970" s="3" t="s">
        <v>9</v>
      </c>
      <c r="D3970" s="3" t="s">
        <v>9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/>
      <c r="P3970" s="3"/>
      <c r="Q3970" s="3"/>
    </row>
    <row r="3971" spans="1:17" ht="15" x14ac:dyDescent="0.25">
      <c r="A3971" s="3">
        <f>3964</f>
        <v>3964</v>
      </c>
      <c r="B3971" s="3" t="s">
        <v>3973</v>
      </c>
      <c r="C3971" s="3" t="s">
        <v>9</v>
      </c>
      <c r="D3971" s="3" t="s">
        <v>9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/>
      <c r="P3971" s="3"/>
      <c r="Q3971" s="3"/>
    </row>
    <row r="3972" spans="1:17" ht="15" x14ac:dyDescent="0.25">
      <c r="A3972" s="3">
        <f>3965</f>
        <v>3965</v>
      </c>
      <c r="B3972" s="3" t="s">
        <v>3974</v>
      </c>
      <c r="C3972" s="3" t="s">
        <v>9</v>
      </c>
      <c r="D3972" s="3" t="s">
        <v>9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/>
      <c r="P3972" s="3"/>
      <c r="Q3972" s="3"/>
    </row>
    <row r="3973" spans="1:17" ht="15" x14ac:dyDescent="0.25">
      <c r="A3973" s="3">
        <f>3966</f>
        <v>3966</v>
      </c>
      <c r="B3973" s="3" t="s">
        <v>3975</v>
      </c>
      <c r="C3973" s="3" t="s">
        <v>9</v>
      </c>
      <c r="D3973" s="3" t="s">
        <v>9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/>
      <c r="P3973" s="3"/>
      <c r="Q3973" s="3"/>
    </row>
    <row r="3974" spans="1:17" ht="15" x14ac:dyDescent="0.25">
      <c r="A3974" s="3">
        <f>3967</f>
        <v>3967</v>
      </c>
      <c r="B3974" s="3" t="s">
        <v>3976</v>
      </c>
      <c r="C3974" s="3" t="s">
        <v>9</v>
      </c>
      <c r="D3974" s="3" t="s">
        <v>9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/>
      <c r="P3974" s="3"/>
      <c r="Q3974" s="3"/>
    </row>
    <row r="3975" spans="1:17" ht="15" x14ac:dyDescent="0.25">
      <c r="A3975" s="3">
        <f>3968</f>
        <v>3968</v>
      </c>
      <c r="B3975" s="3" t="s">
        <v>3977</v>
      </c>
      <c r="C3975" s="3" t="s">
        <v>9</v>
      </c>
      <c r="D3975" s="3" t="s">
        <v>9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/>
      <c r="P3975" s="3"/>
      <c r="Q3975" s="3"/>
    </row>
    <row r="3976" spans="1:17" ht="15" x14ac:dyDescent="0.25">
      <c r="A3976" s="3">
        <f>3969</f>
        <v>3969</v>
      </c>
      <c r="B3976" s="3" t="s">
        <v>3978</v>
      </c>
      <c r="C3976" s="3" t="s">
        <v>9</v>
      </c>
      <c r="D3976" s="3" t="s">
        <v>9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/>
      <c r="P3976" s="3"/>
      <c r="Q3976" s="3"/>
    </row>
    <row r="3977" spans="1:17" ht="15" x14ac:dyDescent="0.25">
      <c r="A3977" s="3">
        <f>3970</f>
        <v>3970</v>
      </c>
      <c r="B3977" s="3" t="s">
        <v>3979</v>
      </c>
      <c r="C3977" s="3" t="s">
        <v>9</v>
      </c>
      <c r="D3977" s="3" t="s">
        <v>9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/>
      <c r="P3977" s="3"/>
      <c r="Q3977" s="3"/>
    </row>
    <row r="3978" spans="1:17" ht="15" x14ac:dyDescent="0.25">
      <c r="A3978" s="3">
        <f>3971</f>
        <v>3971</v>
      </c>
      <c r="B3978" s="3" t="s">
        <v>3980</v>
      </c>
      <c r="C3978" s="3" t="s">
        <v>9</v>
      </c>
      <c r="D3978" s="3" t="s">
        <v>9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/>
      <c r="P3978" s="3"/>
      <c r="Q3978" s="3"/>
    </row>
    <row r="3979" spans="1:17" ht="15" x14ac:dyDescent="0.25">
      <c r="A3979" s="3">
        <f>3972</f>
        <v>3972</v>
      </c>
      <c r="B3979" s="3" t="s">
        <v>3981</v>
      </c>
      <c r="C3979" s="3" t="s">
        <v>9</v>
      </c>
      <c r="D3979" s="3" t="s">
        <v>9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/>
      <c r="P3979" s="3"/>
      <c r="Q3979" s="3"/>
    </row>
    <row r="3980" spans="1:17" ht="15" x14ac:dyDescent="0.25">
      <c r="A3980" s="3">
        <f>3973</f>
        <v>3973</v>
      </c>
      <c r="B3980" s="3" t="s">
        <v>3982</v>
      </c>
      <c r="C3980" s="3" t="s">
        <v>9</v>
      </c>
      <c r="D3980" s="3" t="s">
        <v>9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/>
      <c r="P3980" s="3"/>
      <c r="Q3980" s="3"/>
    </row>
    <row r="3981" spans="1:17" ht="15" x14ac:dyDescent="0.25">
      <c r="A3981" s="3">
        <f>3974</f>
        <v>3974</v>
      </c>
      <c r="B3981" s="3" t="s">
        <v>3983</v>
      </c>
      <c r="C3981" s="3" t="s">
        <v>9</v>
      </c>
      <c r="D3981" s="3" t="s">
        <v>9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/>
      <c r="P3981" s="3"/>
      <c r="Q3981" s="3"/>
    </row>
    <row r="3982" spans="1:17" ht="15" x14ac:dyDescent="0.25">
      <c r="A3982" s="3">
        <f>3975</f>
        <v>3975</v>
      </c>
      <c r="B3982" s="3" t="s">
        <v>3984</v>
      </c>
      <c r="C3982" s="3" t="s">
        <v>9</v>
      </c>
      <c r="D3982" s="3" t="s">
        <v>9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/>
      <c r="P3982" s="3"/>
      <c r="Q3982" s="3"/>
    </row>
    <row r="3983" spans="1:17" ht="15" x14ac:dyDescent="0.25">
      <c r="A3983" s="3">
        <f>3976</f>
        <v>3976</v>
      </c>
      <c r="B3983" s="3" t="s">
        <v>3985</v>
      </c>
      <c r="C3983" s="3" t="s">
        <v>9</v>
      </c>
      <c r="D3983" s="3" t="s">
        <v>9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/>
      <c r="P3983" s="3"/>
      <c r="Q3983" s="3"/>
    </row>
    <row r="3984" spans="1:17" ht="15" x14ac:dyDescent="0.25">
      <c r="A3984" s="3">
        <f>3977</f>
        <v>3977</v>
      </c>
      <c r="B3984" s="3" t="s">
        <v>3986</v>
      </c>
      <c r="C3984" s="3" t="s">
        <v>9</v>
      </c>
      <c r="D3984" s="3" t="s">
        <v>9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/>
      <c r="P3984" s="3"/>
      <c r="Q3984" s="3"/>
    </row>
    <row r="3985" spans="1:17" ht="15" x14ac:dyDescent="0.25">
      <c r="A3985" s="3">
        <f>3978</f>
        <v>3978</v>
      </c>
      <c r="B3985" s="3" t="s">
        <v>3987</v>
      </c>
      <c r="C3985" s="3" t="s">
        <v>9</v>
      </c>
      <c r="D3985" s="3" t="s">
        <v>9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/>
      <c r="P3985" s="3"/>
      <c r="Q3985" s="3"/>
    </row>
    <row r="3986" spans="1:17" ht="15" x14ac:dyDescent="0.25">
      <c r="A3986" s="3">
        <f>3979</f>
        <v>3979</v>
      </c>
      <c r="B3986" s="3" t="s">
        <v>3988</v>
      </c>
      <c r="C3986" s="3" t="s">
        <v>9</v>
      </c>
      <c r="D3986" s="3" t="s">
        <v>9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/>
      <c r="P3986" s="3"/>
      <c r="Q3986" s="3"/>
    </row>
    <row r="3987" spans="1:17" ht="15" x14ac:dyDescent="0.25">
      <c r="A3987" s="3">
        <f>3980</f>
        <v>3980</v>
      </c>
      <c r="B3987" s="3" t="s">
        <v>3989</v>
      </c>
      <c r="C3987" s="3" t="s">
        <v>9</v>
      </c>
      <c r="D3987" s="3" t="s">
        <v>9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/>
      <c r="P3987" s="3"/>
      <c r="Q3987" s="3"/>
    </row>
    <row r="3988" spans="1:17" ht="15" x14ac:dyDescent="0.25">
      <c r="A3988" s="3">
        <f>3981</f>
        <v>3981</v>
      </c>
      <c r="B3988" s="3" t="s">
        <v>3990</v>
      </c>
      <c r="C3988" s="3" t="s">
        <v>9</v>
      </c>
      <c r="D3988" s="3" t="s">
        <v>9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/>
      <c r="P3988" s="3"/>
      <c r="Q3988" s="3"/>
    </row>
    <row r="3989" spans="1:17" ht="15" x14ac:dyDescent="0.25">
      <c r="A3989" s="3">
        <f>3982</f>
        <v>3982</v>
      </c>
      <c r="B3989" s="3" t="s">
        <v>3991</v>
      </c>
      <c r="C3989" s="3" t="s">
        <v>9</v>
      </c>
      <c r="D3989" s="3" t="s">
        <v>9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/>
      <c r="P3989" s="3"/>
      <c r="Q3989" s="3"/>
    </row>
    <row r="3990" spans="1:17" ht="15" x14ac:dyDescent="0.25">
      <c r="A3990" s="3">
        <f>3983</f>
        <v>3983</v>
      </c>
      <c r="B3990" s="3" t="s">
        <v>3992</v>
      </c>
      <c r="C3990" s="3" t="s">
        <v>9</v>
      </c>
      <c r="D3990" s="3" t="s">
        <v>9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/>
      <c r="P3990" s="3"/>
      <c r="Q3990" s="3"/>
    </row>
    <row r="3991" spans="1:17" ht="15" x14ac:dyDescent="0.25">
      <c r="A3991" s="3">
        <f>3984</f>
        <v>3984</v>
      </c>
      <c r="B3991" s="3" t="s">
        <v>3993</v>
      </c>
      <c r="C3991" s="3" t="s">
        <v>9</v>
      </c>
      <c r="D3991" s="3" t="s">
        <v>9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/>
      <c r="P3991" s="3"/>
      <c r="Q3991" s="3"/>
    </row>
    <row r="3992" spans="1:17" ht="15" x14ac:dyDescent="0.25">
      <c r="A3992" s="3">
        <f>3985</f>
        <v>3985</v>
      </c>
      <c r="B3992" s="3" t="s">
        <v>3994</v>
      </c>
      <c r="C3992" s="3" t="s">
        <v>9</v>
      </c>
      <c r="D3992" s="3" t="s">
        <v>9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/>
      <c r="P3992" s="3"/>
      <c r="Q3992" s="3"/>
    </row>
    <row r="3993" spans="1:17" ht="15" x14ac:dyDescent="0.25">
      <c r="A3993" s="3">
        <f>3986</f>
        <v>3986</v>
      </c>
      <c r="B3993" s="3" t="s">
        <v>3995</v>
      </c>
      <c r="C3993" s="3" t="s">
        <v>9</v>
      </c>
      <c r="D3993" s="3" t="s">
        <v>9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/>
      <c r="P3993" s="3"/>
      <c r="Q3993" s="3"/>
    </row>
    <row r="3994" spans="1:17" ht="15" x14ac:dyDescent="0.25">
      <c r="A3994" s="3">
        <f>3987</f>
        <v>3987</v>
      </c>
      <c r="B3994" s="3" t="s">
        <v>3996</v>
      </c>
      <c r="C3994" s="3" t="s">
        <v>9</v>
      </c>
      <c r="D3994" s="3" t="s">
        <v>9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/>
      <c r="P3994" s="3"/>
      <c r="Q3994" s="3"/>
    </row>
    <row r="3995" spans="1:17" ht="15" x14ac:dyDescent="0.25">
      <c r="A3995" s="3">
        <f>3988</f>
        <v>3988</v>
      </c>
      <c r="B3995" s="3" t="s">
        <v>3997</v>
      </c>
      <c r="C3995" s="3" t="s">
        <v>9</v>
      </c>
      <c r="D3995" s="3" t="s">
        <v>9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/>
      <c r="P3995" s="3"/>
      <c r="Q3995" s="3"/>
    </row>
    <row r="3996" spans="1:17" ht="15" x14ac:dyDescent="0.25">
      <c r="A3996" s="3">
        <f>3989</f>
        <v>3989</v>
      </c>
      <c r="B3996" s="3" t="s">
        <v>3998</v>
      </c>
      <c r="C3996" s="3" t="s">
        <v>9</v>
      </c>
      <c r="D3996" s="3" t="s">
        <v>9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/>
      <c r="P3996" s="3"/>
      <c r="Q3996" s="3"/>
    </row>
    <row r="3997" spans="1:17" ht="15" x14ac:dyDescent="0.25">
      <c r="A3997" s="3">
        <f>3990</f>
        <v>3990</v>
      </c>
      <c r="B3997" s="3" t="s">
        <v>3999</v>
      </c>
      <c r="C3997" s="3" t="s">
        <v>9</v>
      </c>
      <c r="D3997" s="3" t="s">
        <v>9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/>
      <c r="P3997" s="3"/>
      <c r="Q3997" s="3"/>
    </row>
    <row r="3998" spans="1:17" ht="15" x14ac:dyDescent="0.25">
      <c r="A3998" s="3">
        <f>3991</f>
        <v>3991</v>
      </c>
      <c r="B3998" s="3" t="s">
        <v>4000</v>
      </c>
      <c r="C3998" s="3" t="s">
        <v>9</v>
      </c>
      <c r="D3998" s="3" t="s">
        <v>9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/>
      <c r="P3998" s="3"/>
      <c r="Q3998" s="3"/>
    </row>
    <row r="3999" spans="1:17" ht="15" x14ac:dyDescent="0.25">
      <c r="A3999" s="3">
        <f>3992</f>
        <v>3992</v>
      </c>
      <c r="B3999" s="3" t="s">
        <v>4001</v>
      </c>
      <c r="C3999" s="3" t="s">
        <v>9</v>
      </c>
      <c r="D3999" s="3" t="s">
        <v>9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/>
      <c r="P3999" s="3"/>
      <c r="Q3999" s="3"/>
    </row>
    <row r="4000" spans="1:17" ht="15" x14ac:dyDescent="0.25">
      <c r="A4000" s="3">
        <f>3993</f>
        <v>3993</v>
      </c>
      <c r="B4000" s="3" t="s">
        <v>4002</v>
      </c>
      <c r="C4000" s="3" t="s">
        <v>9</v>
      </c>
      <c r="D4000" s="3" t="s">
        <v>9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/>
      <c r="P4000" s="3"/>
      <c r="Q4000" s="3"/>
    </row>
    <row r="4001" spans="1:17" ht="15" x14ac:dyDescent="0.25">
      <c r="A4001" s="3">
        <f>3994</f>
        <v>3994</v>
      </c>
      <c r="B4001" s="3" t="s">
        <v>4003</v>
      </c>
      <c r="C4001" s="3" t="s">
        <v>9</v>
      </c>
      <c r="D4001" s="3" t="s">
        <v>9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/>
      <c r="P4001" s="3"/>
      <c r="Q4001" s="3"/>
    </row>
    <row r="4002" spans="1:17" ht="15" x14ac:dyDescent="0.25">
      <c r="A4002" s="3">
        <f>3995</f>
        <v>3995</v>
      </c>
      <c r="B4002" s="3" t="s">
        <v>4004</v>
      </c>
      <c r="C4002" s="3" t="s">
        <v>9</v>
      </c>
      <c r="D4002" s="3" t="s">
        <v>9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/>
      <c r="P4002" s="3"/>
      <c r="Q4002" s="3"/>
    </row>
    <row r="4003" spans="1:17" ht="15" x14ac:dyDescent="0.25">
      <c r="A4003" s="3">
        <f>3996</f>
        <v>3996</v>
      </c>
      <c r="B4003" s="3" t="s">
        <v>4005</v>
      </c>
      <c r="C4003" s="3" t="s">
        <v>9</v>
      </c>
      <c r="D4003" s="3" t="s">
        <v>9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/>
      <c r="P4003" s="3"/>
      <c r="Q4003" s="3"/>
    </row>
    <row r="4004" spans="1:17" ht="15" x14ac:dyDescent="0.25">
      <c r="A4004" s="3">
        <f>3997</f>
        <v>3997</v>
      </c>
      <c r="B4004" s="3" t="s">
        <v>4006</v>
      </c>
      <c r="C4004" s="3" t="s">
        <v>9</v>
      </c>
      <c r="D4004" s="3" t="s">
        <v>9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/>
      <c r="P4004" s="3"/>
      <c r="Q4004" s="3"/>
    </row>
    <row r="4005" spans="1:17" ht="15" x14ac:dyDescent="0.25">
      <c r="A4005" s="3">
        <f>3998</f>
        <v>3998</v>
      </c>
      <c r="B4005" s="3" t="s">
        <v>4007</v>
      </c>
      <c r="C4005" s="3" t="s">
        <v>9</v>
      </c>
      <c r="D4005" s="3" t="s">
        <v>9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/>
      <c r="P4005" s="3"/>
      <c r="Q4005" s="3"/>
    </row>
    <row r="4006" spans="1:17" ht="15" x14ac:dyDescent="0.25">
      <c r="A4006" s="3">
        <f>3999</f>
        <v>3999</v>
      </c>
      <c r="B4006" s="3" t="s">
        <v>4008</v>
      </c>
      <c r="C4006" s="3" t="s">
        <v>9</v>
      </c>
      <c r="D4006" s="3" t="s">
        <v>9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/>
      <c r="P4006" s="3"/>
      <c r="Q4006" s="3"/>
    </row>
    <row r="4007" spans="1:17" ht="15" x14ac:dyDescent="0.25">
      <c r="A4007" s="3">
        <f>4000</f>
        <v>4000</v>
      </c>
      <c r="B4007" s="3" t="s">
        <v>4009</v>
      </c>
      <c r="C4007" s="3" t="s">
        <v>9</v>
      </c>
      <c r="D4007" s="3" t="s">
        <v>9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/>
      <c r="P4007" s="3"/>
      <c r="Q4007" s="3"/>
    </row>
    <row r="4008" spans="1:17" ht="15" x14ac:dyDescent="0.25">
      <c r="A4008" s="3">
        <f>4001</f>
        <v>4001</v>
      </c>
      <c r="B4008" s="3" t="s">
        <v>4010</v>
      </c>
      <c r="C4008" s="3" t="s">
        <v>9</v>
      </c>
      <c r="D4008" s="3" t="s">
        <v>9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/>
      <c r="P4008" s="3"/>
      <c r="Q4008" s="3"/>
    </row>
    <row r="4009" spans="1:17" ht="15" x14ac:dyDescent="0.25">
      <c r="A4009" s="3">
        <f>4002</f>
        <v>4002</v>
      </c>
      <c r="B4009" s="3" t="s">
        <v>4011</v>
      </c>
      <c r="C4009" s="3" t="s">
        <v>9</v>
      </c>
      <c r="D4009" s="3" t="s">
        <v>9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/>
      <c r="P4009" s="3"/>
      <c r="Q4009" s="3"/>
    </row>
    <row r="4010" spans="1:17" ht="15" x14ac:dyDescent="0.25">
      <c r="A4010" s="3">
        <f>4003</f>
        <v>4003</v>
      </c>
      <c r="B4010" s="3" t="s">
        <v>4012</v>
      </c>
      <c r="C4010" s="3" t="s">
        <v>9</v>
      </c>
      <c r="D4010" s="3" t="s">
        <v>9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/>
      <c r="P4010" s="3"/>
      <c r="Q4010" s="3"/>
    </row>
    <row r="4011" spans="1:17" ht="15" x14ac:dyDescent="0.25">
      <c r="A4011" s="3">
        <f>4004</f>
        <v>4004</v>
      </c>
      <c r="B4011" s="3" t="s">
        <v>4013</v>
      </c>
      <c r="C4011" s="3" t="s">
        <v>9</v>
      </c>
      <c r="D4011" s="3" t="s">
        <v>9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/>
      <c r="P4011" s="3"/>
      <c r="Q4011" s="3"/>
    </row>
    <row r="4012" spans="1:17" ht="15" x14ac:dyDescent="0.25">
      <c r="A4012" s="3">
        <f>4005</f>
        <v>4005</v>
      </c>
      <c r="B4012" s="3" t="s">
        <v>4014</v>
      </c>
      <c r="C4012" s="3" t="s">
        <v>9</v>
      </c>
      <c r="D4012" s="3" t="s">
        <v>9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/>
      <c r="P4012" s="3"/>
      <c r="Q4012" s="3"/>
    </row>
    <row r="4013" spans="1:17" ht="15" x14ac:dyDescent="0.25">
      <c r="A4013" s="3">
        <f>4006</f>
        <v>4006</v>
      </c>
      <c r="B4013" s="3" t="s">
        <v>4015</v>
      </c>
      <c r="C4013" s="3" t="s">
        <v>9</v>
      </c>
      <c r="D4013" s="3" t="s">
        <v>9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/>
      <c r="P4013" s="3"/>
      <c r="Q4013" s="3"/>
    </row>
    <row r="4014" spans="1:17" ht="15" x14ac:dyDescent="0.25">
      <c r="A4014" s="3">
        <f>4007</f>
        <v>4007</v>
      </c>
      <c r="B4014" s="3" t="s">
        <v>4016</v>
      </c>
      <c r="C4014" s="3" t="s">
        <v>9</v>
      </c>
      <c r="D4014" s="3" t="s">
        <v>9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/>
      <c r="P4014" s="3"/>
      <c r="Q4014" s="3"/>
    </row>
    <row r="4015" spans="1:17" ht="15" x14ac:dyDescent="0.25">
      <c r="A4015" s="3">
        <f>4008</f>
        <v>4008</v>
      </c>
      <c r="B4015" s="3" t="s">
        <v>4017</v>
      </c>
      <c r="C4015" s="3" t="s">
        <v>9</v>
      </c>
      <c r="D4015" s="3" t="s">
        <v>9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/>
      <c r="P4015" s="3"/>
      <c r="Q4015" s="3"/>
    </row>
    <row r="4016" spans="1:17" ht="15" x14ac:dyDescent="0.25">
      <c r="A4016" s="3">
        <f>4009</f>
        <v>4009</v>
      </c>
      <c r="B4016" s="3" t="s">
        <v>4018</v>
      </c>
      <c r="C4016" s="3" t="s">
        <v>9</v>
      </c>
      <c r="D4016" s="3" t="s">
        <v>9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/>
      <c r="P4016" s="3"/>
      <c r="Q4016" s="3"/>
    </row>
    <row r="4017" spans="1:17" ht="15" x14ac:dyDescent="0.25">
      <c r="A4017" s="3">
        <f>4010</f>
        <v>4010</v>
      </c>
      <c r="B4017" s="3" t="s">
        <v>4019</v>
      </c>
      <c r="C4017" s="3" t="s">
        <v>9</v>
      </c>
      <c r="D4017" s="3" t="s">
        <v>9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/>
      <c r="P4017" s="3"/>
      <c r="Q4017" s="3"/>
    </row>
    <row r="4018" spans="1:17" ht="15" x14ac:dyDescent="0.25">
      <c r="A4018" s="3">
        <f>4011</f>
        <v>4011</v>
      </c>
      <c r="B4018" s="3" t="s">
        <v>4020</v>
      </c>
      <c r="C4018" s="3" t="s">
        <v>9</v>
      </c>
      <c r="D4018" s="3" t="s">
        <v>9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/>
      <c r="P4018" s="3"/>
      <c r="Q4018" s="3"/>
    </row>
    <row r="4019" spans="1:17" ht="15" x14ac:dyDescent="0.25">
      <c r="A4019" s="3">
        <f>4012</f>
        <v>4012</v>
      </c>
      <c r="B4019" s="3" t="s">
        <v>4021</v>
      </c>
      <c r="C4019" s="3" t="s">
        <v>9</v>
      </c>
      <c r="D4019" s="3" t="s">
        <v>9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/>
      <c r="P4019" s="3"/>
      <c r="Q4019" s="3"/>
    </row>
    <row r="4020" spans="1:17" ht="15" x14ac:dyDescent="0.25">
      <c r="A4020" s="3">
        <f>4013</f>
        <v>4013</v>
      </c>
      <c r="B4020" s="3" t="s">
        <v>4022</v>
      </c>
      <c r="C4020" s="3" t="s">
        <v>9</v>
      </c>
      <c r="D4020" s="3" t="s">
        <v>9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/>
      <c r="P4020" s="3"/>
      <c r="Q4020" s="3"/>
    </row>
    <row r="4021" spans="1:17" ht="15" x14ac:dyDescent="0.25">
      <c r="A4021" s="3">
        <f>4014</f>
        <v>4014</v>
      </c>
      <c r="B4021" s="3" t="s">
        <v>4023</v>
      </c>
      <c r="C4021" s="3" t="s">
        <v>9</v>
      </c>
      <c r="D4021" s="3" t="s">
        <v>9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/>
      <c r="P4021" s="3"/>
      <c r="Q4021" s="3"/>
    </row>
    <row r="4022" spans="1:17" ht="15" x14ac:dyDescent="0.25">
      <c r="A4022" s="3">
        <f>4015</f>
        <v>4015</v>
      </c>
      <c r="B4022" s="3" t="s">
        <v>4024</v>
      </c>
      <c r="C4022" s="3" t="s">
        <v>9</v>
      </c>
      <c r="D4022" s="3" t="s">
        <v>9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/>
      <c r="P4022" s="3"/>
      <c r="Q4022" s="3"/>
    </row>
    <row r="4023" spans="1:17" ht="15" x14ac:dyDescent="0.25">
      <c r="A4023" s="3">
        <f>4016</f>
        <v>4016</v>
      </c>
      <c r="B4023" s="3" t="s">
        <v>4025</v>
      </c>
      <c r="C4023" s="3" t="s">
        <v>9</v>
      </c>
      <c r="D4023" s="3" t="s">
        <v>9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/>
      <c r="P4023" s="3"/>
      <c r="Q4023" s="3"/>
    </row>
    <row r="4024" spans="1:17" ht="15" x14ac:dyDescent="0.25">
      <c r="A4024" s="3">
        <f>4017</f>
        <v>4017</v>
      </c>
      <c r="B4024" s="3" t="s">
        <v>4026</v>
      </c>
      <c r="C4024" s="3" t="s">
        <v>9</v>
      </c>
      <c r="D4024" s="3" t="s">
        <v>9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/>
      <c r="P4024" s="3"/>
      <c r="Q4024" s="3"/>
    </row>
    <row r="4025" spans="1:17" ht="15" x14ac:dyDescent="0.25">
      <c r="A4025" s="3">
        <f>4018</f>
        <v>4018</v>
      </c>
      <c r="B4025" s="3" t="s">
        <v>4027</v>
      </c>
      <c r="C4025" s="3" t="s">
        <v>9</v>
      </c>
      <c r="D4025" s="3" t="s">
        <v>9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/>
      <c r="P4025" s="3"/>
      <c r="Q4025" s="3"/>
    </row>
    <row r="4026" spans="1:17" ht="15" x14ac:dyDescent="0.25">
      <c r="A4026" s="3">
        <f>4019</f>
        <v>4019</v>
      </c>
      <c r="B4026" s="3" t="s">
        <v>4028</v>
      </c>
      <c r="C4026" s="3" t="s">
        <v>9</v>
      </c>
      <c r="D4026" s="3" t="s">
        <v>9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/>
      <c r="P4026" s="3"/>
      <c r="Q4026" s="3"/>
    </row>
    <row r="4027" spans="1:17" ht="15" x14ac:dyDescent="0.25">
      <c r="A4027" s="3">
        <f>4020</f>
        <v>4020</v>
      </c>
      <c r="B4027" s="3" t="s">
        <v>4029</v>
      </c>
      <c r="C4027" s="3" t="s">
        <v>9</v>
      </c>
      <c r="D4027" s="3" t="s">
        <v>9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/>
      <c r="P4027" s="3"/>
      <c r="Q4027" s="3"/>
    </row>
    <row r="4028" spans="1:17" ht="15" x14ac:dyDescent="0.25">
      <c r="A4028" s="3">
        <f>4021</f>
        <v>4021</v>
      </c>
      <c r="B4028" s="3" t="s">
        <v>4030</v>
      </c>
      <c r="C4028" s="3" t="s">
        <v>9</v>
      </c>
      <c r="D4028" s="3" t="s">
        <v>9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/>
      <c r="P4028" s="3"/>
      <c r="Q4028" s="3"/>
    </row>
    <row r="4029" spans="1:17" ht="15" x14ac:dyDescent="0.25">
      <c r="A4029" s="3">
        <f>4022</f>
        <v>4022</v>
      </c>
      <c r="B4029" s="3" t="s">
        <v>4031</v>
      </c>
      <c r="C4029" s="3" t="s">
        <v>9</v>
      </c>
      <c r="D4029" s="3" t="s">
        <v>9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/>
      <c r="P4029" s="3"/>
      <c r="Q4029" s="3"/>
    </row>
    <row r="4030" spans="1:17" ht="15" x14ac:dyDescent="0.25">
      <c r="A4030" s="3">
        <f>4023</f>
        <v>4023</v>
      </c>
      <c r="B4030" s="3" t="s">
        <v>4032</v>
      </c>
      <c r="C4030" s="3" t="s">
        <v>9</v>
      </c>
      <c r="D4030" s="3" t="s">
        <v>9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/>
      <c r="P4030" s="3"/>
      <c r="Q4030" s="3"/>
    </row>
    <row r="4031" spans="1:17" ht="15" x14ac:dyDescent="0.25">
      <c r="A4031" s="3">
        <f>4024</f>
        <v>4024</v>
      </c>
      <c r="B4031" s="3" t="s">
        <v>4033</v>
      </c>
      <c r="C4031" s="3" t="s">
        <v>9</v>
      </c>
      <c r="D4031" s="3" t="s">
        <v>9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/>
      <c r="P4031" s="3"/>
      <c r="Q4031" s="3"/>
    </row>
    <row r="4032" spans="1:17" ht="15" x14ac:dyDescent="0.25">
      <c r="A4032" s="3">
        <f>4025</f>
        <v>4025</v>
      </c>
      <c r="B4032" s="3" t="s">
        <v>4034</v>
      </c>
      <c r="C4032" s="3" t="s">
        <v>9</v>
      </c>
      <c r="D4032" s="3" t="s">
        <v>9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/>
      <c r="P4032" s="3"/>
      <c r="Q4032" s="3"/>
    </row>
    <row r="4033" spans="1:17" ht="15" x14ac:dyDescent="0.25">
      <c r="A4033" s="3">
        <f>4026</f>
        <v>4026</v>
      </c>
      <c r="B4033" s="3" t="s">
        <v>4035</v>
      </c>
      <c r="C4033" s="3" t="s">
        <v>9</v>
      </c>
      <c r="D4033" s="3" t="s">
        <v>9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/>
      <c r="P4033" s="3"/>
      <c r="Q4033" s="3"/>
    </row>
    <row r="4034" spans="1:17" ht="15" x14ac:dyDescent="0.25">
      <c r="A4034" s="3">
        <f>4027</f>
        <v>4027</v>
      </c>
      <c r="B4034" s="3" t="s">
        <v>4036</v>
      </c>
      <c r="C4034" s="3" t="s">
        <v>9</v>
      </c>
      <c r="D4034" s="3" t="s">
        <v>9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/>
      <c r="P4034" s="3"/>
      <c r="Q4034" s="3"/>
    </row>
    <row r="4035" spans="1:17" ht="15" x14ac:dyDescent="0.25">
      <c r="A4035" s="3">
        <f>4028</f>
        <v>4028</v>
      </c>
      <c r="B4035" s="3" t="s">
        <v>4037</v>
      </c>
      <c r="C4035" s="3" t="s">
        <v>9</v>
      </c>
      <c r="D4035" s="3" t="s">
        <v>9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/>
      <c r="P4035" s="3"/>
      <c r="Q4035" s="3"/>
    </row>
    <row r="4036" spans="1:17" ht="15" x14ac:dyDescent="0.25">
      <c r="A4036" s="3">
        <f>4029</f>
        <v>4029</v>
      </c>
      <c r="B4036" s="3" t="s">
        <v>4038</v>
      </c>
      <c r="C4036" s="3" t="s">
        <v>9</v>
      </c>
      <c r="D4036" s="3" t="s">
        <v>9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/>
      <c r="P4036" s="3"/>
      <c r="Q4036" s="3"/>
    </row>
    <row r="4037" spans="1:17" ht="15" x14ac:dyDescent="0.25">
      <c r="A4037" s="3">
        <f>4030</f>
        <v>4030</v>
      </c>
      <c r="B4037" s="3" t="s">
        <v>4039</v>
      </c>
      <c r="C4037" s="3" t="s">
        <v>9</v>
      </c>
      <c r="D4037" s="3" t="s">
        <v>9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/>
      <c r="P4037" s="3"/>
      <c r="Q4037" s="3"/>
    </row>
    <row r="4038" spans="1:17" ht="15" x14ac:dyDescent="0.25">
      <c r="A4038" s="3">
        <f>4031</f>
        <v>4031</v>
      </c>
      <c r="B4038" s="3" t="s">
        <v>4040</v>
      </c>
      <c r="C4038" s="3" t="s">
        <v>9</v>
      </c>
      <c r="D4038" s="3" t="s">
        <v>9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/>
      <c r="P4038" s="3"/>
      <c r="Q4038" s="3"/>
    </row>
    <row r="4039" spans="1:17" ht="15" x14ac:dyDescent="0.25">
      <c r="A4039" s="3">
        <f>4032</f>
        <v>4032</v>
      </c>
      <c r="B4039" s="3" t="s">
        <v>4041</v>
      </c>
      <c r="C4039" s="3" t="s">
        <v>9</v>
      </c>
      <c r="D4039" s="3" t="s">
        <v>9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/>
      <c r="P4039" s="3"/>
      <c r="Q4039" s="3"/>
    </row>
    <row r="4040" spans="1:17" ht="15" x14ac:dyDescent="0.25">
      <c r="A4040" s="3">
        <f>4033</f>
        <v>4033</v>
      </c>
      <c r="B4040" s="3" t="s">
        <v>4042</v>
      </c>
      <c r="C4040" s="3" t="s">
        <v>9</v>
      </c>
      <c r="D4040" s="3" t="s">
        <v>9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/>
      <c r="P4040" s="3"/>
      <c r="Q4040" s="3"/>
    </row>
    <row r="4041" spans="1:17" ht="15" x14ac:dyDescent="0.25">
      <c r="A4041" s="3">
        <f>4034</f>
        <v>4034</v>
      </c>
      <c r="B4041" s="3" t="s">
        <v>4043</v>
      </c>
      <c r="C4041" s="3" t="s">
        <v>9</v>
      </c>
      <c r="D4041" s="3" t="s">
        <v>9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/>
      <c r="P4041" s="3"/>
      <c r="Q4041" s="3"/>
    </row>
    <row r="4042" spans="1:17" ht="15" x14ac:dyDescent="0.25">
      <c r="A4042" s="3">
        <f>4035</f>
        <v>4035</v>
      </c>
      <c r="B4042" s="3" t="s">
        <v>4044</v>
      </c>
      <c r="C4042" s="3" t="s">
        <v>9</v>
      </c>
      <c r="D4042" s="3" t="s">
        <v>9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/>
      <c r="P4042" s="3"/>
      <c r="Q4042" s="3"/>
    </row>
    <row r="4043" spans="1:17" ht="15" x14ac:dyDescent="0.25">
      <c r="A4043" s="3">
        <f>4036</f>
        <v>4036</v>
      </c>
      <c r="B4043" s="3" t="s">
        <v>4045</v>
      </c>
      <c r="C4043" s="3" t="s">
        <v>9</v>
      </c>
      <c r="D4043" s="3" t="s">
        <v>9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/>
      <c r="P4043" s="3"/>
      <c r="Q4043" s="3"/>
    </row>
    <row r="4044" spans="1:17" ht="15" x14ac:dyDescent="0.25">
      <c r="A4044" s="3">
        <f>4037</f>
        <v>4037</v>
      </c>
      <c r="B4044" s="3" t="s">
        <v>4046</v>
      </c>
      <c r="C4044" s="3" t="s">
        <v>9</v>
      </c>
      <c r="D4044" s="3" t="s">
        <v>9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/>
      <c r="P4044" s="3"/>
      <c r="Q4044" s="3"/>
    </row>
    <row r="4045" spans="1:17" ht="15" x14ac:dyDescent="0.25">
      <c r="A4045" s="3">
        <f>4038</f>
        <v>4038</v>
      </c>
      <c r="B4045" s="3" t="s">
        <v>4047</v>
      </c>
      <c r="C4045" s="3" t="s">
        <v>9</v>
      </c>
      <c r="D4045" s="3" t="s">
        <v>9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/>
      <c r="P4045" s="3"/>
      <c r="Q4045" s="3"/>
    </row>
    <row r="4046" spans="1:17" ht="15" x14ac:dyDescent="0.25">
      <c r="A4046" s="3">
        <f>4039</f>
        <v>4039</v>
      </c>
      <c r="B4046" s="3" t="s">
        <v>4048</v>
      </c>
      <c r="C4046" s="3" t="s">
        <v>9</v>
      </c>
      <c r="D4046" s="3" t="s">
        <v>9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/>
      <c r="P4046" s="3"/>
      <c r="Q4046" s="3"/>
    </row>
    <row r="4047" spans="1:17" ht="15" x14ac:dyDescent="0.25">
      <c r="A4047" s="3">
        <f>4040</f>
        <v>4040</v>
      </c>
      <c r="B4047" s="3" t="s">
        <v>4049</v>
      </c>
      <c r="C4047" s="3" t="s">
        <v>9</v>
      </c>
      <c r="D4047" s="3" t="s">
        <v>9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/>
      <c r="P4047" s="3"/>
      <c r="Q4047" s="3"/>
    </row>
    <row r="4048" spans="1:17" ht="15" x14ac:dyDescent="0.25">
      <c r="A4048" s="3">
        <f>4041</f>
        <v>4041</v>
      </c>
      <c r="B4048" s="3" t="s">
        <v>4050</v>
      </c>
      <c r="C4048" s="3" t="s">
        <v>9</v>
      </c>
      <c r="D4048" s="3" t="s">
        <v>9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/>
      <c r="P4048" s="3"/>
      <c r="Q4048" s="3"/>
    </row>
    <row r="4049" spans="1:17" ht="15" x14ac:dyDescent="0.25">
      <c r="A4049" s="3">
        <f>4042</f>
        <v>4042</v>
      </c>
      <c r="B4049" s="3" t="s">
        <v>4051</v>
      </c>
      <c r="C4049" s="3" t="s">
        <v>9</v>
      </c>
      <c r="D4049" s="3" t="s">
        <v>9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/>
      <c r="P4049" s="3"/>
      <c r="Q4049" s="3"/>
    </row>
    <row r="4050" spans="1:17" ht="15" x14ac:dyDescent="0.25">
      <c r="A4050" s="3">
        <f>4043</f>
        <v>4043</v>
      </c>
      <c r="B4050" s="3" t="s">
        <v>4052</v>
      </c>
      <c r="C4050" s="3" t="s">
        <v>9</v>
      </c>
      <c r="D4050" s="3" t="s">
        <v>9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/>
      <c r="P4050" s="3"/>
      <c r="Q4050" s="3"/>
    </row>
    <row r="4051" spans="1:17" ht="15" x14ac:dyDescent="0.25">
      <c r="A4051" s="3">
        <f>4044</f>
        <v>4044</v>
      </c>
      <c r="B4051" s="3" t="s">
        <v>4053</v>
      </c>
      <c r="C4051" s="3" t="s">
        <v>9</v>
      </c>
      <c r="D4051" s="3" t="s">
        <v>9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/>
      <c r="P4051" s="3"/>
      <c r="Q4051" s="3"/>
    </row>
    <row r="4052" spans="1:17" ht="15" x14ac:dyDescent="0.25">
      <c r="A4052" s="3">
        <f>4045</f>
        <v>4045</v>
      </c>
      <c r="B4052" s="3" t="s">
        <v>4054</v>
      </c>
      <c r="C4052" s="3" t="s">
        <v>9</v>
      </c>
      <c r="D4052" s="3" t="s">
        <v>9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/>
      <c r="P4052" s="3"/>
      <c r="Q4052" s="3"/>
    </row>
    <row r="4053" spans="1:17" ht="15" x14ac:dyDescent="0.25">
      <c r="A4053" s="3">
        <f>4046</f>
        <v>4046</v>
      </c>
      <c r="B4053" s="3" t="s">
        <v>4055</v>
      </c>
      <c r="C4053" s="3" t="s">
        <v>9</v>
      </c>
      <c r="D4053" s="3" t="s">
        <v>9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/>
      <c r="P4053" s="3"/>
      <c r="Q4053" s="3"/>
    </row>
    <row r="4054" spans="1:17" ht="15" x14ac:dyDescent="0.25">
      <c r="A4054" s="3">
        <f>4047</f>
        <v>4047</v>
      </c>
      <c r="B4054" s="3" t="s">
        <v>4056</v>
      </c>
      <c r="C4054" s="3" t="s">
        <v>9</v>
      </c>
      <c r="D4054" s="3" t="s">
        <v>9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/>
      <c r="P4054" s="3"/>
      <c r="Q4054" s="3"/>
    </row>
    <row r="4055" spans="1:17" ht="15" x14ac:dyDescent="0.25">
      <c r="A4055" s="3">
        <f>4048</f>
        <v>4048</v>
      </c>
      <c r="B4055" s="3" t="s">
        <v>4057</v>
      </c>
      <c r="C4055" s="3" t="s">
        <v>9</v>
      </c>
      <c r="D4055" s="3" t="s">
        <v>9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/>
      <c r="P4055" s="3"/>
      <c r="Q4055" s="3"/>
    </row>
    <row r="4056" spans="1:17" ht="15" x14ac:dyDescent="0.25">
      <c r="A4056" s="3">
        <f>4049</f>
        <v>4049</v>
      </c>
      <c r="B4056" s="3" t="s">
        <v>4058</v>
      </c>
      <c r="C4056" s="3" t="s">
        <v>9</v>
      </c>
      <c r="D4056" s="3" t="s">
        <v>9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/>
      <c r="P4056" s="3"/>
      <c r="Q4056" s="3"/>
    </row>
    <row r="4057" spans="1:17" ht="15" x14ac:dyDescent="0.25">
      <c r="A4057" s="3">
        <f>4050</f>
        <v>4050</v>
      </c>
      <c r="B4057" s="3" t="s">
        <v>4059</v>
      </c>
      <c r="C4057" s="3" t="s">
        <v>9</v>
      </c>
      <c r="D4057" s="3" t="s">
        <v>9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/>
      <c r="P4057" s="3"/>
      <c r="Q4057" s="3"/>
    </row>
    <row r="4058" spans="1:17" ht="15" x14ac:dyDescent="0.25">
      <c r="A4058" s="3">
        <f>4051</f>
        <v>4051</v>
      </c>
      <c r="B4058" s="3" t="s">
        <v>4060</v>
      </c>
      <c r="C4058" s="3" t="s">
        <v>9</v>
      </c>
      <c r="D4058" s="3" t="s">
        <v>9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/>
      <c r="P4058" s="3"/>
      <c r="Q4058" s="3"/>
    </row>
    <row r="4059" spans="1:17" ht="15" x14ac:dyDescent="0.25">
      <c r="A4059" s="3">
        <f>4052</f>
        <v>4052</v>
      </c>
      <c r="B4059" s="3" t="s">
        <v>4061</v>
      </c>
      <c r="C4059" s="3" t="s">
        <v>9</v>
      </c>
      <c r="D4059" s="3" t="s">
        <v>9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/>
      <c r="P4059" s="3"/>
      <c r="Q4059" s="3"/>
    </row>
    <row r="4060" spans="1:17" ht="15" x14ac:dyDescent="0.25">
      <c r="A4060" s="3">
        <f>4053</f>
        <v>4053</v>
      </c>
      <c r="B4060" s="3" t="s">
        <v>4062</v>
      </c>
      <c r="C4060" s="3" t="s">
        <v>9</v>
      </c>
      <c r="D4060" s="3" t="s">
        <v>9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/>
      <c r="P4060" s="3"/>
      <c r="Q4060" s="3"/>
    </row>
    <row r="4061" spans="1:17" ht="15" x14ac:dyDescent="0.25">
      <c r="A4061" s="3">
        <f>4054</f>
        <v>4054</v>
      </c>
      <c r="B4061" s="3" t="s">
        <v>4063</v>
      </c>
      <c r="C4061" s="3" t="s">
        <v>9</v>
      </c>
      <c r="D4061" s="3" t="s">
        <v>9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/>
      <c r="P4061" s="3"/>
      <c r="Q4061" s="3"/>
    </row>
    <row r="4062" spans="1:17" ht="15" x14ac:dyDescent="0.25">
      <c r="A4062" s="3">
        <f>4055</f>
        <v>4055</v>
      </c>
      <c r="B4062" s="3" t="s">
        <v>4064</v>
      </c>
      <c r="C4062" s="3" t="s">
        <v>9</v>
      </c>
      <c r="D4062" s="3" t="s">
        <v>9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/>
      <c r="P4062" s="3"/>
      <c r="Q4062" s="3"/>
    </row>
    <row r="4063" spans="1:17" ht="15" x14ac:dyDescent="0.25">
      <c r="A4063" s="3">
        <f>4056</f>
        <v>4056</v>
      </c>
      <c r="B4063" s="3" t="s">
        <v>4065</v>
      </c>
      <c r="C4063" s="3" t="s">
        <v>9</v>
      </c>
      <c r="D4063" s="3" t="s">
        <v>9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/>
      <c r="P4063" s="3"/>
      <c r="Q4063" s="3"/>
    </row>
    <row r="4064" spans="1:17" ht="15" x14ac:dyDescent="0.25">
      <c r="A4064" s="3">
        <f>4057</f>
        <v>4057</v>
      </c>
      <c r="B4064" s="3" t="s">
        <v>4066</v>
      </c>
      <c r="C4064" s="3" t="s">
        <v>9</v>
      </c>
      <c r="D4064" s="3" t="s">
        <v>9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/>
      <c r="P4064" s="3"/>
      <c r="Q4064" s="3"/>
    </row>
    <row r="4065" spans="1:17" ht="15" x14ac:dyDescent="0.25">
      <c r="A4065" s="3">
        <f>4058</f>
        <v>4058</v>
      </c>
      <c r="B4065" s="3" t="s">
        <v>4067</v>
      </c>
      <c r="C4065" s="3" t="s">
        <v>9</v>
      </c>
      <c r="D4065" s="3" t="s">
        <v>9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/>
      <c r="P4065" s="3"/>
      <c r="Q4065" s="3"/>
    </row>
    <row r="4066" spans="1:17" ht="15" x14ac:dyDescent="0.25">
      <c r="A4066" s="3">
        <f>4059</f>
        <v>4059</v>
      </c>
      <c r="B4066" s="3" t="s">
        <v>4068</v>
      </c>
      <c r="C4066" s="3" t="s">
        <v>9</v>
      </c>
      <c r="D4066" s="3" t="s">
        <v>9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/>
      <c r="P4066" s="3"/>
      <c r="Q4066" s="3"/>
    </row>
    <row r="4067" spans="1:17" ht="15" x14ac:dyDescent="0.25">
      <c r="A4067" s="3">
        <f>4060</f>
        <v>4060</v>
      </c>
      <c r="B4067" s="3" t="s">
        <v>4069</v>
      </c>
      <c r="C4067" s="3" t="s">
        <v>9</v>
      </c>
      <c r="D4067" s="3" t="s">
        <v>9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/>
      <c r="P4067" s="3"/>
      <c r="Q4067" s="3"/>
    </row>
    <row r="4068" spans="1:17" ht="15" x14ac:dyDescent="0.25">
      <c r="A4068" s="3">
        <f>4061</f>
        <v>4061</v>
      </c>
      <c r="B4068" s="3" t="s">
        <v>4070</v>
      </c>
      <c r="C4068" s="3" t="s">
        <v>9</v>
      </c>
      <c r="D4068" s="3" t="s">
        <v>9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/>
      <c r="P4068" s="3"/>
      <c r="Q4068" s="3"/>
    </row>
    <row r="4069" spans="1:17" ht="15" x14ac:dyDescent="0.25">
      <c r="A4069" s="3">
        <f>4062</f>
        <v>4062</v>
      </c>
      <c r="B4069" s="3" t="s">
        <v>4071</v>
      </c>
      <c r="C4069" s="3" t="s">
        <v>9</v>
      </c>
      <c r="D4069" s="3" t="s">
        <v>9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/>
      <c r="P4069" s="3"/>
      <c r="Q4069" s="3"/>
    </row>
    <row r="4070" spans="1:17" ht="15" x14ac:dyDescent="0.25">
      <c r="A4070" s="3">
        <f>4063</f>
        <v>4063</v>
      </c>
      <c r="B4070" s="3" t="s">
        <v>4072</v>
      </c>
      <c r="C4070" s="3" t="s">
        <v>9</v>
      </c>
      <c r="D4070" s="3" t="s">
        <v>9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/>
      <c r="P4070" s="3"/>
      <c r="Q4070" s="3"/>
    </row>
    <row r="4071" spans="1:17" ht="15" x14ac:dyDescent="0.25">
      <c r="A4071" s="3">
        <f>4064</f>
        <v>4064</v>
      </c>
      <c r="B4071" s="3" t="s">
        <v>4073</v>
      </c>
      <c r="C4071" s="3" t="s">
        <v>9</v>
      </c>
      <c r="D4071" s="3" t="s">
        <v>9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/>
      <c r="P4071" s="3"/>
      <c r="Q4071" s="3"/>
    </row>
    <row r="4072" spans="1:17" ht="15" x14ac:dyDescent="0.25">
      <c r="A4072" s="3">
        <f>4065</f>
        <v>4065</v>
      </c>
      <c r="B4072" s="3" t="s">
        <v>4074</v>
      </c>
      <c r="C4072" s="3" t="s">
        <v>9</v>
      </c>
      <c r="D4072" s="3" t="s">
        <v>9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/>
      <c r="P4072" s="3"/>
      <c r="Q4072" s="3"/>
    </row>
    <row r="4073" spans="1:17" ht="15" x14ac:dyDescent="0.25">
      <c r="A4073" s="3">
        <f>4066</f>
        <v>4066</v>
      </c>
      <c r="B4073" s="3" t="s">
        <v>4075</v>
      </c>
      <c r="C4073" s="3" t="s">
        <v>9</v>
      </c>
      <c r="D4073" s="3" t="s">
        <v>9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/>
      <c r="P4073" s="3"/>
      <c r="Q4073" s="3"/>
    </row>
    <row r="4074" spans="1:17" ht="15" x14ac:dyDescent="0.25">
      <c r="A4074" s="3">
        <f>4067</f>
        <v>4067</v>
      </c>
      <c r="B4074" s="3" t="s">
        <v>4076</v>
      </c>
      <c r="C4074" s="3" t="s">
        <v>9</v>
      </c>
      <c r="D4074" s="3" t="s">
        <v>9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/>
      <c r="P4074" s="3"/>
      <c r="Q4074" s="3"/>
    </row>
    <row r="4075" spans="1:17" ht="15" x14ac:dyDescent="0.25">
      <c r="A4075" s="3">
        <f>4068</f>
        <v>4068</v>
      </c>
      <c r="B4075" s="3" t="s">
        <v>4077</v>
      </c>
      <c r="C4075" s="3" t="s">
        <v>9</v>
      </c>
      <c r="D4075" s="3" t="s">
        <v>9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/>
      <c r="P4075" s="3"/>
      <c r="Q4075" s="3"/>
    </row>
    <row r="4076" spans="1:17" ht="15" x14ac:dyDescent="0.25">
      <c r="A4076" s="3">
        <f>4069</f>
        <v>4069</v>
      </c>
      <c r="B4076" s="3" t="s">
        <v>4078</v>
      </c>
      <c r="C4076" s="3" t="s">
        <v>9</v>
      </c>
      <c r="D4076" s="3" t="s">
        <v>9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/>
      <c r="P4076" s="3"/>
      <c r="Q4076" s="3"/>
    </row>
    <row r="4077" spans="1:17" ht="15" x14ac:dyDescent="0.25">
      <c r="A4077" s="3">
        <f>4070</f>
        <v>4070</v>
      </c>
      <c r="B4077" s="3" t="s">
        <v>4079</v>
      </c>
      <c r="C4077" s="3" t="s">
        <v>9</v>
      </c>
      <c r="D4077" s="3" t="s">
        <v>9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/>
      <c r="P4077" s="3"/>
      <c r="Q4077" s="3"/>
    </row>
    <row r="4078" spans="1:17" ht="15" x14ac:dyDescent="0.25">
      <c r="A4078" s="3">
        <f>4071</f>
        <v>4071</v>
      </c>
      <c r="B4078" s="3" t="s">
        <v>4080</v>
      </c>
      <c r="C4078" s="3" t="s">
        <v>9</v>
      </c>
      <c r="D4078" s="3" t="s">
        <v>9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/>
      <c r="P4078" s="3"/>
      <c r="Q4078" s="3"/>
    </row>
    <row r="4079" spans="1:17" ht="15" x14ac:dyDescent="0.25">
      <c r="A4079" s="3">
        <f>4072</f>
        <v>4072</v>
      </c>
      <c r="B4079" s="3" t="s">
        <v>4081</v>
      </c>
      <c r="C4079" s="3" t="s">
        <v>9</v>
      </c>
      <c r="D4079" s="3" t="s">
        <v>9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/>
      <c r="P4079" s="3"/>
      <c r="Q4079" s="3"/>
    </row>
    <row r="4080" spans="1:17" ht="15" x14ac:dyDescent="0.25">
      <c r="A4080" s="3">
        <f>4073</f>
        <v>4073</v>
      </c>
      <c r="B4080" s="3" t="s">
        <v>4082</v>
      </c>
      <c r="C4080" s="3" t="s">
        <v>9</v>
      </c>
      <c r="D4080" s="3" t="s">
        <v>9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/>
      <c r="P4080" s="3"/>
      <c r="Q4080" s="3"/>
    </row>
    <row r="4081" spans="1:17" ht="15" x14ac:dyDescent="0.25">
      <c r="A4081" s="3">
        <f>4074</f>
        <v>4074</v>
      </c>
      <c r="B4081" s="3" t="s">
        <v>4083</v>
      </c>
      <c r="C4081" s="3" t="s">
        <v>9</v>
      </c>
      <c r="D4081" s="3" t="s">
        <v>9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/>
      <c r="P4081" s="3"/>
      <c r="Q4081" s="3"/>
    </row>
    <row r="4082" spans="1:17" ht="15" x14ac:dyDescent="0.25">
      <c r="A4082" s="3">
        <f>4075</f>
        <v>4075</v>
      </c>
      <c r="B4082" s="3" t="s">
        <v>4084</v>
      </c>
      <c r="C4082" s="3" t="s">
        <v>9</v>
      </c>
      <c r="D4082" s="3" t="s">
        <v>9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/>
      <c r="P4082" s="3"/>
      <c r="Q4082" s="3"/>
    </row>
    <row r="4083" spans="1:17" ht="15" x14ac:dyDescent="0.25">
      <c r="A4083" s="3">
        <f>4076</f>
        <v>4076</v>
      </c>
      <c r="B4083" s="3" t="s">
        <v>4085</v>
      </c>
      <c r="C4083" s="3" t="s">
        <v>9</v>
      </c>
      <c r="D4083" s="3" t="s">
        <v>9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/>
      <c r="P4083" s="3"/>
      <c r="Q4083" s="3"/>
    </row>
    <row r="4084" spans="1:17" ht="15" x14ac:dyDescent="0.25">
      <c r="A4084" s="3">
        <f>4077</f>
        <v>4077</v>
      </c>
      <c r="B4084" s="3" t="s">
        <v>4086</v>
      </c>
      <c r="C4084" s="3" t="s">
        <v>9</v>
      </c>
      <c r="D4084" s="3" t="s">
        <v>9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/>
      <c r="P4084" s="3"/>
      <c r="Q4084" s="3"/>
    </row>
    <row r="4085" spans="1:17" ht="15" x14ac:dyDescent="0.25">
      <c r="A4085" s="3">
        <f>4078</f>
        <v>4078</v>
      </c>
      <c r="B4085" s="3" t="s">
        <v>4087</v>
      </c>
      <c r="C4085" s="3" t="s">
        <v>9</v>
      </c>
      <c r="D4085" s="3" t="s">
        <v>9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/>
      <c r="P4085" s="3"/>
      <c r="Q4085" s="3"/>
    </row>
    <row r="4086" spans="1:17" ht="15" x14ac:dyDescent="0.25">
      <c r="A4086" s="3">
        <f>4079</f>
        <v>4079</v>
      </c>
      <c r="B4086" s="3" t="s">
        <v>4088</v>
      </c>
      <c r="C4086" s="3" t="s">
        <v>9</v>
      </c>
      <c r="D4086" s="3" t="s">
        <v>9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/>
      <c r="P4086" s="3"/>
      <c r="Q4086" s="3"/>
    </row>
    <row r="4087" spans="1:17" ht="15" x14ac:dyDescent="0.25">
      <c r="A4087" s="3">
        <f>4080</f>
        <v>4080</v>
      </c>
      <c r="B4087" s="3" t="s">
        <v>4089</v>
      </c>
      <c r="C4087" s="3" t="s">
        <v>9</v>
      </c>
      <c r="D4087" s="3" t="s">
        <v>9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/>
      <c r="P4087" s="3"/>
      <c r="Q4087" s="3"/>
    </row>
    <row r="4088" spans="1:17" ht="15" x14ac:dyDescent="0.25">
      <c r="A4088" s="3">
        <f>4081</f>
        <v>4081</v>
      </c>
      <c r="B4088" s="3" t="s">
        <v>4090</v>
      </c>
      <c r="C4088" s="3" t="s">
        <v>9</v>
      </c>
      <c r="D4088" s="3" t="s">
        <v>9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/>
      <c r="P4088" s="3"/>
      <c r="Q4088" s="3"/>
    </row>
    <row r="4089" spans="1:17" ht="15" x14ac:dyDescent="0.25">
      <c r="A4089" s="3">
        <f>4082</f>
        <v>4082</v>
      </c>
      <c r="B4089" s="3" t="s">
        <v>4091</v>
      </c>
      <c r="C4089" s="3" t="s">
        <v>9</v>
      </c>
      <c r="D4089" s="3" t="s">
        <v>9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/>
      <c r="P4089" s="3"/>
      <c r="Q4089" s="3"/>
    </row>
    <row r="4090" spans="1:17" ht="15" x14ac:dyDescent="0.25">
      <c r="A4090" s="3">
        <f>4083</f>
        <v>4083</v>
      </c>
      <c r="B4090" s="3" t="s">
        <v>4092</v>
      </c>
      <c r="C4090" s="3" t="s">
        <v>9</v>
      </c>
      <c r="D4090" s="3" t="s">
        <v>9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/>
      <c r="P4090" s="3"/>
      <c r="Q4090" s="3"/>
    </row>
    <row r="4091" spans="1:17" ht="15" x14ac:dyDescent="0.25">
      <c r="A4091" s="3">
        <f>4084</f>
        <v>4084</v>
      </c>
      <c r="B4091" s="3" t="s">
        <v>4093</v>
      </c>
      <c r="C4091" s="3" t="s">
        <v>9</v>
      </c>
      <c r="D4091" s="3" t="s">
        <v>9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/>
      <c r="P4091" s="3"/>
      <c r="Q4091" s="3"/>
    </row>
    <row r="4092" spans="1:17" ht="15" x14ac:dyDescent="0.25">
      <c r="A4092" s="3">
        <f>4085</f>
        <v>4085</v>
      </c>
      <c r="B4092" s="3" t="s">
        <v>4094</v>
      </c>
      <c r="C4092" s="3" t="s">
        <v>9</v>
      </c>
      <c r="D4092" s="3" t="s">
        <v>9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/>
      <c r="P4092" s="3"/>
      <c r="Q4092" s="3"/>
    </row>
    <row r="4093" spans="1:17" ht="15" x14ac:dyDescent="0.25">
      <c r="A4093" s="3">
        <f>4086</f>
        <v>4086</v>
      </c>
      <c r="B4093" s="3" t="s">
        <v>4095</v>
      </c>
      <c r="C4093" s="3" t="s">
        <v>9</v>
      </c>
      <c r="D4093" s="3" t="s">
        <v>9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/>
      <c r="P4093" s="3"/>
      <c r="Q4093" s="3"/>
    </row>
    <row r="4094" spans="1:17" ht="15" x14ac:dyDescent="0.25">
      <c r="A4094" s="3">
        <f>4087</f>
        <v>4087</v>
      </c>
      <c r="B4094" s="3" t="s">
        <v>4096</v>
      </c>
      <c r="C4094" s="3" t="s">
        <v>9</v>
      </c>
      <c r="D4094" s="3" t="s">
        <v>9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/>
      <c r="P4094" s="3"/>
      <c r="Q4094" s="3"/>
    </row>
    <row r="4095" spans="1:17" ht="15" x14ac:dyDescent="0.25">
      <c r="A4095" s="3">
        <f>4088</f>
        <v>4088</v>
      </c>
      <c r="B4095" s="3" t="s">
        <v>4097</v>
      </c>
      <c r="C4095" s="3" t="s">
        <v>9</v>
      </c>
      <c r="D4095" s="3" t="s">
        <v>9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/>
      <c r="P4095" s="3"/>
      <c r="Q4095" s="3"/>
    </row>
    <row r="4096" spans="1:17" ht="15" x14ac:dyDescent="0.25">
      <c r="A4096" s="3">
        <f>4089</f>
        <v>4089</v>
      </c>
      <c r="B4096" s="3" t="s">
        <v>4098</v>
      </c>
      <c r="C4096" s="3" t="s">
        <v>9</v>
      </c>
      <c r="D4096" s="3" t="s">
        <v>9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/>
      <c r="P4096" s="3"/>
      <c r="Q4096" s="3"/>
    </row>
    <row r="4097" spans="1:17" ht="15" x14ac:dyDescent="0.25">
      <c r="A4097" s="3">
        <f>4090</f>
        <v>4090</v>
      </c>
      <c r="B4097" s="3" t="s">
        <v>4099</v>
      </c>
      <c r="C4097" s="3" t="s">
        <v>9</v>
      </c>
      <c r="D4097" s="3" t="s">
        <v>9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/>
      <c r="P4097" s="3"/>
      <c r="Q4097" s="3"/>
    </row>
    <row r="4098" spans="1:17" ht="15" x14ac:dyDescent="0.25">
      <c r="A4098" s="3">
        <f>4091</f>
        <v>4091</v>
      </c>
      <c r="B4098" s="3" t="s">
        <v>4100</v>
      </c>
      <c r="C4098" s="3" t="s">
        <v>9</v>
      </c>
      <c r="D4098" s="3" t="s">
        <v>9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/>
      <c r="P4098" s="3"/>
      <c r="Q4098" s="3"/>
    </row>
    <row r="4099" spans="1:17" ht="15" x14ac:dyDescent="0.25">
      <c r="A4099" s="3">
        <f>4092</f>
        <v>4092</v>
      </c>
      <c r="B4099" s="3" t="s">
        <v>4101</v>
      </c>
      <c r="C4099" s="3" t="s">
        <v>9</v>
      </c>
      <c r="D4099" s="3" t="s">
        <v>9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/>
      <c r="P4099" s="3"/>
      <c r="Q4099" s="3"/>
    </row>
    <row r="4100" spans="1:17" ht="15" x14ac:dyDescent="0.25">
      <c r="A4100" s="3">
        <f>4093</f>
        <v>4093</v>
      </c>
      <c r="B4100" s="3" t="s">
        <v>4102</v>
      </c>
      <c r="C4100" s="3" t="s">
        <v>9</v>
      </c>
      <c r="D4100" s="3" t="s">
        <v>9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/>
      <c r="P4100" s="3"/>
      <c r="Q4100" s="3"/>
    </row>
    <row r="4101" spans="1:17" ht="15" x14ac:dyDescent="0.25">
      <c r="A4101" s="3">
        <f>4094</f>
        <v>4094</v>
      </c>
      <c r="B4101" s="3" t="s">
        <v>4103</v>
      </c>
      <c r="C4101" s="3" t="s">
        <v>9</v>
      </c>
      <c r="D4101" s="3" t="s">
        <v>9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/>
      <c r="P4101" s="3"/>
      <c r="Q4101" s="3"/>
    </row>
    <row r="4102" spans="1:17" ht="15" x14ac:dyDescent="0.25">
      <c r="A4102" s="3">
        <f>4095</f>
        <v>4095</v>
      </c>
      <c r="B4102" s="3" t="s">
        <v>4104</v>
      </c>
      <c r="C4102" s="3" t="s">
        <v>9</v>
      </c>
      <c r="D4102" s="3" t="s">
        <v>9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/>
      <c r="P4102" s="3"/>
      <c r="Q4102" s="3"/>
    </row>
    <row r="4103" spans="1:17" ht="15" x14ac:dyDescent="0.25">
      <c r="A4103" s="3">
        <f>4096</f>
        <v>4096</v>
      </c>
      <c r="B4103" s="3" t="s">
        <v>4105</v>
      </c>
      <c r="C4103" s="3" t="s">
        <v>9</v>
      </c>
      <c r="D4103" s="3" t="s">
        <v>9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/>
      <c r="P4103" s="3"/>
      <c r="Q4103" s="3"/>
    </row>
    <row r="4104" spans="1:17" ht="15" x14ac:dyDescent="0.25">
      <c r="A4104" s="3">
        <f>4097</f>
        <v>4097</v>
      </c>
      <c r="B4104" s="3" t="s">
        <v>4106</v>
      </c>
      <c r="C4104" s="3" t="s">
        <v>9</v>
      </c>
      <c r="D4104" s="3" t="s">
        <v>9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/>
      <c r="P4104" s="3"/>
      <c r="Q4104" s="3"/>
    </row>
    <row r="4105" spans="1:17" ht="15" x14ac:dyDescent="0.25">
      <c r="A4105" s="3">
        <f>4098</f>
        <v>4098</v>
      </c>
      <c r="B4105" s="3" t="s">
        <v>4107</v>
      </c>
      <c r="C4105" s="3" t="s">
        <v>9</v>
      </c>
      <c r="D4105" s="3" t="s">
        <v>9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/>
      <c r="P4105" s="3"/>
      <c r="Q4105" s="3"/>
    </row>
    <row r="4106" spans="1:17" ht="15" x14ac:dyDescent="0.25">
      <c r="A4106" s="3">
        <f>4099</f>
        <v>4099</v>
      </c>
      <c r="B4106" s="3" t="s">
        <v>4108</v>
      </c>
      <c r="C4106" s="3" t="s">
        <v>9</v>
      </c>
      <c r="D4106" s="3" t="s">
        <v>9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/>
      <c r="P4106" s="3"/>
      <c r="Q4106" s="3"/>
    </row>
    <row r="4107" spans="1:17" ht="15" x14ac:dyDescent="0.25">
      <c r="A4107" s="3">
        <f>4100</f>
        <v>4100</v>
      </c>
      <c r="B4107" s="3" t="s">
        <v>4109</v>
      </c>
      <c r="C4107" s="3" t="s">
        <v>9</v>
      </c>
      <c r="D4107" s="3" t="s">
        <v>9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/>
      <c r="P4107" s="3"/>
      <c r="Q4107" s="3"/>
    </row>
    <row r="4108" spans="1:17" ht="15" x14ac:dyDescent="0.25">
      <c r="A4108" s="3">
        <f>4101</f>
        <v>4101</v>
      </c>
      <c r="B4108" s="3" t="s">
        <v>4110</v>
      </c>
      <c r="C4108" s="3" t="s">
        <v>9</v>
      </c>
      <c r="D4108" s="3" t="s">
        <v>9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/>
      <c r="P4108" s="3"/>
      <c r="Q4108" s="3"/>
    </row>
    <row r="4109" spans="1:17" ht="15" x14ac:dyDescent="0.25">
      <c r="A4109" s="3">
        <f>4102</f>
        <v>4102</v>
      </c>
      <c r="B4109" s="3" t="s">
        <v>4111</v>
      </c>
      <c r="C4109" s="3" t="s">
        <v>9</v>
      </c>
      <c r="D4109" s="3" t="s">
        <v>9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/>
      <c r="P4109" s="3"/>
      <c r="Q4109" s="3"/>
    </row>
    <row r="4110" spans="1:17" ht="15" x14ac:dyDescent="0.25">
      <c r="A4110" s="3">
        <f>4103</f>
        <v>4103</v>
      </c>
      <c r="B4110" s="3" t="s">
        <v>4112</v>
      </c>
      <c r="C4110" s="3" t="s">
        <v>9</v>
      </c>
      <c r="D4110" s="3" t="s">
        <v>9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/>
      <c r="P4110" s="3"/>
      <c r="Q4110" s="3"/>
    </row>
    <row r="4111" spans="1:17" ht="15" x14ac:dyDescent="0.25">
      <c r="A4111" s="3">
        <f>4104</f>
        <v>4104</v>
      </c>
      <c r="B4111" s="3" t="s">
        <v>4113</v>
      </c>
      <c r="C4111" s="3" t="s">
        <v>9</v>
      </c>
      <c r="D4111" s="3" t="s">
        <v>9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/>
      <c r="P4111" s="3"/>
      <c r="Q4111" s="3"/>
    </row>
    <row r="4112" spans="1:17" ht="15" x14ac:dyDescent="0.25">
      <c r="A4112" s="3">
        <f>4105</f>
        <v>4105</v>
      </c>
      <c r="B4112" s="3" t="s">
        <v>4114</v>
      </c>
      <c r="C4112" s="3" t="s">
        <v>9</v>
      </c>
      <c r="D4112" s="3" t="s">
        <v>9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/>
      <c r="P4112" s="3"/>
      <c r="Q4112" s="3"/>
    </row>
    <row r="4113" spans="1:17" ht="15" x14ac:dyDescent="0.25">
      <c r="A4113" s="3">
        <f>4106</f>
        <v>4106</v>
      </c>
      <c r="B4113" s="3" t="s">
        <v>4115</v>
      </c>
      <c r="C4113" s="3" t="s">
        <v>9</v>
      </c>
      <c r="D4113" s="3" t="s">
        <v>9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/>
      <c r="P4113" s="3"/>
      <c r="Q4113" s="3"/>
    </row>
    <row r="4114" spans="1:17" ht="15" x14ac:dyDescent="0.25">
      <c r="A4114" s="3">
        <f>4107</f>
        <v>4107</v>
      </c>
      <c r="B4114" s="3" t="s">
        <v>4116</v>
      </c>
      <c r="C4114" s="3" t="s">
        <v>9</v>
      </c>
      <c r="D4114" s="3" t="s">
        <v>9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/>
      <c r="P4114" s="3"/>
      <c r="Q4114" s="3"/>
    </row>
    <row r="4115" spans="1:17" ht="15" x14ac:dyDescent="0.25">
      <c r="A4115" s="3">
        <f>4108</f>
        <v>4108</v>
      </c>
      <c r="B4115" s="3" t="s">
        <v>4117</v>
      </c>
      <c r="C4115" s="3" t="s">
        <v>9</v>
      </c>
      <c r="D4115" s="3" t="s">
        <v>9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/>
      <c r="P4115" s="3"/>
      <c r="Q4115" s="3"/>
    </row>
    <row r="4116" spans="1:17" ht="15" x14ac:dyDescent="0.25">
      <c r="A4116" s="3">
        <f>4109</f>
        <v>4109</v>
      </c>
      <c r="B4116" s="3" t="s">
        <v>4118</v>
      </c>
      <c r="C4116" s="3" t="s">
        <v>9</v>
      </c>
      <c r="D4116" s="3" t="s">
        <v>9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/>
      <c r="P4116" s="3"/>
      <c r="Q4116" s="3"/>
    </row>
    <row r="4117" spans="1:17" ht="15" x14ac:dyDescent="0.25">
      <c r="A4117" s="3">
        <f>4110</f>
        <v>4110</v>
      </c>
      <c r="B4117" s="3" t="s">
        <v>4119</v>
      </c>
      <c r="C4117" s="3" t="s">
        <v>9</v>
      </c>
      <c r="D4117" s="3" t="s">
        <v>9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/>
      <c r="P4117" s="3"/>
      <c r="Q4117" s="3"/>
    </row>
    <row r="4118" spans="1:17" ht="15" x14ac:dyDescent="0.25">
      <c r="A4118" s="3">
        <f>4111</f>
        <v>4111</v>
      </c>
      <c r="B4118" s="3" t="s">
        <v>4120</v>
      </c>
      <c r="C4118" s="3" t="s">
        <v>9</v>
      </c>
      <c r="D4118" s="3" t="s">
        <v>9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/>
      <c r="P4118" s="3"/>
      <c r="Q4118" s="3"/>
    </row>
    <row r="4119" spans="1:17" ht="15" x14ac:dyDescent="0.25">
      <c r="A4119" s="3">
        <f>4112</f>
        <v>4112</v>
      </c>
      <c r="B4119" s="3" t="s">
        <v>4121</v>
      </c>
      <c r="C4119" s="3" t="s">
        <v>9</v>
      </c>
      <c r="D4119" s="3" t="s">
        <v>9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/>
      <c r="P4119" s="3"/>
      <c r="Q4119" s="3"/>
    </row>
    <row r="4120" spans="1:17" ht="15" x14ac:dyDescent="0.25">
      <c r="A4120" s="3">
        <f>4113</f>
        <v>4113</v>
      </c>
      <c r="B4120" s="3" t="s">
        <v>4122</v>
      </c>
      <c r="C4120" s="3" t="s">
        <v>9</v>
      </c>
      <c r="D4120" s="3" t="s">
        <v>9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/>
      <c r="P4120" s="3"/>
      <c r="Q4120" s="3"/>
    </row>
    <row r="4121" spans="1:17" ht="15" x14ac:dyDescent="0.25">
      <c r="A4121" s="3">
        <f>4114</f>
        <v>4114</v>
      </c>
      <c r="B4121" s="3" t="s">
        <v>4123</v>
      </c>
      <c r="C4121" s="3" t="s">
        <v>9</v>
      </c>
      <c r="D4121" s="3" t="s">
        <v>9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/>
      <c r="P4121" s="3"/>
      <c r="Q4121" s="3"/>
    </row>
    <row r="4122" spans="1:17" ht="15" x14ac:dyDescent="0.25">
      <c r="A4122" s="3">
        <f>4115</f>
        <v>4115</v>
      </c>
      <c r="B4122" s="3" t="s">
        <v>4124</v>
      </c>
      <c r="C4122" s="3" t="s">
        <v>9</v>
      </c>
      <c r="D4122" s="3" t="s">
        <v>9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/>
      <c r="P4122" s="3"/>
      <c r="Q4122" s="3"/>
    </row>
    <row r="4123" spans="1:17" ht="15" x14ac:dyDescent="0.25">
      <c r="A4123" s="3">
        <f>4116</f>
        <v>4116</v>
      </c>
      <c r="B4123" s="3" t="s">
        <v>4125</v>
      </c>
      <c r="C4123" s="3" t="s">
        <v>9</v>
      </c>
      <c r="D4123" s="3" t="s">
        <v>9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/>
      <c r="P4123" s="3"/>
      <c r="Q4123" s="3"/>
    </row>
    <row r="4124" spans="1:17" ht="15" x14ac:dyDescent="0.25">
      <c r="A4124" s="3">
        <f>4117</f>
        <v>4117</v>
      </c>
      <c r="B4124" s="3" t="s">
        <v>4126</v>
      </c>
      <c r="C4124" s="3" t="s">
        <v>9</v>
      </c>
      <c r="D4124" s="3" t="s">
        <v>9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/>
      <c r="P4124" s="3"/>
      <c r="Q4124" s="3"/>
    </row>
    <row r="4125" spans="1:17" ht="15" x14ac:dyDescent="0.25">
      <c r="A4125" s="3">
        <f>4118</f>
        <v>4118</v>
      </c>
      <c r="B4125" s="3" t="s">
        <v>4127</v>
      </c>
      <c r="C4125" s="3" t="s">
        <v>9</v>
      </c>
      <c r="D4125" s="3" t="s">
        <v>9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/>
      <c r="P4125" s="3"/>
      <c r="Q4125" s="3"/>
    </row>
    <row r="4126" spans="1:17" ht="15" x14ac:dyDescent="0.25">
      <c r="A4126" s="3">
        <f>4119</f>
        <v>4119</v>
      </c>
      <c r="B4126" s="3" t="s">
        <v>4128</v>
      </c>
      <c r="C4126" s="3" t="s">
        <v>9</v>
      </c>
      <c r="D4126" s="3" t="s">
        <v>9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/>
      <c r="P4126" s="3"/>
      <c r="Q4126" s="3"/>
    </row>
    <row r="4127" spans="1:17" ht="15" x14ac:dyDescent="0.25">
      <c r="A4127" s="3">
        <f>4120</f>
        <v>4120</v>
      </c>
      <c r="B4127" s="3" t="s">
        <v>4129</v>
      </c>
      <c r="C4127" s="3" t="s">
        <v>9</v>
      </c>
      <c r="D4127" s="3" t="s">
        <v>9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/>
      <c r="P4127" s="3"/>
      <c r="Q4127" s="3"/>
    </row>
    <row r="4128" spans="1:17" ht="15" x14ac:dyDescent="0.25">
      <c r="A4128" s="3">
        <f>4121</f>
        <v>4121</v>
      </c>
      <c r="B4128" s="3" t="s">
        <v>4130</v>
      </c>
      <c r="C4128" s="3" t="s">
        <v>9</v>
      </c>
      <c r="D4128" s="3" t="s">
        <v>9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/>
      <c r="P4128" s="3"/>
      <c r="Q4128" s="3"/>
    </row>
    <row r="4129" spans="1:17" ht="15" x14ac:dyDescent="0.25">
      <c r="A4129" s="3">
        <f>4122</f>
        <v>4122</v>
      </c>
      <c r="B4129" s="3" t="s">
        <v>4131</v>
      </c>
      <c r="C4129" s="3" t="s">
        <v>9</v>
      </c>
      <c r="D4129" s="3" t="s">
        <v>9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/>
      <c r="P4129" s="3"/>
      <c r="Q4129" s="3"/>
    </row>
    <row r="4130" spans="1:17" ht="15" x14ac:dyDescent="0.25">
      <c r="A4130" s="3">
        <f>4123</f>
        <v>4123</v>
      </c>
      <c r="B4130" s="3" t="s">
        <v>4132</v>
      </c>
      <c r="C4130" s="3" t="s">
        <v>9</v>
      </c>
      <c r="D4130" s="3" t="s">
        <v>9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/>
      <c r="P4130" s="3"/>
      <c r="Q4130" s="3"/>
    </row>
    <row r="4131" spans="1:17" ht="15" x14ac:dyDescent="0.25">
      <c r="A4131" s="3">
        <f>4124</f>
        <v>4124</v>
      </c>
      <c r="B4131" s="3" t="s">
        <v>4133</v>
      </c>
      <c r="C4131" s="3" t="s">
        <v>9</v>
      </c>
      <c r="D4131" s="3" t="s">
        <v>9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/>
      <c r="P4131" s="3"/>
      <c r="Q4131" s="3"/>
    </row>
    <row r="4132" spans="1:17" ht="15" x14ac:dyDescent="0.25">
      <c r="A4132" s="3">
        <f>4125</f>
        <v>4125</v>
      </c>
      <c r="B4132" s="3" t="s">
        <v>4134</v>
      </c>
      <c r="C4132" s="3" t="s">
        <v>9</v>
      </c>
      <c r="D4132" s="3" t="s">
        <v>9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/>
      <c r="P4132" s="3"/>
      <c r="Q4132" s="3"/>
    </row>
    <row r="4133" spans="1:17" ht="15" x14ac:dyDescent="0.25">
      <c r="A4133" s="3">
        <f>4126</f>
        <v>4126</v>
      </c>
      <c r="B4133" s="3" t="s">
        <v>4135</v>
      </c>
      <c r="C4133" s="3" t="s">
        <v>9</v>
      </c>
      <c r="D4133" s="3" t="s">
        <v>9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/>
      <c r="P4133" s="3"/>
      <c r="Q4133" s="3"/>
    </row>
    <row r="4134" spans="1:17" ht="15" x14ac:dyDescent="0.25">
      <c r="A4134" s="3">
        <f>4127</f>
        <v>4127</v>
      </c>
      <c r="B4134" s="3" t="s">
        <v>4136</v>
      </c>
      <c r="C4134" s="3" t="s">
        <v>9</v>
      </c>
      <c r="D4134" s="3" t="s">
        <v>9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/>
      <c r="P4134" s="3"/>
      <c r="Q4134" s="3"/>
    </row>
    <row r="4135" spans="1:17" ht="15" x14ac:dyDescent="0.25">
      <c r="A4135" s="3">
        <f>4128</f>
        <v>4128</v>
      </c>
      <c r="B4135" s="3" t="s">
        <v>4137</v>
      </c>
      <c r="C4135" s="3" t="s">
        <v>9</v>
      </c>
      <c r="D4135" s="3" t="s">
        <v>9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/>
      <c r="P4135" s="3"/>
      <c r="Q4135" s="3"/>
    </row>
    <row r="4136" spans="1:17" ht="15" x14ac:dyDescent="0.25">
      <c r="A4136" s="3">
        <f>4129</f>
        <v>4129</v>
      </c>
      <c r="B4136" s="3" t="s">
        <v>4138</v>
      </c>
      <c r="C4136" s="3" t="s">
        <v>9</v>
      </c>
      <c r="D4136" s="3" t="s">
        <v>9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/>
      <c r="P4136" s="3"/>
      <c r="Q4136" s="3"/>
    </row>
    <row r="4137" spans="1:17" ht="15" x14ac:dyDescent="0.25">
      <c r="A4137" s="3">
        <f>4130</f>
        <v>4130</v>
      </c>
      <c r="B4137" s="3" t="s">
        <v>4139</v>
      </c>
      <c r="C4137" s="3" t="s">
        <v>9</v>
      </c>
      <c r="D4137" s="3" t="s">
        <v>9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/>
      <c r="P4137" s="3"/>
      <c r="Q4137" s="3"/>
    </row>
    <row r="4138" spans="1:17" ht="15" x14ac:dyDescent="0.25">
      <c r="A4138" s="3">
        <f>4131</f>
        <v>4131</v>
      </c>
      <c r="B4138" s="3" t="s">
        <v>4140</v>
      </c>
      <c r="C4138" s="3" t="s">
        <v>9</v>
      </c>
      <c r="D4138" s="3" t="s">
        <v>9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/>
      <c r="P4138" s="3"/>
      <c r="Q4138" s="3"/>
    </row>
    <row r="4139" spans="1:17" ht="15" x14ac:dyDescent="0.25">
      <c r="A4139" s="3">
        <f>4132</f>
        <v>4132</v>
      </c>
      <c r="B4139" s="3" t="s">
        <v>4141</v>
      </c>
      <c r="C4139" s="3" t="s">
        <v>9</v>
      </c>
      <c r="D4139" s="3" t="s">
        <v>9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/>
      <c r="P4139" s="3"/>
      <c r="Q4139" s="3"/>
    </row>
    <row r="4140" spans="1:17" ht="15" x14ac:dyDescent="0.25">
      <c r="A4140" s="3">
        <f>4133</f>
        <v>4133</v>
      </c>
      <c r="B4140" s="3" t="s">
        <v>4142</v>
      </c>
      <c r="C4140" s="3" t="s">
        <v>9</v>
      </c>
      <c r="D4140" s="3" t="s">
        <v>9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/>
      <c r="P4140" s="3"/>
      <c r="Q4140" s="3"/>
    </row>
    <row r="4141" spans="1:17" ht="15" x14ac:dyDescent="0.25">
      <c r="A4141" s="3">
        <f>4134</f>
        <v>4134</v>
      </c>
      <c r="B4141" s="3" t="s">
        <v>4143</v>
      </c>
      <c r="C4141" s="3" t="s">
        <v>9</v>
      </c>
      <c r="D4141" s="3" t="s">
        <v>9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/>
      <c r="P4141" s="3"/>
      <c r="Q4141" s="3"/>
    </row>
    <row r="4142" spans="1:17" ht="15" x14ac:dyDescent="0.25">
      <c r="A4142" s="3">
        <f>4135</f>
        <v>4135</v>
      </c>
      <c r="B4142" s="3" t="s">
        <v>4144</v>
      </c>
      <c r="C4142" s="3" t="s">
        <v>9</v>
      </c>
      <c r="D4142" s="3" t="s">
        <v>9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/>
      <c r="P4142" s="3"/>
      <c r="Q4142" s="3"/>
    </row>
    <row r="4143" spans="1:17" ht="15" x14ac:dyDescent="0.25">
      <c r="A4143" s="3">
        <f>4136</f>
        <v>4136</v>
      </c>
      <c r="B4143" s="3" t="s">
        <v>4145</v>
      </c>
      <c r="C4143" s="3" t="s">
        <v>9</v>
      </c>
      <c r="D4143" s="3" t="s">
        <v>9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/>
      <c r="P4143" s="3"/>
      <c r="Q4143" s="3"/>
    </row>
    <row r="4144" spans="1:17" ht="15" x14ac:dyDescent="0.25">
      <c r="A4144" s="3">
        <f>4137</f>
        <v>4137</v>
      </c>
      <c r="B4144" s="3" t="s">
        <v>4146</v>
      </c>
      <c r="C4144" s="3" t="s">
        <v>9</v>
      </c>
      <c r="D4144" s="3" t="s">
        <v>9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/>
      <c r="P4144" s="3"/>
      <c r="Q4144" s="3"/>
    </row>
    <row r="4145" spans="1:17" ht="15" x14ac:dyDescent="0.25">
      <c r="A4145" s="3">
        <f>4138</f>
        <v>4138</v>
      </c>
      <c r="B4145" s="3" t="s">
        <v>4147</v>
      </c>
      <c r="C4145" s="3" t="s">
        <v>9</v>
      </c>
      <c r="D4145" s="3" t="s">
        <v>9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/>
      <c r="P4145" s="3"/>
      <c r="Q4145" s="3"/>
    </row>
    <row r="4146" spans="1:17" ht="15" x14ac:dyDescent="0.25">
      <c r="A4146" s="3">
        <f>4139</f>
        <v>4139</v>
      </c>
      <c r="B4146" s="3" t="s">
        <v>4148</v>
      </c>
      <c r="C4146" s="3" t="s">
        <v>9</v>
      </c>
      <c r="D4146" s="3" t="s">
        <v>9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/>
      <c r="P4146" s="3"/>
      <c r="Q4146" s="3"/>
    </row>
    <row r="4147" spans="1:17" ht="15" x14ac:dyDescent="0.25">
      <c r="A4147" s="3">
        <f>4140</f>
        <v>4140</v>
      </c>
      <c r="B4147" s="3" t="s">
        <v>4149</v>
      </c>
      <c r="C4147" s="3" t="s">
        <v>9</v>
      </c>
      <c r="D4147" s="3" t="s">
        <v>9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/>
      <c r="P4147" s="3"/>
      <c r="Q4147" s="3"/>
    </row>
    <row r="4148" spans="1:17" ht="15" x14ac:dyDescent="0.25">
      <c r="A4148" s="3">
        <f>4141</f>
        <v>4141</v>
      </c>
      <c r="B4148" s="3" t="s">
        <v>4150</v>
      </c>
      <c r="C4148" s="3" t="s">
        <v>9</v>
      </c>
      <c r="D4148" s="3" t="s">
        <v>9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/>
      <c r="P4148" s="3"/>
      <c r="Q4148" s="3"/>
    </row>
    <row r="4149" spans="1:17" ht="15" x14ac:dyDescent="0.25">
      <c r="A4149" s="3">
        <f>4142</f>
        <v>4142</v>
      </c>
      <c r="B4149" s="3" t="s">
        <v>4151</v>
      </c>
      <c r="C4149" s="3" t="s">
        <v>9</v>
      </c>
      <c r="D4149" s="3" t="s">
        <v>9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/>
      <c r="P4149" s="3"/>
      <c r="Q4149" s="3"/>
    </row>
    <row r="4150" spans="1:17" ht="15" x14ac:dyDescent="0.25">
      <c r="A4150" s="3">
        <f>4143</f>
        <v>4143</v>
      </c>
      <c r="B4150" s="3" t="s">
        <v>4152</v>
      </c>
      <c r="C4150" s="3" t="s">
        <v>9</v>
      </c>
      <c r="D4150" s="3" t="s">
        <v>9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/>
      <c r="P4150" s="3"/>
      <c r="Q4150" s="3"/>
    </row>
    <row r="4151" spans="1:17" ht="15" x14ac:dyDescent="0.25">
      <c r="A4151" s="3">
        <f>4144</f>
        <v>4144</v>
      </c>
      <c r="B4151" s="3" t="s">
        <v>4153</v>
      </c>
      <c r="C4151" s="3" t="s">
        <v>9</v>
      </c>
      <c r="D4151" s="3" t="s">
        <v>9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/>
      <c r="P4151" s="3"/>
      <c r="Q4151" s="3"/>
    </row>
    <row r="4152" spans="1:17" ht="15" x14ac:dyDescent="0.25">
      <c r="A4152" s="3">
        <f>4145</f>
        <v>4145</v>
      </c>
      <c r="B4152" s="3" t="s">
        <v>4154</v>
      </c>
      <c r="C4152" s="3" t="s">
        <v>9</v>
      </c>
      <c r="D4152" s="3" t="s">
        <v>9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/>
      <c r="P4152" s="3"/>
      <c r="Q4152" s="3"/>
    </row>
    <row r="4153" spans="1:17" ht="15" x14ac:dyDescent="0.25">
      <c r="A4153" s="3">
        <f>4146</f>
        <v>4146</v>
      </c>
      <c r="B4153" s="3" t="s">
        <v>4155</v>
      </c>
      <c r="C4153" s="3" t="s">
        <v>9</v>
      </c>
      <c r="D4153" s="3" t="s">
        <v>9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/>
      <c r="P4153" s="3"/>
      <c r="Q4153" s="3"/>
    </row>
    <row r="4154" spans="1:17" ht="15" x14ac:dyDescent="0.25">
      <c r="A4154" s="3">
        <f>4147</f>
        <v>4147</v>
      </c>
      <c r="B4154" s="3" t="s">
        <v>4156</v>
      </c>
      <c r="C4154" s="3" t="s">
        <v>9</v>
      </c>
      <c r="D4154" s="3" t="s">
        <v>9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/>
      <c r="P4154" s="3"/>
      <c r="Q4154" s="3"/>
    </row>
    <row r="4155" spans="1:17" ht="15" x14ac:dyDescent="0.25">
      <c r="A4155" s="3">
        <f>4148</f>
        <v>4148</v>
      </c>
      <c r="B4155" s="3" t="s">
        <v>4157</v>
      </c>
      <c r="C4155" s="3" t="s">
        <v>9</v>
      </c>
      <c r="D4155" s="3" t="s">
        <v>9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/>
      <c r="P4155" s="3"/>
      <c r="Q4155" s="3"/>
    </row>
    <row r="4156" spans="1:17" ht="15" x14ac:dyDescent="0.25">
      <c r="A4156" s="3">
        <f>4149</f>
        <v>4149</v>
      </c>
      <c r="B4156" s="3" t="s">
        <v>4158</v>
      </c>
      <c r="C4156" s="3" t="s">
        <v>9</v>
      </c>
      <c r="D4156" s="3" t="s">
        <v>9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/>
      <c r="P4156" s="3"/>
      <c r="Q4156" s="3"/>
    </row>
    <row r="4157" spans="1:17" ht="15" x14ac:dyDescent="0.25">
      <c r="A4157" s="3">
        <f>4150</f>
        <v>4150</v>
      </c>
      <c r="B4157" s="3" t="s">
        <v>4159</v>
      </c>
      <c r="C4157" s="3" t="s">
        <v>9</v>
      </c>
      <c r="D4157" s="3" t="s">
        <v>9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/>
      <c r="P4157" s="3"/>
      <c r="Q4157" s="3"/>
    </row>
    <row r="4158" spans="1:17" ht="15" x14ac:dyDescent="0.25">
      <c r="A4158" s="3">
        <f>4151</f>
        <v>4151</v>
      </c>
      <c r="B4158" s="3" t="s">
        <v>4160</v>
      </c>
      <c r="C4158" s="3" t="s">
        <v>9</v>
      </c>
      <c r="D4158" s="3" t="s">
        <v>9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/>
      <c r="P4158" s="3"/>
      <c r="Q4158" s="3"/>
    </row>
    <row r="4159" spans="1:17" ht="15" x14ac:dyDescent="0.25">
      <c r="A4159" s="3">
        <f>4152</f>
        <v>4152</v>
      </c>
      <c r="B4159" s="3" t="s">
        <v>4161</v>
      </c>
      <c r="C4159" s="3" t="s">
        <v>9</v>
      </c>
      <c r="D4159" s="3" t="s">
        <v>9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/>
      <c r="P4159" s="3"/>
      <c r="Q4159" s="3"/>
    </row>
    <row r="4160" spans="1:17" ht="15" x14ac:dyDescent="0.25">
      <c r="A4160" s="3">
        <f>4153</f>
        <v>4153</v>
      </c>
      <c r="B4160" s="3" t="s">
        <v>4162</v>
      </c>
      <c r="C4160" s="3" t="s">
        <v>9</v>
      </c>
      <c r="D4160" s="3" t="s">
        <v>9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/>
      <c r="P4160" s="3"/>
      <c r="Q4160" s="3"/>
    </row>
    <row r="4161" spans="1:17" ht="15" x14ac:dyDescent="0.25">
      <c r="A4161" s="3">
        <f>4154</f>
        <v>4154</v>
      </c>
      <c r="B4161" s="3" t="s">
        <v>4163</v>
      </c>
      <c r="C4161" s="3" t="s">
        <v>9</v>
      </c>
      <c r="D4161" s="3" t="s">
        <v>9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/>
      <c r="P4161" s="3"/>
      <c r="Q4161" s="3"/>
    </row>
    <row r="4162" spans="1:17" ht="15" x14ac:dyDescent="0.25">
      <c r="A4162" s="3">
        <f>4155</f>
        <v>4155</v>
      </c>
      <c r="B4162" s="3" t="s">
        <v>4164</v>
      </c>
      <c r="C4162" s="3" t="s">
        <v>9</v>
      </c>
      <c r="D4162" s="3" t="s">
        <v>9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/>
      <c r="P4162" s="3"/>
      <c r="Q4162" s="3"/>
    </row>
    <row r="4163" spans="1:17" ht="15" x14ac:dyDescent="0.25">
      <c r="A4163" s="3">
        <f>4156</f>
        <v>4156</v>
      </c>
      <c r="B4163" s="3" t="s">
        <v>4165</v>
      </c>
      <c r="C4163" s="3" t="s">
        <v>9</v>
      </c>
      <c r="D4163" s="3" t="s">
        <v>9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/>
      <c r="P4163" s="3"/>
      <c r="Q4163" s="3"/>
    </row>
    <row r="4164" spans="1:17" ht="15" x14ac:dyDescent="0.25">
      <c r="A4164" s="3">
        <f>4157</f>
        <v>4157</v>
      </c>
      <c r="B4164" s="3" t="s">
        <v>4166</v>
      </c>
      <c r="C4164" s="3" t="s">
        <v>9</v>
      </c>
      <c r="D4164" s="3" t="s">
        <v>9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/>
      <c r="P4164" s="3"/>
      <c r="Q4164" s="3"/>
    </row>
    <row r="4165" spans="1:17" ht="15" x14ac:dyDescent="0.25">
      <c r="A4165" s="3">
        <f>4158</f>
        <v>4158</v>
      </c>
      <c r="B4165" s="3" t="s">
        <v>4167</v>
      </c>
      <c r="C4165" s="3" t="s">
        <v>9</v>
      </c>
      <c r="D4165" s="3" t="s">
        <v>9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/>
      <c r="P4165" s="3"/>
      <c r="Q4165" s="3"/>
    </row>
    <row r="4166" spans="1:17" ht="15" x14ac:dyDescent="0.25">
      <c r="A4166" s="3">
        <f>4159</f>
        <v>4159</v>
      </c>
      <c r="B4166" s="3" t="s">
        <v>4168</v>
      </c>
      <c r="C4166" s="3" t="s">
        <v>9</v>
      </c>
      <c r="D4166" s="3" t="s">
        <v>9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/>
      <c r="P4166" s="3"/>
      <c r="Q4166" s="3"/>
    </row>
    <row r="4167" spans="1:17" ht="15" x14ac:dyDescent="0.25">
      <c r="A4167" s="3">
        <f>4160</f>
        <v>4160</v>
      </c>
      <c r="B4167" s="3" t="s">
        <v>4169</v>
      </c>
      <c r="C4167" s="3" t="s">
        <v>9</v>
      </c>
      <c r="D4167" s="3" t="s">
        <v>9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/>
      <c r="P4167" s="3"/>
      <c r="Q4167" s="3"/>
    </row>
    <row r="4168" spans="1:17" ht="15" x14ac:dyDescent="0.25">
      <c r="A4168" s="3">
        <f>4161</f>
        <v>4161</v>
      </c>
      <c r="B4168" s="3" t="s">
        <v>4170</v>
      </c>
      <c r="C4168" s="3" t="s">
        <v>9</v>
      </c>
      <c r="D4168" s="3" t="s">
        <v>9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/>
      <c r="P4168" s="3"/>
      <c r="Q4168" s="3"/>
    </row>
    <row r="4169" spans="1:17" ht="15" x14ac:dyDescent="0.25">
      <c r="A4169" s="3">
        <f>4162</f>
        <v>4162</v>
      </c>
      <c r="B4169" s="3" t="s">
        <v>4171</v>
      </c>
      <c r="C4169" s="3" t="s">
        <v>9</v>
      </c>
      <c r="D4169" s="3" t="s">
        <v>9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/>
      <c r="P4169" s="3"/>
      <c r="Q4169" s="3"/>
    </row>
    <row r="4170" spans="1:17" ht="15" x14ac:dyDescent="0.25">
      <c r="A4170" s="3">
        <f>4163</f>
        <v>4163</v>
      </c>
      <c r="B4170" s="3" t="s">
        <v>4172</v>
      </c>
      <c r="C4170" s="3" t="s">
        <v>9</v>
      </c>
      <c r="D4170" s="3" t="s">
        <v>9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/>
      <c r="P4170" s="3"/>
      <c r="Q4170" s="3"/>
    </row>
    <row r="4171" spans="1:17" ht="15" x14ac:dyDescent="0.25">
      <c r="A4171" s="3">
        <f>4164</f>
        <v>4164</v>
      </c>
      <c r="B4171" s="3" t="s">
        <v>4173</v>
      </c>
      <c r="C4171" s="3" t="s">
        <v>9</v>
      </c>
      <c r="D4171" s="3" t="s">
        <v>9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/>
      <c r="P4171" s="3"/>
      <c r="Q4171" s="3"/>
    </row>
    <row r="4172" spans="1:17" ht="15" x14ac:dyDescent="0.25">
      <c r="A4172" s="3">
        <f>4165</f>
        <v>4165</v>
      </c>
      <c r="B4172" s="3" t="s">
        <v>4174</v>
      </c>
      <c r="C4172" s="3" t="s">
        <v>9</v>
      </c>
      <c r="D4172" s="3" t="s">
        <v>9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/>
      <c r="P4172" s="3"/>
      <c r="Q4172" s="3"/>
    </row>
    <row r="4173" spans="1:17" ht="15" x14ac:dyDescent="0.25">
      <c r="A4173" s="3">
        <f>4166</f>
        <v>4166</v>
      </c>
      <c r="B4173" s="3" t="s">
        <v>4175</v>
      </c>
      <c r="C4173" s="3" t="s">
        <v>9</v>
      </c>
      <c r="D4173" s="3" t="s">
        <v>9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/>
      <c r="P4173" s="3"/>
      <c r="Q4173" s="3"/>
    </row>
    <row r="4174" spans="1:17" ht="15" x14ac:dyDescent="0.25">
      <c r="A4174" s="3">
        <f>4167</f>
        <v>4167</v>
      </c>
      <c r="B4174" s="3" t="s">
        <v>4176</v>
      </c>
      <c r="C4174" s="3" t="s">
        <v>9</v>
      </c>
      <c r="D4174" s="3" t="s">
        <v>9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/>
      <c r="P4174" s="3"/>
      <c r="Q4174" s="3"/>
    </row>
    <row r="4175" spans="1:17" ht="15" x14ac:dyDescent="0.25">
      <c r="A4175" s="3">
        <f>4168</f>
        <v>4168</v>
      </c>
      <c r="B4175" s="3" t="s">
        <v>4177</v>
      </c>
      <c r="C4175" s="3" t="s">
        <v>9</v>
      </c>
      <c r="D4175" s="3" t="s">
        <v>9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/>
      <c r="P4175" s="3"/>
      <c r="Q4175" s="3"/>
    </row>
    <row r="4176" spans="1:17" ht="15" x14ac:dyDescent="0.25">
      <c r="A4176" s="3">
        <f>4169</f>
        <v>4169</v>
      </c>
      <c r="B4176" s="3" t="s">
        <v>4178</v>
      </c>
      <c r="C4176" s="3" t="s">
        <v>9</v>
      </c>
      <c r="D4176" s="3" t="s">
        <v>9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/>
      <c r="P4176" s="3"/>
      <c r="Q4176" s="3"/>
    </row>
    <row r="4177" spans="1:17" ht="15" x14ac:dyDescent="0.25">
      <c r="A4177" s="3">
        <f>4170</f>
        <v>4170</v>
      </c>
      <c r="B4177" s="3" t="s">
        <v>4179</v>
      </c>
      <c r="C4177" s="3" t="s">
        <v>9</v>
      </c>
      <c r="D4177" s="3" t="s">
        <v>9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/>
      <c r="P4177" s="3"/>
      <c r="Q4177" s="3"/>
    </row>
    <row r="4178" spans="1:17" ht="15" x14ac:dyDescent="0.25">
      <c r="A4178" s="3">
        <f>4171</f>
        <v>4171</v>
      </c>
      <c r="B4178" s="3" t="s">
        <v>4180</v>
      </c>
      <c r="C4178" s="3" t="s">
        <v>9</v>
      </c>
      <c r="D4178" s="3" t="s">
        <v>9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/>
      <c r="P4178" s="3"/>
      <c r="Q4178" s="3"/>
    </row>
    <row r="4179" spans="1:17" ht="15" x14ac:dyDescent="0.25">
      <c r="A4179" s="3">
        <f>4172</f>
        <v>4172</v>
      </c>
      <c r="B4179" s="3" t="s">
        <v>4181</v>
      </c>
      <c r="C4179" s="3" t="s">
        <v>9</v>
      </c>
      <c r="D4179" s="3" t="s">
        <v>9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/>
      <c r="P4179" s="3"/>
      <c r="Q4179" s="3"/>
    </row>
    <row r="4180" spans="1:17" ht="15" x14ac:dyDescent="0.25">
      <c r="A4180" s="3">
        <f>4173</f>
        <v>4173</v>
      </c>
      <c r="B4180" s="3" t="s">
        <v>4182</v>
      </c>
      <c r="C4180" s="3" t="s">
        <v>9</v>
      </c>
      <c r="D4180" s="3" t="s">
        <v>9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/>
      <c r="P4180" s="3"/>
      <c r="Q4180" s="3"/>
    </row>
    <row r="4181" spans="1:17" ht="15" x14ac:dyDescent="0.25">
      <c r="A4181" s="3">
        <f>4174</f>
        <v>4174</v>
      </c>
      <c r="B4181" s="3" t="s">
        <v>4183</v>
      </c>
      <c r="C4181" s="3" t="s">
        <v>9</v>
      </c>
      <c r="D4181" s="3" t="s">
        <v>9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/>
      <c r="P4181" s="3"/>
      <c r="Q4181" s="3"/>
    </row>
    <row r="4182" spans="1:17" ht="15" x14ac:dyDescent="0.25">
      <c r="A4182" s="3">
        <f>4175</f>
        <v>4175</v>
      </c>
      <c r="B4182" s="3" t="s">
        <v>4184</v>
      </c>
      <c r="C4182" s="3" t="s">
        <v>9</v>
      </c>
      <c r="D4182" s="3" t="s">
        <v>9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/>
      <c r="P4182" s="3"/>
      <c r="Q4182" s="3"/>
    </row>
    <row r="4183" spans="1:17" ht="15" x14ac:dyDescent="0.25">
      <c r="A4183" s="3">
        <f>4176</f>
        <v>4176</v>
      </c>
      <c r="B4183" s="3" t="s">
        <v>4185</v>
      </c>
      <c r="C4183" s="3" t="s">
        <v>9</v>
      </c>
      <c r="D4183" s="3" t="s">
        <v>9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/>
      <c r="P4183" s="3"/>
      <c r="Q4183" s="3"/>
    </row>
    <row r="4184" spans="1:17" ht="15" x14ac:dyDescent="0.25">
      <c r="A4184" s="3">
        <f>4177</f>
        <v>4177</v>
      </c>
      <c r="B4184" s="3" t="s">
        <v>4186</v>
      </c>
      <c r="C4184" s="3" t="s">
        <v>9</v>
      </c>
      <c r="D4184" s="3" t="s">
        <v>9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/>
      <c r="P4184" s="3"/>
      <c r="Q4184" s="3"/>
    </row>
    <row r="4185" spans="1:17" ht="15" x14ac:dyDescent="0.25">
      <c r="A4185" s="3">
        <f>4178</f>
        <v>4178</v>
      </c>
      <c r="B4185" s="3" t="s">
        <v>4187</v>
      </c>
      <c r="C4185" s="3" t="s">
        <v>9</v>
      </c>
      <c r="D4185" s="3" t="s">
        <v>9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/>
      <c r="P4185" s="3"/>
      <c r="Q4185" s="3"/>
    </row>
    <row r="4186" spans="1:17" ht="15" x14ac:dyDescent="0.25">
      <c r="A4186" s="3">
        <f>4179</f>
        <v>4179</v>
      </c>
      <c r="B4186" s="3" t="s">
        <v>4188</v>
      </c>
      <c r="C4186" s="3" t="s">
        <v>9</v>
      </c>
      <c r="D4186" s="3" t="s">
        <v>9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/>
      <c r="P4186" s="3"/>
      <c r="Q4186" s="3"/>
    </row>
    <row r="4187" spans="1:17" ht="15" x14ac:dyDescent="0.25">
      <c r="A4187" s="3">
        <f>4180</f>
        <v>4180</v>
      </c>
      <c r="B4187" s="3" t="s">
        <v>4189</v>
      </c>
      <c r="C4187" s="3" t="s">
        <v>9</v>
      </c>
      <c r="D4187" s="3" t="s">
        <v>9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/>
      <c r="P4187" s="3"/>
      <c r="Q4187" s="3"/>
    </row>
    <row r="4188" spans="1:17" ht="15" x14ac:dyDescent="0.25">
      <c r="A4188" s="3">
        <f>4181</f>
        <v>4181</v>
      </c>
      <c r="B4188" s="3" t="s">
        <v>4190</v>
      </c>
      <c r="C4188" s="3" t="s">
        <v>9</v>
      </c>
      <c r="D4188" s="3" t="s">
        <v>9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/>
      <c r="P4188" s="3"/>
      <c r="Q4188" s="3"/>
    </row>
    <row r="4189" spans="1:17" ht="15" x14ac:dyDescent="0.25">
      <c r="A4189" s="3">
        <f>4182</f>
        <v>4182</v>
      </c>
      <c r="B4189" s="3" t="s">
        <v>4191</v>
      </c>
      <c r="C4189" s="3" t="s">
        <v>9</v>
      </c>
      <c r="D4189" s="3" t="s">
        <v>9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/>
      <c r="P4189" s="3"/>
      <c r="Q4189" s="3"/>
    </row>
    <row r="4190" spans="1:17" ht="15" x14ac:dyDescent="0.25">
      <c r="A4190" s="3">
        <f>4183</f>
        <v>4183</v>
      </c>
      <c r="B4190" s="3" t="s">
        <v>4192</v>
      </c>
      <c r="C4190" s="3" t="s">
        <v>9</v>
      </c>
      <c r="D4190" s="3" t="s">
        <v>9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/>
      <c r="P4190" s="3"/>
      <c r="Q4190" s="3"/>
    </row>
    <row r="4191" spans="1:17" ht="15" x14ac:dyDescent="0.25">
      <c r="A4191" s="3">
        <f>4184</f>
        <v>4184</v>
      </c>
      <c r="B4191" s="3" t="s">
        <v>4193</v>
      </c>
      <c r="C4191" s="3" t="s">
        <v>9</v>
      </c>
      <c r="D4191" s="3" t="s">
        <v>9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/>
      <c r="P4191" s="3"/>
      <c r="Q4191" s="3"/>
    </row>
    <row r="4192" spans="1:17" ht="15" x14ac:dyDescent="0.25">
      <c r="A4192" s="3">
        <f>4185</f>
        <v>4185</v>
      </c>
      <c r="B4192" s="3" t="s">
        <v>4194</v>
      </c>
      <c r="C4192" s="3" t="s">
        <v>9</v>
      </c>
      <c r="D4192" s="3" t="s">
        <v>9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/>
      <c r="P4192" s="3"/>
      <c r="Q4192" s="3"/>
    </row>
    <row r="4193" spans="1:17" ht="15" x14ac:dyDescent="0.25">
      <c r="A4193" s="3">
        <f>4186</f>
        <v>4186</v>
      </c>
      <c r="B4193" s="3" t="s">
        <v>4195</v>
      </c>
      <c r="C4193" s="3" t="s">
        <v>9</v>
      </c>
      <c r="D4193" s="3" t="s">
        <v>9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/>
      <c r="P4193" s="3"/>
      <c r="Q4193" s="3"/>
    </row>
    <row r="4194" spans="1:17" ht="15" x14ac:dyDescent="0.25">
      <c r="A4194" s="3">
        <f>4187</f>
        <v>4187</v>
      </c>
      <c r="B4194" s="3" t="s">
        <v>4196</v>
      </c>
      <c r="C4194" s="3" t="s">
        <v>9</v>
      </c>
      <c r="D4194" s="3" t="s">
        <v>9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/>
      <c r="P4194" s="3"/>
      <c r="Q4194" s="3"/>
    </row>
    <row r="4195" spans="1:17" ht="15" x14ac:dyDescent="0.25">
      <c r="A4195" s="3">
        <f>4188</f>
        <v>4188</v>
      </c>
      <c r="B4195" s="3" t="s">
        <v>4197</v>
      </c>
      <c r="C4195" s="3" t="s">
        <v>9</v>
      </c>
      <c r="D4195" s="3" t="s">
        <v>9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/>
      <c r="P4195" s="3"/>
      <c r="Q4195" s="3"/>
    </row>
    <row r="4196" spans="1:17" ht="15" x14ac:dyDescent="0.25">
      <c r="A4196" s="3">
        <f>4189</f>
        <v>4189</v>
      </c>
      <c r="B4196" s="3" t="s">
        <v>4198</v>
      </c>
      <c r="C4196" s="3" t="s">
        <v>9</v>
      </c>
      <c r="D4196" s="3" t="s">
        <v>9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/>
      <c r="P4196" s="3"/>
      <c r="Q4196" s="3"/>
    </row>
    <row r="4197" spans="1:17" ht="15" x14ac:dyDescent="0.25">
      <c r="A4197" s="3">
        <f>4190</f>
        <v>4190</v>
      </c>
      <c r="B4197" s="3" t="s">
        <v>4199</v>
      </c>
      <c r="C4197" s="3" t="s">
        <v>9</v>
      </c>
      <c r="D4197" s="3" t="s">
        <v>9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/>
      <c r="P4197" s="3"/>
      <c r="Q4197" s="3"/>
    </row>
    <row r="4198" spans="1:17" ht="15" x14ac:dyDescent="0.25">
      <c r="A4198" s="3">
        <f>4191</f>
        <v>4191</v>
      </c>
      <c r="B4198" s="3" t="s">
        <v>4200</v>
      </c>
      <c r="C4198" s="3" t="s">
        <v>9</v>
      </c>
      <c r="D4198" s="3" t="s">
        <v>9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/>
      <c r="P4198" s="3"/>
      <c r="Q4198" s="3"/>
    </row>
    <row r="4199" spans="1:17" ht="15" x14ac:dyDescent="0.25">
      <c r="A4199" s="3">
        <f>4192</f>
        <v>4192</v>
      </c>
      <c r="B4199" s="3" t="s">
        <v>4201</v>
      </c>
      <c r="C4199" s="3" t="s">
        <v>9</v>
      </c>
      <c r="D4199" s="3" t="s">
        <v>9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/>
      <c r="P4199" s="3"/>
      <c r="Q4199" s="3"/>
    </row>
    <row r="4200" spans="1:17" ht="15" x14ac:dyDescent="0.25">
      <c r="A4200" s="3">
        <f>4193</f>
        <v>4193</v>
      </c>
      <c r="B4200" s="3" t="s">
        <v>4202</v>
      </c>
      <c r="C4200" s="3" t="s">
        <v>9</v>
      </c>
      <c r="D4200" s="3" t="s">
        <v>9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/>
      <c r="P4200" s="3"/>
      <c r="Q4200" s="3"/>
    </row>
    <row r="4201" spans="1:17" ht="15" x14ac:dyDescent="0.25">
      <c r="A4201" s="3">
        <f>4194</f>
        <v>4194</v>
      </c>
      <c r="B4201" s="3" t="s">
        <v>4203</v>
      </c>
      <c r="C4201" s="3" t="s">
        <v>9</v>
      </c>
      <c r="D4201" s="3" t="s">
        <v>9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/>
      <c r="P4201" s="3"/>
      <c r="Q4201" s="3"/>
    </row>
    <row r="4202" spans="1:17" ht="15" x14ac:dyDescent="0.25">
      <c r="A4202" s="3">
        <f>4195</f>
        <v>4195</v>
      </c>
      <c r="B4202" s="3" t="s">
        <v>4204</v>
      </c>
      <c r="C4202" s="3" t="s">
        <v>9</v>
      </c>
      <c r="D4202" s="3" t="s">
        <v>9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/>
      <c r="P4202" s="3"/>
      <c r="Q4202" s="3"/>
    </row>
    <row r="4203" spans="1:17" ht="15" x14ac:dyDescent="0.25">
      <c r="A4203" s="3">
        <f>4196</f>
        <v>4196</v>
      </c>
      <c r="B4203" s="3" t="s">
        <v>4205</v>
      </c>
      <c r="C4203" s="3" t="s">
        <v>9</v>
      </c>
      <c r="D4203" s="3" t="s">
        <v>9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/>
      <c r="P4203" s="3"/>
      <c r="Q4203" s="3"/>
    </row>
    <row r="4204" spans="1:17" ht="15" x14ac:dyDescent="0.25">
      <c r="A4204" s="3">
        <f>4197</f>
        <v>4197</v>
      </c>
      <c r="B4204" s="3" t="s">
        <v>4206</v>
      </c>
      <c r="C4204" s="3" t="s">
        <v>9</v>
      </c>
      <c r="D4204" s="3" t="s">
        <v>9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/>
      <c r="P4204" s="3"/>
      <c r="Q4204" s="3"/>
    </row>
    <row r="4205" spans="1:17" ht="15" x14ac:dyDescent="0.25">
      <c r="A4205" s="3">
        <f>4198</f>
        <v>4198</v>
      </c>
      <c r="B4205" s="3" t="s">
        <v>4207</v>
      </c>
      <c r="C4205" s="3" t="s">
        <v>9</v>
      </c>
      <c r="D4205" s="3" t="s">
        <v>9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/>
      <c r="P4205" s="3"/>
      <c r="Q4205" s="3"/>
    </row>
    <row r="4206" spans="1:17" ht="15" x14ac:dyDescent="0.25">
      <c r="A4206" s="3">
        <f>4199</f>
        <v>4199</v>
      </c>
      <c r="B4206" s="3" t="s">
        <v>4208</v>
      </c>
      <c r="C4206" s="3" t="s">
        <v>9</v>
      </c>
      <c r="D4206" s="3" t="s">
        <v>9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/>
      <c r="P4206" s="3"/>
      <c r="Q4206" s="3"/>
    </row>
    <row r="4207" spans="1:17" ht="15" x14ac:dyDescent="0.25">
      <c r="A4207" s="3">
        <f>4200</f>
        <v>4200</v>
      </c>
      <c r="B4207" s="3" t="s">
        <v>4209</v>
      </c>
      <c r="C4207" s="3" t="s">
        <v>9</v>
      </c>
      <c r="D4207" s="3" t="s">
        <v>9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/>
      <c r="P4207" s="3"/>
      <c r="Q4207" s="3"/>
    </row>
    <row r="4208" spans="1:17" ht="15" x14ac:dyDescent="0.25">
      <c r="A4208" s="3">
        <f>4201</f>
        <v>4201</v>
      </c>
      <c r="B4208" s="3" t="s">
        <v>4210</v>
      </c>
      <c r="C4208" s="3" t="s">
        <v>9</v>
      </c>
      <c r="D4208" s="3" t="s">
        <v>9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/>
      <c r="P4208" s="3"/>
      <c r="Q4208" s="3"/>
    </row>
    <row r="4209" spans="1:17" ht="15" x14ac:dyDescent="0.25">
      <c r="A4209" s="3">
        <f>4202</f>
        <v>4202</v>
      </c>
      <c r="B4209" s="3" t="s">
        <v>4211</v>
      </c>
      <c r="C4209" s="3" t="s">
        <v>9</v>
      </c>
      <c r="D4209" s="3" t="s">
        <v>9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/>
      <c r="P4209" s="3"/>
      <c r="Q4209" s="3"/>
    </row>
    <row r="4210" spans="1:17" ht="15" x14ac:dyDescent="0.25">
      <c r="A4210" s="3">
        <f>4203</f>
        <v>4203</v>
      </c>
      <c r="B4210" s="3" t="s">
        <v>4212</v>
      </c>
      <c r="C4210" s="3" t="s">
        <v>9</v>
      </c>
      <c r="D4210" s="3" t="s">
        <v>9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/>
      <c r="P4210" s="3"/>
      <c r="Q4210" s="3"/>
    </row>
    <row r="4211" spans="1:17" ht="15" x14ac:dyDescent="0.25">
      <c r="A4211" s="3">
        <f>4204</f>
        <v>4204</v>
      </c>
      <c r="B4211" s="3" t="s">
        <v>4213</v>
      </c>
      <c r="C4211" s="3" t="s">
        <v>9</v>
      </c>
      <c r="D4211" s="3" t="s">
        <v>9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/>
      <c r="P4211" s="3"/>
      <c r="Q4211" s="3"/>
    </row>
    <row r="4212" spans="1:17" ht="15" x14ac:dyDescent="0.25">
      <c r="A4212" s="3">
        <f>4205</f>
        <v>4205</v>
      </c>
      <c r="B4212" s="3" t="s">
        <v>4214</v>
      </c>
      <c r="C4212" s="3" t="s">
        <v>9</v>
      </c>
      <c r="D4212" s="3" t="s">
        <v>9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/>
      <c r="P4212" s="3"/>
      <c r="Q4212" s="3"/>
    </row>
    <row r="4213" spans="1:17" ht="15" x14ac:dyDescent="0.25">
      <c r="A4213" s="3">
        <f>4206</f>
        <v>4206</v>
      </c>
      <c r="B4213" s="3" t="s">
        <v>4215</v>
      </c>
      <c r="C4213" s="3" t="s">
        <v>9</v>
      </c>
      <c r="D4213" s="3" t="s">
        <v>9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/>
      <c r="P4213" s="3"/>
      <c r="Q4213" s="3"/>
    </row>
    <row r="4214" spans="1:17" ht="15" x14ac:dyDescent="0.25">
      <c r="A4214" s="3">
        <f>4207</f>
        <v>4207</v>
      </c>
      <c r="B4214" s="3" t="s">
        <v>4216</v>
      </c>
      <c r="C4214" s="3" t="s">
        <v>9</v>
      </c>
      <c r="D4214" s="3" t="s">
        <v>9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/>
      <c r="P4214" s="3"/>
      <c r="Q4214" s="3"/>
    </row>
    <row r="4215" spans="1:17" ht="15" x14ac:dyDescent="0.25">
      <c r="A4215" s="3">
        <f>4208</f>
        <v>4208</v>
      </c>
      <c r="B4215" s="3" t="s">
        <v>4217</v>
      </c>
      <c r="C4215" s="3" t="s">
        <v>9</v>
      </c>
      <c r="D4215" s="3" t="s">
        <v>9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/>
      <c r="P4215" s="3"/>
      <c r="Q4215" s="3"/>
    </row>
    <row r="4216" spans="1:17" ht="15" x14ac:dyDescent="0.25">
      <c r="A4216" s="3">
        <f>4209</f>
        <v>4209</v>
      </c>
      <c r="B4216" s="3" t="s">
        <v>4218</v>
      </c>
      <c r="C4216" s="3" t="s">
        <v>9</v>
      </c>
      <c r="D4216" s="3" t="s">
        <v>9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/>
      <c r="P4216" s="3"/>
      <c r="Q4216" s="3"/>
    </row>
    <row r="4217" spans="1:17" ht="15" x14ac:dyDescent="0.25">
      <c r="A4217" s="3">
        <f>4210</f>
        <v>4210</v>
      </c>
      <c r="B4217" s="3" t="s">
        <v>4219</v>
      </c>
      <c r="C4217" s="3" t="s">
        <v>9</v>
      </c>
      <c r="D4217" s="3" t="s">
        <v>9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/>
      <c r="P4217" s="3"/>
      <c r="Q4217" s="3"/>
    </row>
    <row r="4218" spans="1:17" ht="15" x14ac:dyDescent="0.25">
      <c r="A4218" s="3">
        <f>4211</f>
        <v>4211</v>
      </c>
      <c r="B4218" s="3" t="s">
        <v>4220</v>
      </c>
      <c r="C4218" s="3" t="s">
        <v>9</v>
      </c>
      <c r="D4218" s="3" t="s">
        <v>9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/>
      <c r="P4218" s="3"/>
      <c r="Q4218" s="3"/>
    </row>
    <row r="4219" spans="1:17" ht="15" x14ac:dyDescent="0.25">
      <c r="A4219" s="3">
        <f>4212</f>
        <v>4212</v>
      </c>
      <c r="B4219" s="3" t="s">
        <v>4221</v>
      </c>
      <c r="C4219" s="3" t="s">
        <v>9</v>
      </c>
      <c r="D4219" s="3" t="s">
        <v>9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/>
      <c r="P4219" s="3"/>
      <c r="Q4219" s="3"/>
    </row>
    <row r="4220" spans="1:17" ht="15" x14ac:dyDescent="0.25">
      <c r="A4220" s="3">
        <f>4213</f>
        <v>4213</v>
      </c>
      <c r="B4220" s="3" t="s">
        <v>4222</v>
      </c>
      <c r="C4220" s="3" t="s">
        <v>9</v>
      </c>
      <c r="D4220" s="3" t="s">
        <v>9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/>
      <c r="P4220" s="3"/>
      <c r="Q4220" s="3"/>
    </row>
    <row r="4221" spans="1:17" ht="15" x14ac:dyDescent="0.25">
      <c r="A4221" s="3">
        <f>4214</f>
        <v>4214</v>
      </c>
      <c r="B4221" s="3" t="s">
        <v>4223</v>
      </c>
      <c r="C4221" s="3" t="s">
        <v>9</v>
      </c>
      <c r="D4221" s="3" t="s">
        <v>9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/>
      <c r="P4221" s="3"/>
      <c r="Q4221" s="3"/>
    </row>
    <row r="4222" spans="1:17" ht="15" x14ac:dyDescent="0.25">
      <c r="A4222" s="3">
        <f>4215</f>
        <v>4215</v>
      </c>
      <c r="B4222" s="3" t="s">
        <v>4224</v>
      </c>
      <c r="C4222" s="3" t="s">
        <v>9</v>
      </c>
      <c r="D4222" s="3" t="s">
        <v>9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/>
      <c r="P4222" s="3"/>
      <c r="Q4222" s="3"/>
    </row>
    <row r="4223" spans="1:17" ht="15" x14ac:dyDescent="0.25">
      <c r="A4223" s="3">
        <f>4216</f>
        <v>4216</v>
      </c>
      <c r="B4223" s="3" t="s">
        <v>4225</v>
      </c>
      <c r="C4223" s="3" t="s">
        <v>9</v>
      </c>
      <c r="D4223" s="3" t="s">
        <v>9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/>
      <c r="P4223" s="3"/>
      <c r="Q4223" s="3"/>
    </row>
    <row r="4224" spans="1:17" ht="15" x14ac:dyDescent="0.25">
      <c r="A4224" s="3">
        <f>4217</f>
        <v>4217</v>
      </c>
      <c r="B4224" s="3" t="s">
        <v>4226</v>
      </c>
      <c r="C4224" s="3" t="s">
        <v>9</v>
      </c>
      <c r="D4224" s="3" t="s">
        <v>9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/>
      <c r="P4224" s="3"/>
      <c r="Q4224" s="3"/>
    </row>
    <row r="4225" spans="1:17" ht="15" x14ac:dyDescent="0.25">
      <c r="A4225" s="3">
        <f>4218</f>
        <v>4218</v>
      </c>
      <c r="B4225" s="3" t="s">
        <v>4227</v>
      </c>
      <c r="C4225" s="3" t="s">
        <v>9</v>
      </c>
      <c r="D4225" s="3" t="s">
        <v>9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/>
      <c r="P4225" s="3"/>
      <c r="Q4225" s="3"/>
    </row>
    <row r="4226" spans="1:17" ht="15" x14ac:dyDescent="0.25">
      <c r="A4226" s="3">
        <f>4219</f>
        <v>4219</v>
      </c>
      <c r="B4226" s="3" t="s">
        <v>4228</v>
      </c>
      <c r="C4226" s="3" t="s">
        <v>9</v>
      </c>
      <c r="D4226" s="3" t="s">
        <v>9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/>
      <c r="P4226" s="3"/>
      <c r="Q4226" s="3"/>
    </row>
    <row r="4227" spans="1:17" ht="15" x14ac:dyDescent="0.25">
      <c r="A4227" s="3">
        <f>4220</f>
        <v>4220</v>
      </c>
      <c r="B4227" s="3" t="s">
        <v>4229</v>
      </c>
      <c r="C4227" s="3" t="s">
        <v>9</v>
      </c>
      <c r="D4227" s="3" t="s">
        <v>9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/>
      <c r="P4227" s="3"/>
      <c r="Q4227" s="3"/>
    </row>
    <row r="4228" spans="1:17" ht="15" x14ac:dyDescent="0.25">
      <c r="A4228" s="3">
        <f>4221</f>
        <v>4221</v>
      </c>
      <c r="B4228" s="3" t="s">
        <v>4230</v>
      </c>
      <c r="C4228" s="3" t="s">
        <v>9</v>
      </c>
      <c r="D4228" s="3" t="s">
        <v>9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/>
      <c r="P4228" s="3"/>
      <c r="Q4228" s="3"/>
    </row>
    <row r="4229" spans="1:17" ht="15" x14ac:dyDescent="0.25">
      <c r="A4229" s="3">
        <f>4222</f>
        <v>4222</v>
      </c>
      <c r="B4229" s="3" t="s">
        <v>4231</v>
      </c>
      <c r="C4229" s="3" t="s">
        <v>9</v>
      </c>
      <c r="D4229" s="3" t="s">
        <v>9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/>
      <c r="P4229" s="3"/>
      <c r="Q4229" s="3"/>
    </row>
    <row r="4230" spans="1:17" ht="15" x14ac:dyDescent="0.25">
      <c r="A4230" s="3">
        <f>4223</f>
        <v>4223</v>
      </c>
      <c r="B4230" s="3" t="s">
        <v>4232</v>
      </c>
      <c r="C4230" s="3" t="s">
        <v>9</v>
      </c>
      <c r="D4230" s="3" t="s">
        <v>9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/>
      <c r="P4230" s="3"/>
      <c r="Q4230" s="3"/>
    </row>
    <row r="4231" spans="1:17" ht="15" x14ac:dyDescent="0.25">
      <c r="A4231" s="3">
        <f>4224</f>
        <v>4224</v>
      </c>
      <c r="B4231" s="3" t="s">
        <v>4233</v>
      </c>
      <c r="C4231" s="3" t="s">
        <v>9</v>
      </c>
      <c r="D4231" s="3" t="s">
        <v>9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/>
      <c r="P4231" s="3"/>
      <c r="Q4231" s="3"/>
    </row>
    <row r="4232" spans="1:17" ht="15" x14ac:dyDescent="0.25">
      <c r="A4232" s="3">
        <f>4225</f>
        <v>4225</v>
      </c>
      <c r="B4232" s="3" t="s">
        <v>4234</v>
      </c>
      <c r="C4232" s="3" t="s">
        <v>9</v>
      </c>
      <c r="D4232" s="3" t="s">
        <v>9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/>
      <c r="P4232" s="3"/>
      <c r="Q4232" s="3"/>
    </row>
    <row r="4233" spans="1:17" ht="15" x14ac:dyDescent="0.25">
      <c r="A4233" s="3">
        <f>4226</f>
        <v>4226</v>
      </c>
      <c r="B4233" s="3" t="s">
        <v>4235</v>
      </c>
      <c r="C4233" s="3" t="s">
        <v>9</v>
      </c>
      <c r="D4233" s="3" t="s">
        <v>9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/>
      <c r="P4233" s="3"/>
      <c r="Q4233" s="3"/>
    </row>
    <row r="4234" spans="1:17" ht="15" x14ac:dyDescent="0.25">
      <c r="A4234" s="3">
        <f>4227</f>
        <v>4227</v>
      </c>
      <c r="B4234" s="3" t="s">
        <v>4236</v>
      </c>
      <c r="C4234" s="3" t="s">
        <v>9</v>
      </c>
      <c r="D4234" s="3" t="s">
        <v>9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/>
      <c r="P4234" s="3"/>
      <c r="Q4234" s="3"/>
    </row>
    <row r="4235" spans="1:17" ht="15" x14ac:dyDescent="0.25">
      <c r="A4235" s="3">
        <f>4228</f>
        <v>4228</v>
      </c>
      <c r="B4235" s="3" t="s">
        <v>4237</v>
      </c>
      <c r="C4235" s="3" t="s">
        <v>9</v>
      </c>
      <c r="D4235" s="3" t="s">
        <v>9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/>
      <c r="P4235" s="3"/>
      <c r="Q4235" s="3"/>
    </row>
    <row r="4236" spans="1:17" ht="15" x14ac:dyDescent="0.25">
      <c r="A4236" s="3">
        <f>4229</f>
        <v>4229</v>
      </c>
      <c r="B4236" s="3" t="s">
        <v>4238</v>
      </c>
      <c r="C4236" s="3" t="s">
        <v>9</v>
      </c>
      <c r="D4236" s="3" t="s">
        <v>9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/>
      <c r="P4236" s="3"/>
      <c r="Q4236" s="3"/>
    </row>
    <row r="4237" spans="1:17" ht="15" x14ac:dyDescent="0.25">
      <c r="A4237" s="3">
        <f>4230</f>
        <v>4230</v>
      </c>
      <c r="B4237" s="3" t="s">
        <v>4239</v>
      </c>
      <c r="C4237" s="3" t="s">
        <v>9</v>
      </c>
      <c r="D4237" s="3" t="s">
        <v>9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/>
      <c r="P4237" s="3"/>
      <c r="Q4237" s="3"/>
    </row>
    <row r="4238" spans="1:17" ht="15" x14ac:dyDescent="0.25">
      <c r="A4238" s="3">
        <f>4231</f>
        <v>4231</v>
      </c>
      <c r="B4238" s="3" t="s">
        <v>4240</v>
      </c>
      <c r="C4238" s="3" t="s">
        <v>9</v>
      </c>
      <c r="D4238" s="3" t="s">
        <v>9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/>
      <c r="P4238" s="3"/>
      <c r="Q4238" s="3"/>
    </row>
    <row r="4239" spans="1:17" ht="15" x14ac:dyDescent="0.25">
      <c r="A4239" s="3">
        <f>4232</f>
        <v>4232</v>
      </c>
      <c r="B4239" s="3" t="s">
        <v>4241</v>
      </c>
      <c r="C4239" s="3" t="s">
        <v>9</v>
      </c>
      <c r="D4239" s="3" t="s">
        <v>9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/>
      <c r="P4239" s="3"/>
      <c r="Q4239" s="3"/>
    </row>
    <row r="4240" spans="1:17" ht="15" x14ac:dyDescent="0.25">
      <c r="A4240" s="3">
        <f>4233</f>
        <v>4233</v>
      </c>
      <c r="B4240" s="3" t="s">
        <v>4242</v>
      </c>
      <c r="C4240" s="3" t="s">
        <v>9</v>
      </c>
      <c r="D4240" s="3" t="s">
        <v>9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/>
      <c r="P4240" s="3"/>
      <c r="Q4240" s="3"/>
    </row>
    <row r="4241" spans="1:17" ht="15" x14ac:dyDescent="0.25">
      <c r="A4241" s="3">
        <f>4234</f>
        <v>4234</v>
      </c>
      <c r="B4241" s="3" t="s">
        <v>4243</v>
      </c>
      <c r="C4241" s="3" t="s">
        <v>9</v>
      </c>
      <c r="D4241" s="3" t="s">
        <v>9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/>
      <c r="P4241" s="3"/>
      <c r="Q4241" s="3"/>
    </row>
    <row r="4242" spans="1:17" ht="15" x14ac:dyDescent="0.25">
      <c r="A4242" s="3">
        <f>4235</f>
        <v>4235</v>
      </c>
      <c r="B4242" s="3" t="s">
        <v>4244</v>
      </c>
      <c r="C4242" s="3" t="s">
        <v>9</v>
      </c>
      <c r="D4242" s="3" t="s">
        <v>9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/>
      <c r="P4242" s="3"/>
      <c r="Q4242" s="3"/>
    </row>
    <row r="4243" spans="1:17" ht="15" x14ac:dyDescent="0.25">
      <c r="A4243" s="3">
        <f>4236</f>
        <v>4236</v>
      </c>
      <c r="B4243" s="3" t="s">
        <v>4245</v>
      </c>
      <c r="C4243" s="3" t="s">
        <v>9</v>
      </c>
      <c r="D4243" s="3" t="s">
        <v>9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/>
      <c r="P4243" s="3"/>
      <c r="Q4243" s="3"/>
    </row>
    <row r="4244" spans="1:17" ht="15" x14ac:dyDescent="0.25">
      <c r="A4244" s="3">
        <f>4237</f>
        <v>4237</v>
      </c>
      <c r="B4244" s="3" t="s">
        <v>4246</v>
      </c>
      <c r="C4244" s="3" t="s">
        <v>9</v>
      </c>
      <c r="D4244" s="3" t="s">
        <v>9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/>
      <c r="P4244" s="3"/>
      <c r="Q4244" s="3"/>
    </row>
    <row r="4245" spans="1:17" ht="15" x14ac:dyDescent="0.25">
      <c r="A4245" s="3">
        <f>4238</f>
        <v>4238</v>
      </c>
      <c r="B4245" s="3" t="s">
        <v>4247</v>
      </c>
      <c r="C4245" s="3" t="s">
        <v>9</v>
      </c>
      <c r="D4245" s="3" t="s">
        <v>9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/>
      <c r="P4245" s="3"/>
      <c r="Q4245" s="3"/>
    </row>
    <row r="4246" spans="1:17" ht="15" x14ac:dyDescent="0.25">
      <c r="A4246" s="3">
        <f>4239</f>
        <v>4239</v>
      </c>
      <c r="B4246" s="3" t="s">
        <v>4248</v>
      </c>
      <c r="C4246" s="3" t="s">
        <v>9</v>
      </c>
      <c r="D4246" s="3" t="s">
        <v>9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/>
      <c r="P4246" s="3"/>
      <c r="Q4246" s="3"/>
    </row>
    <row r="4247" spans="1:17" ht="15" x14ac:dyDescent="0.25">
      <c r="A4247" s="3">
        <f>4240</f>
        <v>4240</v>
      </c>
      <c r="B4247" s="3" t="s">
        <v>4249</v>
      </c>
      <c r="C4247" s="3" t="s">
        <v>9</v>
      </c>
      <c r="D4247" s="3" t="s">
        <v>9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/>
      <c r="P4247" s="3"/>
      <c r="Q4247" s="3"/>
    </row>
    <row r="4248" spans="1:17" ht="15" x14ac:dyDescent="0.25">
      <c r="A4248" s="3">
        <f>4241</f>
        <v>4241</v>
      </c>
      <c r="B4248" s="3" t="s">
        <v>4250</v>
      </c>
      <c r="C4248" s="3" t="s">
        <v>9</v>
      </c>
      <c r="D4248" s="3" t="s">
        <v>9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/>
      <c r="P4248" s="3"/>
      <c r="Q4248" s="3"/>
    </row>
    <row r="4249" spans="1:17" ht="15" x14ac:dyDescent="0.25">
      <c r="A4249" s="3">
        <f>4242</f>
        <v>4242</v>
      </c>
      <c r="B4249" s="3" t="s">
        <v>4251</v>
      </c>
      <c r="C4249" s="3" t="s">
        <v>9</v>
      </c>
      <c r="D4249" s="3" t="s">
        <v>9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/>
      <c r="P4249" s="3"/>
      <c r="Q4249" s="3"/>
    </row>
    <row r="4250" spans="1:17" ht="15" x14ac:dyDescent="0.25">
      <c r="A4250" s="3">
        <f>4243</f>
        <v>4243</v>
      </c>
      <c r="B4250" s="3" t="s">
        <v>4252</v>
      </c>
      <c r="C4250" s="3" t="s">
        <v>9</v>
      </c>
      <c r="D4250" s="3" t="s">
        <v>9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/>
      <c r="P4250" s="3"/>
      <c r="Q4250" s="3"/>
    </row>
    <row r="4251" spans="1:17" ht="15" x14ac:dyDescent="0.25">
      <c r="A4251" s="3">
        <f>4244</f>
        <v>4244</v>
      </c>
      <c r="B4251" s="3" t="s">
        <v>4253</v>
      </c>
      <c r="C4251" s="3" t="s">
        <v>9</v>
      </c>
      <c r="D4251" s="3" t="s">
        <v>9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/>
      <c r="P4251" s="3"/>
      <c r="Q4251" s="3"/>
    </row>
    <row r="4252" spans="1:17" ht="15" x14ac:dyDescent="0.25">
      <c r="A4252" s="3">
        <f>4245</f>
        <v>4245</v>
      </c>
      <c r="B4252" s="3" t="s">
        <v>4254</v>
      </c>
      <c r="C4252" s="3" t="s">
        <v>9</v>
      </c>
      <c r="D4252" s="3" t="s">
        <v>9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/>
      <c r="P4252" s="3"/>
      <c r="Q4252" s="3"/>
    </row>
    <row r="4253" spans="1:17" ht="15" x14ac:dyDescent="0.25">
      <c r="A4253" s="3">
        <f>4246</f>
        <v>4246</v>
      </c>
      <c r="B4253" s="3" t="s">
        <v>4255</v>
      </c>
      <c r="C4253" s="3" t="s">
        <v>9</v>
      </c>
      <c r="D4253" s="3" t="s">
        <v>9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/>
      <c r="P4253" s="3"/>
      <c r="Q4253" s="3"/>
    </row>
    <row r="4254" spans="1:17" ht="15" x14ac:dyDescent="0.25">
      <c r="A4254" s="3">
        <f>4247</f>
        <v>4247</v>
      </c>
      <c r="B4254" s="3" t="s">
        <v>4256</v>
      </c>
      <c r="C4254" s="3" t="s">
        <v>9</v>
      </c>
      <c r="D4254" s="3" t="s">
        <v>9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/>
      <c r="P4254" s="3"/>
      <c r="Q4254" s="3"/>
    </row>
    <row r="4255" spans="1:17" ht="15" x14ac:dyDescent="0.25">
      <c r="A4255" s="3">
        <f>4248</f>
        <v>4248</v>
      </c>
      <c r="B4255" s="3" t="s">
        <v>4257</v>
      </c>
      <c r="C4255" s="3" t="s">
        <v>9</v>
      </c>
      <c r="D4255" s="3" t="s">
        <v>9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/>
      <c r="P4255" s="3"/>
      <c r="Q4255" s="3"/>
    </row>
    <row r="4256" spans="1:17" ht="15" x14ac:dyDescent="0.25">
      <c r="A4256" s="3">
        <f>4249</f>
        <v>4249</v>
      </c>
      <c r="B4256" s="3" t="s">
        <v>4258</v>
      </c>
      <c r="C4256" s="3" t="s">
        <v>9</v>
      </c>
      <c r="D4256" s="3" t="s">
        <v>9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/>
      <c r="P4256" s="3"/>
      <c r="Q4256" s="3"/>
    </row>
    <row r="4257" spans="1:17" ht="15" x14ac:dyDescent="0.25">
      <c r="A4257" s="3">
        <f>4250</f>
        <v>4250</v>
      </c>
      <c r="B4257" s="3" t="s">
        <v>4259</v>
      </c>
      <c r="C4257" s="3" t="s">
        <v>9</v>
      </c>
      <c r="D4257" s="3" t="s">
        <v>9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/>
      <c r="P4257" s="3"/>
      <c r="Q4257" s="3"/>
    </row>
    <row r="4258" spans="1:17" ht="15" x14ac:dyDescent="0.25">
      <c r="A4258" s="3">
        <f>4251</f>
        <v>4251</v>
      </c>
      <c r="B4258" s="3" t="s">
        <v>4260</v>
      </c>
      <c r="C4258" s="3" t="s">
        <v>9</v>
      </c>
      <c r="D4258" s="3" t="s">
        <v>9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/>
      <c r="P4258" s="3"/>
      <c r="Q4258" s="3"/>
    </row>
    <row r="4259" spans="1:17" ht="15" x14ac:dyDescent="0.25">
      <c r="A4259" s="3">
        <f>4252</f>
        <v>4252</v>
      </c>
      <c r="B4259" s="3" t="s">
        <v>4261</v>
      </c>
      <c r="C4259" s="3" t="s">
        <v>9</v>
      </c>
      <c r="D4259" s="3" t="s">
        <v>9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/>
      <c r="P4259" s="3"/>
      <c r="Q4259" s="3"/>
    </row>
    <row r="4260" spans="1:17" ht="15" x14ac:dyDescent="0.25">
      <c r="A4260" s="3">
        <f>4253</f>
        <v>4253</v>
      </c>
      <c r="B4260" s="3" t="s">
        <v>4262</v>
      </c>
      <c r="C4260" s="3" t="s">
        <v>9</v>
      </c>
      <c r="D4260" s="3" t="s">
        <v>9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/>
      <c r="P4260" s="3"/>
      <c r="Q4260" s="3"/>
    </row>
    <row r="4261" spans="1:17" ht="15" x14ac:dyDescent="0.25">
      <c r="A4261" s="3">
        <f>4254</f>
        <v>4254</v>
      </c>
      <c r="B4261" s="3" t="s">
        <v>4263</v>
      </c>
      <c r="C4261" s="3" t="s">
        <v>9</v>
      </c>
      <c r="D4261" s="3" t="s">
        <v>9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/>
      <c r="P4261" s="3"/>
      <c r="Q4261" s="3"/>
    </row>
    <row r="4262" spans="1:17" ht="15" x14ac:dyDescent="0.25">
      <c r="A4262" s="3">
        <f>4255</f>
        <v>4255</v>
      </c>
      <c r="B4262" s="3" t="s">
        <v>4264</v>
      </c>
      <c r="C4262" s="3" t="s">
        <v>9</v>
      </c>
      <c r="D4262" s="3" t="s">
        <v>9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/>
      <c r="P4262" s="3"/>
      <c r="Q4262" s="3"/>
    </row>
    <row r="4263" spans="1:17" ht="15" x14ac:dyDescent="0.25">
      <c r="A4263" s="3">
        <f>4256</f>
        <v>4256</v>
      </c>
      <c r="B4263" s="3" t="s">
        <v>4265</v>
      </c>
      <c r="C4263" s="3" t="s">
        <v>9</v>
      </c>
      <c r="D4263" s="3" t="s">
        <v>9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/>
      <c r="P4263" s="3"/>
      <c r="Q4263" s="3"/>
    </row>
    <row r="4264" spans="1:17" ht="15" x14ac:dyDescent="0.25">
      <c r="A4264" s="3">
        <f>4257</f>
        <v>4257</v>
      </c>
      <c r="B4264" s="3" t="s">
        <v>4266</v>
      </c>
      <c r="C4264" s="3" t="s">
        <v>9</v>
      </c>
      <c r="D4264" s="3" t="s">
        <v>9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/>
      <c r="P4264" s="3"/>
      <c r="Q4264" s="3"/>
    </row>
    <row r="4265" spans="1:17" ht="15" x14ac:dyDescent="0.25">
      <c r="A4265" s="3">
        <f>4258</f>
        <v>4258</v>
      </c>
      <c r="B4265" s="3" t="s">
        <v>4267</v>
      </c>
      <c r="C4265" s="3" t="s">
        <v>9</v>
      </c>
      <c r="D4265" s="3" t="s">
        <v>9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/>
      <c r="P4265" s="3"/>
      <c r="Q4265" s="3"/>
    </row>
    <row r="4266" spans="1:17" ht="15" x14ac:dyDescent="0.25">
      <c r="A4266" s="3">
        <f>4259</f>
        <v>4259</v>
      </c>
      <c r="B4266" s="3" t="s">
        <v>4268</v>
      </c>
      <c r="C4266" s="3" t="s">
        <v>9</v>
      </c>
      <c r="D4266" s="3" t="s">
        <v>9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/>
      <c r="P4266" s="3"/>
      <c r="Q4266" s="3"/>
    </row>
    <row r="4267" spans="1:17" ht="15" x14ac:dyDescent="0.25">
      <c r="A4267" s="3">
        <f>4260</f>
        <v>4260</v>
      </c>
      <c r="B4267" s="3" t="s">
        <v>4269</v>
      </c>
      <c r="C4267" s="3" t="s">
        <v>9</v>
      </c>
      <c r="D4267" s="3" t="s">
        <v>9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/>
      <c r="P4267" s="3"/>
      <c r="Q4267" s="3"/>
    </row>
    <row r="4268" spans="1:17" ht="15" x14ac:dyDescent="0.25">
      <c r="A4268" s="3">
        <f>4261</f>
        <v>4261</v>
      </c>
      <c r="B4268" s="3" t="s">
        <v>4270</v>
      </c>
      <c r="C4268" s="3" t="s">
        <v>9</v>
      </c>
      <c r="D4268" s="3" t="s">
        <v>9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/>
      <c r="P4268" s="3"/>
      <c r="Q4268" s="3"/>
    </row>
    <row r="4269" spans="1:17" ht="15" x14ac:dyDescent="0.25">
      <c r="A4269" s="3">
        <f>4262</f>
        <v>4262</v>
      </c>
      <c r="B4269" s="3" t="s">
        <v>4271</v>
      </c>
      <c r="C4269" s="3" t="s">
        <v>9</v>
      </c>
      <c r="D4269" s="3" t="s">
        <v>9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/>
      <c r="P4269" s="3"/>
      <c r="Q4269" s="3"/>
    </row>
    <row r="4270" spans="1:17" ht="15" x14ac:dyDescent="0.25">
      <c r="A4270" s="3">
        <f>4263</f>
        <v>4263</v>
      </c>
      <c r="B4270" s="3" t="s">
        <v>4272</v>
      </c>
      <c r="C4270" s="3" t="s">
        <v>9</v>
      </c>
      <c r="D4270" s="3" t="s">
        <v>9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/>
      <c r="P4270" s="3"/>
      <c r="Q4270" s="3"/>
    </row>
    <row r="4271" spans="1:17" ht="15" x14ac:dyDescent="0.25">
      <c r="A4271" s="3">
        <f>4264</f>
        <v>4264</v>
      </c>
      <c r="B4271" s="3" t="s">
        <v>4273</v>
      </c>
      <c r="C4271" s="3" t="s">
        <v>9</v>
      </c>
      <c r="D4271" s="3" t="s">
        <v>9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/>
      <c r="P4271" s="3"/>
      <c r="Q4271" s="3"/>
    </row>
    <row r="4272" spans="1:17" ht="15" x14ac:dyDescent="0.25">
      <c r="A4272" s="3">
        <f>4265</f>
        <v>4265</v>
      </c>
      <c r="B4272" s="3" t="s">
        <v>4274</v>
      </c>
      <c r="C4272" s="3" t="s">
        <v>9</v>
      </c>
      <c r="D4272" s="3" t="s">
        <v>9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/>
      <c r="P4272" s="3"/>
      <c r="Q4272" s="3"/>
    </row>
    <row r="4273" spans="1:17" ht="15" x14ac:dyDescent="0.25">
      <c r="A4273" s="3">
        <f>4266</f>
        <v>4266</v>
      </c>
      <c r="B4273" s="3" t="s">
        <v>4275</v>
      </c>
      <c r="C4273" s="3" t="s">
        <v>9</v>
      </c>
      <c r="D4273" s="3" t="s">
        <v>9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/>
      <c r="P4273" s="3"/>
      <c r="Q4273" s="3"/>
    </row>
    <row r="4274" spans="1:17" ht="15" x14ac:dyDescent="0.25">
      <c r="A4274" s="3">
        <f>4267</f>
        <v>4267</v>
      </c>
      <c r="B4274" s="3" t="s">
        <v>4276</v>
      </c>
      <c r="C4274" s="3" t="s">
        <v>9</v>
      </c>
      <c r="D4274" s="3" t="s">
        <v>9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/>
      <c r="P4274" s="3"/>
      <c r="Q4274" s="3"/>
    </row>
    <row r="4275" spans="1:17" ht="15" x14ac:dyDescent="0.25">
      <c r="A4275" s="3">
        <f>4268</f>
        <v>4268</v>
      </c>
      <c r="B4275" s="3" t="s">
        <v>4277</v>
      </c>
      <c r="C4275" s="3" t="s">
        <v>9</v>
      </c>
      <c r="D4275" s="3" t="s">
        <v>9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/>
      <c r="P4275" s="3"/>
      <c r="Q4275" s="3"/>
    </row>
    <row r="4276" spans="1:17" ht="15" x14ac:dyDescent="0.25">
      <c r="A4276" s="3">
        <f>4269</f>
        <v>4269</v>
      </c>
      <c r="B4276" s="3" t="s">
        <v>4278</v>
      </c>
      <c r="C4276" s="3" t="s">
        <v>9</v>
      </c>
      <c r="D4276" s="3" t="s">
        <v>9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/>
      <c r="P4276" s="3"/>
      <c r="Q4276" s="3"/>
    </row>
    <row r="4277" spans="1:17" ht="15" x14ac:dyDescent="0.25">
      <c r="A4277" s="3">
        <f>4270</f>
        <v>4270</v>
      </c>
      <c r="B4277" s="3" t="s">
        <v>4279</v>
      </c>
      <c r="C4277" s="3" t="s">
        <v>9</v>
      </c>
      <c r="D4277" s="3" t="s">
        <v>9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/>
      <c r="P4277" s="3"/>
      <c r="Q4277" s="3"/>
    </row>
    <row r="4278" spans="1:17" ht="15" x14ac:dyDescent="0.25">
      <c r="A4278" s="3">
        <f>4271</f>
        <v>4271</v>
      </c>
      <c r="B4278" s="3" t="s">
        <v>4280</v>
      </c>
      <c r="C4278" s="3" t="s">
        <v>9</v>
      </c>
      <c r="D4278" s="3" t="s">
        <v>9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/>
      <c r="P4278" s="3"/>
      <c r="Q4278" s="3"/>
    </row>
    <row r="4279" spans="1:17" ht="15" x14ac:dyDescent="0.25">
      <c r="A4279" s="3">
        <f>4272</f>
        <v>4272</v>
      </c>
      <c r="B4279" s="3" t="s">
        <v>4281</v>
      </c>
      <c r="C4279" s="3" t="s">
        <v>9</v>
      </c>
      <c r="D4279" s="3" t="s">
        <v>9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/>
      <c r="P4279" s="3"/>
      <c r="Q4279" s="3"/>
    </row>
    <row r="4280" spans="1:17" ht="15" x14ac:dyDescent="0.25">
      <c r="A4280" s="3">
        <f>4273</f>
        <v>4273</v>
      </c>
      <c r="B4280" s="3" t="s">
        <v>4282</v>
      </c>
      <c r="C4280" s="3" t="s">
        <v>9</v>
      </c>
      <c r="D4280" s="3" t="s">
        <v>9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/>
      <c r="P4280" s="3"/>
      <c r="Q4280" s="3"/>
    </row>
    <row r="4281" spans="1:17" ht="15" x14ac:dyDescent="0.25">
      <c r="A4281" s="3">
        <f>4274</f>
        <v>4274</v>
      </c>
      <c r="B4281" s="3" t="s">
        <v>4283</v>
      </c>
      <c r="C4281" s="3" t="s">
        <v>9</v>
      </c>
      <c r="D4281" s="3" t="s">
        <v>9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/>
      <c r="P4281" s="3"/>
      <c r="Q4281" s="3"/>
    </row>
    <row r="4282" spans="1:17" ht="15" x14ac:dyDescent="0.25">
      <c r="A4282" s="3">
        <f>4275</f>
        <v>4275</v>
      </c>
      <c r="B4282" s="3" t="s">
        <v>4284</v>
      </c>
      <c r="C4282" s="3" t="s">
        <v>9</v>
      </c>
      <c r="D4282" s="3" t="s">
        <v>9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/>
      <c r="P4282" s="3"/>
      <c r="Q4282" s="3"/>
    </row>
    <row r="4283" spans="1:17" ht="15" x14ac:dyDescent="0.25">
      <c r="A4283" s="3">
        <f>4276</f>
        <v>4276</v>
      </c>
      <c r="B4283" s="3" t="s">
        <v>4285</v>
      </c>
      <c r="C4283" s="3" t="s">
        <v>9</v>
      </c>
      <c r="D4283" s="3" t="s">
        <v>9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/>
      <c r="P4283" s="3"/>
      <c r="Q4283" s="3"/>
    </row>
    <row r="4284" spans="1:17" ht="15" x14ac:dyDescent="0.25">
      <c r="A4284" s="3">
        <f>4277</f>
        <v>4277</v>
      </c>
      <c r="B4284" s="3" t="s">
        <v>4286</v>
      </c>
      <c r="C4284" s="3" t="s">
        <v>9</v>
      </c>
      <c r="D4284" s="3" t="s">
        <v>9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/>
      <c r="P4284" s="3"/>
      <c r="Q4284" s="3"/>
    </row>
    <row r="4285" spans="1:17" ht="15" x14ac:dyDescent="0.25">
      <c r="A4285" s="3">
        <f>4278</f>
        <v>4278</v>
      </c>
      <c r="B4285" s="3" t="s">
        <v>4287</v>
      </c>
      <c r="C4285" s="3" t="s">
        <v>9</v>
      </c>
      <c r="D4285" s="3" t="s">
        <v>9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/>
      <c r="P4285" s="3"/>
      <c r="Q4285" s="3"/>
    </row>
    <row r="4286" spans="1:17" ht="15" x14ac:dyDescent="0.25">
      <c r="A4286" s="3">
        <f>4279</f>
        <v>4279</v>
      </c>
      <c r="B4286" s="3" t="s">
        <v>4288</v>
      </c>
      <c r="C4286" s="3" t="s">
        <v>9</v>
      </c>
      <c r="D4286" s="3" t="s">
        <v>9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/>
      <c r="P4286" s="3"/>
      <c r="Q4286" s="3"/>
    </row>
    <row r="4287" spans="1:17" ht="15" x14ac:dyDescent="0.25">
      <c r="A4287" s="3">
        <f>4280</f>
        <v>4280</v>
      </c>
      <c r="B4287" s="3" t="s">
        <v>4289</v>
      </c>
      <c r="C4287" s="3" t="s">
        <v>9</v>
      </c>
      <c r="D4287" s="3" t="s">
        <v>9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/>
      <c r="P4287" s="3"/>
      <c r="Q4287" s="3"/>
    </row>
    <row r="4288" spans="1:17" ht="15" x14ac:dyDescent="0.25">
      <c r="A4288" s="3">
        <f>4281</f>
        <v>4281</v>
      </c>
      <c r="B4288" s="3" t="s">
        <v>4290</v>
      </c>
      <c r="C4288" s="3" t="s">
        <v>9</v>
      </c>
      <c r="D4288" s="3" t="s">
        <v>9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/>
      <c r="P4288" s="3"/>
      <c r="Q4288" s="3"/>
    </row>
    <row r="4289" spans="1:17" ht="15" x14ac:dyDescent="0.25">
      <c r="A4289" s="3">
        <f>4282</f>
        <v>4282</v>
      </c>
      <c r="B4289" s="3" t="s">
        <v>4291</v>
      </c>
      <c r="C4289" s="3" t="s">
        <v>9</v>
      </c>
      <c r="D4289" s="3" t="s">
        <v>9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/>
      <c r="P4289" s="3"/>
      <c r="Q4289" s="3"/>
    </row>
    <row r="4290" spans="1:17" ht="15" x14ac:dyDescent="0.25">
      <c r="A4290" s="3">
        <f>4283</f>
        <v>4283</v>
      </c>
      <c r="B4290" s="3" t="s">
        <v>4292</v>
      </c>
      <c r="C4290" s="3" t="s">
        <v>9</v>
      </c>
      <c r="D4290" s="3" t="s">
        <v>9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/>
      <c r="P4290" s="3"/>
      <c r="Q4290" s="3"/>
    </row>
    <row r="4291" spans="1:17" ht="15" x14ac:dyDescent="0.25">
      <c r="A4291" s="3">
        <f>4284</f>
        <v>4284</v>
      </c>
      <c r="B4291" s="3" t="s">
        <v>4293</v>
      </c>
      <c r="C4291" s="3" t="s">
        <v>9</v>
      </c>
      <c r="D4291" s="3" t="s">
        <v>9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/>
      <c r="P4291" s="3"/>
      <c r="Q4291" s="3"/>
    </row>
    <row r="4292" spans="1:17" ht="15" x14ac:dyDescent="0.25">
      <c r="A4292" s="3">
        <f>4285</f>
        <v>4285</v>
      </c>
      <c r="B4292" s="3" t="s">
        <v>4294</v>
      </c>
      <c r="C4292" s="3" t="s">
        <v>9</v>
      </c>
      <c r="D4292" s="3" t="s">
        <v>9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/>
      <c r="P4292" s="3"/>
      <c r="Q4292" s="3"/>
    </row>
    <row r="4293" spans="1:17" ht="15" x14ac:dyDescent="0.25">
      <c r="A4293" s="3">
        <f>4286</f>
        <v>4286</v>
      </c>
      <c r="B4293" s="3" t="s">
        <v>4295</v>
      </c>
      <c r="C4293" s="3" t="s">
        <v>9</v>
      </c>
      <c r="D4293" s="3" t="s">
        <v>9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/>
      <c r="P4293" s="3"/>
      <c r="Q4293" s="3"/>
    </row>
    <row r="4294" spans="1:17" ht="15" x14ac:dyDescent="0.25">
      <c r="A4294" s="3">
        <f>4287</f>
        <v>4287</v>
      </c>
      <c r="B4294" s="3" t="s">
        <v>4296</v>
      </c>
      <c r="C4294" s="3" t="s">
        <v>9</v>
      </c>
      <c r="D4294" s="3" t="s">
        <v>9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/>
      <c r="P4294" s="3"/>
      <c r="Q4294" s="3"/>
    </row>
    <row r="4295" spans="1:17" ht="15" x14ac:dyDescent="0.25">
      <c r="A4295" s="3">
        <f>4288</f>
        <v>4288</v>
      </c>
      <c r="B4295" s="3" t="s">
        <v>4297</v>
      </c>
      <c r="C4295" s="3" t="s">
        <v>9</v>
      </c>
      <c r="D4295" s="3" t="s">
        <v>9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/>
      <c r="P4295" s="3"/>
      <c r="Q4295" s="3"/>
    </row>
    <row r="4296" spans="1:17" ht="15" x14ac:dyDescent="0.25">
      <c r="A4296" s="3">
        <f>4289</f>
        <v>4289</v>
      </c>
      <c r="B4296" s="3" t="s">
        <v>4298</v>
      </c>
      <c r="C4296" s="3" t="s">
        <v>9</v>
      </c>
      <c r="D4296" s="3" t="s">
        <v>9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/>
      <c r="P4296" s="3"/>
      <c r="Q4296" s="3"/>
    </row>
    <row r="4297" spans="1:17" ht="15" x14ac:dyDescent="0.25">
      <c r="A4297" s="3">
        <f>4290</f>
        <v>4290</v>
      </c>
      <c r="B4297" s="3" t="s">
        <v>4299</v>
      </c>
      <c r="C4297" s="3" t="s">
        <v>9</v>
      </c>
      <c r="D4297" s="3" t="s">
        <v>9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/>
      <c r="P4297" s="3"/>
      <c r="Q4297" s="3"/>
    </row>
    <row r="4298" spans="1:17" ht="15" x14ac:dyDescent="0.25">
      <c r="A4298" s="3">
        <f>4291</f>
        <v>4291</v>
      </c>
      <c r="B4298" s="3" t="s">
        <v>4300</v>
      </c>
      <c r="C4298" s="3" t="s">
        <v>9</v>
      </c>
      <c r="D4298" s="3" t="s">
        <v>9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/>
      <c r="P4298" s="3"/>
      <c r="Q4298" s="3"/>
    </row>
    <row r="4299" spans="1:17" ht="15" x14ac:dyDescent="0.25">
      <c r="A4299" s="3">
        <f>4292</f>
        <v>4292</v>
      </c>
      <c r="B4299" s="3" t="s">
        <v>4301</v>
      </c>
      <c r="C4299" s="3" t="s">
        <v>9</v>
      </c>
      <c r="D4299" s="3" t="s">
        <v>9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/>
      <c r="P4299" s="3"/>
      <c r="Q4299" s="3"/>
    </row>
    <row r="4300" spans="1:17" ht="15" x14ac:dyDescent="0.25">
      <c r="A4300" s="3">
        <f>4293</f>
        <v>4293</v>
      </c>
      <c r="B4300" s="3" t="s">
        <v>4302</v>
      </c>
      <c r="C4300" s="3" t="s">
        <v>9</v>
      </c>
      <c r="D4300" s="3" t="s">
        <v>9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/>
      <c r="P4300" s="3"/>
      <c r="Q4300" s="3"/>
    </row>
    <row r="4301" spans="1:17" ht="15" x14ac:dyDescent="0.25">
      <c r="A4301" s="3">
        <f>4294</f>
        <v>4294</v>
      </c>
      <c r="B4301" s="3" t="s">
        <v>4303</v>
      </c>
      <c r="C4301" s="3" t="s">
        <v>9</v>
      </c>
      <c r="D4301" s="3" t="s">
        <v>9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/>
      <c r="P4301" s="3"/>
      <c r="Q4301" s="3"/>
    </row>
    <row r="4302" spans="1:17" ht="15" x14ac:dyDescent="0.25">
      <c r="A4302" s="3">
        <f>4295</f>
        <v>4295</v>
      </c>
      <c r="B4302" s="3" t="s">
        <v>4304</v>
      </c>
      <c r="C4302" s="3" t="s">
        <v>9</v>
      </c>
      <c r="D4302" s="3" t="s">
        <v>9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/>
      <c r="P4302" s="3"/>
      <c r="Q4302" s="3"/>
    </row>
    <row r="4303" spans="1:17" ht="15" x14ac:dyDescent="0.25">
      <c r="A4303" s="3">
        <f>4296</f>
        <v>4296</v>
      </c>
      <c r="B4303" s="3" t="s">
        <v>4305</v>
      </c>
      <c r="C4303" s="3" t="s">
        <v>9</v>
      </c>
      <c r="D4303" s="3" t="s">
        <v>9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/>
      <c r="P4303" s="3"/>
      <c r="Q4303" s="3"/>
    </row>
    <row r="4304" spans="1:17" ht="15" x14ac:dyDescent="0.25">
      <c r="A4304" s="3">
        <f>4297</f>
        <v>4297</v>
      </c>
      <c r="B4304" s="3" t="s">
        <v>4306</v>
      </c>
      <c r="C4304" s="3" t="s">
        <v>9</v>
      </c>
      <c r="D4304" s="3" t="s">
        <v>9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/>
      <c r="P4304" s="3"/>
      <c r="Q4304" s="3"/>
    </row>
    <row r="4305" spans="1:17" ht="15" x14ac:dyDescent="0.25">
      <c r="A4305" s="3">
        <f>4298</f>
        <v>4298</v>
      </c>
      <c r="B4305" s="3" t="s">
        <v>4307</v>
      </c>
      <c r="C4305" s="3" t="s">
        <v>9</v>
      </c>
      <c r="D4305" s="3" t="s">
        <v>9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/>
      <c r="P4305" s="3"/>
      <c r="Q4305" s="3"/>
    </row>
    <row r="4306" spans="1:17" ht="15" x14ac:dyDescent="0.25">
      <c r="A4306" s="3">
        <f>4299</f>
        <v>4299</v>
      </c>
      <c r="B4306" s="3" t="s">
        <v>4308</v>
      </c>
      <c r="C4306" s="3" t="s">
        <v>9</v>
      </c>
      <c r="D4306" s="3" t="s">
        <v>9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/>
      <c r="P4306" s="3"/>
      <c r="Q4306" s="3"/>
    </row>
    <row r="4307" spans="1:17" ht="15" x14ac:dyDescent="0.25">
      <c r="A4307" s="3">
        <f>4300</f>
        <v>4300</v>
      </c>
      <c r="B4307" s="3" t="s">
        <v>4309</v>
      </c>
      <c r="C4307" s="3" t="s">
        <v>9</v>
      </c>
      <c r="D4307" s="3" t="s">
        <v>9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/>
      <c r="P4307" s="3"/>
      <c r="Q4307" s="3"/>
    </row>
    <row r="4308" spans="1:17" ht="15" x14ac:dyDescent="0.25">
      <c r="A4308" s="3">
        <f>4301</f>
        <v>4301</v>
      </c>
      <c r="B4308" s="3" t="s">
        <v>4310</v>
      </c>
      <c r="C4308" s="3" t="s">
        <v>9</v>
      </c>
      <c r="D4308" s="3" t="s">
        <v>9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/>
      <c r="P4308" s="3"/>
      <c r="Q4308" s="3"/>
    </row>
    <row r="4309" spans="1:17" ht="15" x14ac:dyDescent="0.25">
      <c r="A4309" s="3">
        <f>4302</f>
        <v>4302</v>
      </c>
      <c r="B4309" s="3" t="s">
        <v>4311</v>
      </c>
      <c r="C4309" s="3" t="s">
        <v>9</v>
      </c>
      <c r="D4309" s="3" t="s">
        <v>9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/>
      <c r="P4309" s="3"/>
      <c r="Q4309" s="3"/>
    </row>
    <row r="4310" spans="1:17" ht="15" x14ac:dyDescent="0.25">
      <c r="A4310" s="3">
        <f>4303</f>
        <v>4303</v>
      </c>
      <c r="B4310" s="3" t="s">
        <v>4312</v>
      </c>
      <c r="C4310" s="3" t="s">
        <v>9</v>
      </c>
      <c r="D4310" s="3" t="s">
        <v>9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/>
      <c r="P4310" s="3"/>
      <c r="Q4310" s="3"/>
    </row>
    <row r="4311" spans="1:17" ht="15" x14ac:dyDescent="0.25">
      <c r="A4311" s="3">
        <f>4304</f>
        <v>4304</v>
      </c>
      <c r="B4311" s="3" t="s">
        <v>4313</v>
      </c>
      <c r="C4311" s="3" t="s">
        <v>9</v>
      </c>
      <c r="D4311" s="3" t="s">
        <v>9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/>
      <c r="P4311" s="3"/>
      <c r="Q4311" s="3"/>
    </row>
    <row r="4312" spans="1:17" ht="15" x14ac:dyDescent="0.25">
      <c r="A4312" s="3">
        <f>4305</f>
        <v>4305</v>
      </c>
      <c r="B4312" s="3" t="s">
        <v>4314</v>
      </c>
      <c r="C4312" s="3" t="s">
        <v>9</v>
      </c>
      <c r="D4312" s="3" t="s">
        <v>9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/>
      <c r="P4312" s="3"/>
      <c r="Q4312" s="3"/>
    </row>
    <row r="4313" spans="1:17" ht="15" x14ac:dyDescent="0.25">
      <c r="A4313" s="3">
        <f>4306</f>
        <v>4306</v>
      </c>
      <c r="B4313" s="3" t="s">
        <v>4315</v>
      </c>
      <c r="C4313" s="3" t="s">
        <v>9</v>
      </c>
      <c r="D4313" s="3" t="s">
        <v>9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/>
      <c r="P4313" s="3"/>
      <c r="Q4313" s="3"/>
    </row>
    <row r="4314" spans="1:17" ht="15" x14ac:dyDescent="0.25">
      <c r="A4314" s="3">
        <f>4307</f>
        <v>4307</v>
      </c>
      <c r="B4314" s="3" t="s">
        <v>4316</v>
      </c>
      <c r="C4314" s="3" t="s">
        <v>9</v>
      </c>
      <c r="D4314" s="3" t="s">
        <v>9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/>
      <c r="P4314" s="3"/>
      <c r="Q4314" s="3"/>
    </row>
    <row r="4315" spans="1:17" ht="15" x14ac:dyDescent="0.25">
      <c r="A4315" s="3">
        <f>4308</f>
        <v>4308</v>
      </c>
      <c r="B4315" s="3" t="s">
        <v>4317</v>
      </c>
      <c r="C4315" s="3" t="s">
        <v>9</v>
      </c>
      <c r="D4315" s="3" t="s">
        <v>9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/>
      <c r="P4315" s="3"/>
      <c r="Q4315" s="3"/>
    </row>
    <row r="4316" spans="1:17" ht="15" x14ac:dyDescent="0.25">
      <c r="A4316" s="3">
        <f>4309</f>
        <v>4309</v>
      </c>
      <c r="B4316" s="3" t="s">
        <v>4318</v>
      </c>
      <c r="C4316" s="3" t="s">
        <v>9</v>
      </c>
      <c r="D4316" s="3" t="s">
        <v>9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/>
      <c r="P4316" s="3"/>
      <c r="Q4316" s="3"/>
    </row>
    <row r="4317" spans="1:17" ht="15" x14ac:dyDescent="0.25">
      <c r="A4317" s="3">
        <f>4310</f>
        <v>4310</v>
      </c>
      <c r="B4317" s="3" t="s">
        <v>4319</v>
      </c>
      <c r="C4317" s="3" t="s">
        <v>9</v>
      </c>
      <c r="D4317" s="3" t="s">
        <v>9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/>
      <c r="P4317" s="3"/>
      <c r="Q4317" s="3"/>
    </row>
    <row r="4318" spans="1:17" ht="15" x14ac:dyDescent="0.25">
      <c r="A4318" s="3">
        <f>4311</f>
        <v>4311</v>
      </c>
      <c r="B4318" s="3" t="s">
        <v>4320</v>
      </c>
      <c r="C4318" s="3" t="s">
        <v>9</v>
      </c>
      <c r="D4318" s="3" t="s">
        <v>9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/>
      <c r="P4318" s="3"/>
      <c r="Q4318" s="3"/>
    </row>
    <row r="4319" spans="1:17" ht="15" x14ac:dyDescent="0.25">
      <c r="A4319" s="3">
        <f>4312</f>
        <v>4312</v>
      </c>
      <c r="B4319" s="3" t="s">
        <v>4321</v>
      </c>
      <c r="C4319" s="3" t="s">
        <v>9</v>
      </c>
      <c r="D4319" s="3" t="s">
        <v>9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/>
      <c r="P4319" s="3"/>
      <c r="Q4319" s="3"/>
    </row>
    <row r="4320" spans="1:17" ht="15" x14ac:dyDescent="0.25">
      <c r="A4320" s="3">
        <f>4313</f>
        <v>4313</v>
      </c>
      <c r="B4320" s="3" t="s">
        <v>4322</v>
      </c>
      <c r="C4320" s="3" t="s">
        <v>9</v>
      </c>
      <c r="D4320" s="3" t="s">
        <v>9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/>
      <c r="P4320" s="3"/>
      <c r="Q4320" s="3"/>
    </row>
    <row r="4321" spans="1:17" ht="15" x14ac:dyDescent="0.25">
      <c r="A4321" s="3">
        <f>4314</f>
        <v>4314</v>
      </c>
      <c r="B4321" s="3" t="s">
        <v>4323</v>
      </c>
      <c r="C4321" s="3" t="s">
        <v>9</v>
      </c>
      <c r="D4321" s="3" t="s">
        <v>9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/>
      <c r="P4321" s="3"/>
      <c r="Q4321" s="3"/>
    </row>
    <row r="4322" spans="1:17" ht="15" x14ac:dyDescent="0.25">
      <c r="A4322" s="3">
        <f>4315</f>
        <v>4315</v>
      </c>
      <c r="B4322" s="3" t="s">
        <v>4324</v>
      </c>
      <c r="C4322" s="3" t="s">
        <v>9</v>
      </c>
      <c r="D4322" s="3" t="s">
        <v>9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/>
      <c r="P4322" s="3"/>
      <c r="Q4322" s="3"/>
    </row>
    <row r="4323" spans="1:17" ht="15" x14ac:dyDescent="0.25">
      <c r="A4323" s="3">
        <f>4316</f>
        <v>4316</v>
      </c>
      <c r="B4323" s="3" t="s">
        <v>4325</v>
      </c>
      <c r="C4323" s="3" t="s">
        <v>9</v>
      </c>
      <c r="D4323" s="3" t="s">
        <v>9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/>
      <c r="P4323" s="3"/>
      <c r="Q4323" s="3"/>
    </row>
    <row r="4324" spans="1:17" ht="15" x14ac:dyDescent="0.25">
      <c r="A4324" s="3">
        <f>4317</f>
        <v>4317</v>
      </c>
      <c r="B4324" s="3" t="s">
        <v>4326</v>
      </c>
      <c r="C4324" s="3" t="s">
        <v>9</v>
      </c>
      <c r="D4324" s="3" t="s">
        <v>9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/>
      <c r="P4324" s="3"/>
      <c r="Q4324" s="3"/>
    </row>
    <row r="4325" spans="1:17" ht="15" x14ac:dyDescent="0.25">
      <c r="A4325" s="3">
        <f>4318</f>
        <v>4318</v>
      </c>
      <c r="B4325" s="3" t="s">
        <v>4327</v>
      </c>
      <c r="C4325" s="3" t="s">
        <v>9</v>
      </c>
      <c r="D4325" s="3" t="s">
        <v>9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/>
      <c r="P4325" s="3"/>
      <c r="Q4325" s="3"/>
    </row>
    <row r="4326" spans="1:17" ht="15" x14ac:dyDescent="0.25">
      <c r="A4326" s="3">
        <f>4319</f>
        <v>4319</v>
      </c>
      <c r="B4326" s="3" t="s">
        <v>4328</v>
      </c>
      <c r="C4326" s="3" t="s">
        <v>9</v>
      </c>
      <c r="D4326" s="3" t="s">
        <v>9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/>
      <c r="P4326" s="3"/>
      <c r="Q4326" s="3"/>
    </row>
    <row r="4327" spans="1:17" ht="15" x14ac:dyDescent="0.25">
      <c r="A4327" s="3">
        <f>4320</f>
        <v>4320</v>
      </c>
      <c r="B4327" s="3" t="s">
        <v>4329</v>
      </c>
      <c r="C4327" s="3" t="s">
        <v>9</v>
      </c>
      <c r="D4327" s="3" t="s">
        <v>9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/>
      <c r="P4327" s="3"/>
      <c r="Q4327" s="3"/>
    </row>
    <row r="4328" spans="1:17" ht="15" x14ac:dyDescent="0.25">
      <c r="A4328" s="3">
        <f>4321</f>
        <v>4321</v>
      </c>
      <c r="B4328" s="3" t="s">
        <v>4330</v>
      </c>
      <c r="C4328" s="3" t="s">
        <v>9</v>
      </c>
      <c r="D4328" s="3" t="s">
        <v>9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/>
      <c r="P4328" s="3"/>
      <c r="Q4328" s="3"/>
    </row>
    <row r="4329" spans="1:17" ht="15" x14ac:dyDescent="0.25">
      <c r="A4329" s="3">
        <f>4322</f>
        <v>4322</v>
      </c>
      <c r="B4329" s="3" t="s">
        <v>4331</v>
      </c>
      <c r="C4329" s="3" t="s">
        <v>9</v>
      </c>
      <c r="D4329" s="3" t="s">
        <v>9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/>
      <c r="P4329" s="3"/>
      <c r="Q4329" s="3"/>
    </row>
    <row r="4330" spans="1:17" ht="15" x14ac:dyDescent="0.25">
      <c r="A4330" s="3">
        <f>4323</f>
        <v>4323</v>
      </c>
      <c r="B4330" s="3" t="s">
        <v>4332</v>
      </c>
      <c r="C4330" s="3" t="s">
        <v>9</v>
      </c>
      <c r="D4330" s="3" t="s">
        <v>9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/>
      <c r="P4330" s="3"/>
      <c r="Q4330" s="3"/>
    </row>
    <row r="4331" spans="1:17" ht="15" x14ac:dyDescent="0.25">
      <c r="A4331" s="3">
        <f>4324</f>
        <v>4324</v>
      </c>
      <c r="B4331" s="3" t="s">
        <v>4333</v>
      </c>
      <c r="C4331" s="3" t="s">
        <v>9</v>
      </c>
      <c r="D4331" s="3" t="s">
        <v>9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/>
      <c r="P4331" s="3"/>
      <c r="Q4331" s="3"/>
    </row>
    <row r="4332" spans="1:17" ht="15" x14ac:dyDescent="0.25">
      <c r="A4332" s="3">
        <f>4325</f>
        <v>4325</v>
      </c>
      <c r="B4332" s="3" t="s">
        <v>4334</v>
      </c>
      <c r="C4332" s="3" t="s">
        <v>9</v>
      </c>
      <c r="D4332" s="3" t="s">
        <v>9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/>
      <c r="P4332" s="3"/>
      <c r="Q4332" s="3"/>
    </row>
    <row r="4333" spans="1:17" ht="15" x14ac:dyDescent="0.25">
      <c r="A4333" s="3">
        <f>4326</f>
        <v>4326</v>
      </c>
      <c r="B4333" s="3" t="s">
        <v>4335</v>
      </c>
      <c r="C4333" s="3" t="s">
        <v>9</v>
      </c>
      <c r="D4333" s="3" t="s">
        <v>9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/>
      <c r="P4333" s="3"/>
      <c r="Q4333" s="3"/>
    </row>
    <row r="4334" spans="1:17" ht="15" x14ac:dyDescent="0.25">
      <c r="A4334" s="3">
        <f>4327</f>
        <v>4327</v>
      </c>
      <c r="B4334" s="3" t="s">
        <v>4336</v>
      </c>
      <c r="C4334" s="3" t="s">
        <v>9</v>
      </c>
      <c r="D4334" s="3" t="s">
        <v>9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/>
      <c r="P4334" s="3"/>
      <c r="Q4334" s="3"/>
    </row>
    <row r="4335" spans="1:17" ht="15" x14ac:dyDescent="0.25">
      <c r="A4335" s="3">
        <f>4328</f>
        <v>4328</v>
      </c>
      <c r="B4335" s="3" t="s">
        <v>4337</v>
      </c>
      <c r="C4335" s="3" t="s">
        <v>9</v>
      </c>
      <c r="D4335" s="3" t="s">
        <v>9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/>
      <c r="P4335" s="3"/>
      <c r="Q4335" s="3"/>
    </row>
    <row r="4336" spans="1:17" ht="15" x14ac:dyDescent="0.25">
      <c r="A4336" s="3">
        <f>4329</f>
        <v>4329</v>
      </c>
      <c r="B4336" s="3" t="s">
        <v>4338</v>
      </c>
      <c r="C4336" s="3" t="s">
        <v>9</v>
      </c>
      <c r="D4336" s="3" t="s">
        <v>9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/>
      <c r="P4336" s="3"/>
      <c r="Q4336" s="3"/>
    </row>
    <row r="4337" spans="1:17" ht="15" x14ac:dyDescent="0.25">
      <c r="A4337" s="3">
        <f>4330</f>
        <v>4330</v>
      </c>
      <c r="B4337" s="3" t="s">
        <v>4339</v>
      </c>
      <c r="C4337" s="3" t="s">
        <v>9</v>
      </c>
      <c r="D4337" s="3" t="s">
        <v>9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/>
      <c r="P4337" s="3"/>
      <c r="Q4337" s="3"/>
    </row>
    <row r="4338" spans="1:17" ht="15" x14ac:dyDescent="0.25">
      <c r="A4338" s="3">
        <f>4331</f>
        <v>4331</v>
      </c>
      <c r="B4338" s="3" t="s">
        <v>4340</v>
      </c>
      <c r="C4338" s="3" t="s">
        <v>9</v>
      </c>
      <c r="D4338" s="3" t="s">
        <v>9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/>
      <c r="P4338" s="3"/>
      <c r="Q4338" s="3"/>
    </row>
    <row r="4339" spans="1:17" ht="15" x14ac:dyDescent="0.25">
      <c r="A4339" s="3">
        <f>4332</f>
        <v>4332</v>
      </c>
      <c r="B4339" s="3" t="s">
        <v>4341</v>
      </c>
      <c r="C4339" s="3" t="s">
        <v>9</v>
      </c>
      <c r="D4339" s="3" t="s">
        <v>9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/>
      <c r="P4339" s="3"/>
      <c r="Q4339" s="3"/>
    </row>
    <row r="4340" spans="1:17" ht="15" x14ac:dyDescent="0.25">
      <c r="A4340" s="3">
        <f>4333</f>
        <v>4333</v>
      </c>
      <c r="B4340" s="3" t="s">
        <v>4342</v>
      </c>
      <c r="C4340" s="3" t="s">
        <v>9</v>
      </c>
      <c r="D4340" s="3" t="s">
        <v>9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/>
      <c r="P4340" s="3"/>
      <c r="Q4340" s="3"/>
    </row>
    <row r="4341" spans="1:17" ht="15" x14ac:dyDescent="0.25">
      <c r="A4341" s="3">
        <f>4334</f>
        <v>4334</v>
      </c>
      <c r="B4341" s="3" t="s">
        <v>4343</v>
      </c>
      <c r="C4341" s="3" t="s">
        <v>9</v>
      </c>
      <c r="D4341" s="3" t="s">
        <v>9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/>
      <c r="P4341" s="3"/>
      <c r="Q4341" s="3"/>
    </row>
    <row r="4342" spans="1:17" ht="15" x14ac:dyDescent="0.25">
      <c r="A4342" s="3">
        <f>4335</f>
        <v>4335</v>
      </c>
      <c r="B4342" s="3" t="s">
        <v>4344</v>
      </c>
      <c r="C4342" s="3" t="s">
        <v>9</v>
      </c>
      <c r="D4342" s="3" t="s">
        <v>9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/>
      <c r="P4342" s="3"/>
      <c r="Q4342" s="3"/>
    </row>
    <row r="4343" spans="1:17" ht="15" x14ac:dyDescent="0.25">
      <c r="A4343" s="3">
        <f>4336</f>
        <v>4336</v>
      </c>
      <c r="B4343" s="3" t="s">
        <v>4345</v>
      </c>
      <c r="C4343" s="3" t="s">
        <v>9</v>
      </c>
      <c r="D4343" s="3" t="s">
        <v>9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/>
      <c r="P4343" s="3"/>
      <c r="Q4343" s="3"/>
    </row>
    <row r="4344" spans="1:17" ht="15" x14ac:dyDescent="0.25">
      <c r="A4344" s="3">
        <f>4337</f>
        <v>4337</v>
      </c>
      <c r="B4344" s="3" t="s">
        <v>4346</v>
      </c>
      <c r="C4344" s="3" t="s">
        <v>9</v>
      </c>
      <c r="D4344" s="3" t="s">
        <v>9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/>
      <c r="P4344" s="3"/>
      <c r="Q4344" s="3"/>
    </row>
    <row r="4345" spans="1:17" ht="15" x14ac:dyDescent="0.25">
      <c r="A4345" s="3">
        <f>4338</f>
        <v>4338</v>
      </c>
      <c r="B4345" s="3" t="s">
        <v>4347</v>
      </c>
      <c r="C4345" s="3" t="s">
        <v>9</v>
      </c>
      <c r="D4345" s="3" t="s">
        <v>9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/>
      <c r="P4345" s="3"/>
      <c r="Q4345" s="3"/>
    </row>
    <row r="4346" spans="1:17" ht="15" x14ac:dyDescent="0.25">
      <c r="A4346" s="3">
        <f>4339</f>
        <v>4339</v>
      </c>
      <c r="B4346" s="3" t="s">
        <v>4348</v>
      </c>
      <c r="C4346" s="3" t="s">
        <v>9</v>
      </c>
      <c r="D4346" s="3" t="s">
        <v>9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/>
      <c r="P4346" s="3"/>
      <c r="Q4346" s="3"/>
    </row>
    <row r="4347" spans="1:17" ht="15" x14ac:dyDescent="0.25">
      <c r="A4347" s="3">
        <f>4340</f>
        <v>4340</v>
      </c>
      <c r="B4347" s="3" t="s">
        <v>4349</v>
      </c>
      <c r="C4347" s="3" t="s">
        <v>9</v>
      </c>
      <c r="D4347" s="3" t="s">
        <v>9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/>
      <c r="P4347" s="3"/>
      <c r="Q4347" s="3"/>
    </row>
    <row r="4348" spans="1:17" ht="15" x14ac:dyDescent="0.25">
      <c r="A4348" s="3">
        <f>4341</f>
        <v>4341</v>
      </c>
      <c r="B4348" s="3" t="s">
        <v>4350</v>
      </c>
      <c r="C4348" s="3" t="s">
        <v>9</v>
      </c>
      <c r="D4348" s="3" t="s">
        <v>9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/>
      <c r="P4348" s="3"/>
      <c r="Q4348" s="3"/>
    </row>
    <row r="4349" spans="1:17" ht="15" x14ac:dyDescent="0.25">
      <c r="A4349" s="3">
        <f>4342</f>
        <v>4342</v>
      </c>
      <c r="B4349" s="3" t="s">
        <v>4351</v>
      </c>
      <c r="C4349" s="3" t="s">
        <v>9</v>
      </c>
      <c r="D4349" s="3" t="s">
        <v>9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/>
      <c r="P4349" s="3"/>
      <c r="Q4349" s="3"/>
    </row>
    <row r="4350" spans="1:17" ht="15" x14ac:dyDescent="0.25">
      <c r="A4350" s="3">
        <f>4343</f>
        <v>4343</v>
      </c>
      <c r="B4350" s="3" t="s">
        <v>4352</v>
      </c>
      <c r="C4350" s="3" t="s">
        <v>9</v>
      </c>
      <c r="D4350" s="3" t="s">
        <v>9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/>
      <c r="P4350" s="3"/>
      <c r="Q4350" s="3"/>
    </row>
    <row r="4351" spans="1:17" ht="15" x14ac:dyDescent="0.25">
      <c r="A4351" s="3">
        <f>4344</f>
        <v>4344</v>
      </c>
      <c r="B4351" s="3" t="s">
        <v>4353</v>
      </c>
      <c r="C4351" s="3" t="s">
        <v>9</v>
      </c>
      <c r="D4351" s="3" t="s">
        <v>9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/>
      <c r="P4351" s="3"/>
      <c r="Q4351" s="3"/>
    </row>
    <row r="4352" spans="1:17" ht="15" x14ac:dyDescent="0.25">
      <c r="A4352" s="3">
        <f>4345</f>
        <v>4345</v>
      </c>
      <c r="B4352" s="3" t="s">
        <v>4354</v>
      </c>
      <c r="C4352" s="3" t="s">
        <v>9</v>
      </c>
      <c r="D4352" s="3" t="s">
        <v>9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/>
      <c r="P4352" s="3"/>
      <c r="Q4352" s="3"/>
    </row>
    <row r="4353" spans="1:17" ht="15" x14ac:dyDescent="0.25">
      <c r="A4353" s="3">
        <f>4346</f>
        <v>4346</v>
      </c>
      <c r="B4353" s="3" t="s">
        <v>4355</v>
      </c>
      <c r="C4353" s="3" t="s">
        <v>9</v>
      </c>
      <c r="D4353" s="3" t="s">
        <v>9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/>
      <c r="P4353" s="3"/>
      <c r="Q4353" s="3"/>
    </row>
    <row r="4354" spans="1:17" ht="15" x14ac:dyDescent="0.25">
      <c r="A4354" s="3">
        <f>4347</f>
        <v>4347</v>
      </c>
      <c r="B4354" s="3" t="s">
        <v>4356</v>
      </c>
      <c r="C4354" s="3" t="s">
        <v>9</v>
      </c>
      <c r="D4354" s="3" t="s">
        <v>9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/>
      <c r="P4354" s="3"/>
      <c r="Q4354" s="3"/>
    </row>
    <row r="4355" spans="1:17" ht="15" x14ac:dyDescent="0.25">
      <c r="A4355" s="3">
        <f>4348</f>
        <v>4348</v>
      </c>
      <c r="B4355" s="3" t="s">
        <v>4357</v>
      </c>
      <c r="C4355" s="3" t="s">
        <v>9</v>
      </c>
      <c r="D4355" s="3" t="s">
        <v>9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/>
      <c r="P4355" s="3"/>
      <c r="Q4355" s="3"/>
    </row>
    <row r="4356" spans="1:17" ht="15" x14ac:dyDescent="0.25">
      <c r="A4356" s="3">
        <f>4349</f>
        <v>4349</v>
      </c>
      <c r="B4356" s="3" t="s">
        <v>4358</v>
      </c>
      <c r="C4356" s="3" t="s">
        <v>9</v>
      </c>
      <c r="D4356" s="3" t="s">
        <v>9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/>
      <c r="P4356" s="3"/>
      <c r="Q4356" s="3"/>
    </row>
    <row r="4357" spans="1:17" ht="15" x14ac:dyDescent="0.25">
      <c r="A4357" s="3">
        <f>4350</f>
        <v>4350</v>
      </c>
      <c r="B4357" s="3" t="s">
        <v>4359</v>
      </c>
      <c r="C4357" s="3" t="s">
        <v>9</v>
      </c>
      <c r="D4357" s="3" t="s">
        <v>9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/>
      <c r="P4357" s="3"/>
      <c r="Q4357" s="3"/>
    </row>
    <row r="4358" spans="1:17" ht="15" x14ac:dyDescent="0.25">
      <c r="A4358" s="3">
        <f>4351</f>
        <v>4351</v>
      </c>
      <c r="B4358" s="3" t="s">
        <v>4360</v>
      </c>
      <c r="C4358" s="3" t="s">
        <v>9</v>
      </c>
      <c r="D4358" s="3" t="s">
        <v>9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/>
      <c r="P4358" s="3"/>
      <c r="Q4358" s="3"/>
    </row>
    <row r="4359" spans="1:17" ht="15" x14ac:dyDescent="0.25">
      <c r="A4359" s="3">
        <f>4352</f>
        <v>4352</v>
      </c>
      <c r="B4359" s="3" t="s">
        <v>4361</v>
      </c>
      <c r="C4359" s="3" t="s">
        <v>9</v>
      </c>
      <c r="D4359" s="3" t="s">
        <v>9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/>
      <c r="P4359" s="3"/>
      <c r="Q4359" s="3"/>
    </row>
    <row r="4360" spans="1:17" ht="15" x14ac:dyDescent="0.25">
      <c r="A4360" s="3">
        <f>4353</f>
        <v>4353</v>
      </c>
      <c r="B4360" s="3" t="s">
        <v>4362</v>
      </c>
      <c r="C4360" s="3" t="s">
        <v>9</v>
      </c>
      <c r="D4360" s="3" t="s">
        <v>9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/>
      <c r="P4360" s="3"/>
      <c r="Q4360" s="3"/>
    </row>
    <row r="4361" spans="1:17" ht="15" x14ac:dyDescent="0.25">
      <c r="A4361" s="3">
        <f>4354</f>
        <v>4354</v>
      </c>
      <c r="B4361" s="3" t="s">
        <v>4363</v>
      </c>
      <c r="C4361" s="3" t="s">
        <v>9</v>
      </c>
      <c r="D4361" s="3" t="s">
        <v>9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/>
      <c r="P4361" s="3"/>
      <c r="Q4361" s="3"/>
    </row>
    <row r="4362" spans="1:17" ht="15" x14ac:dyDescent="0.25">
      <c r="A4362" s="3">
        <f>4355</f>
        <v>4355</v>
      </c>
      <c r="B4362" s="3" t="s">
        <v>4364</v>
      </c>
      <c r="C4362" s="3" t="s">
        <v>9</v>
      </c>
      <c r="D4362" s="3" t="s">
        <v>9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/>
      <c r="P4362" s="3"/>
      <c r="Q4362" s="3"/>
    </row>
    <row r="4363" spans="1:17" ht="15" x14ac:dyDescent="0.25">
      <c r="A4363" s="3">
        <f>4356</f>
        <v>4356</v>
      </c>
      <c r="B4363" s="3" t="s">
        <v>4365</v>
      </c>
      <c r="C4363" s="3" t="s">
        <v>9</v>
      </c>
      <c r="D4363" s="3" t="s">
        <v>9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/>
      <c r="P4363" s="3"/>
      <c r="Q4363" s="3"/>
    </row>
    <row r="4364" spans="1:17" ht="15" x14ac:dyDescent="0.25">
      <c r="A4364" s="3">
        <f>4357</f>
        <v>4357</v>
      </c>
      <c r="B4364" s="3" t="s">
        <v>4366</v>
      </c>
      <c r="C4364" s="3" t="s">
        <v>9</v>
      </c>
      <c r="D4364" s="3" t="s">
        <v>9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/>
      <c r="P4364" s="3"/>
      <c r="Q4364" s="3"/>
    </row>
    <row r="4365" spans="1:17" ht="15" x14ac:dyDescent="0.25">
      <c r="A4365" s="3">
        <f>4358</f>
        <v>4358</v>
      </c>
      <c r="B4365" s="3" t="s">
        <v>4367</v>
      </c>
      <c r="C4365" s="3" t="s">
        <v>9</v>
      </c>
      <c r="D4365" s="3" t="s">
        <v>9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/>
      <c r="P4365" s="3"/>
      <c r="Q4365" s="3"/>
    </row>
    <row r="4366" spans="1:17" ht="15" x14ac:dyDescent="0.25">
      <c r="A4366" s="3">
        <f>4359</f>
        <v>4359</v>
      </c>
      <c r="B4366" s="3" t="s">
        <v>4368</v>
      </c>
      <c r="C4366" s="3" t="s">
        <v>9</v>
      </c>
      <c r="D4366" s="3" t="s">
        <v>9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/>
      <c r="P4366" s="3"/>
      <c r="Q4366" s="3"/>
    </row>
    <row r="4367" spans="1:17" ht="15" x14ac:dyDescent="0.25">
      <c r="A4367" s="3">
        <f>4360</f>
        <v>4360</v>
      </c>
      <c r="B4367" s="3" t="s">
        <v>4369</v>
      </c>
      <c r="C4367" s="3" t="s">
        <v>9</v>
      </c>
      <c r="D4367" s="3" t="s">
        <v>9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/>
      <c r="P4367" s="3"/>
      <c r="Q4367" s="3"/>
    </row>
    <row r="4368" spans="1:17" ht="15" x14ac:dyDescent="0.25">
      <c r="A4368" s="3">
        <f>4361</f>
        <v>4361</v>
      </c>
      <c r="B4368" s="3" t="s">
        <v>4370</v>
      </c>
      <c r="C4368" s="3" t="s">
        <v>9</v>
      </c>
      <c r="D4368" s="3" t="s">
        <v>9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/>
      <c r="P4368" s="3"/>
      <c r="Q4368" s="3"/>
    </row>
    <row r="4369" spans="1:17" ht="15" x14ac:dyDescent="0.25">
      <c r="A4369" s="3">
        <f>4362</f>
        <v>4362</v>
      </c>
      <c r="B4369" s="3" t="s">
        <v>4371</v>
      </c>
      <c r="C4369" s="3" t="s">
        <v>9</v>
      </c>
      <c r="D4369" s="3" t="s">
        <v>9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/>
      <c r="P4369" s="3"/>
      <c r="Q4369" s="3"/>
    </row>
    <row r="4370" spans="1:17" ht="15" x14ac:dyDescent="0.25">
      <c r="A4370" s="3">
        <f>4363</f>
        <v>4363</v>
      </c>
      <c r="B4370" s="3" t="s">
        <v>4372</v>
      </c>
      <c r="C4370" s="3" t="s">
        <v>9</v>
      </c>
      <c r="D4370" s="3" t="s">
        <v>9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/>
      <c r="P4370" s="3"/>
      <c r="Q4370" s="3"/>
    </row>
    <row r="4371" spans="1:17" ht="15" x14ac:dyDescent="0.25">
      <c r="A4371" s="3">
        <f>4364</f>
        <v>4364</v>
      </c>
      <c r="B4371" s="3" t="s">
        <v>4373</v>
      </c>
      <c r="C4371" s="3" t="s">
        <v>9</v>
      </c>
      <c r="D4371" s="3" t="s">
        <v>9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/>
      <c r="P4371" s="3"/>
      <c r="Q4371" s="3"/>
    </row>
    <row r="4372" spans="1:17" ht="15" x14ac:dyDescent="0.25">
      <c r="A4372" s="3">
        <f>4365</f>
        <v>4365</v>
      </c>
      <c r="B4372" s="3" t="s">
        <v>4374</v>
      </c>
      <c r="C4372" s="3" t="s">
        <v>9</v>
      </c>
      <c r="D4372" s="3" t="s">
        <v>9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/>
      <c r="P4372" s="3"/>
      <c r="Q4372" s="3"/>
    </row>
    <row r="4373" spans="1:17" ht="15" x14ac:dyDescent="0.25">
      <c r="A4373" s="3">
        <f>4366</f>
        <v>4366</v>
      </c>
      <c r="B4373" s="3" t="s">
        <v>4375</v>
      </c>
      <c r="C4373" s="3" t="s">
        <v>9</v>
      </c>
      <c r="D4373" s="3" t="s">
        <v>9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/>
      <c r="P4373" s="3"/>
      <c r="Q4373" s="3"/>
    </row>
    <row r="4374" spans="1:17" ht="15" x14ac:dyDescent="0.25">
      <c r="A4374" s="3">
        <f>4367</f>
        <v>4367</v>
      </c>
      <c r="B4374" s="3" t="s">
        <v>4376</v>
      </c>
      <c r="C4374" s="3" t="s">
        <v>9</v>
      </c>
      <c r="D4374" s="3" t="s">
        <v>9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/>
      <c r="P4374" s="3"/>
      <c r="Q4374" s="3"/>
    </row>
    <row r="4375" spans="1:17" ht="15" x14ac:dyDescent="0.25">
      <c r="A4375" s="3">
        <f>4368</f>
        <v>4368</v>
      </c>
      <c r="B4375" s="3" t="s">
        <v>4377</v>
      </c>
      <c r="C4375" s="3" t="s">
        <v>9</v>
      </c>
      <c r="D4375" s="3" t="s">
        <v>9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/>
      <c r="P4375" s="3"/>
      <c r="Q4375" s="3"/>
    </row>
    <row r="4376" spans="1:17" ht="15" x14ac:dyDescent="0.25">
      <c r="A4376" s="3">
        <f>4369</f>
        <v>4369</v>
      </c>
      <c r="B4376" s="3" t="s">
        <v>4378</v>
      </c>
      <c r="C4376" s="3" t="s">
        <v>9</v>
      </c>
      <c r="D4376" s="3" t="s">
        <v>9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/>
      <c r="P4376" s="3"/>
      <c r="Q4376" s="3"/>
    </row>
    <row r="4377" spans="1:17" ht="15" x14ac:dyDescent="0.25">
      <c r="A4377" s="3">
        <f>4370</f>
        <v>4370</v>
      </c>
      <c r="B4377" s="3" t="s">
        <v>4379</v>
      </c>
      <c r="C4377" s="3" t="s">
        <v>9</v>
      </c>
      <c r="D4377" s="3" t="s">
        <v>9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/>
      <c r="P4377" s="3"/>
      <c r="Q4377" s="3"/>
    </row>
    <row r="4378" spans="1:17" ht="15" x14ac:dyDescent="0.25">
      <c r="A4378" s="3">
        <f>4371</f>
        <v>4371</v>
      </c>
      <c r="B4378" s="3" t="s">
        <v>4380</v>
      </c>
      <c r="C4378" s="3" t="s">
        <v>9</v>
      </c>
      <c r="D4378" s="3" t="s">
        <v>9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/>
      <c r="P4378" s="3"/>
      <c r="Q4378" s="3"/>
    </row>
    <row r="4379" spans="1:17" ht="15" x14ac:dyDescent="0.25">
      <c r="A4379" s="3">
        <f>4372</f>
        <v>4372</v>
      </c>
      <c r="B4379" s="3" t="s">
        <v>4381</v>
      </c>
      <c r="C4379" s="3" t="s">
        <v>9</v>
      </c>
      <c r="D4379" s="3" t="s">
        <v>9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/>
      <c r="P4379" s="3"/>
      <c r="Q4379" s="3"/>
    </row>
    <row r="4380" spans="1:17" ht="15" x14ac:dyDescent="0.25">
      <c r="A4380" s="3">
        <f>4373</f>
        <v>4373</v>
      </c>
      <c r="B4380" s="3" t="s">
        <v>4382</v>
      </c>
      <c r="C4380" s="3" t="s">
        <v>9</v>
      </c>
      <c r="D4380" s="3" t="s">
        <v>9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/>
      <c r="P4380" s="3"/>
      <c r="Q4380" s="3"/>
    </row>
    <row r="4381" spans="1:17" ht="15" x14ac:dyDescent="0.25">
      <c r="A4381" s="3">
        <f>4374</f>
        <v>4374</v>
      </c>
      <c r="B4381" s="3" t="s">
        <v>4383</v>
      </c>
      <c r="C4381" s="3" t="s">
        <v>9</v>
      </c>
      <c r="D4381" s="3" t="s">
        <v>9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/>
      <c r="P4381" s="3"/>
      <c r="Q4381" s="3"/>
    </row>
    <row r="4382" spans="1:17" ht="15" x14ac:dyDescent="0.25">
      <c r="A4382" s="3">
        <f>4375</f>
        <v>4375</v>
      </c>
      <c r="B4382" s="3" t="s">
        <v>4384</v>
      </c>
      <c r="C4382" s="3" t="s">
        <v>9</v>
      </c>
      <c r="D4382" s="3" t="s">
        <v>9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/>
      <c r="P4382" s="3"/>
      <c r="Q4382" s="3"/>
    </row>
    <row r="4383" spans="1:17" ht="15" x14ac:dyDescent="0.25">
      <c r="A4383" s="3">
        <f>4376</f>
        <v>4376</v>
      </c>
      <c r="B4383" s="3" t="s">
        <v>4385</v>
      </c>
      <c r="C4383" s="3" t="s">
        <v>9</v>
      </c>
      <c r="D4383" s="3" t="s">
        <v>9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/>
      <c r="P4383" s="3"/>
      <c r="Q4383" s="3"/>
    </row>
    <row r="4384" spans="1:17" ht="15" x14ac:dyDescent="0.25">
      <c r="A4384" s="3">
        <f>4377</f>
        <v>4377</v>
      </c>
      <c r="B4384" s="3" t="s">
        <v>4386</v>
      </c>
      <c r="C4384" s="3" t="s">
        <v>9</v>
      </c>
      <c r="D4384" s="3" t="s">
        <v>9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/>
      <c r="P4384" s="3"/>
      <c r="Q4384" s="3"/>
    </row>
    <row r="4385" spans="1:17" ht="15" x14ac:dyDescent="0.25">
      <c r="A4385" s="3">
        <f>4378</f>
        <v>4378</v>
      </c>
      <c r="B4385" s="3" t="s">
        <v>4387</v>
      </c>
      <c r="C4385" s="3" t="s">
        <v>9</v>
      </c>
      <c r="D4385" s="3" t="s">
        <v>9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/>
      <c r="P4385" s="3"/>
      <c r="Q4385" s="3"/>
    </row>
    <row r="4386" spans="1:17" ht="15" x14ac:dyDescent="0.25">
      <c r="A4386" s="3">
        <f>4379</f>
        <v>4379</v>
      </c>
      <c r="B4386" s="3" t="s">
        <v>4388</v>
      </c>
      <c r="C4386" s="3" t="s">
        <v>9</v>
      </c>
      <c r="D4386" s="3" t="s">
        <v>9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/>
      <c r="P4386" s="3"/>
      <c r="Q4386" s="3"/>
    </row>
    <row r="4387" spans="1:17" ht="15" x14ac:dyDescent="0.25">
      <c r="A4387" s="3">
        <f>4380</f>
        <v>4380</v>
      </c>
      <c r="B4387" s="3" t="s">
        <v>4389</v>
      </c>
      <c r="C4387" s="3" t="s">
        <v>9</v>
      </c>
      <c r="D4387" s="3" t="s">
        <v>9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/>
      <c r="P4387" s="3"/>
      <c r="Q4387" s="3"/>
    </row>
    <row r="4388" spans="1:17" ht="15" x14ac:dyDescent="0.25">
      <c r="A4388" s="3">
        <f>4381</f>
        <v>4381</v>
      </c>
      <c r="B4388" s="3" t="s">
        <v>4390</v>
      </c>
      <c r="C4388" s="3" t="s">
        <v>9</v>
      </c>
      <c r="D4388" s="3" t="s">
        <v>9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/>
      <c r="P4388" s="3"/>
      <c r="Q4388" s="3"/>
    </row>
    <row r="4389" spans="1:17" ht="15" x14ac:dyDescent="0.25">
      <c r="A4389" s="3">
        <f>4382</f>
        <v>4382</v>
      </c>
      <c r="B4389" s="3" t="s">
        <v>4391</v>
      </c>
      <c r="C4389" s="3" t="s">
        <v>9</v>
      </c>
      <c r="D4389" s="3" t="s">
        <v>9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/>
      <c r="P4389" s="3"/>
      <c r="Q4389" s="3"/>
    </row>
    <row r="4390" spans="1:17" ht="15" x14ac:dyDescent="0.25">
      <c r="A4390" s="3">
        <f>4383</f>
        <v>4383</v>
      </c>
      <c r="B4390" s="3" t="s">
        <v>4392</v>
      </c>
      <c r="C4390" s="3" t="s">
        <v>9</v>
      </c>
      <c r="D4390" s="3" t="s">
        <v>9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/>
      <c r="P4390" s="3"/>
      <c r="Q4390" s="3"/>
    </row>
    <row r="4391" spans="1:17" ht="15" x14ac:dyDescent="0.25">
      <c r="A4391" s="3">
        <f>4384</f>
        <v>4384</v>
      </c>
      <c r="B4391" s="3" t="s">
        <v>4393</v>
      </c>
      <c r="C4391" s="3" t="s">
        <v>9</v>
      </c>
      <c r="D4391" s="3" t="s">
        <v>9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/>
      <c r="P4391" s="3"/>
      <c r="Q4391" s="3"/>
    </row>
    <row r="4392" spans="1:17" ht="15" x14ac:dyDescent="0.25">
      <c r="A4392" s="3">
        <f>4385</f>
        <v>4385</v>
      </c>
      <c r="B4392" s="3" t="s">
        <v>4394</v>
      </c>
      <c r="C4392" s="3" t="s">
        <v>9</v>
      </c>
      <c r="D4392" s="3" t="s">
        <v>9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/>
      <c r="P4392" s="3"/>
      <c r="Q4392" s="3"/>
    </row>
    <row r="4393" spans="1:17" ht="15" x14ac:dyDescent="0.25">
      <c r="A4393" s="3">
        <f>4386</f>
        <v>4386</v>
      </c>
      <c r="B4393" s="3" t="s">
        <v>4395</v>
      </c>
      <c r="C4393" s="3" t="s">
        <v>9</v>
      </c>
      <c r="D4393" s="3" t="s">
        <v>9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/>
      <c r="P4393" s="3"/>
      <c r="Q4393" s="3"/>
    </row>
    <row r="4394" spans="1:17" ht="15" x14ac:dyDescent="0.25">
      <c r="A4394" s="3">
        <f>4387</f>
        <v>4387</v>
      </c>
      <c r="B4394" s="3" t="s">
        <v>4396</v>
      </c>
      <c r="C4394" s="3" t="s">
        <v>9</v>
      </c>
      <c r="D4394" s="3" t="s">
        <v>9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/>
      <c r="P4394" s="3"/>
      <c r="Q4394" s="3"/>
    </row>
    <row r="4395" spans="1:17" ht="15" x14ac:dyDescent="0.25">
      <c r="A4395" s="3">
        <f>4388</f>
        <v>4388</v>
      </c>
      <c r="B4395" s="3" t="s">
        <v>4397</v>
      </c>
      <c r="C4395" s="3" t="s">
        <v>9</v>
      </c>
      <c r="D4395" s="3" t="s">
        <v>9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/>
      <c r="P4395" s="3"/>
      <c r="Q4395" s="3"/>
    </row>
    <row r="4396" spans="1:17" ht="15" x14ac:dyDescent="0.25">
      <c r="A4396" s="3">
        <f>4389</f>
        <v>4389</v>
      </c>
      <c r="B4396" s="3" t="s">
        <v>4398</v>
      </c>
      <c r="C4396" s="3" t="s">
        <v>9</v>
      </c>
      <c r="D4396" s="3" t="s">
        <v>9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/>
      <c r="P4396" s="3"/>
      <c r="Q4396" s="3"/>
    </row>
    <row r="4397" spans="1:17" ht="15" x14ac:dyDescent="0.25">
      <c r="A4397" s="3">
        <f>4390</f>
        <v>4390</v>
      </c>
      <c r="B4397" s="3" t="s">
        <v>4399</v>
      </c>
      <c r="C4397" s="3" t="s">
        <v>9</v>
      </c>
      <c r="D4397" s="3" t="s">
        <v>9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/>
      <c r="P4397" s="3"/>
      <c r="Q4397" s="3"/>
    </row>
    <row r="4398" spans="1:17" ht="15" x14ac:dyDescent="0.25">
      <c r="A4398" s="3">
        <f>4391</f>
        <v>4391</v>
      </c>
      <c r="B4398" s="3" t="s">
        <v>4400</v>
      </c>
      <c r="C4398" s="3" t="s">
        <v>9</v>
      </c>
      <c r="D4398" s="3" t="s">
        <v>9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/>
      <c r="P4398" s="3"/>
      <c r="Q4398" s="3"/>
    </row>
    <row r="4399" spans="1:17" ht="15" x14ac:dyDescent="0.25">
      <c r="A4399" s="3">
        <f>4392</f>
        <v>4392</v>
      </c>
      <c r="B4399" s="3" t="s">
        <v>4401</v>
      </c>
      <c r="C4399" s="3" t="s">
        <v>9</v>
      </c>
      <c r="D4399" s="3" t="s">
        <v>9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/>
      <c r="P4399" s="3"/>
      <c r="Q4399" s="3"/>
    </row>
    <row r="4400" spans="1:17" ht="15" x14ac:dyDescent="0.25">
      <c r="A4400" s="3">
        <f>4393</f>
        <v>4393</v>
      </c>
      <c r="B4400" s="3" t="s">
        <v>4402</v>
      </c>
      <c r="C4400" s="3" t="s">
        <v>9</v>
      </c>
      <c r="D4400" s="3" t="s">
        <v>9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/>
      <c r="P4400" s="3"/>
      <c r="Q4400" s="3"/>
    </row>
    <row r="4401" spans="1:17" ht="15" x14ac:dyDescent="0.25">
      <c r="A4401" s="3">
        <f>4394</f>
        <v>4394</v>
      </c>
      <c r="B4401" s="3" t="s">
        <v>4403</v>
      </c>
      <c r="C4401" s="3" t="s">
        <v>9</v>
      </c>
      <c r="D4401" s="3" t="s">
        <v>9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/>
      <c r="P4401" s="3"/>
      <c r="Q4401" s="3"/>
    </row>
    <row r="4402" spans="1:17" ht="15" x14ac:dyDescent="0.25">
      <c r="A4402" s="3">
        <f>4395</f>
        <v>4395</v>
      </c>
      <c r="B4402" s="3" t="s">
        <v>4404</v>
      </c>
      <c r="C4402" s="3" t="s">
        <v>9</v>
      </c>
      <c r="D4402" s="3" t="s">
        <v>9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/>
      <c r="P4402" s="3"/>
      <c r="Q4402" s="3"/>
    </row>
    <row r="4403" spans="1:17" ht="15" x14ac:dyDescent="0.25">
      <c r="A4403" s="3">
        <f>4396</f>
        <v>4396</v>
      </c>
      <c r="B4403" s="3" t="s">
        <v>4405</v>
      </c>
      <c r="C4403" s="3" t="s">
        <v>9</v>
      </c>
      <c r="D4403" s="3" t="s">
        <v>9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/>
      <c r="P4403" s="3"/>
      <c r="Q4403" s="3"/>
    </row>
    <row r="4404" spans="1:17" ht="15" x14ac:dyDescent="0.25">
      <c r="A4404" s="3">
        <f>4397</f>
        <v>4397</v>
      </c>
      <c r="B4404" s="3" t="s">
        <v>4406</v>
      </c>
      <c r="C4404" s="3" t="s">
        <v>9</v>
      </c>
      <c r="D4404" s="3" t="s">
        <v>9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/>
      <c r="P4404" s="3"/>
      <c r="Q4404" s="3"/>
    </row>
    <row r="4405" spans="1:17" ht="15" x14ac:dyDescent="0.25">
      <c r="A4405" s="3">
        <f>4398</f>
        <v>4398</v>
      </c>
      <c r="B4405" s="3" t="s">
        <v>4407</v>
      </c>
      <c r="C4405" s="3" t="s">
        <v>9</v>
      </c>
      <c r="D4405" s="3" t="s">
        <v>9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/>
      <c r="P4405" s="3"/>
      <c r="Q4405" s="3"/>
    </row>
    <row r="4406" spans="1:17" ht="15" x14ac:dyDescent="0.25">
      <c r="A4406" s="3">
        <f>4399</f>
        <v>4399</v>
      </c>
      <c r="B4406" s="3" t="s">
        <v>4408</v>
      </c>
      <c r="C4406" s="3" t="s">
        <v>9</v>
      </c>
      <c r="D4406" s="3" t="s">
        <v>9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/>
      <c r="P4406" s="3"/>
      <c r="Q4406" s="3"/>
    </row>
    <row r="4407" spans="1:17" ht="15" x14ac:dyDescent="0.25">
      <c r="A4407" s="3">
        <f>4400</f>
        <v>4400</v>
      </c>
      <c r="B4407" s="3" t="s">
        <v>4409</v>
      </c>
      <c r="C4407" s="3" t="s">
        <v>9</v>
      </c>
      <c r="D4407" s="3" t="s">
        <v>9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/>
      <c r="P4407" s="3"/>
      <c r="Q4407" s="3"/>
    </row>
    <row r="4408" spans="1:17" ht="15" x14ac:dyDescent="0.25">
      <c r="A4408" s="3">
        <f>4401</f>
        <v>4401</v>
      </c>
      <c r="B4408" s="3" t="s">
        <v>4410</v>
      </c>
      <c r="C4408" s="3" t="s">
        <v>9</v>
      </c>
      <c r="D4408" s="3" t="s">
        <v>9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/>
      <c r="P4408" s="3"/>
      <c r="Q4408" s="3"/>
    </row>
    <row r="4409" spans="1:17" ht="15" x14ac:dyDescent="0.25">
      <c r="A4409" s="3">
        <f>4402</f>
        <v>4402</v>
      </c>
      <c r="B4409" s="3" t="s">
        <v>4411</v>
      </c>
      <c r="C4409" s="3" t="s">
        <v>9</v>
      </c>
      <c r="D4409" s="3" t="s">
        <v>9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/>
      <c r="P4409" s="3"/>
      <c r="Q4409" s="3"/>
    </row>
    <row r="4410" spans="1:17" ht="15" x14ac:dyDescent="0.25">
      <c r="A4410" s="3">
        <f>4403</f>
        <v>4403</v>
      </c>
      <c r="B4410" s="3" t="s">
        <v>4412</v>
      </c>
      <c r="C4410" s="3" t="s">
        <v>9</v>
      </c>
      <c r="D4410" s="3" t="s">
        <v>9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/>
      <c r="P4410" s="3"/>
      <c r="Q4410" s="3"/>
    </row>
    <row r="4411" spans="1:17" ht="15" x14ac:dyDescent="0.25">
      <c r="A4411" s="3">
        <f>4404</f>
        <v>4404</v>
      </c>
      <c r="B4411" s="3" t="s">
        <v>4413</v>
      </c>
      <c r="C4411" s="3" t="s">
        <v>9</v>
      </c>
      <c r="D4411" s="3" t="s">
        <v>9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/>
      <c r="P4411" s="3"/>
      <c r="Q4411" s="3"/>
    </row>
    <row r="4412" spans="1:17" ht="15" x14ac:dyDescent="0.25">
      <c r="A4412" s="3">
        <f>4405</f>
        <v>4405</v>
      </c>
      <c r="B4412" s="3" t="s">
        <v>4414</v>
      </c>
      <c r="C4412" s="3" t="s">
        <v>9</v>
      </c>
      <c r="D4412" s="3" t="s">
        <v>9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/>
      <c r="P4412" s="3"/>
      <c r="Q4412" s="3"/>
    </row>
    <row r="4413" spans="1:17" ht="15" x14ac:dyDescent="0.25">
      <c r="A4413" s="3">
        <f>4406</f>
        <v>4406</v>
      </c>
      <c r="B4413" s="3" t="s">
        <v>4415</v>
      </c>
      <c r="C4413" s="3" t="s">
        <v>9</v>
      </c>
      <c r="D4413" s="3" t="s">
        <v>9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/>
      <c r="P4413" s="3"/>
      <c r="Q4413" s="3"/>
    </row>
    <row r="4414" spans="1:17" ht="15" x14ac:dyDescent="0.25">
      <c r="A4414" s="3">
        <f>4407</f>
        <v>4407</v>
      </c>
      <c r="B4414" s="3" t="s">
        <v>4416</v>
      </c>
      <c r="C4414" s="3" t="s">
        <v>9</v>
      </c>
      <c r="D4414" s="3" t="s">
        <v>9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/>
      <c r="P4414" s="3"/>
      <c r="Q4414" s="3"/>
    </row>
    <row r="4415" spans="1:17" ht="15" x14ac:dyDescent="0.25">
      <c r="A4415" s="3">
        <f>4408</f>
        <v>4408</v>
      </c>
      <c r="B4415" s="3" t="s">
        <v>4417</v>
      </c>
      <c r="C4415" s="3" t="s">
        <v>9</v>
      </c>
      <c r="D4415" s="3" t="s">
        <v>9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/>
      <c r="P4415" s="3"/>
      <c r="Q4415" s="3"/>
    </row>
    <row r="4416" spans="1:17" ht="15" x14ac:dyDescent="0.25">
      <c r="A4416" s="3">
        <f>4409</f>
        <v>4409</v>
      </c>
      <c r="B4416" s="3" t="s">
        <v>4418</v>
      </c>
      <c r="C4416" s="3" t="s">
        <v>9</v>
      </c>
      <c r="D4416" s="3" t="s">
        <v>9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/>
      <c r="P4416" s="3"/>
      <c r="Q4416" s="3"/>
    </row>
    <row r="4417" spans="1:17" ht="15" x14ac:dyDescent="0.25">
      <c r="A4417" s="3">
        <f>4410</f>
        <v>4410</v>
      </c>
      <c r="B4417" s="3" t="s">
        <v>4419</v>
      </c>
      <c r="C4417" s="3" t="s">
        <v>9</v>
      </c>
      <c r="D4417" s="3" t="s">
        <v>9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/>
      <c r="P4417" s="3"/>
      <c r="Q4417" s="3"/>
    </row>
    <row r="4418" spans="1:17" ht="15" x14ac:dyDescent="0.25">
      <c r="A4418" s="3">
        <f>4411</f>
        <v>4411</v>
      </c>
      <c r="B4418" s="3" t="s">
        <v>4420</v>
      </c>
      <c r="C4418" s="3" t="s">
        <v>9</v>
      </c>
      <c r="D4418" s="3" t="s">
        <v>9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/>
      <c r="P4418" s="3"/>
      <c r="Q4418" s="3"/>
    </row>
    <row r="4419" spans="1:17" ht="15" x14ac:dyDescent="0.25">
      <c r="A4419" s="3">
        <f>4412</f>
        <v>4412</v>
      </c>
      <c r="B4419" s="3" t="s">
        <v>4421</v>
      </c>
      <c r="C4419" s="3" t="s">
        <v>9</v>
      </c>
      <c r="D4419" s="3" t="s">
        <v>9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/>
      <c r="P4419" s="3"/>
      <c r="Q4419" s="3"/>
    </row>
    <row r="4420" spans="1:17" ht="15" x14ac:dyDescent="0.25">
      <c r="A4420" s="3">
        <f>4413</f>
        <v>4413</v>
      </c>
      <c r="B4420" s="3" t="s">
        <v>4422</v>
      </c>
      <c r="C4420" s="3" t="s">
        <v>9</v>
      </c>
      <c r="D4420" s="3" t="s">
        <v>9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/>
      <c r="P4420" s="3"/>
      <c r="Q4420" s="3"/>
    </row>
    <row r="4421" spans="1:17" ht="15" x14ac:dyDescent="0.25">
      <c r="A4421" s="3">
        <f>4414</f>
        <v>4414</v>
      </c>
      <c r="B4421" s="3" t="s">
        <v>4423</v>
      </c>
      <c r="C4421" s="3" t="s">
        <v>9</v>
      </c>
      <c r="D4421" s="3" t="s">
        <v>9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/>
      <c r="P4421" s="3"/>
      <c r="Q4421" s="3"/>
    </row>
    <row r="4422" spans="1:17" ht="15" x14ac:dyDescent="0.25">
      <c r="A4422" s="3">
        <f>4415</f>
        <v>4415</v>
      </c>
      <c r="B4422" s="3" t="s">
        <v>4424</v>
      </c>
      <c r="C4422" s="3" t="s">
        <v>9</v>
      </c>
      <c r="D4422" s="3" t="s">
        <v>9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/>
      <c r="P4422" s="3"/>
      <c r="Q4422" s="3"/>
    </row>
    <row r="4423" spans="1:17" ht="15" x14ac:dyDescent="0.25">
      <c r="A4423" s="3">
        <f>4416</f>
        <v>4416</v>
      </c>
      <c r="B4423" s="3" t="s">
        <v>4425</v>
      </c>
      <c r="C4423" s="3" t="s">
        <v>9</v>
      </c>
      <c r="D4423" s="3" t="s">
        <v>9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/>
      <c r="P4423" s="3"/>
      <c r="Q4423" s="3"/>
    </row>
    <row r="4424" spans="1:17" ht="15" x14ac:dyDescent="0.25">
      <c r="A4424" s="3">
        <f>4417</f>
        <v>4417</v>
      </c>
      <c r="B4424" s="3" t="s">
        <v>4426</v>
      </c>
      <c r="C4424" s="3" t="s">
        <v>9</v>
      </c>
      <c r="D4424" s="3" t="s">
        <v>9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/>
      <c r="P4424" s="3"/>
      <c r="Q4424" s="3"/>
    </row>
    <row r="4425" spans="1:17" ht="15" x14ac:dyDescent="0.25">
      <c r="A4425" s="3">
        <f>4418</f>
        <v>4418</v>
      </c>
      <c r="B4425" s="3" t="s">
        <v>4427</v>
      </c>
      <c r="C4425" s="3" t="s">
        <v>9</v>
      </c>
      <c r="D4425" s="3" t="s">
        <v>9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/>
      <c r="P4425" s="3"/>
      <c r="Q4425" s="3"/>
    </row>
    <row r="4426" spans="1:17" ht="15" x14ac:dyDescent="0.25">
      <c r="A4426" s="3">
        <f>4419</f>
        <v>4419</v>
      </c>
      <c r="B4426" s="3" t="s">
        <v>4428</v>
      </c>
      <c r="C4426" s="3" t="s">
        <v>9</v>
      </c>
      <c r="D4426" s="3" t="s">
        <v>9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/>
      <c r="P4426" s="3"/>
      <c r="Q4426" s="3"/>
    </row>
    <row r="4427" spans="1:17" ht="15" x14ac:dyDescent="0.25">
      <c r="A4427" s="3">
        <f>4420</f>
        <v>4420</v>
      </c>
      <c r="B4427" s="3" t="s">
        <v>4429</v>
      </c>
      <c r="C4427" s="3" t="s">
        <v>9</v>
      </c>
      <c r="D4427" s="3" t="s">
        <v>9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/>
      <c r="P4427" s="3"/>
      <c r="Q4427" s="3"/>
    </row>
    <row r="4428" spans="1:17" ht="15" x14ac:dyDescent="0.25">
      <c r="A4428" s="3">
        <f>4421</f>
        <v>4421</v>
      </c>
      <c r="B4428" s="3" t="s">
        <v>4430</v>
      </c>
      <c r="C4428" s="3" t="s">
        <v>9</v>
      </c>
      <c r="D4428" s="3" t="s">
        <v>9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/>
      <c r="P4428" s="3"/>
      <c r="Q4428" s="3"/>
    </row>
    <row r="4429" spans="1:17" ht="15" x14ac:dyDescent="0.25">
      <c r="A4429" s="3">
        <f>4422</f>
        <v>4422</v>
      </c>
      <c r="B4429" s="3" t="s">
        <v>4431</v>
      </c>
      <c r="C4429" s="3" t="s">
        <v>9</v>
      </c>
      <c r="D4429" s="3" t="s">
        <v>9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/>
      <c r="P4429" s="3"/>
      <c r="Q4429" s="3"/>
    </row>
    <row r="4430" spans="1:17" ht="15" x14ac:dyDescent="0.25">
      <c r="A4430" s="3">
        <f>4423</f>
        <v>4423</v>
      </c>
      <c r="B4430" s="3" t="s">
        <v>4432</v>
      </c>
      <c r="C4430" s="3" t="s">
        <v>9</v>
      </c>
      <c r="D4430" s="3" t="s">
        <v>9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/>
      <c r="P4430" s="3"/>
      <c r="Q4430" s="3"/>
    </row>
    <row r="4431" spans="1:17" ht="15" x14ac:dyDescent="0.25">
      <c r="A4431" s="3">
        <f>4424</f>
        <v>4424</v>
      </c>
      <c r="B4431" s="3" t="s">
        <v>4433</v>
      </c>
      <c r="C4431" s="3" t="s">
        <v>9</v>
      </c>
      <c r="D4431" s="3" t="s">
        <v>9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/>
      <c r="P4431" s="3"/>
      <c r="Q4431" s="3"/>
    </row>
    <row r="4432" spans="1:17" ht="15" x14ac:dyDescent="0.25">
      <c r="A4432" s="3">
        <f>4425</f>
        <v>4425</v>
      </c>
      <c r="B4432" s="3" t="s">
        <v>4434</v>
      </c>
      <c r="C4432" s="3" t="s">
        <v>9</v>
      </c>
      <c r="D4432" s="3" t="s">
        <v>9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/>
      <c r="P4432" s="3"/>
      <c r="Q4432" s="3"/>
    </row>
    <row r="4433" spans="1:17" ht="15" x14ac:dyDescent="0.25">
      <c r="A4433" s="3">
        <f>4426</f>
        <v>4426</v>
      </c>
      <c r="B4433" s="3" t="s">
        <v>4435</v>
      </c>
      <c r="C4433" s="3" t="s">
        <v>9</v>
      </c>
      <c r="D4433" s="3" t="s">
        <v>9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/>
      <c r="P4433" s="3"/>
      <c r="Q4433" s="3"/>
    </row>
    <row r="4434" spans="1:17" ht="15" x14ac:dyDescent="0.25">
      <c r="A4434" s="3">
        <f>4427</f>
        <v>4427</v>
      </c>
      <c r="B4434" s="3" t="s">
        <v>4436</v>
      </c>
      <c r="C4434" s="3" t="s">
        <v>9</v>
      </c>
      <c r="D4434" s="3" t="s">
        <v>9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/>
      <c r="P4434" s="3"/>
      <c r="Q4434" s="3"/>
    </row>
    <row r="4435" spans="1:17" ht="15" x14ac:dyDescent="0.25">
      <c r="A4435" s="3">
        <f>4428</f>
        <v>4428</v>
      </c>
      <c r="B4435" s="3" t="s">
        <v>4437</v>
      </c>
      <c r="C4435" s="3" t="s">
        <v>9</v>
      </c>
      <c r="D4435" s="3" t="s">
        <v>9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/>
      <c r="P4435" s="3"/>
      <c r="Q4435" s="3"/>
    </row>
    <row r="4436" spans="1:17" ht="15" x14ac:dyDescent="0.25">
      <c r="A4436" s="3">
        <f>4429</f>
        <v>4429</v>
      </c>
      <c r="B4436" s="3" t="s">
        <v>4438</v>
      </c>
      <c r="C4436" s="3" t="s">
        <v>9</v>
      </c>
      <c r="D4436" s="3" t="s">
        <v>9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/>
      <c r="P4436" s="3"/>
      <c r="Q4436" s="3"/>
    </row>
    <row r="4437" spans="1:17" ht="15" x14ac:dyDescent="0.25">
      <c r="A4437" s="3">
        <f>4430</f>
        <v>4430</v>
      </c>
      <c r="B4437" s="3" t="s">
        <v>4439</v>
      </c>
      <c r="C4437" s="3" t="s">
        <v>9</v>
      </c>
      <c r="D4437" s="3" t="s">
        <v>9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/>
      <c r="P4437" s="3"/>
      <c r="Q4437" s="3"/>
    </row>
    <row r="4438" spans="1:17" ht="15" x14ac:dyDescent="0.25">
      <c r="A4438" s="3">
        <f>4431</f>
        <v>4431</v>
      </c>
      <c r="B4438" s="3" t="s">
        <v>4440</v>
      </c>
      <c r="C4438" s="3" t="s">
        <v>9</v>
      </c>
      <c r="D4438" s="3" t="s">
        <v>9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/>
      <c r="P4438" s="3"/>
      <c r="Q4438" s="3"/>
    </row>
    <row r="4439" spans="1:17" ht="15" x14ac:dyDescent="0.25">
      <c r="A4439" s="3">
        <f>4432</f>
        <v>4432</v>
      </c>
      <c r="B4439" s="3" t="s">
        <v>4441</v>
      </c>
      <c r="C4439" s="3" t="s">
        <v>9</v>
      </c>
      <c r="D4439" s="3" t="s">
        <v>9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/>
      <c r="P4439" s="3"/>
      <c r="Q4439" s="3"/>
    </row>
    <row r="4440" spans="1:17" ht="15" x14ac:dyDescent="0.25">
      <c r="A4440" s="3">
        <f>4433</f>
        <v>4433</v>
      </c>
      <c r="B4440" s="3" t="s">
        <v>4442</v>
      </c>
      <c r="C4440" s="3" t="s">
        <v>9</v>
      </c>
      <c r="D4440" s="3" t="s">
        <v>9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/>
      <c r="P4440" s="3"/>
      <c r="Q4440" s="3"/>
    </row>
    <row r="4441" spans="1:17" ht="15" x14ac:dyDescent="0.25">
      <c r="A4441" s="3">
        <f>4434</f>
        <v>4434</v>
      </c>
      <c r="B4441" s="3" t="s">
        <v>4443</v>
      </c>
      <c r="C4441" s="3" t="s">
        <v>9</v>
      </c>
      <c r="D4441" s="3" t="s">
        <v>9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/>
      <c r="P4441" s="3"/>
      <c r="Q4441" s="3"/>
    </row>
    <row r="4442" spans="1:17" ht="15" x14ac:dyDescent="0.25">
      <c r="A4442" s="3">
        <f>4435</f>
        <v>4435</v>
      </c>
      <c r="B4442" s="3" t="s">
        <v>4444</v>
      </c>
      <c r="C4442" s="3" t="s">
        <v>9</v>
      </c>
      <c r="D4442" s="3" t="s">
        <v>9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/>
      <c r="P4442" s="3"/>
      <c r="Q4442" s="3"/>
    </row>
    <row r="4443" spans="1:17" ht="15" x14ac:dyDescent="0.25">
      <c r="A4443" s="3">
        <f>4436</f>
        <v>4436</v>
      </c>
      <c r="B4443" s="3" t="s">
        <v>4445</v>
      </c>
      <c r="C4443" s="3" t="s">
        <v>9</v>
      </c>
      <c r="D4443" s="3" t="s">
        <v>9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/>
      <c r="P4443" s="3"/>
      <c r="Q4443" s="3"/>
    </row>
    <row r="4444" spans="1:17" ht="15" x14ac:dyDescent="0.25">
      <c r="A4444" s="3">
        <f>4437</f>
        <v>4437</v>
      </c>
      <c r="B4444" s="3" t="s">
        <v>4446</v>
      </c>
      <c r="C4444" s="3" t="s">
        <v>9</v>
      </c>
      <c r="D4444" s="3" t="s">
        <v>9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/>
      <c r="P4444" s="3"/>
      <c r="Q4444" s="3"/>
    </row>
    <row r="4445" spans="1:17" ht="15" x14ac:dyDescent="0.25">
      <c r="A4445" s="3">
        <f>4438</f>
        <v>4438</v>
      </c>
      <c r="B4445" s="3" t="s">
        <v>4447</v>
      </c>
      <c r="C4445" s="3" t="s">
        <v>9</v>
      </c>
      <c r="D4445" s="3" t="s">
        <v>9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/>
      <c r="P4445" s="3"/>
      <c r="Q4445" s="3"/>
    </row>
    <row r="4446" spans="1:17" ht="15" x14ac:dyDescent="0.25">
      <c r="A4446" s="3">
        <f>4439</f>
        <v>4439</v>
      </c>
      <c r="B4446" s="3" t="s">
        <v>4448</v>
      </c>
      <c r="C4446" s="3" t="s">
        <v>9</v>
      </c>
      <c r="D4446" s="3" t="s">
        <v>9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/>
      <c r="P4446" s="3"/>
      <c r="Q4446" s="3"/>
    </row>
    <row r="4447" spans="1:17" ht="15" x14ac:dyDescent="0.25">
      <c r="A4447" s="3">
        <f>4440</f>
        <v>4440</v>
      </c>
      <c r="B4447" s="3" t="s">
        <v>4449</v>
      </c>
      <c r="C4447" s="3" t="s">
        <v>9</v>
      </c>
      <c r="D4447" s="3" t="s">
        <v>9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/>
      <c r="P4447" s="3"/>
      <c r="Q4447" s="3"/>
    </row>
    <row r="4448" spans="1:17" ht="15" x14ac:dyDescent="0.25">
      <c r="A4448" s="3">
        <f>4441</f>
        <v>4441</v>
      </c>
      <c r="B4448" s="3" t="s">
        <v>4450</v>
      </c>
      <c r="C4448" s="3" t="s">
        <v>9</v>
      </c>
      <c r="D4448" s="3" t="s">
        <v>9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/>
      <c r="P4448" s="3"/>
      <c r="Q4448" s="3"/>
    </row>
    <row r="4449" spans="1:17" ht="15" x14ac:dyDescent="0.25">
      <c r="A4449" s="3">
        <f>4442</f>
        <v>4442</v>
      </c>
      <c r="B4449" s="3" t="s">
        <v>4451</v>
      </c>
      <c r="C4449" s="3" t="s">
        <v>9</v>
      </c>
      <c r="D4449" s="3" t="s">
        <v>9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/>
      <c r="P4449" s="3"/>
      <c r="Q4449" s="3"/>
    </row>
    <row r="4450" spans="1:17" ht="15" x14ac:dyDescent="0.25">
      <c r="A4450" s="3">
        <f>4443</f>
        <v>4443</v>
      </c>
      <c r="B4450" s="3" t="s">
        <v>4452</v>
      </c>
      <c r="C4450" s="3" t="s">
        <v>9</v>
      </c>
      <c r="D4450" s="3" t="s">
        <v>9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/>
      <c r="P4450" s="3"/>
      <c r="Q4450" s="3"/>
    </row>
    <row r="4451" spans="1:17" ht="15" x14ac:dyDescent="0.25">
      <c r="A4451" s="3">
        <f>4444</f>
        <v>4444</v>
      </c>
      <c r="B4451" s="3" t="s">
        <v>4453</v>
      </c>
      <c r="C4451" s="3" t="s">
        <v>9</v>
      </c>
      <c r="D4451" s="3" t="s">
        <v>9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/>
      <c r="P4451" s="3"/>
      <c r="Q4451" s="3"/>
    </row>
    <row r="4452" spans="1:17" ht="15" x14ac:dyDescent="0.25">
      <c r="A4452" s="3">
        <f>4445</f>
        <v>4445</v>
      </c>
      <c r="B4452" s="3" t="s">
        <v>4454</v>
      </c>
      <c r="C4452" s="3" t="s">
        <v>9</v>
      </c>
      <c r="D4452" s="3" t="s">
        <v>9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/>
      <c r="P4452" s="3"/>
      <c r="Q4452" s="3"/>
    </row>
    <row r="4453" spans="1:17" ht="15" x14ac:dyDescent="0.25">
      <c r="A4453" s="3">
        <f>4446</f>
        <v>4446</v>
      </c>
      <c r="B4453" s="3" t="s">
        <v>4455</v>
      </c>
      <c r="C4453" s="3" t="s">
        <v>9</v>
      </c>
      <c r="D4453" s="3" t="s">
        <v>9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/>
      <c r="P4453" s="3"/>
      <c r="Q4453" s="3"/>
    </row>
    <row r="4454" spans="1:17" ht="15" x14ac:dyDescent="0.25">
      <c r="A4454" s="3">
        <f>4447</f>
        <v>4447</v>
      </c>
      <c r="B4454" s="3" t="s">
        <v>4456</v>
      </c>
      <c r="C4454" s="3" t="s">
        <v>9</v>
      </c>
      <c r="D4454" s="3" t="s">
        <v>9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/>
      <c r="P4454" s="3"/>
      <c r="Q4454" s="3"/>
    </row>
    <row r="4455" spans="1:17" ht="15" x14ac:dyDescent="0.25">
      <c r="A4455" s="3">
        <f>4448</f>
        <v>4448</v>
      </c>
      <c r="B4455" s="3" t="s">
        <v>4457</v>
      </c>
      <c r="C4455" s="3" t="s">
        <v>9</v>
      </c>
      <c r="D4455" s="3" t="s">
        <v>9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/>
      <c r="P4455" s="3"/>
      <c r="Q4455" s="3"/>
    </row>
    <row r="4456" spans="1:17" ht="15" x14ac:dyDescent="0.25">
      <c r="A4456" s="3">
        <f>4449</f>
        <v>4449</v>
      </c>
      <c r="B4456" s="3" t="s">
        <v>4458</v>
      </c>
      <c r="C4456" s="3" t="s">
        <v>9</v>
      </c>
      <c r="D4456" s="3" t="s">
        <v>9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/>
      <c r="P4456" s="3"/>
      <c r="Q4456" s="3"/>
    </row>
    <row r="4457" spans="1:17" ht="15" x14ac:dyDescent="0.25">
      <c r="A4457" s="3">
        <f>4450</f>
        <v>4450</v>
      </c>
      <c r="B4457" s="3" t="s">
        <v>4459</v>
      </c>
      <c r="C4457" s="3" t="s">
        <v>9</v>
      </c>
      <c r="D4457" s="3" t="s">
        <v>9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/>
      <c r="P4457" s="3"/>
      <c r="Q4457" s="3"/>
    </row>
    <row r="4458" spans="1:17" ht="15" x14ac:dyDescent="0.25">
      <c r="A4458" s="3">
        <f>4451</f>
        <v>4451</v>
      </c>
      <c r="B4458" s="3" t="s">
        <v>4460</v>
      </c>
      <c r="C4458" s="3" t="s">
        <v>9</v>
      </c>
      <c r="D4458" s="3" t="s">
        <v>9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/>
      <c r="P4458" s="3"/>
      <c r="Q4458" s="3"/>
    </row>
    <row r="4459" spans="1:17" ht="15" x14ac:dyDescent="0.25">
      <c r="A4459" s="3">
        <f>4452</f>
        <v>4452</v>
      </c>
      <c r="B4459" s="3" t="s">
        <v>4461</v>
      </c>
      <c r="C4459" s="3" t="s">
        <v>9</v>
      </c>
      <c r="D4459" s="3" t="s">
        <v>9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/>
      <c r="P4459" s="3"/>
      <c r="Q4459" s="3"/>
    </row>
    <row r="4460" spans="1:17" ht="15" x14ac:dyDescent="0.25">
      <c r="A4460" s="3">
        <f>4453</f>
        <v>4453</v>
      </c>
      <c r="B4460" s="3" t="s">
        <v>4462</v>
      </c>
      <c r="C4460" s="3" t="s">
        <v>9</v>
      </c>
      <c r="D4460" s="3" t="s">
        <v>9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/>
      <c r="P4460" s="3"/>
      <c r="Q4460" s="3"/>
    </row>
    <row r="4461" spans="1:17" ht="15" x14ac:dyDescent="0.25">
      <c r="A4461" s="3">
        <f>4454</f>
        <v>4454</v>
      </c>
      <c r="B4461" s="3" t="s">
        <v>4463</v>
      </c>
      <c r="C4461" s="3" t="s">
        <v>9</v>
      </c>
      <c r="D4461" s="3" t="s">
        <v>9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/>
      <c r="P4461" s="3"/>
      <c r="Q4461" s="3"/>
    </row>
    <row r="4462" spans="1:17" ht="15" x14ac:dyDescent="0.25">
      <c r="A4462" s="3">
        <f>4455</f>
        <v>4455</v>
      </c>
      <c r="B4462" s="3" t="s">
        <v>4464</v>
      </c>
      <c r="C4462" s="3" t="s">
        <v>9</v>
      </c>
      <c r="D4462" s="3" t="s">
        <v>9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/>
      <c r="P4462" s="3"/>
      <c r="Q4462" s="3"/>
    </row>
    <row r="4463" spans="1:17" ht="15" x14ac:dyDescent="0.25">
      <c r="A4463" s="3">
        <f>4456</f>
        <v>4456</v>
      </c>
      <c r="B4463" s="3" t="s">
        <v>4465</v>
      </c>
      <c r="C4463" s="3" t="s">
        <v>9</v>
      </c>
      <c r="D4463" s="3" t="s">
        <v>9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/>
      <c r="P4463" s="3"/>
      <c r="Q4463" s="3"/>
    </row>
    <row r="4464" spans="1:17" ht="15" x14ac:dyDescent="0.25">
      <c r="A4464" s="3">
        <f>4457</f>
        <v>4457</v>
      </c>
      <c r="B4464" s="3" t="s">
        <v>4466</v>
      </c>
      <c r="C4464" s="3" t="s">
        <v>9</v>
      </c>
      <c r="D4464" s="3" t="s">
        <v>9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/>
      <c r="P4464" s="3"/>
      <c r="Q4464" s="3"/>
    </row>
    <row r="4465" spans="1:17" ht="15" x14ac:dyDescent="0.25">
      <c r="A4465" s="3">
        <f>4458</f>
        <v>4458</v>
      </c>
      <c r="B4465" s="3" t="s">
        <v>4467</v>
      </c>
      <c r="C4465" s="3" t="s">
        <v>9</v>
      </c>
      <c r="D4465" s="3" t="s">
        <v>9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/>
      <c r="P4465" s="3"/>
      <c r="Q4465" s="3"/>
    </row>
    <row r="4466" spans="1:17" ht="15" x14ac:dyDescent="0.25">
      <c r="A4466" s="3">
        <f>4459</f>
        <v>4459</v>
      </c>
      <c r="B4466" s="3" t="s">
        <v>4468</v>
      </c>
      <c r="C4466" s="3" t="s">
        <v>9</v>
      </c>
      <c r="D4466" s="3" t="s">
        <v>9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/>
      <c r="P4466" s="3"/>
      <c r="Q4466" s="3"/>
    </row>
    <row r="4467" spans="1:17" ht="15" x14ac:dyDescent="0.25">
      <c r="A4467" s="3">
        <f>4460</f>
        <v>4460</v>
      </c>
      <c r="B4467" s="3" t="s">
        <v>4469</v>
      </c>
      <c r="C4467" s="3" t="s">
        <v>9</v>
      </c>
      <c r="D4467" s="3" t="s">
        <v>9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/>
      <c r="P4467" s="3"/>
      <c r="Q4467" s="3"/>
    </row>
    <row r="4468" spans="1:17" ht="15" x14ac:dyDescent="0.25">
      <c r="A4468" s="3">
        <f>4461</f>
        <v>4461</v>
      </c>
      <c r="B4468" s="3" t="s">
        <v>4470</v>
      </c>
      <c r="C4468" s="3" t="s">
        <v>9</v>
      </c>
      <c r="D4468" s="3" t="s">
        <v>9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/>
      <c r="P4468" s="3"/>
      <c r="Q4468" s="3"/>
    </row>
    <row r="4469" spans="1:17" ht="15" x14ac:dyDescent="0.25">
      <c r="A4469" s="3">
        <f>4462</f>
        <v>4462</v>
      </c>
      <c r="B4469" s="3" t="s">
        <v>4471</v>
      </c>
      <c r="C4469" s="3" t="s">
        <v>9</v>
      </c>
      <c r="D4469" s="3" t="s">
        <v>9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/>
      <c r="P4469" s="3"/>
      <c r="Q4469" s="3"/>
    </row>
    <row r="4470" spans="1:17" ht="15" x14ac:dyDescent="0.25">
      <c r="A4470" s="3">
        <f>4463</f>
        <v>4463</v>
      </c>
      <c r="B4470" s="3" t="s">
        <v>4472</v>
      </c>
      <c r="C4470" s="3" t="s">
        <v>9</v>
      </c>
      <c r="D4470" s="3" t="s">
        <v>9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/>
      <c r="P4470" s="3"/>
      <c r="Q4470" s="3"/>
    </row>
    <row r="4471" spans="1:17" ht="15" x14ac:dyDescent="0.25">
      <c r="A4471" s="3">
        <f>4464</f>
        <v>4464</v>
      </c>
      <c r="B4471" s="3" t="s">
        <v>4473</v>
      </c>
      <c r="C4471" s="3" t="s">
        <v>9</v>
      </c>
      <c r="D4471" s="3" t="s">
        <v>9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/>
      <c r="P4471" s="3"/>
      <c r="Q4471" s="3"/>
    </row>
    <row r="4472" spans="1:17" ht="15" x14ac:dyDescent="0.25">
      <c r="A4472" s="3">
        <f>4465</f>
        <v>4465</v>
      </c>
      <c r="B4472" s="3" t="s">
        <v>4474</v>
      </c>
      <c r="C4472" s="3" t="s">
        <v>9</v>
      </c>
      <c r="D4472" s="3" t="s">
        <v>9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/>
      <c r="P4472" s="3"/>
      <c r="Q4472" s="3"/>
    </row>
    <row r="4473" spans="1:17" ht="15" x14ac:dyDescent="0.25">
      <c r="A4473" s="3">
        <f>4466</f>
        <v>4466</v>
      </c>
      <c r="B4473" s="3" t="s">
        <v>4475</v>
      </c>
      <c r="C4473" s="3" t="s">
        <v>9</v>
      </c>
      <c r="D4473" s="3" t="s">
        <v>9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/>
      <c r="P4473" s="3"/>
      <c r="Q4473" s="3"/>
    </row>
    <row r="4474" spans="1:17" ht="15" x14ac:dyDescent="0.25">
      <c r="A4474" s="3">
        <f>4467</f>
        <v>4467</v>
      </c>
      <c r="B4474" s="3" t="s">
        <v>4476</v>
      </c>
      <c r="C4474" s="3" t="s">
        <v>9</v>
      </c>
      <c r="D4474" s="3" t="s">
        <v>9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/>
      <c r="P4474" s="3"/>
      <c r="Q4474" s="3"/>
    </row>
    <row r="4475" spans="1:17" ht="15" x14ac:dyDescent="0.25">
      <c r="A4475" s="3">
        <f>4468</f>
        <v>4468</v>
      </c>
      <c r="B4475" s="3" t="s">
        <v>4477</v>
      </c>
      <c r="C4475" s="3" t="s">
        <v>9</v>
      </c>
      <c r="D4475" s="3" t="s">
        <v>9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/>
      <c r="P4475" s="3"/>
      <c r="Q4475" s="3"/>
    </row>
    <row r="4476" spans="1:17" ht="15" x14ac:dyDescent="0.25">
      <c r="A4476" s="3">
        <f>4469</f>
        <v>4469</v>
      </c>
      <c r="B4476" s="3" t="s">
        <v>4478</v>
      </c>
      <c r="C4476" s="3" t="s">
        <v>9</v>
      </c>
      <c r="D4476" s="3" t="s">
        <v>9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/>
      <c r="P4476" s="3"/>
      <c r="Q4476" s="3"/>
    </row>
    <row r="4477" spans="1:17" ht="15" x14ac:dyDescent="0.25">
      <c r="A4477" s="3">
        <f>4470</f>
        <v>4470</v>
      </c>
      <c r="B4477" s="3" t="s">
        <v>4479</v>
      </c>
      <c r="C4477" s="3" t="s">
        <v>9</v>
      </c>
      <c r="D4477" s="3" t="s">
        <v>9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/>
      <c r="P4477" s="3"/>
      <c r="Q4477" s="3"/>
    </row>
    <row r="4478" spans="1:17" ht="15" x14ac:dyDescent="0.25">
      <c r="A4478" s="3">
        <f>4471</f>
        <v>4471</v>
      </c>
      <c r="B4478" s="3" t="s">
        <v>4480</v>
      </c>
      <c r="C4478" s="3" t="s">
        <v>9</v>
      </c>
      <c r="D4478" s="3" t="s">
        <v>9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/>
      <c r="P4478" s="3"/>
      <c r="Q4478" s="3"/>
    </row>
    <row r="4479" spans="1:17" ht="15" x14ac:dyDescent="0.25">
      <c r="A4479" s="3">
        <f>4472</f>
        <v>4472</v>
      </c>
      <c r="B4479" s="3" t="s">
        <v>4481</v>
      </c>
      <c r="C4479" s="3" t="s">
        <v>9</v>
      </c>
      <c r="D4479" s="3" t="s">
        <v>9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/>
      <c r="P4479" s="3"/>
      <c r="Q4479" s="3"/>
    </row>
    <row r="4480" spans="1:17" ht="15" x14ac:dyDescent="0.25">
      <c r="A4480" s="3">
        <f>4473</f>
        <v>4473</v>
      </c>
      <c r="B4480" s="3" t="s">
        <v>4482</v>
      </c>
      <c r="C4480" s="3" t="s">
        <v>9</v>
      </c>
      <c r="D4480" s="3" t="s">
        <v>9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/>
      <c r="P4480" s="3"/>
      <c r="Q4480" s="3"/>
    </row>
    <row r="4481" spans="1:17" ht="15" x14ac:dyDescent="0.25">
      <c r="A4481" s="3">
        <f>4474</f>
        <v>4474</v>
      </c>
      <c r="B4481" s="3" t="s">
        <v>4483</v>
      </c>
      <c r="C4481" s="3" t="s">
        <v>9</v>
      </c>
      <c r="D4481" s="3" t="s">
        <v>9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/>
      <c r="P4481" s="3"/>
      <c r="Q4481" s="3"/>
    </row>
    <row r="4482" spans="1:17" ht="15" x14ac:dyDescent="0.25">
      <c r="A4482" s="3">
        <f>4475</f>
        <v>4475</v>
      </c>
      <c r="B4482" s="3" t="s">
        <v>4484</v>
      </c>
      <c r="C4482" s="3" t="s">
        <v>9</v>
      </c>
      <c r="D4482" s="3" t="s">
        <v>9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/>
      <c r="P4482" s="3"/>
      <c r="Q4482" s="3"/>
    </row>
    <row r="4483" spans="1:17" ht="15" x14ac:dyDescent="0.25">
      <c r="A4483" s="3">
        <f>4476</f>
        <v>4476</v>
      </c>
      <c r="B4483" s="3" t="s">
        <v>4485</v>
      </c>
      <c r="C4483" s="3" t="s">
        <v>9</v>
      </c>
      <c r="D4483" s="3" t="s">
        <v>9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/>
      <c r="P4483" s="3"/>
      <c r="Q4483" s="3"/>
    </row>
    <row r="4484" spans="1:17" ht="15" x14ac:dyDescent="0.25">
      <c r="A4484" s="3">
        <f>4477</f>
        <v>4477</v>
      </c>
      <c r="B4484" s="3" t="s">
        <v>4486</v>
      </c>
      <c r="C4484" s="3" t="s">
        <v>9</v>
      </c>
      <c r="D4484" s="3" t="s">
        <v>9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/>
      <c r="P4484" s="3"/>
      <c r="Q4484" s="3"/>
    </row>
    <row r="4485" spans="1:17" ht="15" x14ac:dyDescent="0.25">
      <c r="A4485" s="3">
        <f>4478</f>
        <v>4478</v>
      </c>
      <c r="B4485" s="3" t="s">
        <v>4487</v>
      </c>
      <c r="C4485" s="3" t="s">
        <v>9</v>
      </c>
      <c r="D4485" s="3" t="s">
        <v>9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/>
      <c r="P4485" s="3"/>
      <c r="Q4485" s="3"/>
    </row>
    <row r="4486" spans="1:17" ht="15" x14ac:dyDescent="0.25">
      <c r="A4486" s="3">
        <f>4479</f>
        <v>4479</v>
      </c>
      <c r="B4486" s="3" t="s">
        <v>4488</v>
      </c>
      <c r="C4486" s="3" t="s">
        <v>9</v>
      </c>
      <c r="D4486" s="3" t="s">
        <v>9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/>
      <c r="P4486" s="3"/>
      <c r="Q4486" s="3"/>
    </row>
    <row r="4487" spans="1:17" ht="15" x14ac:dyDescent="0.25">
      <c r="A4487" s="3">
        <f>4480</f>
        <v>4480</v>
      </c>
      <c r="B4487" s="3" t="s">
        <v>4489</v>
      </c>
      <c r="C4487" s="3" t="s">
        <v>9</v>
      </c>
      <c r="D4487" s="3" t="s">
        <v>9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/>
      <c r="P4487" s="3"/>
      <c r="Q4487" s="3"/>
    </row>
    <row r="4488" spans="1:17" ht="15" x14ac:dyDescent="0.25">
      <c r="A4488" s="3">
        <f>4481</f>
        <v>4481</v>
      </c>
      <c r="B4488" s="3" t="s">
        <v>4490</v>
      </c>
      <c r="C4488" s="3" t="s">
        <v>9</v>
      </c>
      <c r="D4488" s="3" t="s">
        <v>9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/>
      <c r="P4488" s="3"/>
      <c r="Q4488" s="3"/>
    </row>
    <row r="4489" spans="1:17" ht="15" x14ac:dyDescent="0.25">
      <c r="A4489" s="3">
        <f>4482</f>
        <v>4482</v>
      </c>
      <c r="B4489" s="3" t="s">
        <v>4491</v>
      </c>
      <c r="C4489" s="3" t="s">
        <v>9</v>
      </c>
      <c r="D4489" s="3" t="s">
        <v>9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/>
      <c r="P4489" s="3"/>
      <c r="Q4489" s="3"/>
    </row>
    <row r="4490" spans="1:17" ht="15" x14ac:dyDescent="0.25">
      <c r="A4490" s="3">
        <f>4483</f>
        <v>4483</v>
      </c>
      <c r="B4490" s="3" t="s">
        <v>4492</v>
      </c>
      <c r="C4490" s="3" t="s">
        <v>9</v>
      </c>
      <c r="D4490" s="3" t="s">
        <v>9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/>
      <c r="P4490" s="3"/>
      <c r="Q4490" s="3"/>
    </row>
    <row r="4491" spans="1:17" ht="15" x14ac:dyDescent="0.25">
      <c r="A4491" s="3">
        <f>4484</f>
        <v>4484</v>
      </c>
      <c r="B4491" s="3" t="s">
        <v>4493</v>
      </c>
      <c r="C4491" s="3" t="s">
        <v>9</v>
      </c>
      <c r="D4491" s="3" t="s">
        <v>9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/>
      <c r="P4491" s="3"/>
      <c r="Q4491" s="3"/>
    </row>
    <row r="4492" spans="1:17" ht="15" x14ac:dyDescent="0.25">
      <c r="A4492" s="3">
        <f>4485</f>
        <v>4485</v>
      </c>
      <c r="B4492" s="3" t="s">
        <v>4494</v>
      </c>
      <c r="C4492" s="3" t="s">
        <v>9</v>
      </c>
      <c r="D4492" s="3" t="s">
        <v>9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/>
      <c r="P4492" s="3"/>
      <c r="Q4492" s="3"/>
    </row>
    <row r="4493" spans="1:17" ht="15" x14ac:dyDescent="0.25">
      <c r="A4493" s="3">
        <f>4486</f>
        <v>4486</v>
      </c>
      <c r="B4493" s="3" t="s">
        <v>4495</v>
      </c>
      <c r="C4493" s="3" t="s">
        <v>9</v>
      </c>
      <c r="D4493" s="3" t="s">
        <v>9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/>
      <c r="P4493" s="3"/>
      <c r="Q4493" s="3"/>
    </row>
    <row r="4494" spans="1:17" ht="15" x14ac:dyDescent="0.25">
      <c r="A4494" s="3">
        <f>4487</f>
        <v>4487</v>
      </c>
      <c r="B4494" s="3" t="s">
        <v>4496</v>
      </c>
      <c r="C4494" s="3" t="s">
        <v>9</v>
      </c>
      <c r="D4494" s="3" t="s">
        <v>9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/>
      <c r="P4494" s="3"/>
      <c r="Q4494" s="3"/>
    </row>
    <row r="4495" spans="1:17" ht="15" x14ac:dyDescent="0.25">
      <c r="A4495" s="3">
        <f>4488</f>
        <v>4488</v>
      </c>
      <c r="B4495" s="3" t="s">
        <v>4497</v>
      </c>
      <c r="C4495" s="3" t="s">
        <v>9</v>
      </c>
      <c r="D4495" s="3" t="s">
        <v>9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/>
      <c r="P4495" s="3"/>
      <c r="Q4495" s="3"/>
    </row>
    <row r="4496" spans="1:17" ht="15" x14ac:dyDescent="0.25">
      <c r="A4496" s="3">
        <f>4489</f>
        <v>4489</v>
      </c>
      <c r="B4496" s="3" t="s">
        <v>4498</v>
      </c>
      <c r="C4496" s="3" t="s">
        <v>9</v>
      </c>
      <c r="D4496" s="3" t="s">
        <v>9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/>
      <c r="P4496" s="3"/>
      <c r="Q4496" s="3"/>
    </row>
    <row r="4497" spans="1:17" ht="15" x14ac:dyDescent="0.25">
      <c r="A4497" s="3">
        <f>4490</f>
        <v>4490</v>
      </c>
      <c r="B4497" s="3" t="s">
        <v>4499</v>
      </c>
      <c r="C4497" s="3" t="s">
        <v>9</v>
      </c>
      <c r="D4497" s="3" t="s">
        <v>9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/>
      <c r="P4497" s="3"/>
      <c r="Q4497" s="3"/>
    </row>
    <row r="4498" spans="1:17" ht="15" x14ac:dyDescent="0.25">
      <c r="A4498" s="3">
        <f>4491</f>
        <v>4491</v>
      </c>
      <c r="B4498" s="3" t="s">
        <v>4500</v>
      </c>
      <c r="C4498" s="3" t="s">
        <v>9</v>
      </c>
      <c r="D4498" s="3" t="s">
        <v>9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/>
      <c r="P4498" s="3"/>
      <c r="Q4498" s="3"/>
    </row>
    <row r="4499" spans="1:17" ht="15" x14ac:dyDescent="0.25">
      <c r="A4499" s="3">
        <f>4492</f>
        <v>4492</v>
      </c>
      <c r="B4499" s="3" t="s">
        <v>4501</v>
      </c>
      <c r="C4499" s="3" t="s">
        <v>9</v>
      </c>
      <c r="D4499" s="3" t="s">
        <v>9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/>
      <c r="P4499" s="3"/>
      <c r="Q4499" s="3"/>
    </row>
    <row r="4500" spans="1:17" ht="15" x14ac:dyDescent="0.25">
      <c r="A4500" s="3">
        <f>4493</f>
        <v>4493</v>
      </c>
      <c r="B4500" s="3" t="s">
        <v>4502</v>
      </c>
      <c r="C4500" s="3" t="s">
        <v>9</v>
      </c>
      <c r="D4500" s="3" t="s">
        <v>9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/>
      <c r="P4500" s="3"/>
      <c r="Q4500" s="3"/>
    </row>
    <row r="4501" spans="1:17" ht="15" x14ac:dyDescent="0.25">
      <c r="A4501" s="3">
        <f>4494</f>
        <v>4494</v>
      </c>
      <c r="B4501" s="3" t="s">
        <v>4503</v>
      </c>
      <c r="C4501" s="3" t="s">
        <v>9</v>
      </c>
      <c r="D4501" s="3" t="s">
        <v>9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/>
      <c r="P4501" s="3"/>
      <c r="Q4501" s="3"/>
    </row>
    <row r="4502" spans="1:17" ht="15" x14ac:dyDescent="0.25">
      <c r="A4502" s="3">
        <f>4495</f>
        <v>4495</v>
      </c>
      <c r="B4502" s="3" t="s">
        <v>4504</v>
      </c>
      <c r="C4502" s="3" t="s">
        <v>9</v>
      </c>
      <c r="D4502" s="3" t="s">
        <v>9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/>
      <c r="P4502" s="3"/>
      <c r="Q4502" s="3"/>
    </row>
    <row r="4503" spans="1:17" ht="15" x14ac:dyDescent="0.25">
      <c r="A4503" s="3">
        <f>4496</f>
        <v>4496</v>
      </c>
      <c r="B4503" s="3" t="s">
        <v>4505</v>
      </c>
      <c r="C4503" s="3" t="s">
        <v>9</v>
      </c>
      <c r="D4503" s="3" t="s">
        <v>9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/>
      <c r="P4503" s="3"/>
      <c r="Q4503" s="3"/>
    </row>
    <row r="4504" spans="1:17" ht="15" x14ac:dyDescent="0.25">
      <c r="A4504" s="3">
        <f>4497</f>
        <v>4497</v>
      </c>
      <c r="B4504" s="3" t="s">
        <v>4506</v>
      </c>
      <c r="C4504" s="3" t="s">
        <v>9</v>
      </c>
      <c r="D4504" s="3" t="s">
        <v>9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/>
      <c r="P4504" s="3"/>
      <c r="Q4504" s="3"/>
    </row>
    <row r="4505" spans="1:17" ht="15" x14ac:dyDescent="0.25">
      <c r="A4505" s="3">
        <f>4498</f>
        <v>4498</v>
      </c>
      <c r="B4505" s="3" t="s">
        <v>4507</v>
      </c>
      <c r="C4505" s="3" t="s">
        <v>9</v>
      </c>
      <c r="D4505" s="3" t="s">
        <v>9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/>
      <c r="P4505" s="3"/>
      <c r="Q4505" s="3"/>
    </row>
    <row r="4506" spans="1:17" ht="15" x14ac:dyDescent="0.25">
      <c r="A4506" s="3">
        <f>4499</f>
        <v>4499</v>
      </c>
      <c r="B4506" s="3" t="s">
        <v>4508</v>
      </c>
      <c r="C4506" s="3" t="s">
        <v>9</v>
      </c>
      <c r="D4506" s="3" t="s">
        <v>9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/>
      <c r="P4506" s="3"/>
      <c r="Q4506" s="3"/>
    </row>
    <row r="4507" spans="1:17" ht="15" x14ac:dyDescent="0.25">
      <c r="A4507" s="3">
        <f>4500</f>
        <v>4500</v>
      </c>
      <c r="B4507" s="3" t="s">
        <v>4509</v>
      </c>
      <c r="C4507" s="3" t="s">
        <v>9</v>
      </c>
      <c r="D4507" s="3" t="s">
        <v>9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/>
      <c r="P4507" s="3"/>
      <c r="Q4507" s="3"/>
    </row>
    <row r="4508" spans="1:17" ht="15" x14ac:dyDescent="0.25">
      <c r="A4508" s="3">
        <f>4501</f>
        <v>4501</v>
      </c>
      <c r="B4508" s="3" t="s">
        <v>4510</v>
      </c>
      <c r="C4508" s="3" t="s">
        <v>9</v>
      </c>
      <c r="D4508" s="3" t="s">
        <v>9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/>
      <c r="P4508" s="3"/>
      <c r="Q4508" s="3"/>
    </row>
    <row r="4509" spans="1:17" ht="15" x14ac:dyDescent="0.25">
      <c r="A4509" s="3">
        <f>4502</f>
        <v>4502</v>
      </c>
      <c r="B4509" s="3" t="s">
        <v>4511</v>
      </c>
      <c r="C4509" s="3" t="s">
        <v>9</v>
      </c>
      <c r="D4509" s="3" t="s">
        <v>9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/>
      <c r="P4509" s="3"/>
      <c r="Q4509" s="3"/>
    </row>
    <row r="4510" spans="1:17" ht="15" x14ac:dyDescent="0.25">
      <c r="A4510" s="3">
        <f>4503</f>
        <v>4503</v>
      </c>
      <c r="B4510" s="3" t="s">
        <v>4512</v>
      </c>
      <c r="C4510" s="3" t="s">
        <v>9</v>
      </c>
      <c r="D4510" s="3" t="s">
        <v>9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/>
      <c r="P4510" s="3"/>
      <c r="Q4510" s="3"/>
    </row>
    <row r="4511" spans="1:17" ht="15" x14ac:dyDescent="0.25">
      <c r="A4511" s="3">
        <f>4504</f>
        <v>4504</v>
      </c>
      <c r="B4511" s="3" t="s">
        <v>4513</v>
      </c>
      <c r="C4511" s="3" t="s">
        <v>9</v>
      </c>
      <c r="D4511" s="3" t="s">
        <v>9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/>
      <c r="P4511" s="3"/>
      <c r="Q4511" s="3"/>
    </row>
    <row r="4512" spans="1:17" ht="15" x14ac:dyDescent="0.25">
      <c r="A4512" s="3">
        <f>4505</f>
        <v>4505</v>
      </c>
      <c r="B4512" s="3" t="s">
        <v>4514</v>
      </c>
      <c r="C4512" s="3" t="s">
        <v>9</v>
      </c>
      <c r="D4512" s="3" t="s">
        <v>9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/>
      <c r="P4512" s="3"/>
      <c r="Q4512" s="3"/>
    </row>
    <row r="4513" spans="1:17" ht="15" x14ac:dyDescent="0.25">
      <c r="A4513" s="3">
        <f>4506</f>
        <v>4506</v>
      </c>
      <c r="B4513" s="3" t="s">
        <v>4515</v>
      </c>
      <c r="C4513" s="3" t="s">
        <v>9</v>
      </c>
      <c r="D4513" s="3" t="s">
        <v>9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/>
      <c r="P4513" s="3"/>
      <c r="Q4513" s="3"/>
    </row>
    <row r="4514" spans="1:17" ht="15" x14ac:dyDescent="0.25">
      <c r="A4514" s="3">
        <f>4507</f>
        <v>4507</v>
      </c>
      <c r="B4514" s="3" t="s">
        <v>4516</v>
      </c>
      <c r="C4514" s="3" t="s">
        <v>9</v>
      </c>
      <c r="D4514" s="3" t="s">
        <v>9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/>
      <c r="P4514" s="3"/>
      <c r="Q4514" s="3"/>
    </row>
    <row r="4515" spans="1:17" ht="15" x14ac:dyDescent="0.25">
      <c r="A4515" s="3">
        <f>4508</f>
        <v>4508</v>
      </c>
      <c r="B4515" s="3" t="s">
        <v>4517</v>
      </c>
      <c r="C4515" s="3" t="s">
        <v>9</v>
      </c>
      <c r="D4515" s="3" t="s">
        <v>9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/>
      <c r="P4515" s="3"/>
      <c r="Q4515" s="3"/>
    </row>
    <row r="4516" spans="1:17" ht="15" x14ac:dyDescent="0.25">
      <c r="A4516" s="3">
        <f>4509</f>
        <v>4509</v>
      </c>
      <c r="B4516" s="3" t="s">
        <v>4518</v>
      </c>
      <c r="C4516" s="3" t="s">
        <v>9</v>
      </c>
      <c r="D4516" s="3" t="s">
        <v>9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/>
      <c r="P4516" s="3"/>
      <c r="Q4516" s="3"/>
    </row>
    <row r="4517" spans="1:17" ht="15" x14ac:dyDescent="0.25">
      <c r="A4517" s="3">
        <f>4510</f>
        <v>4510</v>
      </c>
      <c r="B4517" s="3" t="s">
        <v>4519</v>
      </c>
      <c r="C4517" s="3" t="s">
        <v>9</v>
      </c>
      <c r="D4517" s="3" t="s">
        <v>9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/>
      <c r="P4517" s="3"/>
      <c r="Q4517" s="3"/>
    </row>
    <row r="4518" spans="1:17" ht="15" x14ac:dyDescent="0.25">
      <c r="A4518" s="3">
        <f>4511</f>
        <v>4511</v>
      </c>
      <c r="B4518" s="3" t="s">
        <v>4520</v>
      </c>
      <c r="C4518" s="3" t="s">
        <v>9</v>
      </c>
      <c r="D4518" s="3" t="s">
        <v>9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/>
      <c r="P4518" s="3"/>
      <c r="Q4518" s="3"/>
    </row>
    <row r="4519" spans="1:17" ht="15" x14ac:dyDescent="0.25">
      <c r="A4519" s="3">
        <f>4512</f>
        <v>4512</v>
      </c>
      <c r="B4519" s="3" t="s">
        <v>4521</v>
      </c>
      <c r="C4519" s="3" t="s">
        <v>9</v>
      </c>
      <c r="D4519" s="3" t="s">
        <v>9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/>
      <c r="P4519" s="3"/>
      <c r="Q4519" s="3"/>
    </row>
    <row r="4520" spans="1:17" ht="15" x14ac:dyDescent="0.25">
      <c r="A4520" s="3">
        <f>4513</f>
        <v>4513</v>
      </c>
      <c r="B4520" s="3" t="s">
        <v>4522</v>
      </c>
      <c r="C4520" s="3" t="s">
        <v>9</v>
      </c>
      <c r="D4520" s="3" t="s">
        <v>9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/>
      <c r="P4520" s="3"/>
      <c r="Q4520" s="3"/>
    </row>
    <row r="4521" spans="1:17" ht="15" x14ac:dyDescent="0.25">
      <c r="A4521" s="3">
        <f>4514</f>
        <v>4514</v>
      </c>
      <c r="B4521" s="3" t="s">
        <v>4523</v>
      </c>
      <c r="C4521" s="3" t="s">
        <v>9</v>
      </c>
      <c r="D4521" s="3" t="s">
        <v>9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/>
      <c r="P4521" s="3"/>
      <c r="Q4521" s="3"/>
    </row>
    <row r="4522" spans="1:17" ht="15" x14ac:dyDescent="0.25">
      <c r="A4522" s="3">
        <f>4515</f>
        <v>4515</v>
      </c>
      <c r="B4522" s="3" t="s">
        <v>4524</v>
      </c>
      <c r="C4522" s="3" t="s">
        <v>9</v>
      </c>
      <c r="D4522" s="3" t="s">
        <v>9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/>
      <c r="P4522" s="3"/>
      <c r="Q4522" s="3"/>
    </row>
    <row r="4523" spans="1:17" ht="15" x14ac:dyDescent="0.25">
      <c r="A4523" s="3">
        <f>4516</f>
        <v>4516</v>
      </c>
      <c r="B4523" s="3" t="s">
        <v>4525</v>
      </c>
      <c r="C4523" s="3" t="s">
        <v>9</v>
      </c>
      <c r="D4523" s="3" t="s">
        <v>9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/>
      <c r="P4523" s="3"/>
      <c r="Q4523" s="3"/>
    </row>
    <row r="4524" spans="1:17" ht="15" x14ac:dyDescent="0.25">
      <c r="A4524" s="3">
        <f>4517</f>
        <v>4517</v>
      </c>
      <c r="B4524" s="3" t="s">
        <v>4526</v>
      </c>
      <c r="C4524" s="3" t="s">
        <v>9</v>
      </c>
      <c r="D4524" s="3" t="s">
        <v>9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/>
      <c r="P4524" s="3"/>
      <c r="Q4524" s="3"/>
    </row>
    <row r="4525" spans="1:17" ht="15" x14ac:dyDescent="0.25">
      <c r="A4525" s="3">
        <f>4518</f>
        <v>4518</v>
      </c>
      <c r="B4525" s="3" t="s">
        <v>4527</v>
      </c>
      <c r="C4525" s="3" t="s">
        <v>9</v>
      </c>
      <c r="D4525" s="3" t="s">
        <v>9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/>
      <c r="P4525" s="3"/>
      <c r="Q4525" s="3"/>
    </row>
    <row r="4526" spans="1:17" ht="15" x14ac:dyDescent="0.25">
      <c r="A4526" s="3">
        <f>4519</f>
        <v>4519</v>
      </c>
      <c r="B4526" s="3" t="s">
        <v>4528</v>
      </c>
      <c r="C4526" s="3" t="s">
        <v>9</v>
      </c>
      <c r="D4526" s="3" t="s">
        <v>9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/>
      <c r="P4526" s="3"/>
      <c r="Q4526" s="3"/>
    </row>
    <row r="4527" spans="1:17" ht="15" x14ac:dyDescent="0.25">
      <c r="A4527" s="3">
        <f>4520</f>
        <v>4520</v>
      </c>
      <c r="B4527" s="3" t="s">
        <v>4529</v>
      </c>
      <c r="C4527" s="3" t="s">
        <v>9</v>
      </c>
      <c r="D4527" s="3" t="s">
        <v>9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/>
      <c r="P4527" s="3"/>
      <c r="Q4527" s="3"/>
    </row>
    <row r="4528" spans="1:17" ht="15" x14ac:dyDescent="0.25">
      <c r="A4528" s="3">
        <f>4521</f>
        <v>4521</v>
      </c>
      <c r="B4528" s="3" t="s">
        <v>4530</v>
      </c>
      <c r="C4528" s="3" t="s">
        <v>9</v>
      </c>
      <c r="D4528" s="3" t="s">
        <v>9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/>
      <c r="P4528" s="3"/>
      <c r="Q4528" s="3"/>
    </row>
    <row r="4529" spans="1:17" ht="15" x14ac:dyDescent="0.25">
      <c r="A4529" s="3">
        <f>4522</f>
        <v>4522</v>
      </c>
      <c r="B4529" s="3" t="s">
        <v>4531</v>
      </c>
      <c r="C4529" s="3" t="s">
        <v>9</v>
      </c>
      <c r="D4529" s="3" t="s">
        <v>9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/>
      <c r="P4529" s="3"/>
      <c r="Q4529" s="3"/>
    </row>
    <row r="4530" spans="1:17" ht="15" x14ac:dyDescent="0.25">
      <c r="A4530" s="3">
        <f>4523</f>
        <v>4523</v>
      </c>
      <c r="B4530" s="3" t="s">
        <v>4532</v>
      </c>
      <c r="C4530" s="3" t="s">
        <v>9</v>
      </c>
      <c r="D4530" s="3" t="s">
        <v>9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/>
      <c r="P4530" s="3"/>
      <c r="Q4530" s="3"/>
    </row>
    <row r="4531" spans="1:17" ht="15" x14ac:dyDescent="0.25">
      <c r="A4531" s="3">
        <f>4524</f>
        <v>4524</v>
      </c>
      <c r="B4531" s="3" t="s">
        <v>4533</v>
      </c>
      <c r="C4531" s="3" t="s">
        <v>9</v>
      </c>
      <c r="D4531" s="3" t="s">
        <v>9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/>
      <c r="P4531" s="3"/>
      <c r="Q4531" s="3"/>
    </row>
    <row r="4532" spans="1:17" ht="15" x14ac:dyDescent="0.25">
      <c r="A4532" s="3">
        <f>4525</f>
        <v>4525</v>
      </c>
      <c r="B4532" s="3" t="s">
        <v>4534</v>
      </c>
      <c r="C4532" s="3" t="s">
        <v>9</v>
      </c>
      <c r="D4532" s="3" t="s">
        <v>9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/>
      <c r="P4532" s="3"/>
      <c r="Q4532" s="3"/>
    </row>
    <row r="4533" spans="1:17" ht="15" x14ac:dyDescent="0.25">
      <c r="A4533" s="3">
        <f>4526</f>
        <v>4526</v>
      </c>
      <c r="B4533" s="3" t="s">
        <v>4535</v>
      </c>
      <c r="C4533" s="3" t="s">
        <v>9</v>
      </c>
      <c r="D4533" s="3" t="s">
        <v>9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/>
      <c r="P4533" s="3"/>
      <c r="Q4533" s="3"/>
    </row>
    <row r="4534" spans="1:17" ht="15" x14ac:dyDescent="0.25">
      <c r="A4534" s="3">
        <f>4527</f>
        <v>4527</v>
      </c>
      <c r="B4534" s="3" t="s">
        <v>4536</v>
      </c>
      <c r="C4534" s="3" t="s">
        <v>9</v>
      </c>
      <c r="D4534" s="3" t="s">
        <v>9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/>
      <c r="P4534" s="3"/>
      <c r="Q4534" s="3"/>
    </row>
    <row r="4535" spans="1:17" ht="15" x14ac:dyDescent="0.25">
      <c r="A4535" s="3">
        <f>4528</f>
        <v>4528</v>
      </c>
      <c r="B4535" s="3" t="s">
        <v>4537</v>
      </c>
      <c r="C4535" s="3" t="s">
        <v>9</v>
      </c>
      <c r="D4535" s="3" t="s">
        <v>9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/>
      <c r="P4535" s="3"/>
      <c r="Q4535" s="3"/>
    </row>
    <row r="4536" spans="1:17" ht="15" x14ac:dyDescent="0.25">
      <c r="A4536" s="3">
        <f>4529</f>
        <v>4529</v>
      </c>
      <c r="B4536" s="3" t="s">
        <v>4538</v>
      </c>
      <c r="C4536" s="3" t="s">
        <v>9</v>
      </c>
      <c r="D4536" s="3" t="s">
        <v>9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/>
      <c r="P4536" s="3"/>
      <c r="Q4536" s="3"/>
    </row>
    <row r="4537" spans="1:17" ht="15" x14ac:dyDescent="0.25">
      <c r="A4537" s="3">
        <f>4530</f>
        <v>4530</v>
      </c>
      <c r="B4537" s="3" t="s">
        <v>4539</v>
      </c>
      <c r="C4537" s="3" t="s">
        <v>9</v>
      </c>
      <c r="D4537" s="3" t="s">
        <v>9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/>
      <c r="P4537" s="3"/>
      <c r="Q4537" s="3"/>
    </row>
    <row r="4538" spans="1:17" ht="15" x14ac:dyDescent="0.25">
      <c r="A4538" s="3">
        <f>4531</f>
        <v>4531</v>
      </c>
      <c r="B4538" s="3" t="s">
        <v>4540</v>
      </c>
      <c r="C4538" s="3" t="s">
        <v>9</v>
      </c>
      <c r="D4538" s="3" t="s">
        <v>9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/>
      <c r="P4538" s="3"/>
      <c r="Q4538" s="3"/>
    </row>
    <row r="4539" spans="1:17" ht="15" x14ac:dyDescent="0.25">
      <c r="A4539" s="3">
        <f>4532</f>
        <v>4532</v>
      </c>
      <c r="B4539" s="3" t="s">
        <v>4541</v>
      </c>
      <c r="C4539" s="3" t="s">
        <v>9</v>
      </c>
      <c r="D4539" s="3" t="s">
        <v>9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/>
      <c r="P4539" s="3"/>
      <c r="Q4539" s="3"/>
    </row>
    <row r="4540" spans="1:17" ht="15" x14ac:dyDescent="0.25">
      <c r="A4540" s="3">
        <f>4533</f>
        <v>4533</v>
      </c>
      <c r="B4540" s="3" t="s">
        <v>4542</v>
      </c>
      <c r="C4540" s="3" t="s">
        <v>9</v>
      </c>
      <c r="D4540" s="3" t="s">
        <v>9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/>
      <c r="P4540" s="3"/>
      <c r="Q4540" s="3"/>
    </row>
    <row r="4541" spans="1:17" ht="15" x14ac:dyDescent="0.25">
      <c r="A4541" s="3">
        <f>4534</f>
        <v>4534</v>
      </c>
      <c r="B4541" s="3" t="s">
        <v>4543</v>
      </c>
      <c r="C4541" s="3" t="s">
        <v>9</v>
      </c>
      <c r="D4541" s="3" t="s">
        <v>9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/>
      <c r="P4541" s="3"/>
      <c r="Q4541" s="3"/>
    </row>
    <row r="4542" spans="1:17" ht="15" x14ac:dyDescent="0.25">
      <c r="A4542" s="3">
        <f>4535</f>
        <v>4535</v>
      </c>
      <c r="B4542" s="3" t="s">
        <v>4544</v>
      </c>
      <c r="C4542" s="3" t="s">
        <v>9</v>
      </c>
      <c r="D4542" s="3" t="s">
        <v>9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/>
      <c r="P4542" s="3"/>
      <c r="Q4542" s="3"/>
    </row>
    <row r="4543" spans="1:17" ht="15" x14ac:dyDescent="0.25">
      <c r="A4543" s="3">
        <f>4536</f>
        <v>4536</v>
      </c>
      <c r="B4543" s="3" t="s">
        <v>4545</v>
      </c>
      <c r="C4543" s="3" t="s">
        <v>9</v>
      </c>
      <c r="D4543" s="3" t="s">
        <v>9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/>
      <c r="P4543" s="3"/>
      <c r="Q4543" s="3"/>
    </row>
    <row r="4544" spans="1:17" ht="15" x14ac:dyDescent="0.25">
      <c r="A4544" s="3">
        <f>4537</f>
        <v>4537</v>
      </c>
      <c r="B4544" s="3" t="s">
        <v>4546</v>
      </c>
      <c r="C4544" s="3" t="s">
        <v>9</v>
      </c>
      <c r="D4544" s="3" t="s">
        <v>9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/>
      <c r="P4544" s="3"/>
      <c r="Q4544" s="3"/>
    </row>
    <row r="4545" spans="1:17" ht="15" x14ac:dyDescent="0.25">
      <c r="A4545" s="3">
        <f>4538</f>
        <v>4538</v>
      </c>
      <c r="B4545" s="3" t="s">
        <v>4547</v>
      </c>
      <c r="C4545" s="3" t="s">
        <v>9</v>
      </c>
      <c r="D4545" s="3" t="s">
        <v>9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/>
      <c r="P4545" s="3"/>
      <c r="Q4545" s="3"/>
    </row>
    <row r="4546" spans="1:17" ht="15" x14ac:dyDescent="0.25">
      <c r="A4546" s="3">
        <f>4539</f>
        <v>4539</v>
      </c>
      <c r="B4546" s="3" t="s">
        <v>4548</v>
      </c>
      <c r="C4546" s="3" t="s">
        <v>9</v>
      </c>
      <c r="D4546" s="3" t="s">
        <v>9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/>
      <c r="P4546" s="3"/>
      <c r="Q4546" s="3"/>
    </row>
    <row r="4547" spans="1:17" ht="15" x14ac:dyDescent="0.25">
      <c r="A4547" s="3">
        <f>4540</f>
        <v>4540</v>
      </c>
      <c r="B4547" s="3" t="s">
        <v>4549</v>
      </c>
      <c r="C4547" s="3" t="s">
        <v>9</v>
      </c>
      <c r="D4547" s="3" t="s">
        <v>9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/>
      <c r="P4547" s="3"/>
      <c r="Q4547" s="3"/>
    </row>
    <row r="4548" spans="1:17" ht="15" x14ac:dyDescent="0.25">
      <c r="A4548" s="3">
        <f>4541</f>
        <v>4541</v>
      </c>
      <c r="B4548" s="3" t="s">
        <v>4550</v>
      </c>
      <c r="C4548" s="3" t="s">
        <v>9</v>
      </c>
      <c r="D4548" s="3" t="s">
        <v>9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/>
      <c r="P4548" s="3"/>
      <c r="Q4548" s="3"/>
    </row>
    <row r="4549" spans="1:17" ht="15" x14ac:dyDescent="0.25">
      <c r="A4549" s="3">
        <f>4542</f>
        <v>4542</v>
      </c>
      <c r="B4549" s="3" t="s">
        <v>4551</v>
      </c>
      <c r="C4549" s="3" t="s">
        <v>9</v>
      </c>
      <c r="D4549" s="3" t="s">
        <v>9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/>
      <c r="P4549" s="3"/>
      <c r="Q4549" s="3"/>
    </row>
    <row r="4550" spans="1:17" ht="15" x14ac:dyDescent="0.25">
      <c r="A4550" s="3">
        <f>4543</f>
        <v>4543</v>
      </c>
      <c r="B4550" s="3" t="s">
        <v>4552</v>
      </c>
      <c r="C4550" s="3" t="s">
        <v>9</v>
      </c>
      <c r="D4550" s="3" t="s">
        <v>9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/>
      <c r="P4550" s="3"/>
      <c r="Q4550" s="3"/>
    </row>
    <row r="4551" spans="1:17" ht="15" x14ac:dyDescent="0.25">
      <c r="A4551" s="3">
        <f>4544</f>
        <v>4544</v>
      </c>
      <c r="B4551" s="3" t="s">
        <v>4553</v>
      </c>
      <c r="C4551" s="3" t="s">
        <v>9</v>
      </c>
      <c r="D4551" s="3" t="s">
        <v>9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/>
      <c r="P4551" s="3"/>
      <c r="Q4551" s="3"/>
    </row>
    <row r="4552" spans="1:17" ht="15" x14ac:dyDescent="0.25">
      <c r="A4552" s="3">
        <f>4545</f>
        <v>4545</v>
      </c>
      <c r="B4552" s="3" t="s">
        <v>4554</v>
      </c>
      <c r="C4552" s="3" t="s">
        <v>9</v>
      </c>
      <c r="D4552" s="3" t="s">
        <v>9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/>
      <c r="P4552" s="3"/>
      <c r="Q4552" s="3"/>
    </row>
    <row r="4553" spans="1:17" ht="15" x14ac:dyDescent="0.25">
      <c r="A4553" s="3">
        <f>4546</f>
        <v>4546</v>
      </c>
      <c r="B4553" s="3" t="s">
        <v>4555</v>
      </c>
      <c r="C4553" s="3" t="s">
        <v>9</v>
      </c>
      <c r="D4553" s="3" t="s">
        <v>9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/>
      <c r="P4553" s="3"/>
      <c r="Q4553" s="3"/>
    </row>
    <row r="4554" spans="1:17" ht="15" x14ac:dyDescent="0.25">
      <c r="A4554" s="3">
        <f>4547</f>
        <v>4547</v>
      </c>
      <c r="B4554" s="3" t="s">
        <v>4556</v>
      </c>
      <c r="C4554" s="3" t="s">
        <v>9</v>
      </c>
      <c r="D4554" s="3" t="s">
        <v>9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/>
      <c r="P4554" s="3"/>
      <c r="Q4554" s="3"/>
    </row>
    <row r="4555" spans="1:17" ht="15" x14ac:dyDescent="0.25">
      <c r="A4555" s="3">
        <f>4548</f>
        <v>4548</v>
      </c>
      <c r="B4555" s="3" t="s">
        <v>4557</v>
      </c>
      <c r="C4555" s="3" t="s">
        <v>9</v>
      </c>
      <c r="D4555" s="3" t="s">
        <v>9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/>
      <c r="P4555" s="3"/>
      <c r="Q4555" s="3"/>
    </row>
    <row r="4556" spans="1:17" ht="15" x14ac:dyDescent="0.25">
      <c r="A4556" s="3">
        <f>4549</f>
        <v>4549</v>
      </c>
      <c r="B4556" s="3" t="s">
        <v>4558</v>
      </c>
      <c r="C4556" s="3" t="s">
        <v>9</v>
      </c>
      <c r="D4556" s="3" t="s">
        <v>9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/>
      <c r="P4556" s="3"/>
      <c r="Q4556" s="3"/>
    </row>
    <row r="4557" spans="1:17" ht="15" x14ac:dyDescent="0.25">
      <c r="A4557" s="3">
        <f>4550</f>
        <v>4550</v>
      </c>
      <c r="B4557" s="3" t="s">
        <v>4559</v>
      </c>
      <c r="C4557" s="3" t="s">
        <v>9</v>
      </c>
      <c r="D4557" s="3" t="s">
        <v>9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/>
      <c r="P4557" s="3"/>
      <c r="Q4557" s="3"/>
    </row>
    <row r="4558" spans="1:17" ht="15" x14ac:dyDescent="0.25">
      <c r="A4558" s="3">
        <f>4551</f>
        <v>4551</v>
      </c>
      <c r="B4558" s="3" t="s">
        <v>4560</v>
      </c>
      <c r="C4558" s="3" t="s">
        <v>9</v>
      </c>
      <c r="D4558" s="3" t="s">
        <v>9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/>
      <c r="P4558" s="3"/>
      <c r="Q4558" s="3"/>
    </row>
    <row r="4559" spans="1:17" ht="15" x14ac:dyDescent="0.25">
      <c r="A4559" s="3">
        <f>4552</f>
        <v>4552</v>
      </c>
      <c r="B4559" s="3" t="s">
        <v>4561</v>
      </c>
      <c r="C4559" s="3" t="s">
        <v>9</v>
      </c>
      <c r="D4559" s="3" t="s">
        <v>9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/>
      <c r="P4559" s="3"/>
      <c r="Q4559" s="3"/>
    </row>
    <row r="4560" spans="1:17" ht="15" x14ac:dyDescent="0.25">
      <c r="A4560" s="3">
        <f>4553</f>
        <v>4553</v>
      </c>
      <c r="B4560" s="3" t="s">
        <v>4562</v>
      </c>
      <c r="C4560" s="3" t="s">
        <v>9</v>
      </c>
      <c r="D4560" s="3" t="s">
        <v>9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/>
      <c r="P4560" s="3"/>
      <c r="Q4560" s="3"/>
    </row>
    <row r="4561" spans="1:17" ht="15" x14ac:dyDescent="0.25">
      <c r="A4561" s="3">
        <f>4554</f>
        <v>4554</v>
      </c>
      <c r="B4561" s="3" t="s">
        <v>4563</v>
      </c>
      <c r="C4561" s="3" t="s">
        <v>9</v>
      </c>
      <c r="D4561" s="3" t="s">
        <v>9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/>
      <c r="P4561" s="3"/>
      <c r="Q4561" s="3"/>
    </row>
    <row r="4562" spans="1:17" ht="15" x14ac:dyDescent="0.25">
      <c r="A4562" s="3">
        <f>4555</f>
        <v>4555</v>
      </c>
      <c r="B4562" s="3" t="s">
        <v>4564</v>
      </c>
      <c r="C4562" s="3" t="s">
        <v>9</v>
      </c>
      <c r="D4562" s="3" t="s">
        <v>9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/>
      <c r="P4562" s="3"/>
      <c r="Q4562" s="3"/>
    </row>
    <row r="4563" spans="1:17" ht="15" x14ac:dyDescent="0.25">
      <c r="A4563" s="3">
        <f>4556</f>
        <v>4556</v>
      </c>
      <c r="B4563" s="3" t="s">
        <v>4565</v>
      </c>
      <c r="C4563" s="3" t="s">
        <v>9</v>
      </c>
      <c r="D4563" s="3" t="s">
        <v>9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/>
      <c r="P4563" s="3"/>
      <c r="Q4563" s="3"/>
    </row>
    <row r="4564" spans="1:17" ht="15" x14ac:dyDescent="0.25">
      <c r="A4564" s="3">
        <f>4557</f>
        <v>4557</v>
      </c>
      <c r="B4564" s="3" t="s">
        <v>4566</v>
      </c>
      <c r="C4564" s="3" t="s">
        <v>9</v>
      </c>
      <c r="D4564" s="3" t="s">
        <v>9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/>
      <c r="P4564" s="3"/>
      <c r="Q4564" s="3"/>
    </row>
    <row r="4565" spans="1:17" ht="15" x14ac:dyDescent="0.25">
      <c r="A4565" s="3">
        <f>4558</f>
        <v>4558</v>
      </c>
      <c r="B4565" s="3" t="s">
        <v>4567</v>
      </c>
      <c r="C4565" s="3" t="s">
        <v>9</v>
      </c>
      <c r="D4565" s="3" t="s">
        <v>9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/>
      <c r="P4565" s="3"/>
      <c r="Q4565" s="3"/>
    </row>
    <row r="4566" spans="1:17" ht="15" x14ac:dyDescent="0.25">
      <c r="A4566" s="3">
        <f>4559</f>
        <v>4559</v>
      </c>
      <c r="B4566" s="3" t="s">
        <v>4568</v>
      </c>
      <c r="C4566" s="3" t="s">
        <v>9</v>
      </c>
      <c r="D4566" s="3" t="s">
        <v>9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/>
      <c r="P4566" s="3"/>
      <c r="Q4566" s="3"/>
    </row>
    <row r="4567" spans="1:17" ht="15" x14ac:dyDescent="0.25">
      <c r="A4567" s="3">
        <f>4560</f>
        <v>4560</v>
      </c>
      <c r="B4567" s="3" t="s">
        <v>4569</v>
      </c>
      <c r="C4567" s="3" t="s">
        <v>9</v>
      </c>
      <c r="D4567" s="3" t="s">
        <v>9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/>
      <c r="P4567" s="3"/>
      <c r="Q4567" s="3"/>
    </row>
    <row r="4568" spans="1:17" ht="15" x14ac:dyDescent="0.25">
      <c r="A4568" s="3">
        <f>4561</f>
        <v>4561</v>
      </c>
      <c r="B4568" s="3" t="s">
        <v>4570</v>
      </c>
      <c r="C4568" s="3" t="s">
        <v>9</v>
      </c>
      <c r="D4568" s="3" t="s">
        <v>9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/>
      <c r="P4568" s="3"/>
      <c r="Q4568" s="3"/>
    </row>
    <row r="4569" spans="1:17" ht="15" x14ac:dyDescent="0.25">
      <c r="A4569" s="3">
        <f>4562</f>
        <v>4562</v>
      </c>
      <c r="B4569" s="3" t="s">
        <v>4571</v>
      </c>
      <c r="C4569" s="3" t="s">
        <v>9</v>
      </c>
      <c r="D4569" s="3" t="s">
        <v>9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/>
      <c r="P4569" s="3"/>
      <c r="Q4569" s="3"/>
    </row>
    <row r="4570" spans="1:17" ht="15" x14ac:dyDescent="0.25">
      <c r="A4570" s="3">
        <f>4563</f>
        <v>4563</v>
      </c>
      <c r="B4570" s="3" t="s">
        <v>4572</v>
      </c>
      <c r="C4570" s="3" t="s">
        <v>9</v>
      </c>
      <c r="D4570" s="3" t="s">
        <v>9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/>
      <c r="P4570" s="3"/>
      <c r="Q4570" s="3"/>
    </row>
    <row r="4571" spans="1:17" ht="15" x14ac:dyDescent="0.25">
      <c r="A4571" s="3">
        <f>4564</f>
        <v>4564</v>
      </c>
      <c r="B4571" s="3" t="s">
        <v>4573</v>
      </c>
      <c r="C4571" s="3" t="s">
        <v>9</v>
      </c>
      <c r="D4571" s="3" t="s">
        <v>9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/>
      <c r="P4571" s="3"/>
      <c r="Q4571" s="3"/>
    </row>
    <row r="4572" spans="1:17" ht="15" x14ac:dyDescent="0.25">
      <c r="A4572" s="3">
        <f>4565</f>
        <v>4565</v>
      </c>
      <c r="B4572" s="3" t="s">
        <v>4574</v>
      </c>
      <c r="C4572" s="3" t="s">
        <v>9</v>
      </c>
      <c r="D4572" s="3" t="s">
        <v>9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/>
      <c r="P4572" s="3"/>
      <c r="Q4572" s="3"/>
    </row>
    <row r="4573" spans="1:17" ht="15" x14ac:dyDescent="0.25">
      <c r="A4573" s="3">
        <f>4566</f>
        <v>4566</v>
      </c>
      <c r="B4573" s="3" t="s">
        <v>4575</v>
      </c>
      <c r="C4573" s="3" t="s">
        <v>9</v>
      </c>
      <c r="D4573" s="3" t="s">
        <v>9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/>
      <c r="P4573" s="3"/>
      <c r="Q4573" s="3"/>
    </row>
    <row r="4574" spans="1:17" ht="15" x14ac:dyDescent="0.25">
      <c r="A4574" s="3">
        <f>4567</f>
        <v>4567</v>
      </c>
      <c r="B4574" s="3" t="s">
        <v>4576</v>
      </c>
      <c r="C4574" s="3" t="s">
        <v>9</v>
      </c>
      <c r="D4574" s="3" t="s">
        <v>9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/>
      <c r="P4574" s="3"/>
      <c r="Q4574" s="3"/>
    </row>
    <row r="4575" spans="1:17" ht="15" x14ac:dyDescent="0.25">
      <c r="A4575" s="3">
        <f>4568</f>
        <v>4568</v>
      </c>
      <c r="B4575" s="3" t="s">
        <v>4577</v>
      </c>
      <c r="C4575" s="3" t="s">
        <v>9</v>
      </c>
      <c r="D4575" s="3" t="s">
        <v>9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/>
      <c r="P4575" s="3"/>
      <c r="Q4575" s="3"/>
    </row>
    <row r="4576" spans="1:17" ht="15" x14ac:dyDescent="0.25">
      <c r="A4576" s="3">
        <f>4569</f>
        <v>4569</v>
      </c>
      <c r="B4576" s="3" t="s">
        <v>4578</v>
      </c>
      <c r="C4576" s="3" t="s">
        <v>9</v>
      </c>
      <c r="D4576" s="3" t="s">
        <v>9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/>
      <c r="P4576" s="3"/>
      <c r="Q4576" s="3"/>
    </row>
    <row r="4577" spans="1:17" ht="15" x14ac:dyDescent="0.25">
      <c r="A4577" s="3">
        <f>4570</f>
        <v>4570</v>
      </c>
      <c r="B4577" s="3" t="s">
        <v>4579</v>
      </c>
      <c r="C4577" s="3" t="s">
        <v>9</v>
      </c>
      <c r="D4577" s="3" t="s">
        <v>9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/>
      <c r="P4577" s="3"/>
      <c r="Q4577" s="3"/>
    </row>
    <row r="4578" spans="1:17" ht="15" x14ac:dyDescent="0.25">
      <c r="A4578" s="3">
        <f>4571</f>
        <v>4571</v>
      </c>
      <c r="B4578" s="3" t="s">
        <v>4580</v>
      </c>
      <c r="C4578" s="3" t="s">
        <v>9</v>
      </c>
      <c r="D4578" s="3" t="s">
        <v>9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/>
      <c r="P4578" s="3"/>
      <c r="Q4578" s="3"/>
    </row>
    <row r="4579" spans="1:17" ht="15" x14ac:dyDescent="0.25">
      <c r="A4579" s="3">
        <f>4572</f>
        <v>4572</v>
      </c>
      <c r="B4579" s="3" t="s">
        <v>4581</v>
      </c>
      <c r="C4579" s="3" t="s">
        <v>9</v>
      </c>
      <c r="D4579" s="3" t="s">
        <v>9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/>
      <c r="P4579" s="3"/>
      <c r="Q4579" s="3"/>
    </row>
    <row r="4580" spans="1:17" ht="15" x14ac:dyDescent="0.25">
      <c r="A4580" s="3">
        <f>4573</f>
        <v>4573</v>
      </c>
      <c r="B4580" s="3" t="s">
        <v>4582</v>
      </c>
      <c r="C4580" s="3" t="s">
        <v>9</v>
      </c>
      <c r="D4580" s="3" t="s">
        <v>9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/>
      <c r="P4580" s="3"/>
      <c r="Q4580" s="3"/>
    </row>
    <row r="4581" spans="1:17" ht="15" x14ac:dyDescent="0.25">
      <c r="A4581" s="3">
        <f>4574</f>
        <v>4574</v>
      </c>
      <c r="B4581" s="3" t="s">
        <v>4583</v>
      </c>
      <c r="C4581" s="3" t="s">
        <v>9</v>
      </c>
      <c r="D4581" s="3" t="s">
        <v>9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/>
      <c r="P4581" s="3"/>
      <c r="Q4581" s="3"/>
    </row>
    <row r="4582" spans="1:17" ht="15" x14ac:dyDescent="0.25">
      <c r="A4582" s="3">
        <f>4575</f>
        <v>4575</v>
      </c>
      <c r="B4582" s="3" t="s">
        <v>4584</v>
      </c>
      <c r="C4582" s="3" t="s">
        <v>9</v>
      </c>
      <c r="D4582" s="3" t="s">
        <v>9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/>
      <c r="P4582" s="3"/>
      <c r="Q4582" s="3"/>
    </row>
    <row r="4583" spans="1:17" ht="15" x14ac:dyDescent="0.25">
      <c r="A4583" s="3">
        <f>4576</f>
        <v>4576</v>
      </c>
      <c r="B4583" s="3" t="s">
        <v>4585</v>
      </c>
      <c r="C4583" s="3" t="s">
        <v>9</v>
      </c>
      <c r="D4583" s="3" t="s">
        <v>9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/>
      <c r="P4583" s="3"/>
      <c r="Q4583" s="3"/>
    </row>
    <row r="4584" spans="1:17" ht="15" x14ac:dyDescent="0.25">
      <c r="A4584" s="3">
        <f>4577</f>
        <v>4577</v>
      </c>
      <c r="B4584" s="3" t="s">
        <v>4586</v>
      </c>
      <c r="C4584" s="3" t="s">
        <v>9</v>
      </c>
      <c r="D4584" s="3" t="s">
        <v>9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/>
      <c r="P4584" s="3"/>
      <c r="Q4584" s="3"/>
    </row>
    <row r="4585" spans="1:17" ht="15" x14ac:dyDescent="0.25">
      <c r="A4585" s="3">
        <f>4578</f>
        <v>4578</v>
      </c>
      <c r="B4585" s="3" t="s">
        <v>4587</v>
      </c>
      <c r="C4585" s="3" t="s">
        <v>9</v>
      </c>
      <c r="D4585" s="3" t="s">
        <v>9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/>
      <c r="P4585" s="3"/>
      <c r="Q4585" s="3"/>
    </row>
    <row r="4586" spans="1:17" ht="15" x14ac:dyDescent="0.25">
      <c r="A4586" s="3">
        <f>4579</f>
        <v>4579</v>
      </c>
      <c r="B4586" s="3" t="s">
        <v>4588</v>
      </c>
      <c r="C4586" s="3" t="s">
        <v>9</v>
      </c>
      <c r="D4586" s="3" t="s">
        <v>9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/>
      <c r="P4586" s="3"/>
      <c r="Q4586" s="3"/>
    </row>
    <row r="4587" spans="1:17" ht="15" x14ac:dyDescent="0.25">
      <c r="A4587" s="3">
        <f>4580</f>
        <v>4580</v>
      </c>
      <c r="B4587" s="3" t="s">
        <v>4589</v>
      </c>
      <c r="C4587" s="3" t="s">
        <v>9</v>
      </c>
      <c r="D4587" s="3" t="s">
        <v>9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/>
      <c r="P4587" s="3"/>
      <c r="Q4587" s="3"/>
    </row>
    <row r="4588" spans="1:17" ht="15" x14ac:dyDescent="0.25">
      <c r="A4588" s="3">
        <f>4581</f>
        <v>4581</v>
      </c>
      <c r="B4588" s="3" t="s">
        <v>4590</v>
      </c>
      <c r="C4588" s="3" t="s">
        <v>9</v>
      </c>
      <c r="D4588" s="3" t="s">
        <v>9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/>
      <c r="P4588" s="3"/>
      <c r="Q4588" s="3"/>
    </row>
    <row r="4589" spans="1:17" ht="15" x14ac:dyDescent="0.25">
      <c r="A4589" s="3">
        <f>4582</f>
        <v>4582</v>
      </c>
      <c r="B4589" s="3" t="s">
        <v>4591</v>
      </c>
      <c r="C4589" s="3" t="s">
        <v>9</v>
      </c>
      <c r="D4589" s="3" t="s">
        <v>9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/>
      <c r="P4589" s="3"/>
      <c r="Q4589" s="3"/>
    </row>
    <row r="4590" spans="1:17" ht="15" x14ac:dyDescent="0.25">
      <c r="A4590" s="3">
        <f>4583</f>
        <v>4583</v>
      </c>
      <c r="B4590" s="3" t="s">
        <v>4592</v>
      </c>
      <c r="C4590" s="3" t="s">
        <v>9</v>
      </c>
      <c r="D4590" s="3" t="s">
        <v>9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/>
      <c r="P4590" s="3"/>
      <c r="Q4590" s="3"/>
    </row>
    <row r="4591" spans="1:17" ht="15" x14ac:dyDescent="0.25">
      <c r="A4591" s="3">
        <f>4584</f>
        <v>4584</v>
      </c>
      <c r="B4591" s="3" t="s">
        <v>4593</v>
      </c>
      <c r="C4591" s="3" t="s">
        <v>9</v>
      </c>
      <c r="D4591" s="3" t="s">
        <v>9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/>
      <c r="P4591" s="3"/>
      <c r="Q4591" s="3"/>
    </row>
    <row r="4592" spans="1:17" ht="15" x14ac:dyDescent="0.25">
      <c r="A4592" s="3">
        <f>4585</f>
        <v>4585</v>
      </c>
      <c r="B4592" s="3" t="s">
        <v>4594</v>
      </c>
      <c r="C4592" s="3" t="s">
        <v>9</v>
      </c>
      <c r="D4592" s="3" t="s">
        <v>9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/>
      <c r="P4592" s="3"/>
      <c r="Q4592" s="3"/>
    </row>
    <row r="4593" spans="1:17" ht="15" x14ac:dyDescent="0.25">
      <c r="A4593" s="3">
        <f>4586</f>
        <v>4586</v>
      </c>
      <c r="B4593" s="3" t="s">
        <v>4595</v>
      </c>
      <c r="C4593" s="3" t="s">
        <v>9</v>
      </c>
      <c r="D4593" s="3" t="s">
        <v>9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/>
      <c r="P4593" s="3"/>
      <c r="Q4593" s="3"/>
    </row>
    <row r="4594" spans="1:17" ht="15" x14ac:dyDescent="0.25">
      <c r="A4594" s="3">
        <f>4587</f>
        <v>4587</v>
      </c>
      <c r="B4594" s="3" t="s">
        <v>4596</v>
      </c>
      <c r="C4594" s="3" t="s">
        <v>9</v>
      </c>
      <c r="D4594" s="3" t="s">
        <v>9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/>
      <c r="P4594" s="3"/>
      <c r="Q4594" s="3"/>
    </row>
    <row r="4595" spans="1:17" ht="15" x14ac:dyDescent="0.25">
      <c r="A4595" s="3">
        <f>4588</f>
        <v>4588</v>
      </c>
      <c r="B4595" s="3" t="s">
        <v>4597</v>
      </c>
      <c r="C4595" s="3" t="s">
        <v>9</v>
      </c>
      <c r="D4595" s="3" t="s">
        <v>9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/>
      <c r="P4595" s="3"/>
      <c r="Q4595" s="3"/>
    </row>
    <row r="4596" spans="1:17" ht="15" x14ac:dyDescent="0.25">
      <c r="A4596" s="3">
        <f>4589</f>
        <v>4589</v>
      </c>
      <c r="B4596" s="3" t="s">
        <v>4598</v>
      </c>
      <c r="C4596" s="3" t="s">
        <v>9</v>
      </c>
      <c r="D4596" s="3" t="s">
        <v>9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/>
      <c r="P4596" s="3"/>
      <c r="Q4596" s="3"/>
    </row>
    <row r="4597" spans="1:17" ht="15" x14ac:dyDescent="0.25">
      <c r="A4597" s="3">
        <f>4590</f>
        <v>4590</v>
      </c>
      <c r="B4597" s="3" t="s">
        <v>4599</v>
      </c>
      <c r="C4597" s="3" t="s">
        <v>9</v>
      </c>
      <c r="D4597" s="3" t="s">
        <v>9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/>
      <c r="P4597" s="3"/>
      <c r="Q4597" s="3"/>
    </row>
    <row r="4598" spans="1:17" ht="15" x14ac:dyDescent="0.25">
      <c r="A4598" s="3">
        <f>4591</f>
        <v>4591</v>
      </c>
      <c r="B4598" s="3" t="s">
        <v>4600</v>
      </c>
      <c r="C4598" s="3" t="s">
        <v>9</v>
      </c>
      <c r="D4598" s="3" t="s">
        <v>9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/>
      <c r="P4598" s="3"/>
      <c r="Q4598" s="3"/>
    </row>
    <row r="4599" spans="1:17" ht="15" x14ac:dyDescent="0.25">
      <c r="A4599" s="3">
        <f>4592</f>
        <v>4592</v>
      </c>
      <c r="B4599" s="3" t="s">
        <v>4601</v>
      </c>
      <c r="C4599" s="3" t="s">
        <v>9</v>
      </c>
      <c r="D4599" s="3" t="s">
        <v>9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/>
      <c r="P4599" s="3"/>
      <c r="Q4599" s="3"/>
    </row>
    <row r="4600" spans="1:17" ht="15" x14ac:dyDescent="0.25">
      <c r="A4600" s="3">
        <f>4593</f>
        <v>4593</v>
      </c>
      <c r="B4600" s="3" t="s">
        <v>4602</v>
      </c>
      <c r="C4600" s="3" t="s">
        <v>9</v>
      </c>
      <c r="D4600" s="3" t="s">
        <v>9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/>
      <c r="P4600" s="3"/>
      <c r="Q4600" s="3"/>
    </row>
    <row r="4601" spans="1:17" ht="15" x14ac:dyDescent="0.25">
      <c r="A4601" s="3">
        <f>4594</f>
        <v>4594</v>
      </c>
      <c r="B4601" s="3" t="s">
        <v>4603</v>
      </c>
      <c r="C4601" s="3" t="s">
        <v>9</v>
      </c>
      <c r="D4601" s="3" t="s">
        <v>9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/>
      <c r="P4601" s="3"/>
      <c r="Q4601" s="3"/>
    </row>
    <row r="4602" spans="1:17" ht="15" x14ac:dyDescent="0.25">
      <c r="A4602" s="3">
        <f>4595</f>
        <v>4595</v>
      </c>
      <c r="B4602" s="3" t="s">
        <v>4604</v>
      </c>
      <c r="C4602" s="3" t="s">
        <v>9</v>
      </c>
      <c r="D4602" s="3" t="s">
        <v>9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/>
      <c r="P4602" s="3"/>
      <c r="Q4602" s="3"/>
    </row>
    <row r="4603" spans="1:17" ht="15" x14ac:dyDescent="0.25">
      <c r="A4603" s="3">
        <f>4596</f>
        <v>4596</v>
      </c>
      <c r="B4603" s="3" t="s">
        <v>4605</v>
      </c>
      <c r="C4603" s="3" t="s">
        <v>9</v>
      </c>
      <c r="D4603" s="3" t="s">
        <v>9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/>
      <c r="P4603" s="3"/>
      <c r="Q4603" s="3"/>
    </row>
    <row r="4604" spans="1:17" ht="15" x14ac:dyDescent="0.25">
      <c r="A4604" s="3">
        <f>4597</f>
        <v>4597</v>
      </c>
      <c r="B4604" s="3" t="s">
        <v>4606</v>
      </c>
      <c r="C4604" s="3" t="s">
        <v>9</v>
      </c>
      <c r="D4604" s="3" t="s">
        <v>9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/>
      <c r="P4604" s="3"/>
      <c r="Q4604" s="3"/>
    </row>
    <row r="4605" spans="1:17" ht="15" x14ac:dyDescent="0.25">
      <c r="A4605" s="3">
        <f>4598</f>
        <v>4598</v>
      </c>
      <c r="B4605" s="3" t="s">
        <v>4607</v>
      </c>
      <c r="C4605" s="3" t="s">
        <v>9</v>
      </c>
      <c r="D4605" s="3" t="s">
        <v>9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/>
      <c r="P4605" s="3"/>
      <c r="Q4605" s="3"/>
    </row>
    <row r="4606" spans="1:17" ht="15" x14ac:dyDescent="0.25">
      <c r="A4606" s="3">
        <f>4599</f>
        <v>4599</v>
      </c>
      <c r="B4606" s="3" t="s">
        <v>4608</v>
      </c>
      <c r="C4606" s="3" t="s">
        <v>9</v>
      </c>
      <c r="D4606" s="3" t="s">
        <v>9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/>
      <c r="P4606" s="3"/>
      <c r="Q4606" s="3"/>
    </row>
    <row r="4607" spans="1:17" ht="15" x14ac:dyDescent="0.25">
      <c r="A4607" s="3">
        <f>4600</f>
        <v>4600</v>
      </c>
      <c r="B4607" s="3" t="s">
        <v>4609</v>
      </c>
      <c r="C4607" s="3" t="s">
        <v>9</v>
      </c>
      <c r="D4607" s="3" t="s">
        <v>9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/>
      <c r="P4607" s="3"/>
      <c r="Q4607" s="3"/>
    </row>
    <row r="4608" spans="1:17" ht="15" x14ac:dyDescent="0.25">
      <c r="A4608" s="3">
        <f>4601</f>
        <v>4601</v>
      </c>
      <c r="B4608" s="3" t="s">
        <v>4610</v>
      </c>
      <c r="C4608" s="3" t="s">
        <v>9</v>
      </c>
      <c r="D4608" s="3" t="s">
        <v>9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/>
      <c r="P4608" s="3"/>
      <c r="Q4608" s="3"/>
    </row>
    <row r="4609" spans="1:17" ht="15" x14ac:dyDescent="0.25">
      <c r="A4609" s="3">
        <f>4602</f>
        <v>4602</v>
      </c>
      <c r="B4609" s="3" t="s">
        <v>4611</v>
      </c>
      <c r="C4609" s="3" t="s">
        <v>9</v>
      </c>
      <c r="D4609" s="3" t="s">
        <v>9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/>
      <c r="P4609" s="3"/>
      <c r="Q4609" s="3"/>
    </row>
    <row r="4610" spans="1:17" ht="15" x14ac:dyDescent="0.25">
      <c r="A4610" s="3">
        <f>4603</f>
        <v>4603</v>
      </c>
      <c r="B4610" s="3" t="s">
        <v>4612</v>
      </c>
      <c r="C4610" s="3" t="s">
        <v>9</v>
      </c>
      <c r="D4610" s="3" t="s">
        <v>9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/>
      <c r="P4610" s="3"/>
      <c r="Q4610" s="3"/>
    </row>
    <row r="4611" spans="1:17" ht="15" x14ac:dyDescent="0.25">
      <c r="A4611" s="3">
        <f>4604</f>
        <v>4604</v>
      </c>
      <c r="B4611" s="3" t="s">
        <v>4613</v>
      </c>
      <c r="C4611" s="3" t="s">
        <v>9</v>
      </c>
      <c r="D4611" s="3" t="s">
        <v>9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/>
      <c r="P4611" s="3"/>
      <c r="Q4611" s="3"/>
    </row>
    <row r="4612" spans="1:17" ht="15" x14ac:dyDescent="0.25">
      <c r="A4612" s="3">
        <f>4605</f>
        <v>4605</v>
      </c>
      <c r="B4612" s="3" t="s">
        <v>4614</v>
      </c>
      <c r="C4612" s="3" t="s">
        <v>9</v>
      </c>
      <c r="D4612" s="3" t="s">
        <v>9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/>
      <c r="P4612" s="3"/>
      <c r="Q4612" s="3"/>
    </row>
    <row r="4613" spans="1:17" ht="15" x14ac:dyDescent="0.25">
      <c r="A4613" s="3">
        <f>4606</f>
        <v>4606</v>
      </c>
      <c r="B4613" s="3" t="s">
        <v>4615</v>
      </c>
      <c r="C4613" s="3" t="s">
        <v>9</v>
      </c>
      <c r="D4613" s="3" t="s">
        <v>9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/>
      <c r="P4613" s="3"/>
      <c r="Q4613" s="3"/>
    </row>
    <row r="4614" spans="1:17" ht="15" x14ac:dyDescent="0.25">
      <c r="A4614" s="3">
        <f>4607</f>
        <v>4607</v>
      </c>
      <c r="B4614" s="3" t="s">
        <v>4616</v>
      </c>
      <c r="C4614" s="3" t="s">
        <v>9</v>
      </c>
      <c r="D4614" s="3" t="s">
        <v>9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/>
      <c r="P4614" s="3"/>
      <c r="Q4614" s="3"/>
    </row>
    <row r="4615" spans="1:17" ht="15" x14ac:dyDescent="0.25">
      <c r="A4615" s="3">
        <f>4608</f>
        <v>4608</v>
      </c>
      <c r="B4615" s="3" t="s">
        <v>4617</v>
      </c>
      <c r="C4615" s="3" t="s">
        <v>9</v>
      </c>
      <c r="D4615" s="3" t="s">
        <v>9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/>
      <c r="P4615" s="3"/>
      <c r="Q4615" s="3"/>
    </row>
    <row r="4616" spans="1:17" ht="15" x14ac:dyDescent="0.25">
      <c r="A4616" s="3">
        <f>4609</f>
        <v>4609</v>
      </c>
      <c r="B4616" s="3" t="s">
        <v>4618</v>
      </c>
      <c r="C4616" s="3" t="s">
        <v>9</v>
      </c>
      <c r="D4616" s="3" t="s">
        <v>9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/>
      <c r="P4616" s="3"/>
      <c r="Q4616" s="3"/>
    </row>
    <row r="4617" spans="1:17" ht="15" x14ac:dyDescent="0.25">
      <c r="A4617" s="3">
        <f>4610</f>
        <v>4610</v>
      </c>
      <c r="B4617" s="3" t="s">
        <v>4619</v>
      </c>
      <c r="C4617" s="3" t="s">
        <v>9</v>
      </c>
      <c r="D4617" s="3" t="s">
        <v>9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/>
      <c r="P4617" s="3"/>
      <c r="Q4617" s="3"/>
    </row>
    <row r="4618" spans="1:17" ht="15" x14ac:dyDescent="0.25">
      <c r="A4618" s="3">
        <f>4611</f>
        <v>4611</v>
      </c>
      <c r="B4618" s="3" t="s">
        <v>4620</v>
      </c>
      <c r="C4618" s="3" t="s">
        <v>9</v>
      </c>
      <c r="D4618" s="3" t="s">
        <v>9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/>
      <c r="P4618" s="3"/>
      <c r="Q4618" s="3"/>
    </row>
    <row r="4619" spans="1:17" ht="15" x14ac:dyDescent="0.25">
      <c r="A4619" s="3">
        <f>4612</f>
        <v>4612</v>
      </c>
      <c r="B4619" s="3" t="s">
        <v>4621</v>
      </c>
      <c r="C4619" s="3" t="s">
        <v>9</v>
      </c>
      <c r="D4619" s="3" t="s">
        <v>9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/>
      <c r="P4619" s="3"/>
      <c r="Q4619" s="3"/>
    </row>
    <row r="4620" spans="1:17" ht="15" x14ac:dyDescent="0.25">
      <c r="A4620" s="3">
        <f>4613</f>
        <v>4613</v>
      </c>
      <c r="B4620" s="3" t="s">
        <v>4622</v>
      </c>
      <c r="C4620" s="3" t="s">
        <v>9</v>
      </c>
      <c r="D4620" s="3" t="s">
        <v>9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/>
      <c r="P4620" s="3"/>
      <c r="Q4620" s="3"/>
    </row>
    <row r="4621" spans="1:17" ht="15" x14ac:dyDescent="0.25">
      <c r="A4621" s="3">
        <f>4614</f>
        <v>4614</v>
      </c>
      <c r="B4621" s="3" t="s">
        <v>4623</v>
      </c>
      <c r="C4621" s="3" t="s">
        <v>9</v>
      </c>
      <c r="D4621" s="3" t="s">
        <v>9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/>
      <c r="P4621" s="3"/>
      <c r="Q4621" s="3"/>
    </row>
    <row r="4622" spans="1:17" ht="15" x14ac:dyDescent="0.25">
      <c r="A4622" s="3">
        <f>4615</f>
        <v>4615</v>
      </c>
      <c r="B4622" s="3" t="s">
        <v>4624</v>
      </c>
      <c r="C4622" s="3" t="s">
        <v>9</v>
      </c>
      <c r="D4622" s="3" t="s">
        <v>9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/>
      <c r="P4622" s="3"/>
      <c r="Q4622" s="3"/>
    </row>
    <row r="4623" spans="1:17" ht="15" x14ac:dyDescent="0.25">
      <c r="A4623" s="3">
        <f>4616</f>
        <v>4616</v>
      </c>
      <c r="B4623" s="3" t="s">
        <v>4625</v>
      </c>
      <c r="C4623" s="3" t="s">
        <v>9</v>
      </c>
      <c r="D4623" s="3" t="s">
        <v>9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/>
      <c r="P4623" s="3"/>
      <c r="Q4623" s="3"/>
    </row>
    <row r="4624" spans="1:17" ht="15" x14ac:dyDescent="0.25">
      <c r="A4624" s="3">
        <f>4617</f>
        <v>4617</v>
      </c>
      <c r="B4624" s="3" t="s">
        <v>4626</v>
      </c>
      <c r="C4624" s="3" t="s">
        <v>9</v>
      </c>
      <c r="D4624" s="3" t="s">
        <v>9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/>
      <c r="P4624" s="3"/>
      <c r="Q4624" s="3"/>
    </row>
    <row r="4625" spans="1:17" ht="15" x14ac:dyDescent="0.25">
      <c r="A4625" s="3">
        <f>4618</f>
        <v>4618</v>
      </c>
      <c r="B4625" s="3" t="s">
        <v>4627</v>
      </c>
      <c r="C4625" s="3" t="s">
        <v>9</v>
      </c>
      <c r="D4625" s="3" t="s">
        <v>9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/>
      <c r="P4625" s="3"/>
      <c r="Q4625" s="3"/>
    </row>
    <row r="4626" spans="1:17" ht="15" x14ac:dyDescent="0.25">
      <c r="A4626" s="3">
        <f>4619</f>
        <v>4619</v>
      </c>
      <c r="B4626" s="3" t="s">
        <v>4628</v>
      </c>
      <c r="C4626" s="3" t="s">
        <v>9</v>
      </c>
      <c r="D4626" s="3" t="s">
        <v>9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/>
      <c r="P4626" s="3"/>
      <c r="Q4626" s="3"/>
    </row>
    <row r="4627" spans="1:17" ht="15" x14ac:dyDescent="0.25">
      <c r="A4627" s="3">
        <f>4620</f>
        <v>4620</v>
      </c>
      <c r="B4627" s="3" t="s">
        <v>4629</v>
      </c>
      <c r="C4627" s="3" t="s">
        <v>9</v>
      </c>
      <c r="D4627" s="3" t="s">
        <v>9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/>
      <c r="P4627" s="3"/>
      <c r="Q4627" s="3"/>
    </row>
    <row r="4628" spans="1:17" ht="15" x14ac:dyDescent="0.25">
      <c r="A4628" s="3">
        <f>4621</f>
        <v>4621</v>
      </c>
      <c r="B4628" s="3" t="s">
        <v>4630</v>
      </c>
      <c r="C4628" s="3" t="s">
        <v>9</v>
      </c>
      <c r="D4628" s="3" t="s">
        <v>9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/>
      <c r="P4628" s="3"/>
      <c r="Q4628" s="3"/>
    </row>
    <row r="4629" spans="1:17" ht="15" x14ac:dyDescent="0.25">
      <c r="A4629" s="3">
        <f>4622</f>
        <v>4622</v>
      </c>
      <c r="B4629" s="3" t="s">
        <v>4631</v>
      </c>
      <c r="C4629" s="3" t="s">
        <v>9</v>
      </c>
      <c r="D4629" s="3" t="s">
        <v>9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/>
      <c r="P4629" s="3"/>
      <c r="Q4629" s="3"/>
    </row>
    <row r="4630" spans="1:17" ht="15" x14ac:dyDescent="0.25">
      <c r="A4630" s="3">
        <f>4623</f>
        <v>4623</v>
      </c>
      <c r="B4630" s="3" t="s">
        <v>4632</v>
      </c>
      <c r="C4630" s="3" t="s">
        <v>9</v>
      </c>
      <c r="D4630" s="3" t="s">
        <v>9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/>
      <c r="P4630" s="3"/>
      <c r="Q4630" s="3"/>
    </row>
    <row r="4631" spans="1:17" ht="15" x14ac:dyDescent="0.25">
      <c r="A4631" s="3">
        <f>4624</f>
        <v>4624</v>
      </c>
      <c r="B4631" s="3" t="s">
        <v>4633</v>
      </c>
      <c r="C4631" s="3" t="s">
        <v>9</v>
      </c>
      <c r="D4631" s="3" t="s">
        <v>9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/>
      <c r="P4631" s="3"/>
      <c r="Q4631" s="3"/>
    </row>
    <row r="4632" spans="1:17" ht="15" x14ac:dyDescent="0.25">
      <c r="A4632" s="3">
        <f>4625</f>
        <v>4625</v>
      </c>
      <c r="B4632" s="3" t="s">
        <v>4634</v>
      </c>
      <c r="C4632" s="3" t="s">
        <v>9</v>
      </c>
      <c r="D4632" s="3" t="s">
        <v>9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/>
      <c r="P4632" s="3"/>
      <c r="Q4632" s="3"/>
    </row>
    <row r="4633" spans="1:17" ht="15" x14ac:dyDescent="0.25">
      <c r="A4633" s="3">
        <f>4626</f>
        <v>4626</v>
      </c>
      <c r="B4633" s="3" t="s">
        <v>4635</v>
      </c>
      <c r="C4633" s="3" t="s">
        <v>9</v>
      </c>
      <c r="D4633" s="3" t="s">
        <v>9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/>
      <c r="P4633" s="3"/>
      <c r="Q4633" s="3"/>
    </row>
    <row r="4634" spans="1:17" ht="15" x14ac:dyDescent="0.25">
      <c r="A4634" s="3">
        <f>4627</f>
        <v>4627</v>
      </c>
      <c r="B4634" s="3" t="s">
        <v>4636</v>
      </c>
      <c r="C4634" s="3" t="s">
        <v>9</v>
      </c>
      <c r="D4634" s="3" t="s">
        <v>9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/>
      <c r="P4634" s="3"/>
      <c r="Q4634" s="3"/>
    </row>
    <row r="4635" spans="1:17" ht="15" x14ac:dyDescent="0.25">
      <c r="A4635" s="3">
        <f>4628</f>
        <v>4628</v>
      </c>
      <c r="B4635" s="3" t="s">
        <v>4637</v>
      </c>
      <c r="C4635" s="3" t="s">
        <v>9</v>
      </c>
      <c r="D4635" s="3" t="s">
        <v>9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/>
      <c r="P4635" s="3"/>
      <c r="Q4635" s="3"/>
    </row>
    <row r="4636" spans="1:17" ht="15" x14ac:dyDescent="0.25">
      <c r="A4636" s="3">
        <f>4629</f>
        <v>4629</v>
      </c>
      <c r="B4636" s="3" t="s">
        <v>4638</v>
      </c>
      <c r="C4636" s="3" t="s">
        <v>9</v>
      </c>
      <c r="D4636" s="3" t="s">
        <v>9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/>
      <c r="P4636" s="3"/>
      <c r="Q4636" s="3"/>
    </row>
    <row r="4637" spans="1:17" ht="15" x14ac:dyDescent="0.25">
      <c r="A4637" s="3">
        <f>4630</f>
        <v>4630</v>
      </c>
      <c r="B4637" s="3" t="s">
        <v>4639</v>
      </c>
      <c r="C4637" s="3" t="s">
        <v>9</v>
      </c>
      <c r="D4637" s="3" t="s">
        <v>9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/>
      <c r="P4637" s="3"/>
      <c r="Q4637" s="3"/>
    </row>
    <row r="4638" spans="1:17" ht="15" x14ac:dyDescent="0.25">
      <c r="A4638" s="3">
        <f>4631</f>
        <v>4631</v>
      </c>
      <c r="B4638" s="3" t="s">
        <v>4640</v>
      </c>
      <c r="C4638" s="3" t="s">
        <v>9</v>
      </c>
      <c r="D4638" s="3" t="s">
        <v>9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/>
      <c r="P4638" s="3"/>
      <c r="Q4638" s="3"/>
    </row>
    <row r="4639" spans="1:17" ht="15" x14ac:dyDescent="0.25">
      <c r="A4639" s="3">
        <f>4632</f>
        <v>4632</v>
      </c>
      <c r="B4639" s="3" t="s">
        <v>4641</v>
      </c>
      <c r="C4639" s="3" t="s">
        <v>9</v>
      </c>
      <c r="D4639" s="3" t="s">
        <v>9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/>
      <c r="P4639" s="3"/>
      <c r="Q4639" s="3"/>
    </row>
    <row r="4640" spans="1:17" ht="15" x14ac:dyDescent="0.25">
      <c r="A4640" s="3">
        <f>4633</f>
        <v>4633</v>
      </c>
      <c r="B4640" s="3" t="s">
        <v>4642</v>
      </c>
      <c r="C4640" s="3" t="s">
        <v>9</v>
      </c>
      <c r="D4640" s="3" t="s">
        <v>9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/>
      <c r="P4640" s="3"/>
      <c r="Q4640" s="3"/>
    </row>
    <row r="4641" spans="1:17" ht="15" x14ac:dyDescent="0.25">
      <c r="A4641" s="3">
        <f>4634</f>
        <v>4634</v>
      </c>
      <c r="B4641" s="3" t="s">
        <v>4643</v>
      </c>
      <c r="C4641" s="3" t="s">
        <v>9</v>
      </c>
      <c r="D4641" s="3" t="s">
        <v>9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/>
      <c r="P4641" s="3"/>
      <c r="Q4641" s="3"/>
    </row>
    <row r="4642" spans="1:17" ht="15" x14ac:dyDescent="0.25">
      <c r="A4642" s="3">
        <f>4635</f>
        <v>4635</v>
      </c>
      <c r="B4642" s="3" t="s">
        <v>4644</v>
      </c>
      <c r="C4642" s="3" t="s">
        <v>9</v>
      </c>
      <c r="D4642" s="3" t="s">
        <v>9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/>
      <c r="P4642" s="3"/>
      <c r="Q4642" s="3"/>
    </row>
    <row r="4643" spans="1:17" ht="15" x14ac:dyDescent="0.25">
      <c r="A4643" s="3">
        <f>4636</f>
        <v>4636</v>
      </c>
      <c r="B4643" s="3" t="s">
        <v>4645</v>
      </c>
      <c r="C4643" s="3" t="s">
        <v>9</v>
      </c>
      <c r="D4643" s="3" t="s">
        <v>9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/>
      <c r="P4643" s="3"/>
      <c r="Q4643" s="3"/>
    </row>
    <row r="4644" spans="1:17" ht="15" x14ac:dyDescent="0.25">
      <c r="A4644" s="3">
        <f>4637</f>
        <v>4637</v>
      </c>
      <c r="B4644" s="3" t="s">
        <v>4646</v>
      </c>
      <c r="C4644" s="3" t="s">
        <v>9</v>
      </c>
      <c r="D4644" s="3" t="s">
        <v>9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/>
      <c r="P4644" s="3"/>
      <c r="Q4644" s="3"/>
    </row>
    <row r="4645" spans="1:17" ht="15" x14ac:dyDescent="0.25">
      <c r="A4645" s="3">
        <f>4638</f>
        <v>4638</v>
      </c>
      <c r="B4645" s="3" t="s">
        <v>4647</v>
      </c>
      <c r="C4645" s="3" t="s">
        <v>9</v>
      </c>
      <c r="D4645" s="3" t="s">
        <v>9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/>
      <c r="P4645" s="3"/>
      <c r="Q4645" s="3"/>
    </row>
    <row r="4646" spans="1:17" ht="15" x14ac:dyDescent="0.25">
      <c r="A4646" s="3">
        <f>4639</f>
        <v>4639</v>
      </c>
      <c r="B4646" s="3" t="s">
        <v>4648</v>
      </c>
      <c r="C4646" s="3" t="s">
        <v>9</v>
      </c>
      <c r="D4646" s="3" t="s">
        <v>9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/>
      <c r="P4646" s="3"/>
      <c r="Q4646" s="3"/>
    </row>
    <row r="4647" spans="1:17" ht="15" x14ac:dyDescent="0.25">
      <c r="A4647" s="3">
        <f>4640</f>
        <v>4640</v>
      </c>
      <c r="B4647" s="3" t="s">
        <v>4649</v>
      </c>
      <c r="C4647" s="3" t="s">
        <v>9</v>
      </c>
      <c r="D4647" s="3" t="s">
        <v>9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/>
      <c r="P4647" s="3"/>
      <c r="Q4647" s="3"/>
    </row>
    <row r="4648" spans="1:17" ht="15" x14ac:dyDescent="0.25">
      <c r="A4648" s="3">
        <f>4641</f>
        <v>4641</v>
      </c>
      <c r="B4648" s="3" t="s">
        <v>4650</v>
      </c>
      <c r="C4648" s="3" t="s">
        <v>9</v>
      </c>
      <c r="D4648" s="3" t="s">
        <v>9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/>
      <c r="P4648" s="3"/>
      <c r="Q4648" s="3"/>
    </row>
    <row r="4649" spans="1:17" ht="15" x14ac:dyDescent="0.25">
      <c r="A4649" s="3">
        <f>4642</f>
        <v>4642</v>
      </c>
      <c r="B4649" s="3" t="s">
        <v>4651</v>
      </c>
      <c r="C4649" s="3" t="s">
        <v>9</v>
      </c>
      <c r="D4649" s="3" t="s">
        <v>9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/>
      <c r="P4649" s="3"/>
      <c r="Q4649" s="3"/>
    </row>
    <row r="4650" spans="1:17" ht="15" x14ac:dyDescent="0.25">
      <c r="A4650" s="3">
        <f>4643</f>
        <v>4643</v>
      </c>
      <c r="B4650" s="3" t="s">
        <v>4652</v>
      </c>
      <c r="C4650" s="3" t="s">
        <v>9</v>
      </c>
      <c r="D4650" s="3" t="s">
        <v>9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/>
      <c r="P4650" s="3"/>
      <c r="Q4650" s="3"/>
    </row>
    <row r="4651" spans="1:17" ht="15" x14ac:dyDescent="0.25">
      <c r="A4651" s="3">
        <f>4644</f>
        <v>4644</v>
      </c>
      <c r="B4651" s="3" t="s">
        <v>4653</v>
      </c>
      <c r="C4651" s="3" t="s">
        <v>9</v>
      </c>
      <c r="D4651" s="3" t="s">
        <v>9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/>
      <c r="P4651" s="3"/>
      <c r="Q4651" s="3"/>
    </row>
    <row r="4652" spans="1:17" ht="15" x14ac:dyDescent="0.25">
      <c r="A4652" s="3">
        <f>4645</f>
        <v>4645</v>
      </c>
      <c r="B4652" s="3" t="s">
        <v>4654</v>
      </c>
      <c r="C4652" s="3" t="s">
        <v>9</v>
      </c>
      <c r="D4652" s="3" t="s">
        <v>9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/>
      <c r="P4652" s="3"/>
      <c r="Q4652" s="3"/>
    </row>
    <row r="4653" spans="1:17" ht="15" x14ac:dyDescent="0.25">
      <c r="A4653" s="3">
        <f>4646</f>
        <v>4646</v>
      </c>
      <c r="B4653" s="3" t="s">
        <v>4655</v>
      </c>
      <c r="C4653" s="3" t="s">
        <v>9</v>
      </c>
      <c r="D4653" s="3" t="s">
        <v>9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/>
      <c r="P4653" s="3"/>
      <c r="Q4653" s="3"/>
    </row>
    <row r="4654" spans="1:17" ht="15" x14ac:dyDescent="0.25">
      <c r="A4654" s="3">
        <f>4647</f>
        <v>4647</v>
      </c>
      <c r="B4654" s="3" t="s">
        <v>4656</v>
      </c>
      <c r="C4654" s="3" t="s">
        <v>9</v>
      </c>
      <c r="D4654" s="3" t="s">
        <v>9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/>
      <c r="P4654" s="3"/>
      <c r="Q4654" s="3"/>
    </row>
    <row r="4655" spans="1:17" ht="15" x14ac:dyDescent="0.25">
      <c r="A4655" s="3">
        <f>4648</f>
        <v>4648</v>
      </c>
      <c r="B4655" s="3" t="s">
        <v>4657</v>
      </c>
      <c r="C4655" s="3" t="s">
        <v>9</v>
      </c>
      <c r="D4655" s="3" t="s">
        <v>9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/>
      <c r="P4655" s="3"/>
      <c r="Q4655" s="3"/>
    </row>
    <row r="4656" spans="1:17" ht="15" x14ac:dyDescent="0.25">
      <c r="A4656" s="3">
        <f>4649</f>
        <v>4649</v>
      </c>
      <c r="B4656" s="3" t="s">
        <v>4658</v>
      </c>
      <c r="C4656" s="3" t="s">
        <v>9</v>
      </c>
      <c r="D4656" s="3" t="s">
        <v>9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/>
      <c r="P4656" s="3"/>
      <c r="Q4656" s="3"/>
    </row>
    <row r="4657" spans="1:17" ht="15" x14ac:dyDescent="0.25">
      <c r="A4657" s="3">
        <f>4650</f>
        <v>4650</v>
      </c>
      <c r="B4657" s="3" t="s">
        <v>4659</v>
      </c>
      <c r="C4657" s="3" t="s">
        <v>9</v>
      </c>
      <c r="D4657" s="3" t="s">
        <v>9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/>
      <c r="P4657" s="3"/>
      <c r="Q4657" s="3"/>
    </row>
    <row r="4658" spans="1:17" ht="15" x14ac:dyDescent="0.25">
      <c r="A4658" s="3">
        <f>4651</f>
        <v>4651</v>
      </c>
      <c r="B4658" s="3" t="s">
        <v>4660</v>
      </c>
      <c r="C4658" s="3" t="s">
        <v>9</v>
      </c>
      <c r="D4658" s="3" t="s">
        <v>9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/>
      <c r="P4658" s="3"/>
      <c r="Q4658" s="3"/>
    </row>
    <row r="4659" spans="1:17" ht="15" x14ac:dyDescent="0.25">
      <c r="A4659" s="3">
        <f>4652</f>
        <v>4652</v>
      </c>
      <c r="B4659" s="3" t="s">
        <v>4661</v>
      </c>
      <c r="C4659" s="3" t="s">
        <v>9</v>
      </c>
      <c r="D4659" s="3" t="s">
        <v>9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/>
      <c r="P4659" s="3"/>
      <c r="Q4659" s="3"/>
    </row>
    <row r="4660" spans="1:17" ht="15" x14ac:dyDescent="0.25">
      <c r="A4660" s="3">
        <f>4653</f>
        <v>4653</v>
      </c>
      <c r="B4660" s="3" t="s">
        <v>4662</v>
      </c>
      <c r="C4660" s="3" t="s">
        <v>9</v>
      </c>
      <c r="D4660" s="3" t="s">
        <v>9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/>
      <c r="P4660" s="3"/>
      <c r="Q4660" s="3"/>
    </row>
    <row r="4661" spans="1:17" ht="15" x14ac:dyDescent="0.25">
      <c r="A4661" s="3">
        <f>4654</f>
        <v>4654</v>
      </c>
      <c r="B4661" s="3" t="s">
        <v>4663</v>
      </c>
      <c r="C4661" s="3" t="s">
        <v>9</v>
      </c>
      <c r="D4661" s="3" t="s">
        <v>9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/>
      <c r="P4661" s="3"/>
      <c r="Q4661" s="3"/>
    </row>
    <row r="4662" spans="1:17" ht="15" x14ac:dyDescent="0.25">
      <c r="A4662" s="3">
        <f>4655</f>
        <v>4655</v>
      </c>
      <c r="B4662" s="3" t="s">
        <v>4664</v>
      </c>
      <c r="C4662" s="3" t="s">
        <v>9</v>
      </c>
      <c r="D4662" s="3" t="s">
        <v>9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/>
      <c r="P4662" s="3"/>
      <c r="Q4662" s="3"/>
    </row>
    <row r="4663" spans="1:17" ht="15" x14ac:dyDescent="0.25">
      <c r="A4663" s="3">
        <f>4656</f>
        <v>4656</v>
      </c>
      <c r="B4663" s="3" t="s">
        <v>4665</v>
      </c>
      <c r="C4663" s="3" t="s">
        <v>9</v>
      </c>
      <c r="D4663" s="3" t="s">
        <v>9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/>
      <c r="P4663" s="3"/>
      <c r="Q4663" s="3"/>
    </row>
    <row r="4664" spans="1:17" ht="15" x14ac:dyDescent="0.25">
      <c r="A4664" s="3">
        <f>4657</f>
        <v>4657</v>
      </c>
      <c r="B4664" s="3" t="s">
        <v>4666</v>
      </c>
      <c r="C4664" s="3" t="s">
        <v>9</v>
      </c>
      <c r="D4664" s="3" t="s">
        <v>9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/>
      <c r="P4664" s="3"/>
      <c r="Q4664" s="3"/>
    </row>
    <row r="4665" spans="1:17" ht="15" x14ac:dyDescent="0.25">
      <c r="A4665" s="3">
        <f>4658</f>
        <v>4658</v>
      </c>
      <c r="B4665" s="3" t="s">
        <v>4667</v>
      </c>
      <c r="C4665" s="3" t="s">
        <v>9</v>
      </c>
      <c r="D4665" s="3" t="s">
        <v>9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/>
      <c r="P4665" s="3"/>
      <c r="Q4665" s="3"/>
    </row>
    <row r="4666" spans="1:17" ht="15" x14ac:dyDescent="0.25">
      <c r="A4666" s="3">
        <f>4659</f>
        <v>4659</v>
      </c>
      <c r="B4666" s="3" t="s">
        <v>4668</v>
      </c>
      <c r="C4666" s="3" t="s">
        <v>9</v>
      </c>
      <c r="D4666" s="3" t="s">
        <v>9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/>
      <c r="P4666" s="3"/>
      <c r="Q4666" s="3"/>
    </row>
    <row r="4667" spans="1:17" ht="15" x14ac:dyDescent="0.25">
      <c r="A4667" s="3">
        <f>4660</f>
        <v>4660</v>
      </c>
      <c r="B4667" s="3" t="s">
        <v>4669</v>
      </c>
      <c r="C4667" s="3" t="s">
        <v>9</v>
      </c>
      <c r="D4667" s="3" t="s">
        <v>9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/>
      <c r="P4667" s="3"/>
      <c r="Q4667" s="3"/>
    </row>
    <row r="4668" spans="1:17" ht="15" x14ac:dyDescent="0.25">
      <c r="A4668" s="3">
        <f>4661</f>
        <v>4661</v>
      </c>
      <c r="B4668" s="3" t="s">
        <v>4670</v>
      </c>
      <c r="C4668" s="3" t="s">
        <v>9</v>
      </c>
      <c r="D4668" s="3" t="s">
        <v>9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/>
      <c r="P4668" s="3"/>
      <c r="Q4668" s="3"/>
    </row>
    <row r="4669" spans="1:17" ht="15" x14ac:dyDescent="0.25">
      <c r="A4669" s="3">
        <f>4662</f>
        <v>4662</v>
      </c>
      <c r="B4669" s="3" t="s">
        <v>4671</v>
      </c>
      <c r="C4669" s="3" t="s">
        <v>9</v>
      </c>
      <c r="D4669" s="3" t="s">
        <v>9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/>
      <c r="P4669" s="3"/>
      <c r="Q4669" s="3"/>
    </row>
    <row r="4670" spans="1:17" ht="15" x14ac:dyDescent="0.25">
      <c r="A4670" s="3">
        <f>4663</f>
        <v>4663</v>
      </c>
      <c r="B4670" s="3" t="s">
        <v>4672</v>
      </c>
      <c r="C4670" s="3" t="s">
        <v>9</v>
      </c>
      <c r="D4670" s="3" t="s">
        <v>9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/>
      <c r="P4670" s="3"/>
      <c r="Q4670" s="3"/>
    </row>
    <row r="4671" spans="1:17" ht="15" x14ac:dyDescent="0.25">
      <c r="A4671" s="3">
        <f>4664</f>
        <v>4664</v>
      </c>
      <c r="B4671" s="3" t="s">
        <v>4673</v>
      </c>
      <c r="C4671" s="3" t="s">
        <v>9</v>
      </c>
      <c r="D4671" s="3" t="s">
        <v>9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/>
      <c r="P4671" s="3"/>
      <c r="Q4671" s="3"/>
    </row>
    <row r="4672" spans="1:17" ht="15" x14ac:dyDescent="0.25">
      <c r="A4672" s="3">
        <f>4665</f>
        <v>4665</v>
      </c>
      <c r="B4672" s="3" t="s">
        <v>4674</v>
      </c>
      <c r="C4672" s="3" t="s">
        <v>9</v>
      </c>
      <c r="D4672" s="3" t="s">
        <v>9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/>
      <c r="P4672" s="3"/>
      <c r="Q4672" s="3"/>
    </row>
    <row r="4673" spans="1:17" ht="15" x14ac:dyDescent="0.25">
      <c r="A4673" s="3">
        <f>4666</f>
        <v>4666</v>
      </c>
      <c r="B4673" s="3" t="s">
        <v>4675</v>
      </c>
      <c r="C4673" s="3" t="s">
        <v>9</v>
      </c>
      <c r="D4673" s="3" t="s">
        <v>9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/>
      <c r="P4673" s="3"/>
      <c r="Q4673" s="3"/>
    </row>
    <row r="4674" spans="1:17" ht="15" x14ac:dyDescent="0.25">
      <c r="A4674" s="3">
        <f>4667</f>
        <v>4667</v>
      </c>
      <c r="B4674" s="3" t="s">
        <v>4676</v>
      </c>
      <c r="C4674" s="3" t="s">
        <v>9</v>
      </c>
      <c r="D4674" s="3" t="s">
        <v>9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/>
      <c r="P4674" s="3"/>
      <c r="Q4674" s="3"/>
    </row>
    <row r="4675" spans="1:17" ht="15" x14ac:dyDescent="0.25">
      <c r="A4675" s="3">
        <f>4668</f>
        <v>4668</v>
      </c>
      <c r="B4675" s="3" t="s">
        <v>4677</v>
      </c>
      <c r="C4675" s="3" t="s">
        <v>9</v>
      </c>
      <c r="D4675" s="3" t="s">
        <v>9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/>
      <c r="P4675" s="3"/>
      <c r="Q4675" s="3"/>
    </row>
    <row r="4676" spans="1:17" ht="15" x14ac:dyDescent="0.25">
      <c r="A4676" s="3">
        <f>4669</f>
        <v>4669</v>
      </c>
      <c r="B4676" s="3" t="s">
        <v>4678</v>
      </c>
      <c r="C4676" s="3" t="s">
        <v>9</v>
      </c>
      <c r="D4676" s="3" t="s">
        <v>9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/>
      <c r="P4676" s="3"/>
      <c r="Q4676" s="3"/>
    </row>
    <row r="4677" spans="1:17" ht="15" x14ac:dyDescent="0.25">
      <c r="A4677" s="3">
        <f>4670</f>
        <v>4670</v>
      </c>
      <c r="B4677" s="3" t="s">
        <v>4679</v>
      </c>
      <c r="C4677" s="3" t="s">
        <v>9</v>
      </c>
      <c r="D4677" s="3" t="s">
        <v>9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/>
      <c r="P4677" s="3"/>
      <c r="Q4677" s="3"/>
    </row>
    <row r="4678" spans="1:17" ht="15" x14ac:dyDescent="0.25">
      <c r="A4678" s="3">
        <f>4671</f>
        <v>4671</v>
      </c>
      <c r="B4678" s="3" t="s">
        <v>4680</v>
      </c>
      <c r="C4678" s="3" t="s">
        <v>9</v>
      </c>
      <c r="D4678" s="3" t="s">
        <v>9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/>
      <c r="P4678" s="3"/>
      <c r="Q4678" s="3"/>
    </row>
    <row r="4679" spans="1:17" ht="15" x14ac:dyDescent="0.25">
      <c r="A4679" s="3">
        <f>4672</f>
        <v>4672</v>
      </c>
      <c r="B4679" s="3" t="s">
        <v>4681</v>
      </c>
      <c r="C4679" s="3" t="s">
        <v>9</v>
      </c>
      <c r="D4679" s="3" t="s">
        <v>9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/>
      <c r="P4679" s="3"/>
      <c r="Q4679" s="3"/>
    </row>
    <row r="4680" spans="1:17" ht="15" x14ac:dyDescent="0.25">
      <c r="A4680" s="3">
        <f>4673</f>
        <v>4673</v>
      </c>
      <c r="B4680" s="3" t="s">
        <v>4682</v>
      </c>
      <c r="C4680" s="3" t="s">
        <v>9</v>
      </c>
      <c r="D4680" s="3" t="s">
        <v>9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/>
      <c r="P4680" s="3"/>
      <c r="Q4680" s="3"/>
    </row>
    <row r="4681" spans="1:17" ht="15" x14ac:dyDescent="0.25">
      <c r="A4681" s="3">
        <f>4674</f>
        <v>4674</v>
      </c>
      <c r="B4681" s="3" t="s">
        <v>4683</v>
      </c>
      <c r="C4681" s="3" t="s">
        <v>9</v>
      </c>
      <c r="D4681" s="3" t="s">
        <v>9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/>
      <c r="P4681" s="3"/>
      <c r="Q4681" s="3"/>
    </row>
    <row r="4682" spans="1:17" ht="15" x14ac:dyDescent="0.25">
      <c r="A4682" s="3">
        <f>4675</f>
        <v>4675</v>
      </c>
      <c r="B4682" s="3" t="s">
        <v>4684</v>
      </c>
      <c r="C4682" s="3" t="s">
        <v>9</v>
      </c>
      <c r="D4682" s="3" t="s">
        <v>9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/>
      <c r="P4682" s="3"/>
      <c r="Q4682" s="3"/>
    </row>
    <row r="4683" spans="1:17" ht="15" x14ac:dyDescent="0.25">
      <c r="A4683" s="3">
        <f>4676</f>
        <v>4676</v>
      </c>
      <c r="B4683" s="3" t="s">
        <v>4685</v>
      </c>
      <c r="C4683" s="3" t="s">
        <v>9</v>
      </c>
      <c r="D4683" s="3" t="s">
        <v>9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/>
      <c r="P4683" s="3"/>
      <c r="Q4683" s="3"/>
    </row>
    <row r="4684" spans="1:17" ht="15" x14ac:dyDescent="0.25">
      <c r="A4684" s="3">
        <f>4677</f>
        <v>4677</v>
      </c>
      <c r="B4684" s="3" t="s">
        <v>4686</v>
      </c>
      <c r="C4684" s="3" t="s">
        <v>9</v>
      </c>
      <c r="D4684" s="3" t="s">
        <v>9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/>
      <c r="P4684" s="3"/>
      <c r="Q4684" s="3"/>
    </row>
    <row r="4685" spans="1:17" ht="15" x14ac:dyDescent="0.25">
      <c r="A4685" s="3">
        <f>4678</f>
        <v>4678</v>
      </c>
      <c r="B4685" s="3" t="s">
        <v>4687</v>
      </c>
      <c r="C4685" s="3" t="s">
        <v>9</v>
      </c>
      <c r="D4685" s="3" t="s">
        <v>9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/>
      <c r="P4685" s="3"/>
      <c r="Q4685" s="3"/>
    </row>
    <row r="4686" spans="1:17" ht="15" x14ac:dyDescent="0.25">
      <c r="A4686" s="3">
        <f>4679</f>
        <v>4679</v>
      </c>
      <c r="B4686" s="3" t="s">
        <v>4688</v>
      </c>
      <c r="C4686" s="3" t="s">
        <v>9</v>
      </c>
      <c r="D4686" s="3" t="s">
        <v>9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/>
      <c r="P4686" s="3"/>
      <c r="Q4686" s="3"/>
    </row>
    <row r="4687" spans="1:17" ht="15" x14ac:dyDescent="0.25">
      <c r="A4687" s="3">
        <f>4680</f>
        <v>4680</v>
      </c>
      <c r="B4687" s="3" t="s">
        <v>4689</v>
      </c>
      <c r="C4687" s="3" t="s">
        <v>9</v>
      </c>
      <c r="D4687" s="3" t="s">
        <v>9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/>
      <c r="P4687" s="3"/>
      <c r="Q4687" s="3"/>
    </row>
    <row r="4688" spans="1:17" ht="15" x14ac:dyDescent="0.25">
      <c r="A4688" s="3">
        <f>4681</f>
        <v>4681</v>
      </c>
      <c r="B4688" s="3" t="s">
        <v>4690</v>
      </c>
      <c r="C4688" s="3" t="s">
        <v>9</v>
      </c>
      <c r="D4688" s="3" t="s">
        <v>9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/>
      <c r="P4688" s="3"/>
      <c r="Q4688" s="3"/>
    </row>
    <row r="4689" spans="1:17" ht="15" x14ac:dyDescent="0.25">
      <c r="A4689" s="3">
        <f>4682</f>
        <v>4682</v>
      </c>
      <c r="B4689" s="3" t="s">
        <v>4691</v>
      </c>
      <c r="C4689" s="3" t="s">
        <v>9</v>
      </c>
      <c r="D4689" s="3" t="s">
        <v>9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/>
      <c r="P4689" s="3"/>
      <c r="Q4689" s="3"/>
    </row>
    <row r="4690" spans="1:17" ht="15" x14ac:dyDescent="0.25">
      <c r="A4690" s="3">
        <f>4683</f>
        <v>4683</v>
      </c>
      <c r="B4690" s="3" t="s">
        <v>4692</v>
      </c>
      <c r="C4690" s="3" t="s">
        <v>9</v>
      </c>
      <c r="D4690" s="3" t="s">
        <v>9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/>
      <c r="P4690" s="3"/>
      <c r="Q4690" s="3"/>
    </row>
    <row r="4691" spans="1:17" ht="15" x14ac:dyDescent="0.25">
      <c r="A4691" s="3">
        <f>4684</f>
        <v>4684</v>
      </c>
      <c r="B4691" s="3" t="s">
        <v>4693</v>
      </c>
      <c r="C4691" s="3" t="s">
        <v>9</v>
      </c>
      <c r="D4691" s="3" t="s">
        <v>9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/>
      <c r="P4691" s="3"/>
      <c r="Q4691" s="3"/>
    </row>
    <row r="4692" spans="1:17" ht="15" x14ac:dyDescent="0.25">
      <c r="A4692" s="3">
        <f>4685</f>
        <v>4685</v>
      </c>
      <c r="B4692" s="3" t="s">
        <v>4694</v>
      </c>
      <c r="C4692" s="3" t="s">
        <v>9</v>
      </c>
      <c r="D4692" s="3" t="s">
        <v>9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/>
      <c r="P4692" s="3"/>
      <c r="Q4692" s="3"/>
    </row>
    <row r="4693" spans="1:17" ht="15" x14ac:dyDescent="0.25">
      <c r="A4693" s="3">
        <f>4686</f>
        <v>4686</v>
      </c>
      <c r="B4693" s="3" t="s">
        <v>4695</v>
      </c>
      <c r="C4693" s="3" t="s">
        <v>9</v>
      </c>
      <c r="D4693" s="3" t="s">
        <v>9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/>
      <c r="P4693" s="3"/>
      <c r="Q4693" s="3"/>
    </row>
    <row r="4694" spans="1:17" ht="15" x14ac:dyDescent="0.25">
      <c r="A4694" s="3">
        <f>4687</f>
        <v>4687</v>
      </c>
      <c r="B4694" s="3" t="s">
        <v>4696</v>
      </c>
      <c r="C4694" s="3" t="s">
        <v>9</v>
      </c>
      <c r="D4694" s="3" t="s">
        <v>9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/>
      <c r="P4694" s="3"/>
      <c r="Q4694" s="3"/>
    </row>
    <row r="4695" spans="1:17" ht="15" x14ac:dyDescent="0.25">
      <c r="A4695" s="3">
        <f>4688</f>
        <v>4688</v>
      </c>
      <c r="B4695" s="3" t="s">
        <v>4697</v>
      </c>
      <c r="C4695" s="3" t="s">
        <v>9</v>
      </c>
      <c r="D4695" s="3" t="s">
        <v>9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/>
      <c r="P4695" s="3"/>
      <c r="Q4695" s="3"/>
    </row>
    <row r="4696" spans="1:17" ht="15" x14ac:dyDescent="0.25">
      <c r="A4696" s="3">
        <f>4689</f>
        <v>4689</v>
      </c>
      <c r="B4696" s="3" t="s">
        <v>4698</v>
      </c>
      <c r="C4696" s="3" t="s">
        <v>9</v>
      </c>
      <c r="D4696" s="3" t="s">
        <v>9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/>
      <c r="P4696" s="3"/>
      <c r="Q4696" s="3"/>
    </row>
    <row r="4697" spans="1:17" ht="15" x14ac:dyDescent="0.25">
      <c r="A4697" s="3">
        <f>4690</f>
        <v>4690</v>
      </c>
      <c r="B4697" s="3" t="s">
        <v>4699</v>
      </c>
      <c r="C4697" s="3" t="s">
        <v>9</v>
      </c>
      <c r="D4697" s="3" t="s">
        <v>9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/>
      <c r="P4697" s="3"/>
      <c r="Q4697" s="3"/>
    </row>
    <row r="4698" spans="1:17" ht="15" x14ac:dyDescent="0.25">
      <c r="A4698" s="3">
        <f>4691</f>
        <v>4691</v>
      </c>
      <c r="B4698" s="3" t="s">
        <v>4700</v>
      </c>
      <c r="C4698" s="3" t="s">
        <v>9</v>
      </c>
      <c r="D4698" s="3" t="s">
        <v>9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/>
      <c r="P4698" s="3"/>
      <c r="Q4698" s="3"/>
    </row>
    <row r="4699" spans="1:17" ht="15" x14ac:dyDescent="0.25">
      <c r="A4699" s="3">
        <f>4692</f>
        <v>4692</v>
      </c>
      <c r="B4699" s="3" t="s">
        <v>4701</v>
      </c>
      <c r="C4699" s="3" t="s">
        <v>9</v>
      </c>
      <c r="D4699" s="3" t="s">
        <v>9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/>
      <c r="P4699" s="3"/>
      <c r="Q4699" s="3"/>
    </row>
    <row r="4700" spans="1:17" ht="15" x14ac:dyDescent="0.25">
      <c r="A4700" s="3">
        <f>4693</f>
        <v>4693</v>
      </c>
      <c r="B4700" s="3" t="s">
        <v>4702</v>
      </c>
      <c r="C4700" s="3" t="s">
        <v>9</v>
      </c>
      <c r="D4700" s="3" t="s">
        <v>9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/>
      <c r="P4700" s="3"/>
      <c r="Q4700" s="3"/>
    </row>
    <row r="4701" spans="1:17" ht="15" x14ac:dyDescent="0.25">
      <c r="A4701" s="3">
        <f>4694</f>
        <v>4694</v>
      </c>
      <c r="B4701" s="3" t="s">
        <v>4703</v>
      </c>
      <c r="C4701" s="3" t="s">
        <v>9</v>
      </c>
      <c r="D4701" s="3" t="s">
        <v>9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/>
      <c r="P4701" s="3"/>
      <c r="Q4701" s="3"/>
    </row>
    <row r="4702" spans="1:17" ht="15" x14ac:dyDescent="0.25">
      <c r="A4702" s="3">
        <f>4695</f>
        <v>4695</v>
      </c>
      <c r="B4702" s="3" t="s">
        <v>4704</v>
      </c>
      <c r="C4702" s="3" t="s">
        <v>9</v>
      </c>
      <c r="D4702" s="3" t="s">
        <v>9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/>
      <c r="P4702" s="3"/>
      <c r="Q4702" s="3"/>
    </row>
    <row r="4703" spans="1:17" ht="15" x14ac:dyDescent="0.25">
      <c r="A4703" s="3">
        <f>4696</f>
        <v>4696</v>
      </c>
      <c r="B4703" s="3" t="s">
        <v>4705</v>
      </c>
      <c r="C4703" s="3" t="s">
        <v>9</v>
      </c>
      <c r="D4703" s="3" t="s">
        <v>9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/>
      <c r="P4703" s="3"/>
      <c r="Q4703" s="3"/>
    </row>
    <row r="4704" spans="1:17" ht="15" x14ac:dyDescent="0.25">
      <c r="A4704" s="3">
        <f>4697</f>
        <v>4697</v>
      </c>
      <c r="B4704" s="3" t="s">
        <v>4706</v>
      </c>
      <c r="C4704" s="3" t="s">
        <v>9</v>
      </c>
      <c r="D4704" s="3" t="s">
        <v>9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/>
      <c r="P4704" s="3"/>
      <c r="Q4704" s="3"/>
    </row>
    <row r="4705" spans="1:17" ht="15" x14ac:dyDescent="0.25">
      <c r="A4705" s="3">
        <f>4698</f>
        <v>4698</v>
      </c>
      <c r="B4705" s="3" t="s">
        <v>4707</v>
      </c>
      <c r="C4705" s="3" t="s">
        <v>9</v>
      </c>
      <c r="D4705" s="3" t="s">
        <v>9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/>
      <c r="P4705" s="3"/>
      <c r="Q4705" s="3"/>
    </row>
    <row r="4706" spans="1:17" ht="15" x14ac:dyDescent="0.25">
      <c r="A4706" s="3">
        <f>4699</f>
        <v>4699</v>
      </c>
      <c r="B4706" s="3" t="s">
        <v>4708</v>
      </c>
      <c r="C4706" s="3" t="s">
        <v>9</v>
      </c>
      <c r="D4706" s="3" t="s">
        <v>9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/>
      <c r="P4706" s="3"/>
      <c r="Q4706" s="3"/>
    </row>
    <row r="4707" spans="1:17" ht="15" x14ac:dyDescent="0.25">
      <c r="A4707" s="3">
        <f>4700</f>
        <v>4700</v>
      </c>
      <c r="B4707" s="3" t="s">
        <v>4709</v>
      </c>
      <c r="C4707" s="3" t="s">
        <v>9</v>
      </c>
      <c r="D4707" s="3" t="s">
        <v>9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/>
      <c r="P4707" s="3"/>
      <c r="Q4707" s="3"/>
    </row>
    <row r="4708" spans="1:17" ht="15" x14ac:dyDescent="0.25">
      <c r="A4708" s="3">
        <f>4701</f>
        <v>4701</v>
      </c>
      <c r="B4708" s="3" t="s">
        <v>4710</v>
      </c>
      <c r="C4708" s="3" t="s">
        <v>9</v>
      </c>
      <c r="D4708" s="3" t="s">
        <v>9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/>
      <c r="P4708" s="3"/>
      <c r="Q4708" s="3"/>
    </row>
    <row r="4709" spans="1:17" ht="15" x14ac:dyDescent="0.25">
      <c r="A4709" s="3">
        <f>4702</f>
        <v>4702</v>
      </c>
      <c r="B4709" s="3" t="s">
        <v>4711</v>
      </c>
      <c r="C4709" s="3" t="s">
        <v>9</v>
      </c>
      <c r="D4709" s="3" t="s">
        <v>9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/>
      <c r="P4709" s="3"/>
      <c r="Q4709" s="3"/>
    </row>
    <row r="4710" spans="1:17" ht="15" x14ac:dyDescent="0.25">
      <c r="A4710" s="3">
        <f>4703</f>
        <v>4703</v>
      </c>
      <c r="B4710" s="3" t="s">
        <v>4712</v>
      </c>
      <c r="C4710" s="3" t="s">
        <v>9</v>
      </c>
      <c r="D4710" s="3" t="s">
        <v>9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/>
      <c r="P4710" s="3"/>
      <c r="Q4710" s="3"/>
    </row>
    <row r="4711" spans="1:17" ht="15" x14ac:dyDescent="0.25">
      <c r="A4711" s="3">
        <f>4704</f>
        <v>4704</v>
      </c>
      <c r="B4711" s="3" t="s">
        <v>4713</v>
      </c>
      <c r="C4711" s="3" t="s">
        <v>9</v>
      </c>
      <c r="D4711" s="3" t="s">
        <v>9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/>
      <c r="P4711" s="3"/>
      <c r="Q4711" s="3"/>
    </row>
    <row r="4712" spans="1:17" ht="15" x14ac:dyDescent="0.25">
      <c r="A4712" s="3">
        <f>4705</f>
        <v>4705</v>
      </c>
      <c r="B4712" s="3" t="s">
        <v>4714</v>
      </c>
      <c r="C4712" s="3" t="s">
        <v>9</v>
      </c>
      <c r="D4712" s="3" t="s">
        <v>9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/>
      <c r="P4712" s="3"/>
      <c r="Q4712" s="3"/>
    </row>
    <row r="4713" spans="1:17" ht="15" x14ac:dyDescent="0.25">
      <c r="A4713" s="3">
        <f>4706</f>
        <v>4706</v>
      </c>
      <c r="B4713" s="3" t="s">
        <v>4715</v>
      </c>
      <c r="C4713" s="3" t="s">
        <v>9</v>
      </c>
      <c r="D4713" s="3" t="s">
        <v>9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/>
      <c r="P4713" s="3"/>
      <c r="Q4713" s="3"/>
    </row>
    <row r="4714" spans="1:17" ht="15" x14ac:dyDescent="0.25">
      <c r="A4714" s="3">
        <f>4707</f>
        <v>4707</v>
      </c>
      <c r="B4714" s="3" t="s">
        <v>4716</v>
      </c>
      <c r="C4714" s="3" t="s">
        <v>9</v>
      </c>
      <c r="D4714" s="3" t="s">
        <v>9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/>
      <c r="P4714" s="3"/>
      <c r="Q4714" s="3"/>
    </row>
    <row r="4715" spans="1:17" ht="15" x14ac:dyDescent="0.25">
      <c r="A4715" s="3">
        <f>4708</f>
        <v>4708</v>
      </c>
      <c r="B4715" s="3" t="s">
        <v>4717</v>
      </c>
      <c r="C4715" s="3" t="s">
        <v>9</v>
      </c>
      <c r="D4715" s="3" t="s">
        <v>9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/>
      <c r="P4715" s="3"/>
      <c r="Q4715" s="3"/>
    </row>
    <row r="4716" spans="1:17" ht="15" x14ac:dyDescent="0.25">
      <c r="A4716" s="3">
        <f>4709</f>
        <v>4709</v>
      </c>
      <c r="B4716" s="3" t="s">
        <v>4718</v>
      </c>
      <c r="C4716" s="3" t="s">
        <v>9</v>
      </c>
      <c r="D4716" s="3" t="s">
        <v>9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/>
      <c r="P4716" s="3"/>
      <c r="Q4716" s="3"/>
    </row>
    <row r="4717" spans="1:17" ht="15" x14ac:dyDescent="0.25">
      <c r="A4717" s="3">
        <f>4710</f>
        <v>4710</v>
      </c>
      <c r="B4717" s="3" t="s">
        <v>4719</v>
      </c>
      <c r="C4717" s="3" t="s">
        <v>9</v>
      </c>
      <c r="D4717" s="3" t="s">
        <v>9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/>
      <c r="P4717" s="3"/>
      <c r="Q4717" s="3"/>
    </row>
    <row r="4718" spans="1:17" ht="15" x14ac:dyDescent="0.25">
      <c r="A4718" s="3">
        <f>4711</f>
        <v>4711</v>
      </c>
      <c r="B4718" s="3" t="s">
        <v>4720</v>
      </c>
      <c r="C4718" s="3" t="s">
        <v>9</v>
      </c>
      <c r="D4718" s="3" t="s">
        <v>9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/>
      <c r="P4718" s="3"/>
      <c r="Q4718" s="3"/>
    </row>
    <row r="4719" spans="1:17" ht="15" x14ac:dyDescent="0.25">
      <c r="A4719" s="3">
        <f>4712</f>
        <v>4712</v>
      </c>
      <c r="B4719" s="3" t="s">
        <v>4721</v>
      </c>
      <c r="C4719" s="3" t="s">
        <v>9</v>
      </c>
      <c r="D4719" s="3" t="s">
        <v>9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/>
      <c r="P4719" s="3"/>
      <c r="Q4719" s="3"/>
    </row>
    <row r="4720" spans="1:17" ht="15" x14ac:dyDescent="0.25">
      <c r="A4720" s="3">
        <f>4713</f>
        <v>4713</v>
      </c>
      <c r="B4720" s="3" t="s">
        <v>4722</v>
      </c>
      <c r="C4720" s="3" t="s">
        <v>9</v>
      </c>
      <c r="D4720" s="3" t="s">
        <v>9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/>
      <c r="P4720" s="3"/>
      <c r="Q4720" s="3"/>
    </row>
    <row r="4721" spans="1:17" ht="15" x14ac:dyDescent="0.25">
      <c r="A4721" s="3">
        <f>4714</f>
        <v>4714</v>
      </c>
      <c r="B4721" s="3" t="s">
        <v>4723</v>
      </c>
      <c r="C4721" s="3" t="s">
        <v>9</v>
      </c>
      <c r="D4721" s="3" t="s">
        <v>9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/>
      <c r="P4721" s="3"/>
      <c r="Q4721" s="3"/>
    </row>
    <row r="4722" spans="1:17" ht="15" x14ac:dyDescent="0.25">
      <c r="A4722" s="3">
        <f>4715</f>
        <v>4715</v>
      </c>
      <c r="B4722" s="3" t="s">
        <v>4724</v>
      </c>
      <c r="C4722" s="3" t="s">
        <v>9</v>
      </c>
      <c r="D4722" s="3" t="s">
        <v>9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/>
      <c r="P4722" s="3"/>
      <c r="Q4722" s="3"/>
    </row>
    <row r="4723" spans="1:17" ht="15" x14ac:dyDescent="0.25">
      <c r="A4723" s="3">
        <f>4716</f>
        <v>4716</v>
      </c>
      <c r="B4723" s="3" t="s">
        <v>4725</v>
      </c>
      <c r="C4723" s="3" t="s">
        <v>9</v>
      </c>
      <c r="D4723" s="3" t="s">
        <v>9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/>
      <c r="P4723" s="3"/>
      <c r="Q4723" s="3"/>
    </row>
    <row r="4724" spans="1:17" ht="15" x14ac:dyDescent="0.25">
      <c r="A4724" s="3">
        <f>4717</f>
        <v>4717</v>
      </c>
      <c r="B4724" s="3" t="s">
        <v>4726</v>
      </c>
      <c r="C4724" s="3" t="s">
        <v>9</v>
      </c>
      <c r="D4724" s="3" t="s">
        <v>9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/>
      <c r="P4724" s="3"/>
      <c r="Q4724" s="3"/>
    </row>
    <row r="4725" spans="1:17" ht="15" x14ac:dyDescent="0.25">
      <c r="A4725" s="3">
        <f>4718</f>
        <v>4718</v>
      </c>
      <c r="B4725" s="3" t="s">
        <v>4727</v>
      </c>
      <c r="C4725" s="3" t="s">
        <v>9</v>
      </c>
      <c r="D4725" s="3" t="s">
        <v>9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/>
      <c r="P4725" s="3"/>
      <c r="Q4725" s="3"/>
    </row>
    <row r="4726" spans="1:17" ht="15" x14ac:dyDescent="0.25">
      <c r="A4726" s="3">
        <f>4719</f>
        <v>4719</v>
      </c>
      <c r="B4726" s="3" t="s">
        <v>4728</v>
      </c>
      <c r="C4726" s="3" t="s">
        <v>9</v>
      </c>
      <c r="D4726" s="3" t="s">
        <v>9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/>
      <c r="P4726" s="3"/>
      <c r="Q4726" s="3"/>
    </row>
    <row r="4727" spans="1:17" ht="15" x14ac:dyDescent="0.25">
      <c r="A4727" s="3">
        <f>4720</f>
        <v>4720</v>
      </c>
      <c r="B4727" s="3" t="s">
        <v>4729</v>
      </c>
      <c r="C4727" s="3" t="s">
        <v>9</v>
      </c>
      <c r="D4727" s="3" t="s">
        <v>9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/>
      <c r="P4727" s="3"/>
      <c r="Q4727" s="3"/>
    </row>
    <row r="4728" spans="1:17" ht="15" x14ac:dyDescent="0.25">
      <c r="A4728" s="3">
        <f>4721</f>
        <v>4721</v>
      </c>
      <c r="B4728" s="3" t="s">
        <v>4730</v>
      </c>
      <c r="C4728" s="3" t="s">
        <v>9</v>
      </c>
      <c r="D4728" s="3" t="s">
        <v>9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/>
      <c r="P4728" s="3"/>
      <c r="Q4728" s="3"/>
    </row>
    <row r="4729" spans="1:17" ht="15" x14ac:dyDescent="0.25">
      <c r="A4729" s="3">
        <f>4722</f>
        <v>4722</v>
      </c>
      <c r="B4729" s="3" t="s">
        <v>4731</v>
      </c>
      <c r="C4729" s="3" t="s">
        <v>9</v>
      </c>
      <c r="D4729" s="3" t="s">
        <v>9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/>
      <c r="P4729" s="3"/>
      <c r="Q4729" s="3"/>
    </row>
    <row r="4730" spans="1:17" ht="15" x14ac:dyDescent="0.25">
      <c r="A4730" s="3">
        <f>4723</f>
        <v>4723</v>
      </c>
      <c r="B4730" s="3" t="s">
        <v>4732</v>
      </c>
      <c r="C4730" s="3" t="s">
        <v>9</v>
      </c>
      <c r="D4730" s="3" t="s">
        <v>9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/>
      <c r="P4730" s="3"/>
      <c r="Q4730" s="3"/>
    </row>
    <row r="4731" spans="1:17" ht="15" x14ac:dyDescent="0.25">
      <c r="A4731" s="3">
        <f>4724</f>
        <v>4724</v>
      </c>
      <c r="B4731" s="3" t="s">
        <v>4733</v>
      </c>
      <c r="C4731" s="3" t="s">
        <v>9</v>
      </c>
      <c r="D4731" s="3" t="s">
        <v>9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/>
      <c r="P4731" s="3"/>
      <c r="Q4731" s="3"/>
    </row>
    <row r="4732" spans="1:17" ht="15" x14ac:dyDescent="0.25">
      <c r="A4732" s="3">
        <f>4725</f>
        <v>4725</v>
      </c>
      <c r="B4732" s="3" t="s">
        <v>4734</v>
      </c>
      <c r="C4732" s="3" t="s">
        <v>9</v>
      </c>
      <c r="D4732" s="3" t="s">
        <v>9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/>
      <c r="P4732" s="3"/>
      <c r="Q4732" s="3"/>
    </row>
    <row r="4733" spans="1:17" ht="15" x14ac:dyDescent="0.25">
      <c r="A4733" s="3">
        <f>4726</f>
        <v>4726</v>
      </c>
      <c r="B4733" s="3" t="s">
        <v>4735</v>
      </c>
      <c r="C4733" s="3" t="s">
        <v>9</v>
      </c>
      <c r="D4733" s="3" t="s">
        <v>9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/>
      <c r="P4733" s="3"/>
      <c r="Q4733" s="3"/>
    </row>
    <row r="4734" spans="1:17" ht="15" x14ac:dyDescent="0.25">
      <c r="A4734" s="3">
        <f>4727</f>
        <v>4727</v>
      </c>
      <c r="B4734" s="3" t="s">
        <v>4736</v>
      </c>
      <c r="C4734" s="3" t="s">
        <v>9</v>
      </c>
      <c r="D4734" s="3" t="s">
        <v>9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/>
      <c r="P4734" s="3"/>
      <c r="Q4734" s="3"/>
    </row>
    <row r="4735" spans="1:17" ht="15" x14ac:dyDescent="0.25">
      <c r="A4735" s="3">
        <f>4728</f>
        <v>4728</v>
      </c>
      <c r="B4735" s="3" t="s">
        <v>4737</v>
      </c>
      <c r="C4735" s="3" t="s">
        <v>9</v>
      </c>
      <c r="D4735" s="3" t="s">
        <v>9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/>
      <c r="P4735" s="3"/>
      <c r="Q4735" s="3"/>
    </row>
    <row r="4736" spans="1:17" ht="15" x14ac:dyDescent="0.25">
      <c r="A4736" s="3">
        <f>4729</f>
        <v>4729</v>
      </c>
      <c r="B4736" s="3" t="s">
        <v>4738</v>
      </c>
      <c r="C4736" s="3" t="s">
        <v>9</v>
      </c>
      <c r="D4736" s="3" t="s">
        <v>9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/>
      <c r="P4736" s="3"/>
      <c r="Q4736" s="3"/>
    </row>
    <row r="4737" spans="1:17" ht="15" x14ac:dyDescent="0.25">
      <c r="A4737" s="3">
        <f>4730</f>
        <v>4730</v>
      </c>
      <c r="B4737" s="3" t="s">
        <v>4739</v>
      </c>
      <c r="C4737" s="3" t="s">
        <v>9</v>
      </c>
      <c r="D4737" s="3" t="s">
        <v>9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/>
      <c r="P4737" s="3"/>
      <c r="Q4737" s="3"/>
    </row>
    <row r="4738" spans="1:17" ht="15" x14ac:dyDescent="0.25">
      <c r="A4738" s="3">
        <f>4731</f>
        <v>4731</v>
      </c>
      <c r="B4738" s="3" t="s">
        <v>4740</v>
      </c>
      <c r="C4738" s="3" t="s">
        <v>9</v>
      </c>
      <c r="D4738" s="3" t="s">
        <v>9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/>
      <c r="P4738" s="3"/>
      <c r="Q4738" s="3"/>
    </row>
    <row r="4739" spans="1:17" ht="15" x14ac:dyDescent="0.25">
      <c r="A4739" s="3">
        <f>4732</f>
        <v>4732</v>
      </c>
      <c r="B4739" s="3" t="s">
        <v>4741</v>
      </c>
      <c r="C4739" s="3" t="s">
        <v>9</v>
      </c>
      <c r="D4739" s="3" t="s">
        <v>9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/>
      <c r="P4739" s="3"/>
      <c r="Q4739" s="3"/>
    </row>
    <row r="4740" spans="1:17" ht="15" x14ac:dyDescent="0.25">
      <c r="A4740" s="3">
        <f>4733</f>
        <v>4733</v>
      </c>
      <c r="B4740" s="3" t="s">
        <v>4742</v>
      </c>
      <c r="C4740" s="3" t="s">
        <v>9</v>
      </c>
      <c r="D4740" s="3" t="s">
        <v>9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/>
      <c r="P4740" s="3"/>
      <c r="Q4740" s="3"/>
    </row>
    <row r="4741" spans="1:17" ht="15" x14ac:dyDescent="0.25">
      <c r="A4741" s="3">
        <f>4734</f>
        <v>4734</v>
      </c>
      <c r="B4741" s="3" t="s">
        <v>4743</v>
      </c>
      <c r="C4741" s="3" t="s">
        <v>9</v>
      </c>
      <c r="D4741" s="3" t="s">
        <v>9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/>
      <c r="P4741" s="3"/>
      <c r="Q4741" s="3"/>
    </row>
    <row r="4742" spans="1:17" ht="15" x14ac:dyDescent="0.25">
      <c r="A4742" s="3">
        <f>4735</f>
        <v>4735</v>
      </c>
      <c r="B4742" s="3" t="s">
        <v>4744</v>
      </c>
      <c r="C4742" s="3" t="s">
        <v>9</v>
      </c>
      <c r="D4742" s="3" t="s">
        <v>9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/>
      <c r="P4742" s="3"/>
      <c r="Q4742" s="3"/>
    </row>
    <row r="4743" spans="1:17" ht="15" x14ac:dyDescent="0.25">
      <c r="A4743" s="3">
        <f>4736</f>
        <v>4736</v>
      </c>
      <c r="B4743" s="3" t="s">
        <v>4745</v>
      </c>
      <c r="C4743" s="3" t="s">
        <v>9</v>
      </c>
      <c r="D4743" s="3" t="s">
        <v>9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/>
      <c r="P4743" s="3"/>
      <c r="Q4743" s="3"/>
    </row>
    <row r="4744" spans="1:17" ht="15" x14ac:dyDescent="0.25">
      <c r="A4744" s="3">
        <f>4737</f>
        <v>4737</v>
      </c>
      <c r="B4744" s="3" t="s">
        <v>4746</v>
      </c>
      <c r="C4744" s="3" t="s">
        <v>9</v>
      </c>
      <c r="D4744" s="3" t="s">
        <v>9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/>
      <c r="P4744" s="3"/>
      <c r="Q4744" s="3"/>
    </row>
    <row r="4745" spans="1:17" ht="15" x14ac:dyDescent="0.25">
      <c r="A4745" s="3">
        <f>4738</f>
        <v>4738</v>
      </c>
      <c r="B4745" s="3" t="s">
        <v>4747</v>
      </c>
      <c r="C4745" s="3" t="s">
        <v>9</v>
      </c>
      <c r="D4745" s="3" t="s">
        <v>9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/>
      <c r="P4745" s="3"/>
      <c r="Q4745" s="3"/>
    </row>
    <row r="4746" spans="1:17" ht="15" x14ac:dyDescent="0.25">
      <c r="A4746" s="3">
        <f>4739</f>
        <v>4739</v>
      </c>
      <c r="B4746" s="3" t="s">
        <v>4748</v>
      </c>
      <c r="C4746" s="3" t="s">
        <v>9</v>
      </c>
      <c r="D4746" s="3" t="s">
        <v>9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/>
      <c r="P4746" s="3"/>
      <c r="Q4746" s="3"/>
    </row>
    <row r="4747" spans="1:17" ht="15" x14ac:dyDescent="0.25">
      <c r="A4747" s="3">
        <f>4740</f>
        <v>4740</v>
      </c>
      <c r="B4747" s="3" t="s">
        <v>4749</v>
      </c>
      <c r="C4747" s="3" t="s">
        <v>9</v>
      </c>
      <c r="D4747" s="3" t="s">
        <v>9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/>
      <c r="P4747" s="3"/>
      <c r="Q4747" s="3"/>
    </row>
    <row r="4748" spans="1:17" ht="15" x14ac:dyDescent="0.25">
      <c r="A4748" s="3">
        <f>4741</f>
        <v>4741</v>
      </c>
      <c r="B4748" s="3" t="s">
        <v>4750</v>
      </c>
      <c r="C4748" s="3" t="s">
        <v>9</v>
      </c>
      <c r="D4748" s="3" t="s">
        <v>9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/>
      <c r="P4748" s="3"/>
      <c r="Q4748" s="3"/>
    </row>
    <row r="4749" spans="1:17" ht="15" x14ac:dyDescent="0.25">
      <c r="A4749" s="3">
        <f>4742</f>
        <v>4742</v>
      </c>
      <c r="B4749" s="3" t="s">
        <v>4751</v>
      </c>
      <c r="C4749" s="3" t="s">
        <v>9</v>
      </c>
      <c r="D4749" s="3" t="s">
        <v>9</v>
      </c>
      <c r="E4749" s="3">
        <v>0</v>
      </c>
      <c r="F4749" s="3">
        <v>0</v>
      </c>
      <c r="G4749" s="3">
        <v>1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/>
      <c r="P4749" s="3"/>
      <c r="Q4749" s="3"/>
    </row>
    <row r="4750" spans="1:17" ht="15" x14ac:dyDescent="0.25">
      <c r="A4750" s="3">
        <f>4743</f>
        <v>4743</v>
      </c>
      <c r="B4750" s="3" t="s">
        <v>4752</v>
      </c>
      <c r="C4750" s="3" t="s">
        <v>9</v>
      </c>
      <c r="D4750" s="3" t="s">
        <v>9</v>
      </c>
      <c r="E4750" s="3">
        <v>0</v>
      </c>
      <c r="F4750" s="3">
        <v>0</v>
      </c>
      <c r="G4750" s="3">
        <v>1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/>
      <c r="P4750" s="3"/>
      <c r="Q4750" s="3"/>
    </row>
    <row r="4751" spans="1:17" ht="15" x14ac:dyDescent="0.25">
      <c r="A4751" s="3">
        <f>4744</f>
        <v>4744</v>
      </c>
      <c r="B4751" s="3" t="s">
        <v>4753</v>
      </c>
      <c r="C4751" s="3" t="s">
        <v>9</v>
      </c>
      <c r="D4751" s="3" t="s">
        <v>9</v>
      </c>
      <c r="E4751" s="3">
        <v>0</v>
      </c>
      <c r="F4751" s="3">
        <v>0</v>
      </c>
      <c r="G4751" s="3">
        <v>1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/>
      <c r="P4751" s="3"/>
      <c r="Q4751" s="3"/>
    </row>
    <row r="4752" spans="1:17" ht="15" x14ac:dyDescent="0.25">
      <c r="A4752" s="3">
        <f>4745</f>
        <v>4745</v>
      </c>
      <c r="B4752" s="3" t="s">
        <v>4754</v>
      </c>
      <c r="C4752" s="3" t="s">
        <v>9</v>
      </c>
      <c r="D4752" s="3" t="s">
        <v>10</v>
      </c>
      <c r="E4752" s="3">
        <v>0</v>
      </c>
      <c r="F4752" s="3">
        <v>0</v>
      </c>
      <c r="G4752" s="3">
        <v>1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/>
      <c r="P4752" s="3"/>
      <c r="Q4752" s="3"/>
    </row>
    <row r="4753" spans="1:17" ht="15" x14ac:dyDescent="0.25">
      <c r="A4753" s="3">
        <f>4746</f>
        <v>4746</v>
      </c>
      <c r="B4753" s="3" t="s">
        <v>4755</v>
      </c>
      <c r="C4753" s="3" t="s">
        <v>9</v>
      </c>
      <c r="D4753" s="3" t="s">
        <v>10</v>
      </c>
      <c r="E4753" s="3">
        <v>0</v>
      </c>
      <c r="F4753" s="3">
        <v>0</v>
      </c>
      <c r="G4753" s="3">
        <v>1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/>
      <c r="P4753" s="3"/>
      <c r="Q4753" s="3"/>
    </row>
    <row r="4754" spans="1:17" ht="15" x14ac:dyDescent="0.25">
      <c r="A4754" s="3">
        <f>4747</f>
        <v>4747</v>
      </c>
      <c r="B4754" s="3" t="s">
        <v>4756</v>
      </c>
      <c r="C4754" s="3" t="s">
        <v>9</v>
      </c>
      <c r="D4754" s="3" t="s">
        <v>10</v>
      </c>
      <c r="E4754" s="3">
        <v>0</v>
      </c>
      <c r="F4754" s="3">
        <v>0</v>
      </c>
      <c r="G4754" s="3">
        <v>1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/>
      <c r="P4754" s="3"/>
      <c r="Q4754" s="3"/>
    </row>
    <row r="4755" spans="1:17" ht="15" x14ac:dyDescent="0.25">
      <c r="A4755" s="3">
        <f>4748</f>
        <v>4748</v>
      </c>
      <c r="B4755" s="3" t="s">
        <v>4757</v>
      </c>
      <c r="C4755" s="3" t="s">
        <v>9</v>
      </c>
      <c r="D4755" s="3" t="s">
        <v>10</v>
      </c>
      <c r="E4755" s="3">
        <v>0</v>
      </c>
      <c r="F4755" s="3">
        <v>0</v>
      </c>
      <c r="G4755" s="3">
        <v>1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/>
      <c r="P4755" s="3"/>
      <c r="Q4755" s="3"/>
    </row>
    <row r="4756" spans="1:17" ht="15" x14ac:dyDescent="0.25">
      <c r="A4756" s="3">
        <f>4749</f>
        <v>4749</v>
      </c>
      <c r="B4756" s="3" t="s">
        <v>4758</v>
      </c>
      <c r="C4756" s="3" t="s">
        <v>9</v>
      </c>
      <c r="D4756" s="3" t="s">
        <v>10</v>
      </c>
      <c r="E4756" s="3">
        <v>0</v>
      </c>
      <c r="F4756" s="3">
        <v>0</v>
      </c>
      <c r="G4756" s="3">
        <v>1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/>
      <c r="P4756" s="3"/>
      <c r="Q4756" s="3"/>
    </row>
    <row r="4757" spans="1:17" ht="15" x14ac:dyDescent="0.25">
      <c r="A4757" s="3">
        <f>4750</f>
        <v>4750</v>
      </c>
      <c r="B4757" s="3" t="s">
        <v>4759</v>
      </c>
      <c r="C4757" s="3" t="s">
        <v>9</v>
      </c>
      <c r="D4757" s="3" t="s">
        <v>10</v>
      </c>
      <c r="E4757" s="3">
        <v>0</v>
      </c>
      <c r="F4757" s="3">
        <v>0</v>
      </c>
      <c r="G4757" s="3">
        <v>1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/>
      <c r="P4757" s="3"/>
      <c r="Q4757" s="3"/>
    </row>
    <row r="4758" spans="1:17" ht="15" x14ac:dyDescent="0.25">
      <c r="A4758" s="3">
        <f>4751</f>
        <v>4751</v>
      </c>
      <c r="B4758" s="3" t="s">
        <v>4760</v>
      </c>
      <c r="C4758" s="3" t="s">
        <v>9</v>
      </c>
      <c r="D4758" s="3" t="s">
        <v>10</v>
      </c>
      <c r="E4758" s="3">
        <v>0</v>
      </c>
      <c r="F4758" s="3">
        <v>0</v>
      </c>
      <c r="G4758" s="3">
        <v>1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/>
      <c r="P4758" s="3"/>
      <c r="Q4758" s="3"/>
    </row>
    <row r="4759" spans="1:17" ht="15" x14ac:dyDescent="0.25">
      <c r="A4759" s="3">
        <f>4752</f>
        <v>4752</v>
      </c>
      <c r="B4759" s="3" t="s">
        <v>4761</v>
      </c>
      <c r="C4759" s="3" t="s">
        <v>10</v>
      </c>
      <c r="D4759" s="3" t="s">
        <v>9</v>
      </c>
      <c r="E4759" s="3">
        <v>0</v>
      </c>
      <c r="F4759" s="3">
        <v>0</v>
      </c>
      <c r="G4759" s="3">
        <v>1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/>
      <c r="P4759" s="3"/>
      <c r="Q4759" s="3"/>
    </row>
    <row r="4760" spans="1:17" ht="15" x14ac:dyDescent="0.25">
      <c r="A4760" s="3">
        <f>4753</f>
        <v>4753</v>
      </c>
      <c r="B4760" s="3" t="s">
        <v>4762</v>
      </c>
      <c r="C4760" s="3" t="s">
        <v>10</v>
      </c>
      <c r="D4760" s="3" t="s">
        <v>9</v>
      </c>
      <c r="E4760" s="3">
        <v>0</v>
      </c>
      <c r="F4760" s="3">
        <v>0</v>
      </c>
      <c r="G4760" s="3">
        <v>1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/>
      <c r="P4760" s="3"/>
      <c r="Q4760" s="3"/>
    </row>
    <row r="4761" spans="1:17" ht="15" x14ac:dyDescent="0.25">
      <c r="A4761" s="3">
        <f>4754</f>
        <v>4754</v>
      </c>
      <c r="B4761" s="3" t="s">
        <v>4763</v>
      </c>
      <c r="C4761" s="3" t="s">
        <v>10</v>
      </c>
      <c r="D4761" s="3" t="s">
        <v>9</v>
      </c>
      <c r="E4761" s="3">
        <v>0</v>
      </c>
      <c r="F4761" s="3">
        <v>0</v>
      </c>
      <c r="G4761" s="3">
        <v>1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/>
      <c r="P4761" s="3"/>
      <c r="Q4761" s="3"/>
    </row>
    <row r="4762" spans="1:17" ht="15" x14ac:dyDescent="0.25">
      <c r="A4762" s="3">
        <f>4755</f>
        <v>4755</v>
      </c>
      <c r="B4762" s="3" t="s">
        <v>4764</v>
      </c>
      <c r="C4762" s="3" t="s">
        <v>10</v>
      </c>
      <c r="D4762" s="3" t="s">
        <v>9</v>
      </c>
      <c r="E4762" s="3">
        <v>0</v>
      </c>
      <c r="F4762" s="3">
        <v>0</v>
      </c>
      <c r="G4762" s="3">
        <v>1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/>
      <c r="P4762" s="3"/>
      <c r="Q4762" s="3"/>
    </row>
    <row r="4763" spans="1:17" ht="15" x14ac:dyDescent="0.25">
      <c r="A4763" s="3">
        <f>4756</f>
        <v>4756</v>
      </c>
      <c r="B4763" s="3" t="s">
        <v>4765</v>
      </c>
      <c r="C4763" s="3" t="s">
        <v>10</v>
      </c>
      <c r="D4763" s="3" t="s">
        <v>9</v>
      </c>
      <c r="E4763" s="3">
        <v>0</v>
      </c>
      <c r="F4763" s="3">
        <v>0</v>
      </c>
      <c r="G4763" s="3">
        <v>1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/>
      <c r="P4763" s="3"/>
      <c r="Q4763" s="3"/>
    </row>
    <row r="4764" spans="1:17" ht="15" x14ac:dyDescent="0.25">
      <c r="A4764" s="3">
        <f>4757</f>
        <v>4757</v>
      </c>
      <c r="B4764" s="3" t="s">
        <v>4766</v>
      </c>
      <c r="C4764" s="3" t="s">
        <v>10</v>
      </c>
      <c r="D4764" s="3" t="s">
        <v>9</v>
      </c>
      <c r="E4764" s="3">
        <v>0</v>
      </c>
      <c r="F4764" s="3">
        <v>0</v>
      </c>
      <c r="G4764" s="3">
        <v>1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/>
      <c r="P4764" s="3"/>
      <c r="Q4764" s="3"/>
    </row>
    <row r="4765" spans="1:17" ht="15" x14ac:dyDescent="0.25">
      <c r="A4765" s="3">
        <f>4758</f>
        <v>4758</v>
      </c>
      <c r="B4765" s="3" t="s">
        <v>4767</v>
      </c>
      <c r="C4765" s="3" t="s">
        <v>10</v>
      </c>
      <c r="D4765" s="3" t="s">
        <v>9</v>
      </c>
      <c r="E4765" s="3">
        <v>0</v>
      </c>
      <c r="F4765" s="3">
        <v>0</v>
      </c>
      <c r="G4765" s="3">
        <v>1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/>
      <c r="P4765" s="3"/>
      <c r="Q4765" s="3"/>
    </row>
    <row r="4766" spans="1:17" ht="15" x14ac:dyDescent="0.25">
      <c r="A4766" s="3">
        <f>4759</f>
        <v>4759</v>
      </c>
      <c r="B4766" s="3" t="s">
        <v>4768</v>
      </c>
      <c r="C4766" s="3" t="s">
        <v>10</v>
      </c>
      <c r="D4766" s="3" t="s">
        <v>9</v>
      </c>
      <c r="E4766" s="3">
        <v>0</v>
      </c>
      <c r="F4766" s="3">
        <v>0</v>
      </c>
      <c r="G4766" s="3">
        <v>1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/>
      <c r="P4766" s="3"/>
      <c r="Q4766" s="3"/>
    </row>
    <row r="4767" spans="1:17" ht="15" x14ac:dyDescent="0.25">
      <c r="A4767" s="3">
        <f>4760</f>
        <v>4760</v>
      </c>
      <c r="B4767" s="3" t="s">
        <v>4769</v>
      </c>
      <c r="C4767" s="3" t="s">
        <v>10</v>
      </c>
      <c r="D4767" s="3" t="s">
        <v>9</v>
      </c>
      <c r="E4767" s="3">
        <v>0</v>
      </c>
      <c r="F4767" s="3">
        <v>0</v>
      </c>
      <c r="G4767" s="3">
        <v>1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/>
      <c r="P4767" s="3"/>
      <c r="Q4767" s="3"/>
    </row>
    <row r="4768" spans="1:17" ht="15" x14ac:dyDescent="0.25">
      <c r="A4768" s="3">
        <f>4761</f>
        <v>4761</v>
      </c>
      <c r="B4768" s="3" t="s">
        <v>4770</v>
      </c>
      <c r="C4768" s="3" t="s">
        <v>10</v>
      </c>
      <c r="D4768" s="3" t="s">
        <v>9</v>
      </c>
      <c r="E4768" s="3">
        <v>0</v>
      </c>
      <c r="F4768" s="3">
        <v>0</v>
      </c>
      <c r="G4768" s="3">
        <v>1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/>
      <c r="P4768" s="3"/>
      <c r="Q4768" s="3"/>
    </row>
    <row r="4769" spans="1:17" ht="15" x14ac:dyDescent="0.25">
      <c r="A4769" s="3">
        <f>4762</f>
        <v>4762</v>
      </c>
      <c r="B4769" s="3" t="s">
        <v>4771</v>
      </c>
      <c r="C4769" s="3" t="s">
        <v>10</v>
      </c>
      <c r="D4769" s="3" t="s">
        <v>9</v>
      </c>
      <c r="E4769" s="3">
        <v>0</v>
      </c>
      <c r="F4769" s="3">
        <v>0</v>
      </c>
      <c r="G4769" s="3">
        <v>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/>
      <c r="P4769" s="3"/>
      <c r="Q4769" s="3"/>
    </row>
    <row r="4770" spans="1:17" ht="15" x14ac:dyDescent="0.25">
      <c r="A4770" s="3">
        <f>4763</f>
        <v>4763</v>
      </c>
      <c r="B4770" s="3" t="s">
        <v>4772</v>
      </c>
      <c r="C4770" s="3" t="s">
        <v>10</v>
      </c>
      <c r="D4770" s="3" t="s">
        <v>9</v>
      </c>
      <c r="E4770" s="3">
        <v>0</v>
      </c>
      <c r="F4770" s="3">
        <v>0</v>
      </c>
      <c r="G4770" s="3">
        <v>1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/>
      <c r="P4770" s="3"/>
      <c r="Q4770" s="3"/>
    </row>
    <row r="4771" spans="1:17" ht="15" x14ac:dyDescent="0.25">
      <c r="A4771" s="3">
        <f>4764</f>
        <v>4764</v>
      </c>
      <c r="B4771" s="3" t="s">
        <v>4773</v>
      </c>
      <c r="C4771" s="3" t="s">
        <v>10</v>
      </c>
      <c r="D4771" s="3" t="s">
        <v>9</v>
      </c>
      <c r="E4771" s="3">
        <v>0</v>
      </c>
      <c r="F4771" s="3">
        <v>0</v>
      </c>
      <c r="G4771" s="3">
        <v>1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/>
      <c r="P4771" s="3"/>
      <c r="Q4771" s="3"/>
    </row>
    <row r="4772" spans="1:17" ht="15" x14ac:dyDescent="0.25">
      <c r="A4772" s="3">
        <f>4765</f>
        <v>4765</v>
      </c>
      <c r="B4772" s="3" t="s">
        <v>4774</v>
      </c>
      <c r="C4772" s="3" t="s">
        <v>10</v>
      </c>
      <c r="D4772" s="3" t="s">
        <v>9</v>
      </c>
      <c r="E4772" s="3">
        <v>0</v>
      </c>
      <c r="F4772" s="3">
        <v>0</v>
      </c>
      <c r="G4772" s="3">
        <v>1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/>
      <c r="P4772" s="3"/>
      <c r="Q4772" s="3"/>
    </row>
    <row r="4773" spans="1:17" ht="15" x14ac:dyDescent="0.25">
      <c r="A4773" s="3">
        <f>4766</f>
        <v>4766</v>
      </c>
      <c r="B4773" s="3" t="s">
        <v>4775</v>
      </c>
      <c r="C4773" s="3" t="s">
        <v>10</v>
      </c>
      <c r="D4773" s="3" t="s">
        <v>9</v>
      </c>
      <c r="E4773" s="3">
        <v>0</v>
      </c>
      <c r="F4773" s="3">
        <v>0</v>
      </c>
      <c r="G4773" s="3">
        <v>1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/>
      <c r="P4773" s="3"/>
      <c r="Q4773" s="3"/>
    </row>
    <row r="4774" spans="1:17" ht="15" x14ac:dyDescent="0.25">
      <c r="A4774" s="3">
        <f>4767</f>
        <v>4767</v>
      </c>
      <c r="B4774" s="3" t="s">
        <v>4776</v>
      </c>
      <c r="C4774" s="3" t="s">
        <v>10</v>
      </c>
      <c r="D4774" s="3" t="s">
        <v>9</v>
      </c>
      <c r="E4774" s="3">
        <v>0</v>
      </c>
      <c r="F4774" s="3">
        <v>0</v>
      </c>
      <c r="G4774" s="3">
        <v>1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/>
      <c r="P4774" s="3"/>
      <c r="Q4774" s="3"/>
    </row>
    <row r="4775" spans="1:17" ht="15" x14ac:dyDescent="0.25">
      <c r="A4775" s="3">
        <f>4768</f>
        <v>4768</v>
      </c>
      <c r="B4775" s="3" t="s">
        <v>4777</v>
      </c>
      <c r="C4775" s="3" t="s">
        <v>10</v>
      </c>
      <c r="D4775" s="3" t="s">
        <v>9</v>
      </c>
      <c r="E4775" s="3">
        <v>0</v>
      </c>
      <c r="F4775" s="3">
        <v>0</v>
      </c>
      <c r="G4775" s="3">
        <v>1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/>
      <c r="P4775" s="3"/>
      <c r="Q4775" s="3"/>
    </row>
    <row r="4776" spans="1:17" ht="15" x14ac:dyDescent="0.25">
      <c r="A4776" s="3">
        <f>4769</f>
        <v>4769</v>
      </c>
      <c r="B4776" s="3" t="s">
        <v>4778</v>
      </c>
      <c r="C4776" s="3" t="s">
        <v>10</v>
      </c>
      <c r="D4776" s="3" t="s">
        <v>9</v>
      </c>
      <c r="E4776" s="3">
        <v>0</v>
      </c>
      <c r="F4776" s="3">
        <v>0</v>
      </c>
      <c r="G4776" s="3">
        <v>1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/>
      <c r="P4776" s="3"/>
      <c r="Q4776" s="3"/>
    </row>
    <row r="4777" spans="1:17" ht="15" x14ac:dyDescent="0.25">
      <c r="A4777" s="3">
        <f>4770</f>
        <v>4770</v>
      </c>
      <c r="B4777" s="3" t="s">
        <v>4779</v>
      </c>
      <c r="C4777" s="3" t="s">
        <v>10</v>
      </c>
      <c r="D4777" s="3" t="s">
        <v>9</v>
      </c>
      <c r="E4777" s="3">
        <v>0</v>
      </c>
      <c r="F4777" s="3">
        <v>0</v>
      </c>
      <c r="G4777" s="3">
        <v>1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/>
      <c r="P4777" s="3"/>
      <c r="Q4777" s="3"/>
    </row>
    <row r="4778" spans="1:17" ht="15" x14ac:dyDescent="0.25">
      <c r="A4778" s="3">
        <f>4771</f>
        <v>4771</v>
      </c>
      <c r="B4778" s="3" t="s">
        <v>4780</v>
      </c>
      <c r="C4778" s="3" t="s">
        <v>10</v>
      </c>
      <c r="D4778" s="3" t="s">
        <v>9</v>
      </c>
      <c r="E4778" s="3">
        <v>0</v>
      </c>
      <c r="F4778" s="3">
        <v>0</v>
      </c>
      <c r="G4778" s="3">
        <v>1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/>
      <c r="P4778" s="3"/>
      <c r="Q4778" s="3"/>
    </row>
    <row r="4779" spans="1:17" ht="15" x14ac:dyDescent="0.25">
      <c r="A4779" s="3">
        <f>4772</f>
        <v>4772</v>
      </c>
      <c r="B4779" s="3" t="s">
        <v>4781</v>
      </c>
      <c r="C4779" s="3" t="s">
        <v>10</v>
      </c>
      <c r="D4779" s="3" t="s">
        <v>9</v>
      </c>
      <c r="E4779" s="3">
        <v>0</v>
      </c>
      <c r="F4779" s="3">
        <v>0</v>
      </c>
      <c r="G4779" s="3">
        <v>1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/>
      <c r="P4779" s="3"/>
      <c r="Q4779" s="3"/>
    </row>
    <row r="4780" spans="1:17" ht="15" x14ac:dyDescent="0.25">
      <c r="A4780" s="3">
        <f>4773</f>
        <v>4773</v>
      </c>
      <c r="B4780" s="3" t="s">
        <v>4782</v>
      </c>
      <c r="C4780" s="3" t="s">
        <v>10</v>
      </c>
      <c r="D4780" s="3" t="s">
        <v>9</v>
      </c>
      <c r="E4780" s="3">
        <v>0</v>
      </c>
      <c r="F4780" s="3">
        <v>0</v>
      </c>
      <c r="G4780" s="3">
        <v>1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/>
      <c r="P4780" s="3"/>
      <c r="Q4780" s="3"/>
    </row>
    <row r="4781" spans="1:17" ht="15" x14ac:dyDescent="0.25">
      <c r="A4781" s="3">
        <f>4774</f>
        <v>4774</v>
      </c>
      <c r="B4781" s="3" t="s">
        <v>4783</v>
      </c>
      <c r="C4781" s="3" t="s">
        <v>10</v>
      </c>
      <c r="D4781" s="3" t="s">
        <v>9</v>
      </c>
      <c r="E4781" s="3">
        <v>0</v>
      </c>
      <c r="F4781" s="3">
        <v>0</v>
      </c>
      <c r="G4781" s="3">
        <v>1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/>
      <c r="P4781" s="3"/>
      <c r="Q4781" s="3"/>
    </row>
    <row r="4782" spans="1:17" ht="15" x14ac:dyDescent="0.25">
      <c r="A4782" s="3">
        <f>4775</f>
        <v>4775</v>
      </c>
      <c r="B4782" s="3" t="s">
        <v>4784</v>
      </c>
      <c r="C4782" s="3" t="s">
        <v>10</v>
      </c>
      <c r="D4782" s="3" t="s">
        <v>9</v>
      </c>
      <c r="E4782" s="3">
        <v>0</v>
      </c>
      <c r="F4782" s="3">
        <v>0</v>
      </c>
      <c r="G4782" s="3">
        <v>1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/>
      <c r="P4782" s="3"/>
      <c r="Q4782" s="3"/>
    </row>
    <row r="4783" spans="1:17" ht="15" x14ac:dyDescent="0.25">
      <c r="A4783" s="3">
        <f>4776</f>
        <v>4776</v>
      </c>
      <c r="B4783" s="3" t="s">
        <v>4785</v>
      </c>
      <c r="C4783" s="3" t="s">
        <v>10</v>
      </c>
      <c r="D4783" s="3" t="s">
        <v>9</v>
      </c>
      <c r="E4783" s="3">
        <v>0</v>
      </c>
      <c r="F4783" s="3">
        <v>0</v>
      </c>
      <c r="G4783" s="3">
        <v>1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/>
      <c r="P4783" s="3"/>
      <c r="Q4783" s="3"/>
    </row>
    <row r="4784" spans="1:17" ht="15" x14ac:dyDescent="0.25">
      <c r="A4784" s="3">
        <f>4777</f>
        <v>4777</v>
      </c>
      <c r="B4784" s="3" t="s">
        <v>4786</v>
      </c>
      <c r="C4784" s="3" t="s">
        <v>10</v>
      </c>
      <c r="D4784" s="3" t="s">
        <v>9</v>
      </c>
      <c r="E4784" s="3">
        <v>0</v>
      </c>
      <c r="F4784" s="3">
        <v>0</v>
      </c>
      <c r="G4784" s="3">
        <v>1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/>
      <c r="P4784" s="3"/>
      <c r="Q4784" s="3"/>
    </row>
    <row r="4785" spans="1:17" ht="15" x14ac:dyDescent="0.25">
      <c r="A4785" s="3">
        <f>4778</f>
        <v>4778</v>
      </c>
      <c r="B4785" s="3" t="s">
        <v>4787</v>
      </c>
      <c r="C4785" s="3" t="s">
        <v>10</v>
      </c>
      <c r="D4785" s="3" t="s">
        <v>9</v>
      </c>
      <c r="E4785" s="3">
        <v>0</v>
      </c>
      <c r="F4785" s="3">
        <v>0</v>
      </c>
      <c r="G4785" s="3">
        <v>1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/>
      <c r="P4785" s="3"/>
      <c r="Q4785" s="3"/>
    </row>
    <row r="4786" spans="1:17" ht="15" x14ac:dyDescent="0.25">
      <c r="A4786" s="3">
        <f>4779</f>
        <v>4779</v>
      </c>
      <c r="B4786" s="3" t="s">
        <v>4788</v>
      </c>
      <c r="C4786" s="3" t="s">
        <v>10</v>
      </c>
      <c r="D4786" s="3" t="s">
        <v>9</v>
      </c>
      <c r="E4786" s="3">
        <v>0</v>
      </c>
      <c r="F4786" s="3">
        <v>0</v>
      </c>
      <c r="G4786" s="3">
        <v>1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/>
      <c r="P4786" s="3"/>
      <c r="Q4786" s="3"/>
    </row>
    <row r="4787" spans="1:17" ht="15" x14ac:dyDescent="0.25">
      <c r="A4787" s="3">
        <f>4780</f>
        <v>4780</v>
      </c>
      <c r="B4787" s="3" t="s">
        <v>4789</v>
      </c>
      <c r="C4787" s="3" t="s">
        <v>10</v>
      </c>
      <c r="D4787" s="3" t="s">
        <v>9</v>
      </c>
      <c r="E4787" s="3">
        <v>0</v>
      </c>
      <c r="F4787" s="3">
        <v>0</v>
      </c>
      <c r="G4787" s="3">
        <v>1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/>
      <c r="P4787" s="3"/>
      <c r="Q4787" s="3"/>
    </row>
    <row r="4788" spans="1:17" ht="15" x14ac:dyDescent="0.25">
      <c r="A4788" s="3">
        <f>4781</f>
        <v>4781</v>
      </c>
      <c r="B4788" s="3" t="s">
        <v>4790</v>
      </c>
      <c r="C4788" s="3" t="s">
        <v>10</v>
      </c>
      <c r="D4788" s="3" t="s">
        <v>9</v>
      </c>
      <c r="E4788" s="3">
        <v>0</v>
      </c>
      <c r="F4788" s="3">
        <v>0</v>
      </c>
      <c r="G4788" s="3">
        <v>1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/>
      <c r="P4788" s="3"/>
      <c r="Q4788" s="3"/>
    </row>
    <row r="4789" spans="1:17" ht="15" x14ac:dyDescent="0.25">
      <c r="A4789" s="3">
        <f>4782</f>
        <v>4782</v>
      </c>
      <c r="B4789" s="3" t="s">
        <v>4791</v>
      </c>
      <c r="C4789" s="3" t="s">
        <v>10</v>
      </c>
      <c r="D4789" s="3" t="s">
        <v>9</v>
      </c>
      <c r="E4789" s="3">
        <v>0</v>
      </c>
      <c r="F4789" s="3">
        <v>0</v>
      </c>
      <c r="G4789" s="3">
        <v>1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/>
      <c r="P4789" s="3"/>
      <c r="Q4789" s="3"/>
    </row>
    <row r="4790" spans="1:17" ht="15" x14ac:dyDescent="0.25">
      <c r="A4790" s="3">
        <f>4783</f>
        <v>4783</v>
      </c>
      <c r="B4790" s="3" t="s">
        <v>4792</v>
      </c>
      <c r="C4790" s="3" t="s">
        <v>10</v>
      </c>
      <c r="D4790" s="3" t="s">
        <v>9</v>
      </c>
      <c r="E4790" s="3">
        <v>0</v>
      </c>
      <c r="F4790" s="3">
        <v>0</v>
      </c>
      <c r="G4790" s="3">
        <v>1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/>
      <c r="P4790" s="3"/>
      <c r="Q4790" s="3"/>
    </row>
    <row r="4791" spans="1:17" ht="15" x14ac:dyDescent="0.25">
      <c r="A4791" s="3">
        <f>4784</f>
        <v>4784</v>
      </c>
      <c r="B4791" s="3" t="s">
        <v>4793</v>
      </c>
      <c r="C4791" s="3" t="s">
        <v>10</v>
      </c>
      <c r="D4791" s="3" t="s">
        <v>9</v>
      </c>
      <c r="E4791" s="3">
        <v>0</v>
      </c>
      <c r="F4791" s="3">
        <v>0</v>
      </c>
      <c r="G4791" s="3">
        <v>1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/>
      <c r="P4791" s="3"/>
      <c r="Q4791" s="3"/>
    </row>
    <row r="4792" spans="1:17" ht="15" x14ac:dyDescent="0.25">
      <c r="A4792" s="3">
        <f>4785</f>
        <v>4785</v>
      </c>
      <c r="B4792" s="3" t="s">
        <v>4794</v>
      </c>
      <c r="C4792" s="3" t="s">
        <v>10</v>
      </c>
      <c r="D4792" s="3" t="s">
        <v>9</v>
      </c>
      <c r="E4792" s="3">
        <v>0</v>
      </c>
      <c r="F4792" s="3">
        <v>0</v>
      </c>
      <c r="G4792" s="3">
        <v>1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/>
      <c r="P4792" s="3"/>
      <c r="Q4792" s="3"/>
    </row>
    <row r="4793" spans="1:17" ht="15" x14ac:dyDescent="0.25">
      <c r="A4793" s="3">
        <f>4786</f>
        <v>4786</v>
      </c>
      <c r="B4793" s="3" t="s">
        <v>4795</v>
      </c>
      <c r="C4793" s="3" t="s">
        <v>10</v>
      </c>
      <c r="D4793" s="3" t="s">
        <v>9</v>
      </c>
      <c r="E4793" s="3">
        <v>0</v>
      </c>
      <c r="F4793" s="3">
        <v>0</v>
      </c>
      <c r="G4793" s="3">
        <v>1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/>
      <c r="P4793" s="3"/>
      <c r="Q4793" s="3"/>
    </row>
    <row r="4794" spans="1:17" ht="15" x14ac:dyDescent="0.25">
      <c r="A4794" s="3">
        <f>4787</f>
        <v>4787</v>
      </c>
      <c r="B4794" s="3" t="s">
        <v>4796</v>
      </c>
      <c r="C4794" s="3" t="s">
        <v>10</v>
      </c>
      <c r="D4794" s="3" t="s">
        <v>9</v>
      </c>
      <c r="E4794" s="3">
        <v>0</v>
      </c>
      <c r="F4794" s="3">
        <v>0</v>
      </c>
      <c r="G4794" s="3">
        <v>1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/>
      <c r="P4794" s="3"/>
      <c r="Q4794" s="3"/>
    </row>
    <row r="4795" spans="1:17" ht="15" x14ac:dyDescent="0.25">
      <c r="A4795" s="3">
        <f>4788</f>
        <v>4788</v>
      </c>
      <c r="B4795" s="3" t="s">
        <v>4797</v>
      </c>
      <c r="C4795" s="3" t="s">
        <v>10</v>
      </c>
      <c r="D4795" s="3" t="s">
        <v>9</v>
      </c>
      <c r="E4795" s="3">
        <v>0</v>
      </c>
      <c r="F4795" s="3">
        <v>0</v>
      </c>
      <c r="G4795" s="3">
        <v>1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/>
      <c r="P4795" s="3"/>
      <c r="Q4795" s="3"/>
    </row>
    <row r="4796" spans="1:17" ht="15" x14ac:dyDescent="0.25">
      <c r="A4796" s="3">
        <f>4789</f>
        <v>4789</v>
      </c>
      <c r="B4796" s="3" t="s">
        <v>4798</v>
      </c>
      <c r="C4796" s="3" t="s">
        <v>10</v>
      </c>
      <c r="D4796" s="3" t="s">
        <v>9</v>
      </c>
      <c r="E4796" s="3">
        <v>0</v>
      </c>
      <c r="F4796" s="3">
        <v>0</v>
      </c>
      <c r="G4796" s="3">
        <v>1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/>
      <c r="P4796" s="3"/>
      <c r="Q4796" s="3"/>
    </row>
    <row r="4797" spans="1:17" ht="15" x14ac:dyDescent="0.25">
      <c r="A4797" s="3">
        <f>4790</f>
        <v>4790</v>
      </c>
      <c r="B4797" s="3" t="s">
        <v>4799</v>
      </c>
      <c r="C4797" s="3" t="s">
        <v>10</v>
      </c>
      <c r="D4797" s="3" t="s">
        <v>9</v>
      </c>
      <c r="E4797" s="3">
        <v>0</v>
      </c>
      <c r="F4797" s="3">
        <v>0</v>
      </c>
      <c r="G4797" s="3">
        <v>1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/>
      <c r="P4797" s="3"/>
      <c r="Q4797" s="3"/>
    </row>
    <row r="4798" spans="1:17" ht="15" x14ac:dyDescent="0.25">
      <c r="A4798" s="3">
        <f>4791</f>
        <v>4791</v>
      </c>
      <c r="B4798" s="3" t="s">
        <v>4800</v>
      </c>
      <c r="C4798" s="3" t="s">
        <v>10</v>
      </c>
      <c r="D4798" s="3" t="s">
        <v>9</v>
      </c>
      <c r="E4798" s="3">
        <v>0</v>
      </c>
      <c r="F4798" s="3">
        <v>0</v>
      </c>
      <c r="G4798" s="3">
        <v>1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/>
      <c r="P4798" s="3"/>
      <c r="Q4798" s="3"/>
    </row>
    <row r="4799" spans="1:17" ht="15" x14ac:dyDescent="0.25">
      <c r="A4799" s="3">
        <f>4792</f>
        <v>4792</v>
      </c>
      <c r="B4799" s="3" t="s">
        <v>4801</v>
      </c>
      <c r="C4799" s="3" t="s">
        <v>10</v>
      </c>
      <c r="D4799" s="3" t="s">
        <v>9</v>
      </c>
      <c r="E4799" s="3">
        <v>0</v>
      </c>
      <c r="F4799" s="3">
        <v>0</v>
      </c>
      <c r="G4799" s="3">
        <v>1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/>
      <c r="P4799" s="3"/>
      <c r="Q4799" s="3"/>
    </row>
    <row r="4800" spans="1:17" ht="15" x14ac:dyDescent="0.25">
      <c r="A4800" s="3">
        <f>4793</f>
        <v>4793</v>
      </c>
      <c r="B4800" s="3" t="s">
        <v>4802</v>
      </c>
      <c r="C4800" s="3" t="s">
        <v>10</v>
      </c>
      <c r="D4800" s="3" t="s">
        <v>9</v>
      </c>
      <c r="E4800" s="3">
        <v>0</v>
      </c>
      <c r="F4800" s="3">
        <v>0</v>
      </c>
      <c r="G4800" s="3">
        <v>1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/>
      <c r="P4800" s="3"/>
      <c r="Q4800" s="3"/>
    </row>
    <row r="4801" spans="1:17" ht="15" x14ac:dyDescent="0.25">
      <c r="A4801" s="3">
        <f>4794</f>
        <v>4794</v>
      </c>
      <c r="B4801" s="3" t="s">
        <v>4803</v>
      </c>
      <c r="C4801" s="3" t="s">
        <v>10</v>
      </c>
      <c r="D4801" s="3" t="s">
        <v>9</v>
      </c>
      <c r="E4801" s="3">
        <v>0</v>
      </c>
      <c r="F4801" s="3">
        <v>0</v>
      </c>
      <c r="G4801" s="3">
        <v>1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/>
      <c r="P4801" s="3"/>
      <c r="Q4801" s="3"/>
    </row>
    <row r="4802" spans="1:17" ht="15" x14ac:dyDescent="0.25">
      <c r="A4802" s="3">
        <f>4795</f>
        <v>4795</v>
      </c>
      <c r="B4802" s="3" t="s">
        <v>4804</v>
      </c>
      <c r="C4802" s="3" t="s">
        <v>10</v>
      </c>
      <c r="D4802" s="3" t="s">
        <v>9</v>
      </c>
      <c r="E4802" s="3">
        <v>0</v>
      </c>
      <c r="F4802" s="3">
        <v>0</v>
      </c>
      <c r="G4802" s="3">
        <v>1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/>
      <c r="P4802" s="3"/>
      <c r="Q4802" s="3"/>
    </row>
    <row r="4803" spans="1:17" ht="15" x14ac:dyDescent="0.25">
      <c r="A4803" s="3">
        <f>4796</f>
        <v>4796</v>
      </c>
      <c r="B4803" s="3" t="s">
        <v>4805</v>
      </c>
      <c r="C4803" s="3" t="s">
        <v>10</v>
      </c>
      <c r="D4803" s="3" t="s">
        <v>9</v>
      </c>
      <c r="E4803" s="3">
        <v>0</v>
      </c>
      <c r="F4803" s="3">
        <v>0</v>
      </c>
      <c r="G4803" s="3">
        <v>1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/>
      <c r="P4803" s="3"/>
      <c r="Q4803" s="3"/>
    </row>
    <row r="4804" spans="1:17" ht="15" x14ac:dyDescent="0.25">
      <c r="A4804" s="3">
        <f>4797</f>
        <v>4797</v>
      </c>
      <c r="B4804" s="3" t="s">
        <v>4806</v>
      </c>
      <c r="C4804" s="3" t="s">
        <v>10</v>
      </c>
      <c r="D4804" s="3" t="s">
        <v>9</v>
      </c>
      <c r="E4804" s="3">
        <v>0</v>
      </c>
      <c r="F4804" s="3">
        <v>0</v>
      </c>
      <c r="G4804" s="3">
        <v>1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/>
      <c r="P4804" s="3"/>
      <c r="Q4804" s="3"/>
    </row>
    <row r="4805" spans="1:17" ht="15" x14ac:dyDescent="0.25">
      <c r="A4805" s="3">
        <f>4798</f>
        <v>4798</v>
      </c>
      <c r="B4805" s="3" t="s">
        <v>4807</v>
      </c>
      <c r="C4805" s="3" t="s">
        <v>10</v>
      </c>
      <c r="D4805" s="3" t="s">
        <v>9</v>
      </c>
      <c r="E4805" s="3">
        <v>0</v>
      </c>
      <c r="F4805" s="3">
        <v>0</v>
      </c>
      <c r="G4805" s="3">
        <v>1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/>
      <c r="P4805" s="3"/>
      <c r="Q4805" s="3"/>
    </row>
    <row r="4806" spans="1:17" ht="15" x14ac:dyDescent="0.25">
      <c r="A4806" s="3">
        <f>4799</f>
        <v>4799</v>
      </c>
      <c r="B4806" s="3" t="s">
        <v>4808</v>
      </c>
      <c r="C4806" s="3" t="s">
        <v>10</v>
      </c>
      <c r="D4806" s="3" t="s">
        <v>9</v>
      </c>
      <c r="E4806" s="3">
        <v>0</v>
      </c>
      <c r="F4806" s="3">
        <v>0</v>
      </c>
      <c r="G4806" s="3">
        <v>1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/>
      <c r="P4806" s="3"/>
      <c r="Q4806" s="3"/>
    </row>
    <row r="4807" spans="1:17" ht="15" x14ac:dyDescent="0.25">
      <c r="A4807" s="3">
        <f>4800</f>
        <v>4800</v>
      </c>
      <c r="B4807" s="3" t="s">
        <v>4809</v>
      </c>
      <c r="C4807" s="3" t="s">
        <v>10</v>
      </c>
      <c r="D4807" s="3" t="s">
        <v>9</v>
      </c>
      <c r="E4807" s="3">
        <v>0</v>
      </c>
      <c r="F4807" s="3">
        <v>0</v>
      </c>
      <c r="G4807" s="3">
        <v>1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/>
      <c r="P4807" s="3"/>
      <c r="Q4807" s="3"/>
    </row>
    <row r="4808" spans="1:17" ht="15" x14ac:dyDescent="0.25">
      <c r="A4808" s="3">
        <f>4801</f>
        <v>4801</v>
      </c>
      <c r="B4808" s="3" t="s">
        <v>4810</v>
      </c>
      <c r="C4808" s="3" t="s">
        <v>10</v>
      </c>
      <c r="D4808" s="3" t="s">
        <v>9</v>
      </c>
      <c r="E4808" s="3">
        <v>0</v>
      </c>
      <c r="F4808" s="3">
        <v>0</v>
      </c>
      <c r="G4808" s="3">
        <v>1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/>
      <c r="P4808" s="3"/>
      <c r="Q4808" s="3"/>
    </row>
    <row r="4809" spans="1:17" ht="15" x14ac:dyDescent="0.25">
      <c r="A4809" s="3">
        <f>4802</f>
        <v>4802</v>
      </c>
      <c r="B4809" s="3" t="s">
        <v>4811</v>
      </c>
      <c r="C4809" s="3" t="s">
        <v>10</v>
      </c>
      <c r="D4809" s="3" t="s">
        <v>9</v>
      </c>
      <c r="E4809" s="3">
        <v>0</v>
      </c>
      <c r="F4809" s="3">
        <v>0</v>
      </c>
      <c r="G4809" s="3">
        <v>1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/>
      <c r="P4809" s="3"/>
      <c r="Q4809" s="3"/>
    </row>
    <row r="4810" spans="1:17" ht="15" x14ac:dyDescent="0.25">
      <c r="A4810" s="3">
        <f>4803</f>
        <v>4803</v>
      </c>
      <c r="B4810" s="3" t="s">
        <v>4812</v>
      </c>
      <c r="C4810" s="3" t="s">
        <v>10</v>
      </c>
      <c r="D4810" s="3" t="s">
        <v>9</v>
      </c>
      <c r="E4810" s="3">
        <v>0</v>
      </c>
      <c r="F4810" s="3">
        <v>0</v>
      </c>
      <c r="G4810" s="3">
        <v>1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/>
      <c r="P4810" s="3"/>
      <c r="Q4810" s="3"/>
    </row>
    <row r="4811" spans="1:17" ht="15" x14ac:dyDescent="0.25">
      <c r="A4811" s="3">
        <f>4804</f>
        <v>4804</v>
      </c>
      <c r="B4811" s="3" t="s">
        <v>4813</v>
      </c>
      <c r="C4811" s="3" t="s">
        <v>10</v>
      </c>
      <c r="D4811" s="3" t="s">
        <v>9</v>
      </c>
      <c r="E4811" s="3">
        <v>0</v>
      </c>
      <c r="F4811" s="3">
        <v>0</v>
      </c>
      <c r="G4811" s="3">
        <v>1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/>
      <c r="P4811" s="3"/>
      <c r="Q4811" s="3"/>
    </row>
    <row r="4812" spans="1:17" ht="15" x14ac:dyDescent="0.25">
      <c r="A4812" s="3">
        <f>4805</f>
        <v>4805</v>
      </c>
      <c r="B4812" s="3" t="s">
        <v>4814</v>
      </c>
      <c r="C4812" s="3" t="s">
        <v>10</v>
      </c>
      <c r="D4812" s="3" t="s">
        <v>9</v>
      </c>
      <c r="E4812" s="3">
        <v>0</v>
      </c>
      <c r="F4812" s="3">
        <v>0</v>
      </c>
      <c r="G4812" s="3">
        <v>1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/>
      <c r="P4812" s="3"/>
      <c r="Q4812" s="3"/>
    </row>
    <row r="4813" spans="1:17" ht="15" x14ac:dyDescent="0.25">
      <c r="A4813" s="3">
        <f>4806</f>
        <v>4806</v>
      </c>
      <c r="B4813" s="3" t="s">
        <v>4815</v>
      </c>
      <c r="C4813" s="3" t="s">
        <v>10</v>
      </c>
      <c r="D4813" s="3" t="s">
        <v>9</v>
      </c>
      <c r="E4813" s="3">
        <v>0</v>
      </c>
      <c r="F4813" s="3">
        <v>0</v>
      </c>
      <c r="G4813" s="3">
        <v>1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/>
      <c r="P4813" s="3"/>
      <c r="Q4813" s="3"/>
    </row>
    <row r="4814" spans="1:17" ht="15" x14ac:dyDescent="0.25">
      <c r="A4814" s="3">
        <f>4807</f>
        <v>4807</v>
      </c>
      <c r="B4814" s="3" t="s">
        <v>4816</v>
      </c>
      <c r="C4814" s="3" t="s">
        <v>10</v>
      </c>
      <c r="D4814" s="3" t="s">
        <v>9</v>
      </c>
      <c r="E4814" s="3">
        <v>0</v>
      </c>
      <c r="F4814" s="3">
        <v>0</v>
      </c>
      <c r="G4814" s="3">
        <v>1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/>
      <c r="P4814" s="3"/>
      <c r="Q4814" s="3"/>
    </row>
    <row r="4815" spans="1:17" ht="15" x14ac:dyDescent="0.25">
      <c r="A4815" s="3">
        <f>4808</f>
        <v>4808</v>
      </c>
      <c r="B4815" s="3" t="s">
        <v>4817</v>
      </c>
      <c r="C4815" s="3" t="s">
        <v>10</v>
      </c>
      <c r="D4815" s="3" t="s">
        <v>9</v>
      </c>
      <c r="E4815" s="3">
        <v>0</v>
      </c>
      <c r="F4815" s="3">
        <v>0</v>
      </c>
      <c r="G4815" s="3">
        <v>1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/>
      <c r="P4815" s="3"/>
      <c r="Q4815" s="3"/>
    </row>
    <row r="4816" spans="1:17" ht="15" x14ac:dyDescent="0.25">
      <c r="A4816" s="3">
        <f>4809</f>
        <v>4809</v>
      </c>
      <c r="B4816" s="3" t="s">
        <v>4818</v>
      </c>
      <c r="C4816" s="3" t="s">
        <v>10</v>
      </c>
      <c r="D4816" s="3" t="s">
        <v>9</v>
      </c>
      <c r="E4816" s="3">
        <v>0</v>
      </c>
      <c r="F4816" s="3">
        <v>0</v>
      </c>
      <c r="G4816" s="3">
        <v>1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/>
      <c r="P4816" s="3"/>
      <c r="Q4816" s="3"/>
    </row>
    <row r="4817" spans="1:17" ht="15" x14ac:dyDescent="0.25">
      <c r="A4817" s="3">
        <f>4810</f>
        <v>4810</v>
      </c>
      <c r="B4817" s="3" t="s">
        <v>4819</v>
      </c>
      <c r="C4817" s="3" t="s">
        <v>10</v>
      </c>
      <c r="D4817" s="3" t="s">
        <v>9</v>
      </c>
      <c r="E4817" s="3">
        <v>0</v>
      </c>
      <c r="F4817" s="3">
        <v>0</v>
      </c>
      <c r="G4817" s="3">
        <v>1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/>
      <c r="P4817" s="3"/>
      <c r="Q4817" s="3"/>
    </row>
    <row r="4818" spans="1:17" ht="15" x14ac:dyDescent="0.25">
      <c r="A4818" s="3">
        <f>4811</f>
        <v>4811</v>
      </c>
      <c r="B4818" s="3" t="s">
        <v>4820</v>
      </c>
      <c r="C4818" s="3" t="s">
        <v>10</v>
      </c>
      <c r="D4818" s="3" t="s">
        <v>9</v>
      </c>
      <c r="E4818" s="3">
        <v>0</v>
      </c>
      <c r="F4818" s="3">
        <v>0</v>
      </c>
      <c r="G4818" s="3">
        <v>1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/>
      <c r="P4818" s="3"/>
      <c r="Q4818" s="3"/>
    </row>
    <row r="4819" spans="1:17" ht="15" x14ac:dyDescent="0.25">
      <c r="A4819" s="3">
        <f>4812</f>
        <v>4812</v>
      </c>
      <c r="B4819" s="3" t="s">
        <v>4821</v>
      </c>
      <c r="C4819" s="3" t="s">
        <v>10</v>
      </c>
      <c r="D4819" s="3" t="s">
        <v>9</v>
      </c>
      <c r="E4819" s="3">
        <v>0</v>
      </c>
      <c r="F4819" s="3">
        <v>0</v>
      </c>
      <c r="G4819" s="3">
        <v>1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/>
      <c r="P4819" s="3"/>
      <c r="Q4819" s="3"/>
    </row>
    <row r="4820" spans="1:17" ht="15" x14ac:dyDescent="0.25">
      <c r="A4820" s="3">
        <f>4813</f>
        <v>4813</v>
      </c>
      <c r="B4820" s="3" t="s">
        <v>4822</v>
      </c>
      <c r="C4820" s="3" t="s">
        <v>10</v>
      </c>
      <c r="D4820" s="3" t="s">
        <v>9</v>
      </c>
      <c r="E4820" s="3">
        <v>0</v>
      </c>
      <c r="F4820" s="3">
        <v>0</v>
      </c>
      <c r="G4820" s="3">
        <v>1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/>
      <c r="P4820" s="3"/>
      <c r="Q4820" s="3"/>
    </row>
    <row r="4821" spans="1:17" ht="15" x14ac:dyDescent="0.25">
      <c r="A4821" s="3">
        <f>4814</f>
        <v>4814</v>
      </c>
      <c r="B4821" s="3" t="s">
        <v>4823</v>
      </c>
      <c r="C4821" s="3" t="s">
        <v>10</v>
      </c>
      <c r="D4821" s="3" t="s">
        <v>9</v>
      </c>
      <c r="E4821" s="3">
        <v>0</v>
      </c>
      <c r="F4821" s="3">
        <v>0</v>
      </c>
      <c r="G4821" s="3">
        <v>1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/>
      <c r="P4821" s="3"/>
      <c r="Q4821" s="3"/>
    </row>
    <row r="4822" spans="1:17" ht="15" x14ac:dyDescent="0.25">
      <c r="A4822" s="3">
        <f>4815</f>
        <v>4815</v>
      </c>
      <c r="B4822" s="3" t="s">
        <v>4824</v>
      </c>
      <c r="C4822" s="3" t="s">
        <v>10</v>
      </c>
      <c r="D4822" s="3" t="s">
        <v>9</v>
      </c>
      <c r="E4822" s="3">
        <v>0</v>
      </c>
      <c r="F4822" s="3">
        <v>0</v>
      </c>
      <c r="G4822" s="3">
        <v>1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/>
      <c r="P4822" s="3"/>
      <c r="Q4822" s="3"/>
    </row>
    <row r="4823" spans="1:17" ht="15" x14ac:dyDescent="0.25">
      <c r="A4823" s="3">
        <f>4816</f>
        <v>4816</v>
      </c>
      <c r="B4823" s="3" t="s">
        <v>4825</v>
      </c>
      <c r="C4823" s="3" t="s">
        <v>9</v>
      </c>
      <c r="D4823" s="3" t="s">
        <v>10</v>
      </c>
      <c r="E4823" s="3">
        <v>0</v>
      </c>
      <c r="F4823" s="3">
        <v>0</v>
      </c>
      <c r="G4823" s="3">
        <v>1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/>
      <c r="P4823" s="3"/>
      <c r="Q4823" s="3"/>
    </row>
    <row r="4824" spans="1:17" ht="15" x14ac:dyDescent="0.25">
      <c r="A4824" s="3">
        <f>4817</f>
        <v>4817</v>
      </c>
      <c r="B4824" s="3" t="s">
        <v>4826</v>
      </c>
      <c r="C4824" s="3" t="s">
        <v>9</v>
      </c>
      <c r="D4824" s="3" t="s">
        <v>10</v>
      </c>
      <c r="E4824" s="3">
        <v>0</v>
      </c>
      <c r="F4824" s="3">
        <v>0</v>
      </c>
      <c r="G4824" s="3">
        <v>1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/>
      <c r="P4824" s="3"/>
      <c r="Q4824" s="3"/>
    </row>
    <row r="4825" spans="1:17" ht="15" x14ac:dyDescent="0.25">
      <c r="A4825" s="3">
        <f>4818</f>
        <v>4818</v>
      </c>
      <c r="B4825" s="3" t="s">
        <v>4827</v>
      </c>
      <c r="C4825" s="3" t="s">
        <v>9</v>
      </c>
      <c r="D4825" s="3" t="s">
        <v>10</v>
      </c>
      <c r="E4825" s="3">
        <v>0</v>
      </c>
      <c r="F4825" s="3">
        <v>0</v>
      </c>
      <c r="G4825" s="3">
        <v>1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/>
      <c r="P4825" s="3"/>
      <c r="Q4825" s="3"/>
    </row>
    <row r="4826" spans="1:17" ht="15" x14ac:dyDescent="0.25">
      <c r="A4826" s="3">
        <f>4819</f>
        <v>4819</v>
      </c>
      <c r="B4826" s="3" t="s">
        <v>4828</v>
      </c>
      <c r="C4826" s="3" t="s">
        <v>9</v>
      </c>
      <c r="D4826" s="3" t="s">
        <v>10</v>
      </c>
      <c r="E4826" s="3">
        <v>0</v>
      </c>
      <c r="F4826" s="3">
        <v>0</v>
      </c>
      <c r="G4826" s="3">
        <v>1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/>
      <c r="P4826" s="3"/>
      <c r="Q4826" s="3"/>
    </row>
    <row r="4827" spans="1:17" ht="15" x14ac:dyDescent="0.25">
      <c r="A4827" s="3">
        <f>4820</f>
        <v>4820</v>
      </c>
      <c r="B4827" s="3" t="s">
        <v>4829</v>
      </c>
      <c r="C4827" s="3" t="s">
        <v>9</v>
      </c>
      <c r="D4827" s="3" t="s">
        <v>10</v>
      </c>
      <c r="E4827" s="3">
        <v>0</v>
      </c>
      <c r="F4827" s="3">
        <v>0</v>
      </c>
      <c r="G4827" s="3">
        <v>1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/>
      <c r="P4827" s="3"/>
      <c r="Q4827" s="3"/>
    </row>
    <row r="4828" spans="1:17" ht="15" x14ac:dyDescent="0.25">
      <c r="A4828" s="3">
        <f>4821</f>
        <v>4821</v>
      </c>
      <c r="B4828" s="3" t="s">
        <v>4830</v>
      </c>
      <c r="C4828" s="3" t="s">
        <v>9</v>
      </c>
      <c r="D4828" s="3" t="s">
        <v>10</v>
      </c>
      <c r="E4828" s="3">
        <v>0</v>
      </c>
      <c r="F4828" s="3">
        <v>0</v>
      </c>
      <c r="G4828" s="3">
        <v>1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/>
      <c r="P4828" s="3"/>
      <c r="Q4828" s="3"/>
    </row>
    <row r="4829" spans="1:17" ht="15" x14ac:dyDescent="0.25">
      <c r="A4829" s="3">
        <f>4822</f>
        <v>4822</v>
      </c>
      <c r="B4829" s="3" t="s">
        <v>4831</v>
      </c>
      <c r="C4829" s="3" t="s">
        <v>9</v>
      </c>
      <c r="D4829" s="3" t="s">
        <v>10</v>
      </c>
      <c r="E4829" s="3">
        <v>0</v>
      </c>
      <c r="F4829" s="3">
        <v>0</v>
      </c>
      <c r="G4829" s="3">
        <v>1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/>
      <c r="P4829" s="3"/>
      <c r="Q4829" s="3"/>
    </row>
    <row r="4830" spans="1:17" ht="15" x14ac:dyDescent="0.25">
      <c r="A4830" s="3">
        <f>4823</f>
        <v>4823</v>
      </c>
      <c r="B4830" s="3" t="s">
        <v>4832</v>
      </c>
      <c r="C4830" s="3" t="s">
        <v>9</v>
      </c>
      <c r="D4830" s="3" t="s">
        <v>10</v>
      </c>
      <c r="E4830" s="3">
        <v>0</v>
      </c>
      <c r="F4830" s="3">
        <v>0</v>
      </c>
      <c r="G4830" s="3">
        <v>1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/>
      <c r="P4830" s="3"/>
      <c r="Q4830" s="3"/>
    </row>
    <row r="4831" spans="1:17" ht="15" x14ac:dyDescent="0.25">
      <c r="A4831" s="3">
        <f>4824</f>
        <v>4824</v>
      </c>
      <c r="B4831" s="3" t="s">
        <v>4833</v>
      </c>
      <c r="C4831" s="3" t="s">
        <v>9</v>
      </c>
      <c r="D4831" s="3" t="s">
        <v>10</v>
      </c>
      <c r="E4831" s="3">
        <v>0</v>
      </c>
      <c r="F4831" s="3">
        <v>0</v>
      </c>
      <c r="G4831" s="3">
        <v>1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/>
      <c r="P4831" s="3"/>
      <c r="Q4831" s="3"/>
    </row>
    <row r="4832" spans="1:17" ht="15" x14ac:dyDescent="0.25">
      <c r="A4832" s="3">
        <f>4825</f>
        <v>4825</v>
      </c>
      <c r="B4832" s="3" t="s">
        <v>4834</v>
      </c>
      <c r="C4832" s="3" t="s">
        <v>9</v>
      </c>
      <c r="D4832" s="3" t="s">
        <v>10</v>
      </c>
      <c r="E4832" s="3">
        <v>0</v>
      </c>
      <c r="F4832" s="3">
        <v>0</v>
      </c>
      <c r="G4832" s="3">
        <v>1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/>
      <c r="P4832" s="3"/>
      <c r="Q4832" s="3"/>
    </row>
    <row r="4833" spans="1:17" ht="15" x14ac:dyDescent="0.25">
      <c r="A4833" s="3">
        <f>4826</f>
        <v>4826</v>
      </c>
      <c r="B4833" s="3" t="s">
        <v>4835</v>
      </c>
      <c r="C4833" s="3" t="s">
        <v>9</v>
      </c>
      <c r="D4833" s="3" t="s">
        <v>10</v>
      </c>
      <c r="E4833" s="3">
        <v>0</v>
      </c>
      <c r="F4833" s="3">
        <v>0</v>
      </c>
      <c r="G4833" s="3">
        <v>1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/>
      <c r="P4833" s="3"/>
      <c r="Q4833" s="3"/>
    </row>
    <row r="4834" spans="1:17" ht="15" x14ac:dyDescent="0.25">
      <c r="A4834" s="3">
        <f>4827</f>
        <v>4827</v>
      </c>
      <c r="B4834" s="3" t="s">
        <v>4836</v>
      </c>
      <c r="C4834" s="3" t="s">
        <v>9</v>
      </c>
      <c r="D4834" s="3" t="s">
        <v>10</v>
      </c>
      <c r="E4834" s="3">
        <v>0</v>
      </c>
      <c r="F4834" s="3">
        <v>0</v>
      </c>
      <c r="G4834" s="3">
        <v>1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/>
      <c r="P4834" s="3"/>
      <c r="Q4834" s="3"/>
    </row>
    <row r="4835" spans="1:17" ht="15" x14ac:dyDescent="0.25">
      <c r="A4835" s="3">
        <f>4828</f>
        <v>4828</v>
      </c>
      <c r="B4835" s="3" t="s">
        <v>4837</v>
      </c>
      <c r="C4835" s="3" t="s">
        <v>9</v>
      </c>
      <c r="D4835" s="3" t="s">
        <v>10</v>
      </c>
      <c r="E4835" s="3">
        <v>0</v>
      </c>
      <c r="F4835" s="3">
        <v>0</v>
      </c>
      <c r="G4835" s="3">
        <v>1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/>
      <c r="P4835" s="3"/>
      <c r="Q4835" s="3"/>
    </row>
    <row r="4836" spans="1:17" ht="15" x14ac:dyDescent="0.25">
      <c r="A4836" s="3">
        <f>4829</f>
        <v>4829</v>
      </c>
      <c r="B4836" s="3" t="s">
        <v>4838</v>
      </c>
      <c r="C4836" s="3" t="s">
        <v>9</v>
      </c>
      <c r="D4836" s="3" t="s">
        <v>10</v>
      </c>
      <c r="E4836" s="3">
        <v>0</v>
      </c>
      <c r="F4836" s="3">
        <v>0</v>
      </c>
      <c r="G4836" s="3">
        <v>1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/>
      <c r="P4836" s="3"/>
      <c r="Q4836" s="3"/>
    </row>
    <row r="4837" spans="1:17" ht="15" x14ac:dyDescent="0.25">
      <c r="A4837" s="3">
        <f>4830</f>
        <v>4830</v>
      </c>
      <c r="B4837" s="3" t="s">
        <v>4839</v>
      </c>
      <c r="C4837" s="3" t="s">
        <v>9</v>
      </c>
      <c r="D4837" s="3" t="s">
        <v>10</v>
      </c>
      <c r="E4837" s="3">
        <v>0</v>
      </c>
      <c r="F4837" s="3">
        <v>0</v>
      </c>
      <c r="G4837" s="3">
        <v>1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/>
      <c r="P4837" s="3"/>
      <c r="Q4837" s="3"/>
    </row>
    <row r="4838" spans="1:17" ht="15" x14ac:dyDescent="0.25">
      <c r="A4838" s="3">
        <f>4831</f>
        <v>4831</v>
      </c>
      <c r="B4838" s="3" t="s">
        <v>4840</v>
      </c>
      <c r="C4838" s="3" t="s">
        <v>9</v>
      </c>
      <c r="D4838" s="3" t="s">
        <v>10</v>
      </c>
      <c r="E4838" s="3">
        <v>0</v>
      </c>
      <c r="F4838" s="3">
        <v>0</v>
      </c>
      <c r="G4838" s="3">
        <v>1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/>
      <c r="P4838" s="3"/>
      <c r="Q4838" s="3"/>
    </row>
    <row r="4839" spans="1:17" ht="15" x14ac:dyDescent="0.25">
      <c r="A4839" s="3">
        <f>4832</f>
        <v>4832</v>
      </c>
      <c r="B4839" s="3" t="s">
        <v>4841</v>
      </c>
      <c r="C4839" s="3" t="s">
        <v>9</v>
      </c>
      <c r="D4839" s="3" t="s">
        <v>10</v>
      </c>
      <c r="E4839" s="3">
        <v>0</v>
      </c>
      <c r="F4839" s="3">
        <v>0</v>
      </c>
      <c r="G4839" s="3">
        <v>1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/>
      <c r="P4839" s="3"/>
      <c r="Q4839" s="3"/>
    </row>
    <row r="4840" spans="1:17" ht="15" x14ac:dyDescent="0.25">
      <c r="A4840" s="3">
        <f>4833</f>
        <v>4833</v>
      </c>
      <c r="B4840" s="3" t="s">
        <v>4842</v>
      </c>
      <c r="C4840" s="3" t="s">
        <v>9</v>
      </c>
      <c r="D4840" s="3" t="s">
        <v>10</v>
      </c>
      <c r="E4840" s="3">
        <v>0</v>
      </c>
      <c r="F4840" s="3">
        <v>0</v>
      </c>
      <c r="G4840" s="3">
        <v>1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/>
      <c r="P4840" s="3"/>
      <c r="Q4840" s="3"/>
    </row>
    <row r="4841" spans="1:17" ht="15" x14ac:dyDescent="0.25">
      <c r="A4841" s="3">
        <f>4834</f>
        <v>4834</v>
      </c>
      <c r="B4841" s="3" t="s">
        <v>4843</v>
      </c>
      <c r="C4841" s="3" t="s">
        <v>9</v>
      </c>
      <c r="D4841" s="3" t="s">
        <v>10</v>
      </c>
      <c r="E4841" s="3">
        <v>0</v>
      </c>
      <c r="F4841" s="3">
        <v>0</v>
      </c>
      <c r="G4841" s="3">
        <v>1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/>
      <c r="P4841" s="3"/>
      <c r="Q4841" s="3"/>
    </row>
    <row r="4842" spans="1:17" ht="15" x14ac:dyDescent="0.25">
      <c r="A4842" s="3">
        <f>4835</f>
        <v>4835</v>
      </c>
      <c r="B4842" s="3" t="s">
        <v>4844</v>
      </c>
      <c r="C4842" s="3" t="s">
        <v>9</v>
      </c>
      <c r="D4842" s="3" t="s">
        <v>10</v>
      </c>
      <c r="E4842" s="3">
        <v>0</v>
      </c>
      <c r="F4842" s="3">
        <v>0</v>
      </c>
      <c r="G4842" s="3">
        <v>1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/>
      <c r="P4842" s="3"/>
      <c r="Q4842" s="3"/>
    </row>
    <row r="4843" spans="1:17" ht="15" x14ac:dyDescent="0.25">
      <c r="A4843" s="3">
        <f>4836</f>
        <v>4836</v>
      </c>
      <c r="B4843" s="3" t="s">
        <v>4845</v>
      </c>
      <c r="C4843" s="3" t="s">
        <v>9</v>
      </c>
      <c r="D4843" s="3" t="s">
        <v>10</v>
      </c>
      <c r="E4843" s="3">
        <v>0</v>
      </c>
      <c r="F4843" s="3">
        <v>0</v>
      </c>
      <c r="G4843" s="3">
        <v>1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/>
      <c r="P4843" s="3"/>
      <c r="Q4843" s="3"/>
    </row>
    <row r="4844" spans="1:17" ht="15" x14ac:dyDescent="0.25">
      <c r="A4844" s="3">
        <f>4837</f>
        <v>4837</v>
      </c>
      <c r="B4844" s="3" t="s">
        <v>4846</v>
      </c>
      <c r="C4844" s="3" t="s">
        <v>9</v>
      </c>
      <c r="D4844" s="3" t="s">
        <v>10</v>
      </c>
      <c r="E4844" s="3">
        <v>0</v>
      </c>
      <c r="F4844" s="3">
        <v>0</v>
      </c>
      <c r="G4844" s="3">
        <v>1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/>
      <c r="P4844" s="3"/>
      <c r="Q4844" s="3"/>
    </row>
    <row r="4845" spans="1:17" ht="15" x14ac:dyDescent="0.25">
      <c r="A4845" s="3">
        <f>4838</f>
        <v>4838</v>
      </c>
      <c r="B4845" s="3" t="s">
        <v>4847</v>
      </c>
      <c r="C4845" s="3" t="s">
        <v>9</v>
      </c>
      <c r="D4845" s="3" t="s">
        <v>10</v>
      </c>
      <c r="E4845" s="3">
        <v>0</v>
      </c>
      <c r="F4845" s="3">
        <v>0</v>
      </c>
      <c r="G4845" s="3">
        <v>1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/>
      <c r="P4845" s="3"/>
      <c r="Q4845" s="3"/>
    </row>
    <row r="4846" spans="1:17" ht="15" x14ac:dyDescent="0.25">
      <c r="A4846" s="3">
        <f>4839</f>
        <v>4839</v>
      </c>
      <c r="B4846" s="3" t="s">
        <v>4848</v>
      </c>
      <c r="C4846" s="3" t="s">
        <v>9</v>
      </c>
      <c r="D4846" s="3" t="s">
        <v>10</v>
      </c>
      <c r="E4846" s="3">
        <v>0</v>
      </c>
      <c r="F4846" s="3">
        <v>0</v>
      </c>
      <c r="G4846" s="3">
        <v>1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/>
      <c r="P4846" s="3"/>
      <c r="Q4846" s="3"/>
    </row>
    <row r="4847" spans="1:17" ht="15" x14ac:dyDescent="0.25">
      <c r="A4847" s="3">
        <f>4840</f>
        <v>4840</v>
      </c>
      <c r="B4847" s="3" t="s">
        <v>4849</v>
      </c>
      <c r="C4847" s="3" t="s">
        <v>9</v>
      </c>
      <c r="D4847" s="3" t="s">
        <v>10</v>
      </c>
      <c r="E4847" s="3">
        <v>0</v>
      </c>
      <c r="F4847" s="3">
        <v>0</v>
      </c>
      <c r="G4847" s="3">
        <v>1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/>
      <c r="P4847" s="3"/>
      <c r="Q4847" s="3"/>
    </row>
    <row r="4848" spans="1:17" ht="15" x14ac:dyDescent="0.25">
      <c r="A4848" s="3">
        <f>4841</f>
        <v>4841</v>
      </c>
      <c r="B4848" s="3" t="s">
        <v>4850</v>
      </c>
      <c r="C4848" s="3" t="s">
        <v>9</v>
      </c>
      <c r="D4848" s="3" t="s">
        <v>10</v>
      </c>
      <c r="E4848" s="3">
        <v>0</v>
      </c>
      <c r="F4848" s="3">
        <v>0</v>
      </c>
      <c r="G4848" s="3">
        <v>1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/>
      <c r="P4848" s="3"/>
      <c r="Q4848" s="3"/>
    </row>
    <row r="4849" spans="1:17" ht="15" x14ac:dyDescent="0.25">
      <c r="A4849" s="3">
        <f>4842</f>
        <v>4842</v>
      </c>
      <c r="B4849" s="3" t="s">
        <v>4851</v>
      </c>
      <c r="C4849" s="3" t="s">
        <v>9</v>
      </c>
      <c r="D4849" s="3" t="s">
        <v>10</v>
      </c>
      <c r="E4849" s="3">
        <v>0</v>
      </c>
      <c r="F4849" s="3">
        <v>0</v>
      </c>
      <c r="G4849" s="3">
        <v>1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/>
      <c r="P4849" s="3"/>
      <c r="Q4849" s="3"/>
    </row>
    <row r="4850" spans="1:17" ht="15" x14ac:dyDescent="0.25">
      <c r="A4850" s="3">
        <f>4843</f>
        <v>4843</v>
      </c>
      <c r="B4850" s="3" t="s">
        <v>4852</v>
      </c>
      <c r="C4850" s="3" t="s">
        <v>9</v>
      </c>
      <c r="D4850" s="3" t="s">
        <v>10</v>
      </c>
      <c r="E4850" s="3">
        <v>0</v>
      </c>
      <c r="F4850" s="3">
        <v>0</v>
      </c>
      <c r="G4850" s="3">
        <v>1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/>
      <c r="P4850" s="3"/>
      <c r="Q4850" s="3"/>
    </row>
    <row r="4851" spans="1:17" ht="15" x14ac:dyDescent="0.25">
      <c r="A4851" s="3">
        <f>4844</f>
        <v>4844</v>
      </c>
      <c r="B4851" s="3" t="s">
        <v>4853</v>
      </c>
      <c r="C4851" s="3" t="s">
        <v>9</v>
      </c>
      <c r="D4851" s="3" t="s">
        <v>10</v>
      </c>
      <c r="E4851" s="3">
        <v>0</v>
      </c>
      <c r="F4851" s="3">
        <v>0</v>
      </c>
      <c r="G4851" s="3">
        <v>1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/>
      <c r="P4851" s="3"/>
      <c r="Q4851" s="3"/>
    </row>
    <row r="4852" spans="1:17" ht="15" x14ac:dyDescent="0.25">
      <c r="A4852" s="3">
        <f>4845</f>
        <v>4845</v>
      </c>
      <c r="B4852" s="3" t="s">
        <v>4854</v>
      </c>
      <c r="C4852" s="3" t="s">
        <v>9</v>
      </c>
      <c r="D4852" s="3" t="s">
        <v>10</v>
      </c>
      <c r="E4852" s="3">
        <v>0</v>
      </c>
      <c r="F4852" s="3">
        <v>0</v>
      </c>
      <c r="G4852" s="3">
        <v>1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/>
      <c r="P4852" s="3"/>
      <c r="Q4852" s="3"/>
    </row>
    <row r="4853" spans="1:17" ht="15" x14ac:dyDescent="0.25">
      <c r="A4853" s="3">
        <f>4846</f>
        <v>4846</v>
      </c>
      <c r="B4853" s="3" t="s">
        <v>4855</v>
      </c>
      <c r="C4853" s="3" t="s">
        <v>9</v>
      </c>
      <c r="D4853" s="3" t="s">
        <v>10</v>
      </c>
      <c r="E4853" s="3">
        <v>0</v>
      </c>
      <c r="F4853" s="3">
        <v>0</v>
      </c>
      <c r="G4853" s="3">
        <v>1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/>
      <c r="P4853" s="3"/>
      <c r="Q4853" s="3"/>
    </row>
    <row r="4854" spans="1:17" ht="15" x14ac:dyDescent="0.25">
      <c r="A4854" s="3">
        <f>4847</f>
        <v>4847</v>
      </c>
      <c r="B4854" s="3" t="s">
        <v>4856</v>
      </c>
      <c r="C4854" s="3" t="s">
        <v>9</v>
      </c>
      <c r="D4854" s="3" t="s">
        <v>10</v>
      </c>
      <c r="E4854" s="3">
        <v>0</v>
      </c>
      <c r="F4854" s="3">
        <v>0</v>
      </c>
      <c r="G4854" s="3">
        <v>1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/>
      <c r="P4854" s="3"/>
      <c r="Q4854" s="3"/>
    </row>
    <row r="4855" spans="1:17" ht="15" x14ac:dyDescent="0.25">
      <c r="A4855" s="3">
        <f>4848</f>
        <v>4848</v>
      </c>
      <c r="B4855" s="3" t="s">
        <v>4857</v>
      </c>
      <c r="C4855" s="3" t="s">
        <v>9</v>
      </c>
      <c r="D4855" s="3" t="s">
        <v>10</v>
      </c>
      <c r="E4855" s="3">
        <v>0</v>
      </c>
      <c r="F4855" s="3">
        <v>0</v>
      </c>
      <c r="G4855" s="3">
        <v>1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/>
      <c r="P4855" s="3"/>
      <c r="Q4855" s="3"/>
    </row>
    <row r="4856" spans="1:17" ht="15" x14ac:dyDescent="0.25">
      <c r="A4856" s="3">
        <f>4849</f>
        <v>4849</v>
      </c>
      <c r="B4856" s="3" t="s">
        <v>4858</v>
      </c>
      <c r="C4856" s="3" t="s">
        <v>9</v>
      </c>
      <c r="D4856" s="3" t="s">
        <v>10</v>
      </c>
      <c r="E4856" s="3">
        <v>0</v>
      </c>
      <c r="F4856" s="3">
        <v>0</v>
      </c>
      <c r="G4856" s="3">
        <v>1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/>
      <c r="P4856" s="3"/>
      <c r="Q4856" s="3"/>
    </row>
    <row r="4857" spans="1:17" ht="15" x14ac:dyDescent="0.25">
      <c r="A4857" s="3">
        <f>4850</f>
        <v>4850</v>
      </c>
      <c r="B4857" s="3" t="s">
        <v>4859</v>
      </c>
      <c r="C4857" s="3" t="s">
        <v>9</v>
      </c>
      <c r="D4857" s="3" t="s">
        <v>10</v>
      </c>
      <c r="E4857" s="3">
        <v>0</v>
      </c>
      <c r="F4857" s="3">
        <v>0</v>
      </c>
      <c r="G4857" s="3">
        <v>1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/>
      <c r="P4857" s="3"/>
      <c r="Q4857" s="3"/>
    </row>
    <row r="4858" spans="1:17" ht="15" x14ac:dyDescent="0.25">
      <c r="A4858" s="3">
        <f>4851</f>
        <v>4851</v>
      </c>
      <c r="B4858" s="3" t="s">
        <v>4860</v>
      </c>
      <c r="C4858" s="3" t="s">
        <v>9</v>
      </c>
      <c r="D4858" s="3" t="s">
        <v>10</v>
      </c>
      <c r="E4858" s="3">
        <v>0</v>
      </c>
      <c r="F4858" s="3">
        <v>0</v>
      </c>
      <c r="G4858" s="3">
        <v>1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/>
      <c r="P4858" s="3"/>
      <c r="Q4858" s="3"/>
    </row>
    <row r="4859" spans="1:17" ht="15" x14ac:dyDescent="0.25">
      <c r="A4859" s="3">
        <f>4852</f>
        <v>4852</v>
      </c>
      <c r="B4859" s="3" t="s">
        <v>4861</v>
      </c>
      <c r="C4859" s="3" t="s">
        <v>9</v>
      </c>
      <c r="D4859" s="3" t="s">
        <v>10</v>
      </c>
      <c r="E4859" s="3">
        <v>0</v>
      </c>
      <c r="F4859" s="3">
        <v>0</v>
      </c>
      <c r="G4859" s="3">
        <v>1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/>
      <c r="P4859" s="3"/>
      <c r="Q4859" s="3"/>
    </row>
    <row r="4860" spans="1:17" ht="15" x14ac:dyDescent="0.25">
      <c r="A4860" s="3">
        <f>4853</f>
        <v>4853</v>
      </c>
      <c r="B4860" s="3" t="s">
        <v>4862</v>
      </c>
      <c r="C4860" s="3" t="s">
        <v>9</v>
      </c>
      <c r="D4860" s="3" t="s">
        <v>10</v>
      </c>
      <c r="E4860" s="3">
        <v>0</v>
      </c>
      <c r="F4860" s="3">
        <v>0</v>
      </c>
      <c r="G4860" s="3">
        <v>1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/>
      <c r="P4860" s="3"/>
      <c r="Q4860" s="3"/>
    </row>
    <row r="4861" spans="1:17" ht="15" x14ac:dyDescent="0.25">
      <c r="A4861" s="3">
        <f>4854</f>
        <v>4854</v>
      </c>
      <c r="B4861" s="3" t="s">
        <v>4863</v>
      </c>
      <c r="C4861" s="3" t="s">
        <v>9</v>
      </c>
      <c r="D4861" s="3" t="s">
        <v>10</v>
      </c>
      <c r="E4861" s="3">
        <v>0</v>
      </c>
      <c r="F4861" s="3">
        <v>0</v>
      </c>
      <c r="G4861" s="3">
        <v>1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/>
      <c r="P4861" s="3"/>
      <c r="Q4861" s="3"/>
    </row>
    <row r="4862" spans="1:17" ht="15" x14ac:dyDescent="0.25">
      <c r="A4862" s="3">
        <f>4855</f>
        <v>4855</v>
      </c>
      <c r="B4862" s="3" t="s">
        <v>4864</v>
      </c>
      <c r="C4862" s="3" t="s">
        <v>9</v>
      </c>
      <c r="D4862" s="3" t="s">
        <v>10</v>
      </c>
      <c r="E4862" s="3">
        <v>0</v>
      </c>
      <c r="F4862" s="3">
        <v>0</v>
      </c>
      <c r="G4862" s="3">
        <v>1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/>
      <c r="P4862" s="3"/>
      <c r="Q4862" s="3"/>
    </row>
    <row r="4863" spans="1:17" ht="15" x14ac:dyDescent="0.25">
      <c r="A4863" s="3">
        <f>4856</f>
        <v>4856</v>
      </c>
      <c r="B4863" s="3" t="s">
        <v>4865</v>
      </c>
      <c r="C4863" s="3" t="s">
        <v>9</v>
      </c>
      <c r="D4863" s="3" t="s">
        <v>10</v>
      </c>
      <c r="E4863" s="3">
        <v>0</v>
      </c>
      <c r="F4863" s="3">
        <v>0</v>
      </c>
      <c r="G4863" s="3">
        <v>1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/>
      <c r="P4863" s="3"/>
      <c r="Q4863" s="3"/>
    </row>
    <row r="4864" spans="1:17" ht="15" x14ac:dyDescent="0.25">
      <c r="A4864" s="3">
        <f>4857</f>
        <v>4857</v>
      </c>
      <c r="B4864" s="3" t="s">
        <v>4866</v>
      </c>
      <c r="C4864" s="3" t="s">
        <v>9</v>
      </c>
      <c r="D4864" s="3" t="s">
        <v>10</v>
      </c>
      <c r="E4864" s="3">
        <v>0</v>
      </c>
      <c r="F4864" s="3">
        <v>0</v>
      </c>
      <c r="G4864" s="3">
        <v>1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/>
      <c r="P4864" s="3"/>
      <c r="Q4864" s="3"/>
    </row>
    <row r="4865" spans="1:17" ht="15" x14ac:dyDescent="0.25">
      <c r="A4865" s="3">
        <f>4858</f>
        <v>4858</v>
      </c>
      <c r="B4865" s="3" t="s">
        <v>4867</v>
      </c>
      <c r="C4865" s="3" t="s">
        <v>9</v>
      </c>
      <c r="D4865" s="3" t="s">
        <v>10</v>
      </c>
      <c r="E4865" s="3">
        <v>0</v>
      </c>
      <c r="F4865" s="3">
        <v>0</v>
      </c>
      <c r="G4865" s="3">
        <v>1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/>
      <c r="P4865" s="3"/>
      <c r="Q4865" s="3"/>
    </row>
    <row r="4866" spans="1:17" ht="15" x14ac:dyDescent="0.25">
      <c r="A4866" s="3">
        <f>4859</f>
        <v>4859</v>
      </c>
      <c r="B4866" s="3" t="s">
        <v>4868</v>
      </c>
      <c r="C4866" s="3" t="s">
        <v>9</v>
      </c>
      <c r="D4866" s="3" t="s">
        <v>10</v>
      </c>
      <c r="E4866" s="3">
        <v>0</v>
      </c>
      <c r="F4866" s="3">
        <v>0</v>
      </c>
      <c r="G4866" s="3">
        <v>1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/>
      <c r="P4866" s="3"/>
      <c r="Q4866" s="3"/>
    </row>
    <row r="4867" spans="1:17" ht="15" x14ac:dyDescent="0.25">
      <c r="A4867" s="3">
        <f>4860</f>
        <v>4860</v>
      </c>
      <c r="B4867" s="3" t="s">
        <v>4869</v>
      </c>
      <c r="C4867" s="3" t="s">
        <v>9</v>
      </c>
      <c r="D4867" s="3" t="s">
        <v>10</v>
      </c>
      <c r="E4867" s="3">
        <v>0</v>
      </c>
      <c r="F4867" s="3">
        <v>0</v>
      </c>
      <c r="G4867" s="3">
        <v>1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/>
      <c r="P4867" s="3"/>
      <c r="Q4867" s="3"/>
    </row>
    <row r="4868" spans="1:17" ht="15" x14ac:dyDescent="0.25">
      <c r="A4868" s="3">
        <f>4861</f>
        <v>4861</v>
      </c>
      <c r="B4868" s="3" t="s">
        <v>4870</v>
      </c>
      <c r="C4868" s="3" t="s">
        <v>9</v>
      </c>
      <c r="D4868" s="3" t="s">
        <v>10</v>
      </c>
      <c r="E4868" s="3">
        <v>0</v>
      </c>
      <c r="F4868" s="3">
        <v>0</v>
      </c>
      <c r="G4868" s="3">
        <v>1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/>
      <c r="P4868" s="3"/>
      <c r="Q4868" s="3"/>
    </row>
    <row r="4869" spans="1:17" ht="15" x14ac:dyDescent="0.25">
      <c r="A4869" s="3">
        <f>4862</f>
        <v>4862</v>
      </c>
      <c r="B4869" s="3" t="s">
        <v>4871</v>
      </c>
      <c r="C4869" s="3" t="s">
        <v>9</v>
      </c>
      <c r="D4869" s="3" t="s">
        <v>10</v>
      </c>
      <c r="E4869" s="3">
        <v>0</v>
      </c>
      <c r="F4869" s="3">
        <v>0</v>
      </c>
      <c r="G4869" s="3">
        <v>1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/>
      <c r="P4869" s="3"/>
      <c r="Q4869" s="3"/>
    </row>
    <row r="4870" spans="1:17" ht="15" x14ac:dyDescent="0.25">
      <c r="A4870" s="3">
        <f>4863</f>
        <v>4863</v>
      </c>
      <c r="B4870" s="3" t="s">
        <v>4872</v>
      </c>
      <c r="C4870" s="3" t="s">
        <v>9</v>
      </c>
      <c r="D4870" s="3" t="s">
        <v>10</v>
      </c>
      <c r="E4870" s="3">
        <v>0</v>
      </c>
      <c r="F4870" s="3">
        <v>0</v>
      </c>
      <c r="G4870" s="3">
        <v>1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/>
      <c r="P4870" s="3"/>
      <c r="Q4870" s="3"/>
    </row>
    <row r="4871" spans="1:17" ht="15" x14ac:dyDescent="0.25">
      <c r="A4871" s="3">
        <f>4864</f>
        <v>4864</v>
      </c>
      <c r="B4871" s="3" t="s">
        <v>4873</v>
      </c>
      <c r="C4871" s="3" t="s">
        <v>9</v>
      </c>
      <c r="D4871" s="3" t="s">
        <v>10</v>
      </c>
      <c r="E4871" s="3">
        <v>0</v>
      </c>
      <c r="F4871" s="3">
        <v>0</v>
      </c>
      <c r="G4871" s="3">
        <v>1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/>
      <c r="P4871" s="3"/>
      <c r="Q4871" s="3"/>
    </row>
    <row r="4872" spans="1:17" ht="15" x14ac:dyDescent="0.25">
      <c r="A4872" s="3">
        <f>4865</f>
        <v>4865</v>
      </c>
      <c r="B4872" s="3" t="s">
        <v>4874</v>
      </c>
      <c r="C4872" s="3" t="s">
        <v>9</v>
      </c>
      <c r="D4872" s="3" t="s">
        <v>10</v>
      </c>
      <c r="E4872" s="3">
        <v>0</v>
      </c>
      <c r="F4872" s="3">
        <v>0</v>
      </c>
      <c r="G4872" s="3">
        <v>1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/>
      <c r="P4872" s="3"/>
      <c r="Q4872" s="3"/>
    </row>
    <row r="4873" spans="1:17" ht="15" x14ac:dyDescent="0.25">
      <c r="A4873" s="3">
        <f>4866</f>
        <v>4866</v>
      </c>
      <c r="B4873" s="3" t="s">
        <v>4875</v>
      </c>
      <c r="C4873" s="3" t="s">
        <v>9</v>
      </c>
      <c r="D4873" s="3" t="s">
        <v>10</v>
      </c>
      <c r="E4873" s="3">
        <v>0</v>
      </c>
      <c r="F4873" s="3">
        <v>0</v>
      </c>
      <c r="G4873" s="3">
        <v>1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/>
      <c r="P4873" s="3"/>
      <c r="Q4873" s="3"/>
    </row>
    <row r="4874" spans="1:17" ht="15" x14ac:dyDescent="0.25">
      <c r="A4874" s="3">
        <f>4867</f>
        <v>4867</v>
      </c>
      <c r="B4874" s="3" t="s">
        <v>4876</v>
      </c>
      <c r="C4874" s="3" t="s">
        <v>9</v>
      </c>
      <c r="D4874" s="3" t="s">
        <v>10</v>
      </c>
      <c r="E4874" s="3">
        <v>0</v>
      </c>
      <c r="F4874" s="3">
        <v>0</v>
      </c>
      <c r="G4874" s="3">
        <v>1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/>
      <c r="P4874" s="3"/>
      <c r="Q4874" s="3"/>
    </row>
    <row r="4875" spans="1:17" ht="15" x14ac:dyDescent="0.25">
      <c r="A4875" s="3">
        <f>4868</f>
        <v>4868</v>
      </c>
      <c r="B4875" s="3" t="s">
        <v>4877</v>
      </c>
      <c r="C4875" s="3" t="s">
        <v>9</v>
      </c>
      <c r="D4875" s="3" t="s">
        <v>10</v>
      </c>
      <c r="E4875" s="3">
        <v>0</v>
      </c>
      <c r="F4875" s="3">
        <v>0</v>
      </c>
      <c r="G4875" s="3">
        <v>1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/>
      <c r="P4875" s="3"/>
      <c r="Q4875" s="3"/>
    </row>
    <row r="4876" spans="1:17" ht="15" x14ac:dyDescent="0.25">
      <c r="A4876" s="3">
        <f>4869</f>
        <v>4869</v>
      </c>
      <c r="B4876" s="3" t="s">
        <v>4878</v>
      </c>
      <c r="C4876" s="3" t="s">
        <v>9</v>
      </c>
      <c r="D4876" s="3" t="s">
        <v>10</v>
      </c>
      <c r="E4876" s="3">
        <v>0</v>
      </c>
      <c r="F4876" s="3">
        <v>0</v>
      </c>
      <c r="G4876" s="3">
        <v>1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/>
      <c r="P4876" s="3"/>
      <c r="Q4876" s="3"/>
    </row>
    <row r="4877" spans="1:17" ht="15" x14ac:dyDescent="0.25">
      <c r="A4877" s="3">
        <f>4870</f>
        <v>4870</v>
      </c>
      <c r="B4877" s="3" t="s">
        <v>4879</v>
      </c>
      <c r="C4877" s="3" t="s">
        <v>9</v>
      </c>
      <c r="D4877" s="3" t="s">
        <v>10</v>
      </c>
      <c r="E4877" s="3">
        <v>0</v>
      </c>
      <c r="F4877" s="3">
        <v>0</v>
      </c>
      <c r="G4877" s="3">
        <v>1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/>
      <c r="P4877" s="3"/>
      <c r="Q4877" s="3"/>
    </row>
    <row r="4878" spans="1:17" ht="15" x14ac:dyDescent="0.25">
      <c r="A4878" s="3">
        <f>4871</f>
        <v>4871</v>
      </c>
      <c r="B4878" s="3" t="s">
        <v>4880</v>
      </c>
      <c r="C4878" s="3" t="s">
        <v>9</v>
      </c>
      <c r="D4878" s="3" t="s">
        <v>10</v>
      </c>
      <c r="E4878" s="3">
        <v>0</v>
      </c>
      <c r="F4878" s="3">
        <v>0</v>
      </c>
      <c r="G4878" s="3">
        <v>1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/>
      <c r="P4878" s="3"/>
      <c r="Q4878" s="3"/>
    </row>
    <row r="4879" spans="1:17" ht="15" x14ac:dyDescent="0.25">
      <c r="A4879" s="3">
        <f>4872</f>
        <v>4872</v>
      </c>
      <c r="B4879" s="3" t="s">
        <v>4881</v>
      </c>
      <c r="C4879" s="3" t="s">
        <v>9</v>
      </c>
      <c r="D4879" s="3" t="s">
        <v>10</v>
      </c>
      <c r="E4879" s="3">
        <v>0</v>
      </c>
      <c r="F4879" s="3">
        <v>0</v>
      </c>
      <c r="G4879" s="3">
        <v>1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/>
      <c r="P4879" s="3"/>
      <c r="Q4879" s="3"/>
    </row>
    <row r="4880" spans="1:17" ht="15" x14ac:dyDescent="0.25">
      <c r="A4880" s="3">
        <f>4873</f>
        <v>4873</v>
      </c>
      <c r="B4880" s="3" t="s">
        <v>4882</v>
      </c>
      <c r="C4880" s="3" t="s">
        <v>9</v>
      </c>
      <c r="D4880" s="3" t="s">
        <v>10</v>
      </c>
      <c r="E4880" s="3">
        <v>0</v>
      </c>
      <c r="F4880" s="3">
        <v>0</v>
      </c>
      <c r="G4880" s="3">
        <v>1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/>
      <c r="P4880" s="3"/>
      <c r="Q4880" s="3"/>
    </row>
    <row r="4881" spans="1:17" ht="15" x14ac:dyDescent="0.25">
      <c r="A4881" s="3">
        <f>4874</f>
        <v>4874</v>
      </c>
      <c r="B4881" s="3" t="s">
        <v>4883</v>
      </c>
      <c r="C4881" s="3" t="s">
        <v>9</v>
      </c>
      <c r="D4881" s="3" t="s">
        <v>10</v>
      </c>
      <c r="E4881" s="3">
        <v>0</v>
      </c>
      <c r="F4881" s="3">
        <v>0</v>
      </c>
      <c r="G4881" s="3">
        <v>1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/>
      <c r="P4881" s="3"/>
      <c r="Q4881" s="3"/>
    </row>
    <row r="4882" spans="1:17" ht="15" x14ac:dyDescent="0.25">
      <c r="A4882" s="3">
        <f>4875</f>
        <v>4875</v>
      </c>
      <c r="B4882" s="3" t="s">
        <v>4884</v>
      </c>
      <c r="C4882" s="3" t="s">
        <v>9</v>
      </c>
      <c r="D4882" s="3" t="s">
        <v>10</v>
      </c>
      <c r="E4882" s="3">
        <v>0</v>
      </c>
      <c r="F4882" s="3">
        <v>0</v>
      </c>
      <c r="G4882" s="3">
        <v>1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/>
      <c r="P4882" s="3"/>
      <c r="Q4882" s="3"/>
    </row>
    <row r="4883" spans="1:17" ht="15" x14ac:dyDescent="0.25">
      <c r="A4883" s="3">
        <f>4876</f>
        <v>4876</v>
      </c>
      <c r="B4883" s="3" t="s">
        <v>4885</v>
      </c>
      <c r="C4883" s="3" t="s">
        <v>9</v>
      </c>
      <c r="D4883" s="3" t="s">
        <v>10</v>
      </c>
      <c r="E4883" s="3">
        <v>0</v>
      </c>
      <c r="F4883" s="3">
        <v>0</v>
      </c>
      <c r="G4883" s="3">
        <v>1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/>
      <c r="P4883" s="3"/>
      <c r="Q4883" s="3"/>
    </row>
    <row r="4884" spans="1:17" ht="15" x14ac:dyDescent="0.25">
      <c r="A4884" s="3">
        <f>4877</f>
        <v>4877</v>
      </c>
      <c r="B4884" s="3" t="s">
        <v>4886</v>
      </c>
      <c r="C4884" s="3" t="s">
        <v>9</v>
      </c>
      <c r="D4884" s="3" t="s">
        <v>10</v>
      </c>
      <c r="E4884" s="3">
        <v>0</v>
      </c>
      <c r="F4884" s="3">
        <v>0</v>
      </c>
      <c r="G4884" s="3">
        <v>1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/>
      <c r="P4884" s="3"/>
      <c r="Q4884" s="3"/>
    </row>
    <row r="4885" spans="1:17" ht="15" x14ac:dyDescent="0.25">
      <c r="A4885" s="3">
        <f>4878</f>
        <v>4878</v>
      </c>
      <c r="B4885" s="3" t="s">
        <v>4887</v>
      </c>
      <c r="C4885" s="3" t="s">
        <v>9</v>
      </c>
      <c r="D4885" s="3" t="s">
        <v>10</v>
      </c>
      <c r="E4885" s="3">
        <v>0</v>
      </c>
      <c r="F4885" s="3">
        <v>0</v>
      </c>
      <c r="G4885" s="3">
        <v>1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/>
      <c r="P4885" s="3"/>
      <c r="Q4885" s="3"/>
    </row>
    <row r="4886" spans="1:17" ht="15" x14ac:dyDescent="0.25">
      <c r="A4886" s="3">
        <f>4879</f>
        <v>4879</v>
      </c>
      <c r="B4886" s="3" t="s">
        <v>4888</v>
      </c>
      <c r="C4886" s="3" t="s">
        <v>9</v>
      </c>
      <c r="D4886" s="3" t="s">
        <v>10</v>
      </c>
      <c r="E4886" s="3">
        <v>0</v>
      </c>
      <c r="F4886" s="3">
        <v>0</v>
      </c>
      <c r="G4886" s="3">
        <v>1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/>
      <c r="P4886" s="3"/>
      <c r="Q4886" s="3"/>
    </row>
    <row r="4887" spans="1:17" ht="15" x14ac:dyDescent="0.25">
      <c r="A4887" s="3">
        <f>4880</f>
        <v>4880</v>
      </c>
      <c r="B4887" s="3" t="s">
        <v>4889</v>
      </c>
      <c r="C4887" s="3" t="s">
        <v>9</v>
      </c>
      <c r="D4887" s="3" t="s">
        <v>10</v>
      </c>
      <c r="E4887" s="3">
        <v>0</v>
      </c>
      <c r="F4887" s="3">
        <v>0</v>
      </c>
      <c r="G4887" s="3">
        <v>1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/>
      <c r="P4887" s="3"/>
      <c r="Q4887" s="3"/>
    </row>
    <row r="4888" spans="1:17" ht="15" x14ac:dyDescent="0.25">
      <c r="A4888" s="3">
        <f>4881</f>
        <v>4881</v>
      </c>
      <c r="B4888" s="3" t="s">
        <v>4890</v>
      </c>
      <c r="C4888" s="3" t="s">
        <v>9</v>
      </c>
      <c r="D4888" s="3" t="s">
        <v>10</v>
      </c>
      <c r="E4888" s="3">
        <v>0</v>
      </c>
      <c r="F4888" s="3">
        <v>0</v>
      </c>
      <c r="G4888" s="3">
        <v>1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/>
      <c r="P4888" s="3"/>
      <c r="Q4888" s="3"/>
    </row>
    <row r="4889" spans="1:17" ht="15" x14ac:dyDescent="0.25">
      <c r="A4889" s="3">
        <f>4882</f>
        <v>4882</v>
      </c>
      <c r="B4889" s="3" t="s">
        <v>4891</v>
      </c>
      <c r="C4889" s="3" t="s">
        <v>9</v>
      </c>
      <c r="D4889" s="3" t="s">
        <v>10</v>
      </c>
      <c r="E4889" s="3">
        <v>0</v>
      </c>
      <c r="F4889" s="3">
        <v>0</v>
      </c>
      <c r="G4889" s="3">
        <v>1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/>
      <c r="P4889" s="3"/>
      <c r="Q4889" s="3"/>
    </row>
    <row r="4890" spans="1:17" ht="15" x14ac:dyDescent="0.25">
      <c r="A4890" s="3">
        <f>4883</f>
        <v>4883</v>
      </c>
      <c r="B4890" s="3" t="s">
        <v>4892</v>
      </c>
      <c r="C4890" s="3" t="s">
        <v>9</v>
      </c>
      <c r="D4890" s="3" t="s">
        <v>10</v>
      </c>
      <c r="E4890" s="3">
        <v>0</v>
      </c>
      <c r="F4890" s="3">
        <v>0</v>
      </c>
      <c r="G4890" s="3">
        <v>1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/>
      <c r="P4890" s="3"/>
      <c r="Q4890" s="3"/>
    </row>
    <row r="4891" spans="1:17" ht="15" x14ac:dyDescent="0.25">
      <c r="A4891" s="3">
        <f>4884</f>
        <v>4884</v>
      </c>
      <c r="B4891" s="3" t="s">
        <v>4893</v>
      </c>
      <c r="C4891" s="3" t="s">
        <v>9</v>
      </c>
      <c r="D4891" s="3" t="s">
        <v>10</v>
      </c>
      <c r="E4891" s="3">
        <v>0</v>
      </c>
      <c r="F4891" s="3">
        <v>0</v>
      </c>
      <c r="G4891" s="3">
        <v>1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/>
      <c r="P4891" s="3"/>
      <c r="Q4891" s="3"/>
    </row>
    <row r="4892" spans="1:17" ht="15" x14ac:dyDescent="0.25">
      <c r="A4892" s="3">
        <f>4885</f>
        <v>4885</v>
      </c>
      <c r="B4892" s="3" t="s">
        <v>4894</v>
      </c>
      <c r="C4892" s="3" t="s">
        <v>9</v>
      </c>
      <c r="D4892" s="3" t="s">
        <v>10</v>
      </c>
      <c r="E4892" s="3">
        <v>0</v>
      </c>
      <c r="F4892" s="3">
        <v>0</v>
      </c>
      <c r="G4892" s="3">
        <v>1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/>
      <c r="P4892" s="3"/>
      <c r="Q4892" s="3"/>
    </row>
    <row r="4893" spans="1:17" ht="15" x14ac:dyDescent="0.25">
      <c r="A4893" s="3">
        <f>4886</f>
        <v>4886</v>
      </c>
      <c r="B4893" s="3" t="s">
        <v>4895</v>
      </c>
      <c r="C4893" s="3" t="s">
        <v>9</v>
      </c>
      <c r="D4893" s="3" t="s">
        <v>10</v>
      </c>
      <c r="E4893" s="3">
        <v>0</v>
      </c>
      <c r="F4893" s="3">
        <v>0</v>
      </c>
      <c r="G4893" s="3">
        <v>1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/>
      <c r="P4893" s="3"/>
      <c r="Q4893" s="3"/>
    </row>
    <row r="4894" spans="1:17" ht="15" x14ac:dyDescent="0.25">
      <c r="A4894" s="3">
        <f>4887</f>
        <v>4887</v>
      </c>
      <c r="B4894" s="3" t="s">
        <v>4896</v>
      </c>
      <c r="C4894" s="3" t="s">
        <v>9</v>
      </c>
      <c r="D4894" s="3" t="s">
        <v>10</v>
      </c>
      <c r="E4894" s="3">
        <v>0</v>
      </c>
      <c r="F4894" s="3">
        <v>0</v>
      </c>
      <c r="G4894" s="3">
        <v>1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/>
      <c r="P4894" s="3"/>
      <c r="Q4894" s="3"/>
    </row>
    <row r="4895" spans="1:17" ht="15" x14ac:dyDescent="0.25">
      <c r="A4895" s="3">
        <f>4888</f>
        <v>4888</v>
      </c>
      <c r="B4895" s="3" t="s">
        <v>4897</v>
      </c>
      <c r="C4895" s="3" t="s">
        <v>9</v>
      </c>
      <c r="D4895" s="3" t="s">
        <v>10</v>
      </c>
      <c r="E4895" s="3">
        <v>0</v>
      </c>
      <c r="F4895" s="3">
        <v>0</v>
      </c>
      <c r="G4895" s="3">
        <v>1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/>
      <c r="P4895" s="3"/>
      <c r="Q4895" s="3"/>
    </row>
    <row r="4896" spans="1:17" ht="15" x14ac:dyDescent="0.25">
      <c r="A4896" s="3">
        <f>4889</f>
        <v>4889</v>
      </c>
      <c r="B4896" s="3" t="s">
        <v>4898</v>
      </c>
      <c r="C4896" s="3" t="s">
        <v>9</v>
      </c>
      <c r="D4896" s="3" t="s">
        <v>10</v>
      </c>
      <c r="E4896" s="3">
        <v>0</v>
      </c>
      <c r="F4896" s="3">
        <v>0</v>
      </c>
      <c r="G4896" s="3">
        <v>1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/>
      <c r="P4896" s="3"/>
      <c r="Q4896" s="3"/>
    </row>
    <row r="4897" spans="1:17" ht="15" x14ac:dyDescent="0.25">
      <c r="A4897" s="3">
        <f>4890</f>
        <v>4890</v>
      </c>
      <c r="B4897" s="3" t="s">
        <v>4899</v>
      </c>
      <c r="C4897" s="3" t="s">
        <v>9</v>
      </c>
      <c r="D4897" s="3" t="s">
        <v>10</v>
      </c>
      <c r="E4897" s="3">
        <v>0</v>
      </c>
      <c r="F4897" s="3">
        <v>0</v>
      </c>
      <c r="G4897" s="3">
        <v>1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/>
      <c r="P4897" s="3"/>
      <c r="Q4897" s="3"/>
    </row>
    <row r="4898" spans="1:17" ht="15" x14ac:dyDescent="0.25">
      <c r="A4898" s="3">
        <f>4891</f>
        <v>4891</v>
      </c>
      <c r="B4898" s="3" t="s">
        <v>4900</v>
      </c>
      <c r="C4898" s="3" t="s">
        <v>9</v>
      </c>
      <c r="D4898" s="3" t="s">
        <v>10</v>
      </c>
      <c r="E4898" s="3">
        <v>0</v>
      </c>
      <c r="F4898" s="3">
        <v>0</v>
      </c>
      <c r="G4898" s="3">
        <v>1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/>
      <c r="P4898" s="3"/>
      <c r="Q4898" s="3"/>
    </row>
    <row r="4899" spans="1:17" ht="15" x14ac:dyDescent="0.25">
      <c r="A4899" s="3">
        <f>4892</f>
        <v>4892</v>
      </c>
      <c r="B4899" s="3" t="s">
        <v>4901</v>
      </c>
      <c r="C4899" s="3" t="s">
        <v>9</v>
      </c>
      <c r="D4899" s="3" t="s">
        <v>10</v>
      </c>
      <c r="E4899" s="3">
        <v>0</v>
      </c>
      <c r="F4899" s="3">
        <v>0</v>
      </c>
      <c r="G4899" s="3">
        <v>1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/>
      <c r="P4899" s="3"/>
      <c r="Q4899" s="3"/>
    </row>
    <row r="4900" spans="1:17" ht="15" x14ac:dyDescent="0.25">
      <c r="A4900" s="3">
        <f>4893</f>
        <v>4893</v>
      </c>
      <c r="B4900" s="3" t="s">
        <v>4902</v>
      </c>
      <c r="C4900" s="3" t="s">
        <v>9</v>
      </c>
      <c r="D4900" s="3" t="s">
        <v>10</v>
      </c>
      <c r="E4900" s="3">
        <v>0</v>
      </c>
      <c r="F4900" s="3">
        <v>0</v>
      </c>
      <c r="G4900" s="3">
        <v>1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/>
      <c r="P4900" s="3"/>
      <c r="Q4900" s="3"/>
    </row>
    <row r="4901" spans="1:17" ht="15" x14ac:dyDescent="0.25">
      <c r="A4901" s="3">
        <f>4894</f>
        <v>4894</v>
      </c>
      <c r="B4901" s="3" t="s">
        <v>4903</v>
      </c>
      <c r="C4901" s="3" t="s">
        <v>9</v>
      </c>
      <c r="D4901" s="3" t="s">
        <v>10</v>
      </c>
      <c r="E4901" s="3">
        <v>0</v>
      </c>
      <c r="F4901" s="3">
        <v>0</v>
      </c>
      <c r="G4901" s="3">
        <v>1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/>
      <c r="P4901" s="3"/>
      <c r="Q4901" s="3"/>
    </row>
    <row r="4902" spans="1:17" ht="15" x14ac:dyDescent="0.25">
      <c r="A4902" s="3">
        <f>4895</f>
        <v>4895</v>
      </c>
      <c r="B4902" s="3" t="s">
        <v>4904</v>
      </c>
      <c r="C4902" s="3" t="s">
        <v>9</v>
      </c>
      <c r="D4902" s="3" t="s">
        <v>10</v>
      </c>
      <c r="E4902" s="3">
        <v>0</v>
      </c>
      <c r="F4902" s="3">
        <v>0</v>
      </c>
      <c r="G4902" s="3">
        <v>1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/>
      <c r="P4902" s="3"/>
      <c r="Q4902" s="3"/>
    </row>
    <row r="4903" spans="1:17" ht="15" x14ac:dyDescent="0.25">
      <c r="A4903" s="3">
        <f>4896</f>
        <v>4896</v>
      </c>
      <c r="B4903" s="3" t="s">
        <v>4905</v>
      </c>
      <c r="C4903" s="3" t="s">
        <v>9</v>
      </c>
      <c r="D4903" s="3" t="s">
        <v>10</v>
      </c>
      <c r="E4903" s="3">
        <v>0</v>
      </c>
      <c r="F4903" s="3">
        <v>0</v>
      </c>
      <c r="G4903" s="3">
        <v>1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/>
      <c r="P4903" s="3"/>
      <c r="Q4903" s="3"/>
    </row>
    <row r="4904" spans="1:17" ht="15" x14ac:dyDescent="0.25">
      <c r="A4904" s="3">
        <f>4897</f>
        <v>4897</v>
      </c>
      <c r="B4904" s="3" t="s">
        <v>4906</v>
      </c>
      <c r="C4904" s="3" t="s">
        <v>9</v>
      </c>
      <c r="D4904" s="3" t="s">
        <v>10</v>
      </c>
      <c r="E4904" s="3">
        <v>0</v>
      </c>
      <c r="F4904" s="3">
        <v>0</v>
      </c>
      <c r="G4904" s="3">
        <v>1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/>
      <c r="P4904" s="3"/>
      <c r="Q4904" s="3"/>
    </row>
    <row r="4905" spans="1:17" ht="15" x14ac:dyDescent="0.25">
      <c r="A4905" s="3">
        <f>4898</f>
        <v>4898</v>
      </c>
      <c r="B4905" s="3" t="s">
        <v>4907</v>
      </c>
      <c r="C4905" s="3" t="s">
        <v>9</v>
      </c>
      <c r="D4905" s="3" t="s">
        <v>10</v>
      </c>
      <c r="E4905" s="3">
        <v>0</v>
      </c>
      <c r="F4905" s="3">
        <v>0</v>
      </c>
      <c r="G4905" s="3">
        <v>1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/>
      <c r="P4905" s="3"/>
      <c r="Q4905" s="3"/>
    </row>
    <row r="4906" spans="1:17" ht="15" x14ac:dyDescent="0.25">
      <c r="A4906" s="3">
        <f>4899</f>
        <v>4899</v>
      </c>
      <c r="B4906" s="3" t="s">
        <v>4908</v>
      </c>
      <c r="C4906" s="3" t="s">
        <v>9</v>
      </c>
      <c r="D4906" s="3" t="s">
        <v>10</v>
      </c>
      <c r="E4906" s="3">
        <v>0</v>
      </c>
      <c r="F4906" s="3">
        <v>0</v>
      </c>
      <c r="G4906" s="3">
        <v>1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/>
      <c r="P4906" s="3"/>
      <c r="Q4906" s="3"/>
    </row>
    <row r="4907" spans="1:17" ht="15" x14ac:dyDescent="0.25">
      <c r="A4907" s="3">
        <f>4900</f>
        <v>4900</v>
      </c>
      <c r="B4907" s="3" t="s">
        <v>4909</v>
      </c>
      <c r="C4907" s="3" t="s">
        <v>9</v>
      </c>
      <c r="D4907" s="3" t="s">
        <v>10</v>
      </c>
      <c r="E4907" s="3">
        <v>0</v>
      </c>
      <c r="F4907" s="3">
        <v>0</v>
      </c>
      <c r="G4907" s="3">
        <v>1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/>
      <c r="P4907" s="3"/>
      <c r="Q4907" s="3"/>
    </row>
    <row r="4908" spans="1:17" ht="15" x14ac:dyDescent="0.25">
      <c r="A4908" s="3">
        <f>4901</f>
        <v>4901</v>
      </c>
      <c r="B4908" s="3" t="s">
        <v>4910</v>
      </c>
      <c r="C4908" s="3" t="s">
        <v>9</v>
      </c>
      <c r="D4908" s="3" t="s">
        <v>10</v>
      </c>
      <c r="E4908" s="3">
        <v>0</v>
      </c>
      <c r="F4908" s="3">
        <v>0</v>
      </c>
      <c r="G4908" s="3">
        <v>1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/>
      <c r="P4908" s="3"/>
      <c r="Q4908" s="3"/>
    </row>
    <row r="4909" spans="1:17" ht="15" x14ac:dyDescent="0.25">
      <c r="A4909" s="3">
        <f>4902</f>
        <v>4902</v>
      </c>
      <c r="B4909" s="3" t="s">
        <v>4911</v>
      </c>
      <c r="C4909" s="3" t="s">
        <v>9</v>
      </c>
      <c r="D4909" s="3" t="s">
        <v>10</v>
      </c>
      <c r="E4909" s="3">
        <v>0</v>
      </c>
      <c r="F4909" s="3">
        <v>0</v>
      </c>
      <c r="G4909" s="3">
        <v>1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/>
      <c r="P4909" s="3"/>
      <c r="Q4909" s="3"/>
    </row>
    <row r="4910" spans="1:17" ht="15" x14ac:dyDescent="0.25">
      <c r="A4910" s="3">
        <f>4903</f>
        <v>4903</v>
      </c>
      <c r="B4910" s="3" t="s">
        <v>4912</v>
      </c>
      <c r="C4910" s="3" t="s">
        <v>9</v>
      </c>
      <c r="D4910" s="3" t="s">
        <v>10</v>
      </c>
      <c r="E4910" s="3">
        <v>0</v>
      </c>
      <c r="F4910" s="3">
        <v>0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/>
      <c r="P4910" s="3"/>
      <c r="Q4910" s="3"/>
    </row>
    <row r="4911" spans="1:17" ht="15" x14ac:dyDescent="0.25">
      <c r="A4911" s="3">
        <f>4904</f>
        <v>4904</v>
      </c>
      <c r="B4911" s="3" t="s">
        <v>4913</v>
      </c>
      <c r="C4911" s="3" t="s">
        <v>9</v>
      </c>
      <c r="D4911" s="3" t="s">
        <v>10</v>
      </c>
      <c r="E4911" s="3">
        <v>0</v>
      </c>
      <c r="F4911" s="3">
        <v>0</v>
      </c>
      <c r="G4911" s="3">
        <v>1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/>
      <c r="P4911" s="3"/>
      <c r="Q4911" s="3"/>
    </row>
    <row r="4912" spans="1:17" ht="15" x14ac:dyDescent="0.25">
      <c r="A4912" s="3">
        <f>4905</f>
        <v>4905</v>
      </c>
      <c r="B4912" s="3" t="s">
        <v>4914</v>
      </c>
      <c r="C4912" s="3" t="s">
        <v>9</v>
      </c>
      <c r="D4912" s="3" t="s">
        <v>10</v>
      </c>
      <c r="E4912" s="3">
        <v>0</v>
      </c>
      <c r="F4912" s="3">
        <v>0</v>
      </c>
      <c r="G4912" s="3">
        <v>1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/>
      <c r="P4912" s="3"/>
      <c r="Q4912" s="3"/>
    </row>
    <row r="4913" spans="1:17" ht="15" x14ac:dyDescent="0.25">
      <c r="A4913" s="3">
        <f>4906</f>
        <v>4906</v>
      </c>
      <c r="B4913" s="3" t="s">
        <v>4915</v>
      </c>
      <c r="C4913" s="3" t="s">
        <v>9</v>
      </c>
      <c r="D4913" s="3" t="s">
        <v>10</v>
      </c>
      <c r="E4913" s="3">
        <v>0</v>
      </c>
      <c r="F4913" s="3">
        <v>0</v>
      </c>
      <c r="G4913" s="3">
        <v>1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/>
      <c r="P4913" s="3"/>
      <c r="Q4913" s="3"/>
    </row>
    <row r="4914" spans="1:17" ht="15" x14ac:dyDescent="0.25">
      <c r="A4914" s="3">
        <f>4907</f>
        <v>4907</v>
      </c>
      <c r="B4914" s="3" t="s">
        <v>4916</v>
      </c>
      <c r="C4914" s="3" t="s">
        <v>9</v>
      </c>
      <c r="D4914" s="3" t="s">
        <v>10</v>
      </c>
      <c r="E4914" s="3">
        <v>0</v>
      </c>
      <c r="F4914" s="3">
        <v>0</v>
      </c>
      <c r="G4914" s="3">
        <v>1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/>
      <c r="P4914" s="3"/>
      <c r="Q4914" s="3"/>
    </row>
    <row r="4915" spans="1:17" ht="15" x14ac:dyDescent="0.25">
      <c r="A4915" s="3">
        <f>4908</f>
        <v>4908</v>
      </c>
      <c r="B4915" s="3" t="s">
        <v>4917</v>
      </c>
      <c r="C4915" s="3" t="s">
        <v>9</v>
      </c>
      <c r="D4915" s="3" t="s">
        <v>10</v>
      </c>
      <c r="E4915" s="3">
        <v>0</v>
      </c>
      <c r="F4915" s="3">
        <v>0</v>
      </c>
      <c r="G4915" s="3">
        <v>1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/>
      <c r="P4915" s="3"/>
      <c r="Q4915" s="3"/>
    </row>
    <row r="4916" spans="1:17" ht="15" x14ac:dyDescent="0.25">
      <c r="A4916" s="3">
        <f>4909</f>
        <v>4909</v>
      </c>
      <c r="B4916" s="3" t="s">
        <v>4918</v>
      </c>
      <c r="C4916" s="3" t="s">
        <v>9</v>
      </c>
      <c r="D4916" s="3" t="s">
        <v>10</v>
      </c>
      <c r="E4916" s="3">
        <v>0</v>
      </c>
      <c r="F4916" s="3">
        <v>0</v>
      </c>
      <c r="G4916" s="3">
        <v>1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/>
      <c r="P4916" s="3"/>
      <c r="Q4916" s="3"/>
    </row>
    <row r="4917" spans="1:17" ht="15" x14ac:dyDescent="0.25">
      <c r="A4917" s="3">
        <f>4910</f>
        <v>4910</v>
      </c>
      <c r="B4917" s="3" t="s">
        <v>4919</v>
      </c>
      <c r="C4917" s="3" t="s">
        <v>9</v>
      </c>
      <c r="D4917" s="3" t="s">
        <v>10</v>
      </c>
      <c r="E4917" s="3">
        <v>0</v>
      </c>
      <c r="F4917" s="3">
        <v>0</v>
      </c>
      <c r="G4917" s="3">
        <v>1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/>
      <c r="P4917" s="3"/>
      <c r="Q4917" s="3"/>
    </row>
    <row r="4918" spans="1:17" ht="15" x14ac:dyDescent="0.25">
      <c r="A4918" s="3">
        <f>4911</f>
        <v>4911</v>
      </c>
      <c r="B4918" s="3" t="s">
        <v>4920</v>
      </c>
      <c r="C4918" s="3" t="s">
        <v>9</v>
      </c>
      <c r="D4918" s="3" t="s">
        <v>10</v>
      </c>
      <c r="E4918" s="3">
        <v>0</v>
      </c>
      <c r="F4918" s="3">
        <v>0</v>
      </c>
      <c r="G4918" s="3">
        <v>1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/>
      <c r="P4918" s="3"/>
      <c r="Q4918" s="3"/>
    </row>
    <row r="4919" spans="1:17" ht="15" x14ac:dyDescent="0.25">
      <c r="A4919" s="3">
        <f>4912</f>
        <v>4912</v>
      </c>
      <c r="B4919" s="3" t="s">
        <v>4921</v>
      </c>
      <c r="C4919" s="3" t="s">
        <v>9</v>
      </c>
      <c r="D4919" s="3" t="s">
        <v>10</v>
      </c>
      <c r="E4919" s="3">
        <v>0</v>
      </c>
      <c r="F4919" s="3">
        <v>0</v>
      </c>
      <c r="G4919" s="3">
        <v>1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/>
      <c r="P4919" s="3"/>
      <c r="Q4919" s="3"/>
    </row>
    <row r="4920" spans="1:17" ht="15" x14ac:dyDescent="0.25">
      <c r="A4920" s="3">
        <f>4913</f>
        <v>4913</v>
      </c>
      <c r="B4920" s="3" t="s">
        <v>4922</v>
      </c>
      <c r="C4920" s="3" t="s">
        <v>9</v>
      </c>
      <c r="D4920" s="3" t="s">
        <v>10</v>
      </c>
      <c r="E4920" s="3">
        <v>0</v>
      </c>
      <c r="F4920" s="3">
        <v>0</v>
      </c>
      <c r="G4920" s="3">
        <v>1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/>
      <c r="P4920" s="3"/>
      <c r="Q4920" s="3"/>
    </row>
    <row r="4921" spans="1:17" ht="15" x14ac:dyDescent="0.25">
      <c r="A4921" s="3">
        <f>4914</f>
        <v>4914</v>
      </c>
      <c r="B4921" s="3" t="s">
        <v>4923</v>
      </c>
      <c r="C4921" s="3" t="s">
        <v>9</v>
      </c>
      <c r="D4921" s="3" t="s">
        <v>10</v>
      </c>
      <c r="E4921" s="3">
        <v>0</v>
      </c>
      <c r="F4921" s="3">
        <v>0</v>
      </c>
      <c r="G4921" s="3">
        <v>1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/>
      <c r="P4921" s="3"/>
      <c r="Q4921" s="3"/>
    </row>
    <row r="4922" spans="1:17" ht="15" x14ac:dyDescent="0.25">
      <c r="A4922" s="3">
        <f>4915</f>
        <v>4915</v>
      </c>
      <c r="B4922" s="3" t="s">
        <v>4924</v>
      </c>
      <c r="C4922" s="3" t="s">
        <v>9</v>
      </c>
      <c r="D4922" s="3" t="s">
        <v>10</v>
      </c>
      <c r="E4922" s="3">
        <v>0</v>
      </c>
      <c r="F4922" s="3">
        <v>0</v>
      </c>
      <c r="G4922" s="3">
        <v>1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/>
      <c r="P4922" s="3"/>
      <c r="Q4922" s="3"/>
    </row>
    <row r="4923" spans="1:17" ht="15" x14ac:dyDescent="0.25">
      <c r="A4923" s="3">
        <f>4916</f>
        <v>4916</v>
      </c>
      <c r="B4923" s="3" t="s">
        <v>4925</v>
      </c>
      <c r="C4923" s="3" t="s">
        <v>9</v>
      </c>
      <c r="D4923" s="3" t="s">
        <v>10</v>
      </c>
      <c r="E4923" s="3">
        <v>0</v>
      </c>
      <c r="F4923" s="3">
        <v>0</v>
      </c>
      <c r="G4923" s="3">
        <v>1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/>
      <c r="P4923" s="3"/>
      <c r="Q4923" s="3"/>
    </row>
    <row r="4924" spans="1:17" ht="15" x14ac:dyDescent="0.25">
      <c r="A4924" s="3">
        <f>4917</f>
        <v>4917</v>
      </c>
      <c r="B4924" s="3" t="s">
        <v>4926</v>
      </c>
      <c r="C4924" s="3" t="s">
        <v>9</v>
      </c>
      <c r="D4924" s="3" t="s">
        <v>10</v>
      </c>
      <c r="E4924" s="3">
        <v>0</v>
      </c>
      <c r="F4924" s="3">
        <v>0</v>
      </c>
      <c r="G4924" s="3">
        <v>1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/>
      <c r="P4924" s="3"/>
      <c r="Q4924" s="3"/>
    </row>
    <row r="4925" spans="1:17" ht="15" x14ac:dyDescent="0.25">
      <c r="A4925" s="3">
        <f>4918</f>
        <v>4918</v>
      </c>
      <c r="B4925" s="3" t="s">
        <v>4927</v>
      </c>
      <c r="C4925" s="3" t="s">
        <v>9</v>
      </c>
      <c r="D4925" s="3" t="s">
        <v>10</v>
      </c>
      <c r="E4925" s="3">
        <v>0</v>
      </c>
      <c r="F4925" s="3">
        <v>0</v>
      </c>
      <c r="G4925" s="3">
        <v>1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/>
      <c r="P4925" s="3"/>
      <c r="Q4925" s="3"/>
    </row>
    <row r="4926" spans="1:17" ht="15" x14ac:dyDescent="0.25">
      <c r="A4926" s="3">
        <f>4919</f>
        <v>4919</v>
      </c>
      <c r="B4926" s="3" t="s">
        <v>4928</v>
      </c>
      <c r="C4926" s="3" t="s">
        <v>9</v>
      </c>
      <c r="D4926" s="3" t="s">
        <v>10</v>
      </c>
      <c r="E4926" s="3">
        <v>0</v>
      </c>
      <c r="F4926" s="3">
        <v>0</v>
      </c>
      <c r="G4926" s="3">
        <v>1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/>
      <c r="P4926" s="3"/>
      <c r="Q4926" s="3"/>
    </row>
    <row r="4927" spans="1:17" ht="15" x14ac:dyDescent="0.25">
      <c r="A4927" s="3">
        <f>4920</f>
        <v>4920</v>
      </c>
      <c r="B4927" s="3" t="s">
        <v>4929</v>
      </c>
      <c r="C4927" s="3" t="s">
        <v>9</v>
      </c>
      <c r="D4927" s="3" t="s">
        <v>10</v>
      </c>
      <c r="E4927" s="3">
        <v>0</v>
      </c>
      <c r="F4927" s="3">
        <v>0</v>
      </c>
      <c r="G4927" s="3">
        <v>1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/>
      <c r="P4927" s="3"/>
      <c r="Q4927" s="3"/>
    </row>
    <row r="4928" spans="1:17" ht="15" x14ac:dyDescent="0.25">
      <c r="A4928" s="3">
        <f>4921</f>
        <v>4921</v>
      </c>
      <c r="B4928" s="3" t="s">
        <v>4930</v>
      </c>
      <c r="C4928" s="3" t="s">
        <v>9</v>
      </c>
      <c r="D4928" s="3" t="s">
        <v>10</v>
      </c>
      <c r="E4928" s="3">
        <v>0</v>
      </c>
      <c r="F4928" s="3">
        <v>0</v>
      </c>
      <c r="G4928" s="3">
        <v>1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/>
      <c r="P4928" s="3"/>
      <c r="Q4928" s="3"/>
    </row>
    <row r="4929" spans="1:17" ht="15" x14ac:dyDescent="0.25">
      <c r="A4929" s="3">
        <f>4922</f>
        <v>4922</v>
      </c>
      <c r="B4929" s="3" t="s">
        <v>4931</v>
      </c>
      <c r="C4929" s="3" t="s">
        <v>9</v>
      </c>
      <c r="D4929" s="3" t="s">
        <v>10</v>
      </c>
      <c r="E4929" s="3">
        <v>0</v>
      </c>
      <c r="F4929" s="3">
        <v>0</v>
      </c>
      <c r="G4929" s="3">
        <v>1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/>
      <c r="P4929" s="3"/>
      <c r="Q4929" s="3"/>
    </row>
    <row r="4930" spans="1:17" ht="15" x14ac:dyDescent="0.25">
      <c r="A4930" s="3">
        <f>4923</f>
        <v>4923</v>
      </c>
      <c r="B4930" s="3" t="s">
        <v>4932</v>
      </c>
      <c r="C4930" s="3" t="s">
        <v>9</v>
      </c>
      <c r="D4930" s="3" t="s">
        <v>10</v>
      </c>
      <c r="E4930" s="3">
        <v>0</v>
      </c>
      <c r="F4930" s="3">
        <v>0</v>
      </c>
      <c r="G4930" s="3">
        <v>1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/>
      <c r="P4930" s="3"/>
      <c r="Q4930" s="3"/>
    </row>
    <row r="4931" spans="1:17" ht="15" x14ac:dyDescent="0.25">
      <c r="A4931" s="3">
        <f>4924</f>
        <v>4924</v>
      </c>
      <c r="B4931" s="3" t="s">
        <v>4933</v>
      </c>
      <c r="C4931" s="3" t="s">
        <v>9</v>
      </c>
      <c r="D4931" s="3" t="s">
        <v>10</v>
      </c>
      <c r="E4931" s="3">
        <v>0</v>
      </c>
      <c r="F4931" s="3">
        <v>0</v>
      </c>
      <c r="G4931" s="3">
        <v>1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/>
      <c r="P4931" s="3"/>
      <c r="Q4931" s="3"/>
    </row>
    <row r="4932" spans="1:17" ht="15" x14ac:dyDescent="0.25">
      <c r="A4932" s="3">
        <f>4925</f>
        <v>4925</v>
      </c>
      <c r="B4932" s="3" t="s">
        <v>4934</v>
      </c>
      <c r="C4932" s="3" t="s">
        <v>9</v>
      </c>
      <c r="D4932" s="3" t="s">
        <v>10</v>
      </c>
      <c r="E4932" s="3">
        <v>0</v>
      </c>
      <c r="F4932" s="3">
        <v>0</v>
      </c>
      <c r="G4932" s="3">
        <v>1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/>
      <c r="P4932" s="3"/>
      <c r="Q4932" s="3"/>
    </row>
    <row r="4933" spans="1:17" ht="15" x14ac:dyDescent="0.25">
      <c r="A4933" s="3">
        <f>4926</f>
        <v>4926</v>
      </c>
      <c r="B4933" s="3" t="s">
        <v>4935</v>
      </c>
      <c r="C4933" s="3" t="s">
        <v>9</v>
      </c>
      <c r="D4933" s="3" t="s">
        <v>10</v>
      </c>
      <c r="E4933" s="3">
        <v>0</v>
      </c>
      <c r="F4933" s="3">
        <v>0</v>
      </c>
      <c r="G4933" s="3">
        <v>1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/>
      <c r="P4933" s="3"/>
      <c r="Q4933" s="3"/>
    </row>
    <row r="4934" spans="1:17" ht="15" x14ac:dyDescent="0.25">
      <c r="A4934" s="3">
        <f>4927</f>
        <v>4927</v>
      </c>
      <c r="B4934" s="3" t="s">
        <v>4936</v>
      </c>
      <c r="C4934" s="3" t="s">
        <v>9</v>
      </c>
      <c r="D4934" s="3" t="s">
        <v>10</v>
      </c>
      <c r="E4934" s="3">
        <v>0</v>
      </c>
      <c r="F4934" s="3">
        <v>0</v>
      </c>
      <c r="G4934" s="3">
        <v>1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/>
      <c r="P4934" s="3"/>
      <c r="Q4934" s="3"/>
    </row>
    <row r="4935" spans="1:17" ht="15" x14ac:dyDescent="0.25">
      <c r="A4935" s="3">
        <f>4928</f>
        <v>4928</v>
      </c>
      <c r="B4935" s="3" t="s">
        <v>4937</v>
      </c>
      <c r="C4935" s="3" t="s">
        <v>9</v>
      </c>
      <c r="D4935" s="3" t="s">
        <v>10</v>
      </c>
      <c r="E4935" s="3">
        <v>0</v>
      </c>
      <c r="F4935" s="3">
        <v>0</v>
      </c>
      <c r="G4935" s="3">
        <v>1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/>
      <c r="P4935" s="3"/>
      <c r="Q4935" s="3"/>
    </row>
    <row r="4936" spans="1:17" ht="15" x14ac:dyDescent="0.25">
      <c r="A4936" s="3">
        <f>4929</f>
        <v>4929</v>
      </c>
      <c r="B4936" s="3" t="s">
        <v>4938</v>
      </c>
      <c r="C4936" s="3" t="s">
        <v>9</v>
      </c>
      <c r="D4936" s="3" t="s">
        <v>10</v>
      </c>
      <c r="E4936" s="3">
        <v>0</v>
      </c>
      <c r="F4936" s="3">
        <v>0</v>
      </c>
      <c r="G4936" s="3">
        <v>1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/>
      <c r="P4936" s="3"/>
      <c r="Q4936" s="3"/>
    </row>
    <row r="4937" spans="1:17" ht="15" x14ac:dyDescent="0.25">
      <c r="A4937" s="3">
        <f>4930</f>
        <v>4930</v>
      </c>
      <c r="B4937" s="3" t="s">
        <v>4939</v>
      </c>
      <c r="C4937" s="3" t="s">
        <v>9</v>
      </c>
      <c r="D4937" s="3" t="s">
        <v>10</v>
      </c>
      <c r="E4937" s="3">
        <v>0</v>
      </c>
      <c r="F4937" s="3">
        <v>0</v>
      </c>
      <c r="G4937" s="3">
        <v>1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/>
      <c r="P4937" s="3"/>
      <c r="Q4937" s="3"/>
    </row>
    <row r="4938" spans="1:17" ht="15" x14ac:dyDescent="0.25">
      <c r="A4938" s="3">
        <f>4931</f>
        <v>4931</v>
      </c>
      <c r="B4938" s="3" t="s">
        <v>4940</v>
      </c>
      <c r="C4938" s="3" t="s">
        <v>9</v>
      </c>
      <c r="D4938" s="3" t="s">
        <v>10</v>
      </c>
      <c r="E4938" s="3">
        <v>0</v>
      </c>
      <c r="F4938" s="3">
        <v>0</v>
      </c>
      <c r="G4938" s="3">
        <v>1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/>
      <c r="P4938" s="3"/>
      <c r="Q4938" s="3"/>
    </row>
    <row r="4939" spans="1:17" ht="15" x14ac:dyDescent="0.25">
      <c r="A4939" s="3">
        <f>4932</f>
        <v>4932</v>
      </c>
      <c r="B4939" s="3" t="s">
        <v>4941</v>
      </c>
      <c r="C4939" s="3" t="s">
        <v>9</v>
      </c>
      <c r="D4939" s="3" t="s">
        <v>10</v>
      </c>
      <c r="E4939" s="3">
        <v>0</v>
      </c>
      <c r="F4939" s="3">
        <v>0</v>
      </c>
      <c r="G4939" s="3">
        <v>1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/>
      <c r="P4939" s="3"/>
      <c r="Q4939" s="3"/>
    </row>
    <row r="4940" spans="1:17" ht="15" x14ac:dyDescent="0.25">
      <c r="A4940" s="3">
        <f>4933</f>
        <v>4933</v>
      </c>
      <c r="B4940" s="3" t="s">
        <v>4942</v>
      </c>
      <c r="C4940" s="3" t="s">
        <v>9</v>
      </c>
      <c r="D4940" s="3" t="s">
        <v>10</v>
      </c>
      <c r="E4940" s="3">
        <v>0</v>
      </c>
      <c r="F4940" s="3">
        <v>0</v>
      </c>
      <c r="G4940" s="3">
        <v>1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/>
      <c r="P4940" s="3"/>
      <c r="Q4940" s="3"/>
    </row>
    <row r="4941" spans="1:17" ht="15" x14ac:dyDescent="0.25">
      <c r="A4941" s="3">
        <f>4934</f>
        <v>4934</v>
      </c>
      <c r="B4941" s="3" t="s">
        <v>4943</v>
      </c>
      <c r="C4941" s="3" t="s">
        <v>9</v>
      </c>
      <c r="D4941" s="3" t="s">
        <v>10</v>
      </c>
      <c r="E4941" s="3">
        <v>0</v>
      </c>
      <c r="F4941" s="3">
        <v>0</v>
      </c>
      <c r="G4941" s="3">
        <v>1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/>
      <c r="P4941" s="3"/>
      <c r="Q4941" s="3"/>
    </row>
    <row r="4942" spans="1:17" ht="15" x14ac:dyDescent="0.25">
      <c r="A4942" s="3">
        <f>4935</f>
        <v>4935</v>
      </c>
      <c r="B4942" s="3" t="s">
        <v>4944</v>
      </c>
      <c r="C4942" s="3" t="s">
        <v>9</v>
      </c>
      <c r="D4942" s="3" t="s">
        <v>10</v>
      </c>
      <c r="E4942" s="3">
        <v>0</v>
      </c>
      <c r="F4942" s="3">
        <v>0</v>
      </c>
      <c r="G4942" s="3">
        <v>1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/>
      <c r="P4942" s="3"/>
      <c r="Q4942" s="3"/>
    </row>
    <row r="4943" spans="1:17" ht="15" x14ac:dyDescent="0.25">
      <c r="A4943" s="3">
        <f>4936</f>
        <v>4936</v>
      </c>
      <c r="B4943" s="3" t="s">
        <v>4945</v>
      </c>
      <c r="C4943" s="3" t="s">
        <v>9</v>
      </c>
      <c r="D4943" s="3" t="s">
        <v>10</v>
      </c>
      <c r="E4943" s="3">
        <v>0</v>
      </c>
      <c r="F4943" s="3">
        <v>0</v>
      </c>
      <c r="G4943" s="3">
        <v>1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/>
      <c r="P4943" s="3"/>
      <c r="Q4943" s="3"/>
    </row>
    <row r="4944" spans="1:17" ht="15" x14ac:dyDescent="0.25">
      <c r="A4944" s="3">
        <f>4937</f>
        <v>4937</v>
      </c>
      <c r="B4944" s="3" t="s">
        <v>4946</v>
      </c>
      <c r="C4944" s="3" t="s">
        <v>9</v>
      </c>
      <c r="D4944" s="3" t="s">
        <v>10</v>
      </c>
      <c r="E4944" s="3">
        <v>0</v>
      </c>
      <c r="F4944" s="3">
        <v>0</v>
      </c>
      <c r="G4944" s="3">
        <v>1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/>
      <c r="P4944" s="3"/>
      <c r="Q4944" s="3"/>
    </row>
    <row r="4945" spans="1:17" ht="15" x14ac:dyDescent="0.25">
      <c r="A4945" s="3">
        <f>4938</f>
        <v>4938</v>
      </c>
      <c r="B4945" s="3" t="s">
        <v>4947</v>
      </c>
      <c r="C4945" s="3" t="s">
        <v>9</v>
      </c>
      <c r="D4945" s="3" t="s">
        <v>10</v>
      </c>
      <c r="E4945" s="3">
        <v>0</v>
      </c>
      <c r="F4945" s="3">
        <v>0</v>
      </c>
      <c r="G4945" s="3">
        <v>1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/>
      <c r="P4945" s="3"/>
      <c r="Q4945" s="3"/>
    </row>
    <row r="4946" spans="1:17" ht="15" x14ac:dyDescent="0.25">
      <c r="A4946" s="3">
        <f>4939</f>
        <v>4939</v>
      </c>
      <c r="B4946" s="3" t="s">
        <v>4948</v>
      </c>
      <c r="C4946" s="3" t="s">
        <v>9</v>
      </c>
      <c r="D4946" s="3" t="s">
        <v>10</v>
      </c>
      <c r="E4946" s="3">
        <v>0</v>
      </c>
      <c r="F4946" s="3">
        <v>0</v>
      </c>
      <c r="G4946" s="3">
        <v>1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/>
      <c r="P4946" s="3"/>
      <c r="Q4946" s="3"/>
    </row>
    <row r="4947" spans="1:17" ht="15" x14ac:dyDescent="0.25">
      <c r="A4947" s="3">
        <f>4940</f>
        <v>4940</v>
      </c>
      <c r="B4947" s="3" t="s">
        <v>4949</v>
      </c>
      <c r="C4947" s="3" t="s">
        <v>9</v>
      </c>
      <c r="D4947" s="3" t="s">
        <v>10</v>
      </c>
      <c r="E4947" s="3">
        <v>0</v>
      </c>
      <c r="F4947" s="3">
        <v>0</v>
      </c>
      <c r="G4947" s="3">
        <v>1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/>
      <c r="P4947" s="3"/>
      <c r="Q4947" s="3"/>
    </row>
    <row r="4948" spans="1:17" ht="15" x14ac:dyDescent="0.25">
      <c r="A4948" s="3">
        <f>4941</f>
        <v>4941</v>
      </c>
      <c r="B4948" s="3" t="s">
        <v>4950</v>
      </c>
      <c r="C4948" s="3" t="s">
        <v>9</v>
      </c>
      <c r="D4948" s="3" t="s">
        <v>10</v>
      </c>
      <c r="E4948" s="3">
        <v>0</v>
      </c>
      <c r="F4948" s="3">
        <v>0</v>
      </c>
      <c r="G4948" s="3">
        <v>1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/>
      <c r="P4948" s="3"/>
      <c r="Q4948" s="3"/>
    </row>
    <row r="4949" spans="1:17" ht="15" x14ac:dyDescent="0.25">
      <c r="A4949" s="3">
        <f>4942</f>
        <v>4942</v>
      </c>
      <c r="B4949" s="3" t="s">
        <v>4951</v>
      </c>
      <c r="C4949" s="3" t="s">
        <v>9</v>
      </c>
      <c r="D4949" s="3" t="s">
        <v>10</v>
      </c>
      <c r="E4949" s="3">
        <v>0</v>
      </c>
      <c r="F4949" s="3">
        <v>0</v>
      </c>
      <c r="G4949" s="3">
        <v>1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/>
      <c r="P4949" s="3"/>
      <c r="Q4949" s="3"/>
    </row>
    <row r="4950" spans="1:17" ht="15" x14ac:dyDescent="0.25">
      <c r="A4950" s="3">
        <f>4943</f>
        <v>4943</v>
      </c>
      <c r="B4950" s="3" t="s">
        <v>4952</v>
      </c>
      <c r="C4950" s="3" t="s">
        <v>9</v>
      </c>
      <c r="D4950" s="3" t="s">
        <v>10</v>
      </c>
      <c r="E4950" s="3">
        <v>0</v>
      </c>
      <c r="F4950" s="3">
        <v>0</v>
      </c>
      <c r="G4950" s="3">
        <v>1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/>
      <c r="P4950" s="3"/>
      <c r="Q4950" s="3"/>
    </row>
    <row r="4951" spans="1:17" ht="15" x14ac:dyDescent="0.25">
      <c r="A4951" s="3">
        <f>4944</f>
        <v>4944</v>
      </c>
      <c r="B4951" s="3" t="s">
        <v>4953</v>
      </c>
      <c r="C4951" s="3" t="s">
        <v>9</v>
      </c>
      <c r="D4951" s="3" t="s">
        <v>10</v>
      </c>
      <c r="E4951" s="3">
        <v>0</v>
      </c>
      <c r="F4951" s="3">
        <v>0</v>
      </c>
      <c r="G4951" s="3">
        <v>1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/>
      <c r="P4951" s="3"/>
      <c r="Q4951" s="3"/>
    </row>
    <row r="4952" spans="1:17" ht="15" x14ac:dyDescent="0.25">
      <c r="A4952" s="3">
        <f>4945</f>
        <v>4945</v>
      </c>
      <c r="B4952" s="3" t="s">
        <v>4954</v>
      </c>
      <c r="C4952" s="3" t="s">
        <v>9</v>
      </c>
      <c r="D4952" s="3" t="s">
        <v>10</v>
      </c>
      <c r="E4952" s="3">
        <v>0</v>
      </c>
      <c r="F4952" s="3">
        <v>0</v>
      </c>
      <c r="G4952" s="3">
        <v>1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/>
      <c r="P4952" s="3"/>
      <c r="Q4952" s="3"/>
    </row>
    <row r="4953" spans="1:17" ht="15" x14ac:dyDescent="0.25">
      <c r="A4953" s="3">
        <f>4946</f>
        <v>4946</v>
      </c>
      <c r="B4953" s="3" t="s">
        <v>4955</v>
      </c>
      <c r="C4953" s="3" t="s">
        <v>9</v>
      </c>
      <c r="D4953" s="3" t="s">
        <v>10</v>
      </c>
      <c r="E4953" s="3">
        <v>0</v>
      </c>
      <c r="F4953" s="3">
        <v>0</v>
      </c>
      <c r="G4953" s="3">
        <v>1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/>
      <c r="P4953" s="3"/>
      <c r="Q4953" s="3"/>
    </row>
    <row r="4954" spans="1:17" ht="15" x14ac:dyDescent="0.25">
      <c r="A4954" s="3">
        <f>4947</f>
        <v>4947</v>
      </c>
      <c r="B4954" s="3" t="s">
        <v>4956</v>
      </c>
      <c r="C4954" s="3" t="s">
        <v>9</v>
      </c>
      <c r="D4954" s="3" t="s">
        <v>10</v>
      </c>
      <c r="E4954" s="3">
        <v>0</v>
      </c>
      <c r="F4954" s="3">
        <v>0</v>
      </c>
      <c r="G4954" s="3">
        <v>1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/>
      <c r="P4954" s="3"/>
      <c r="Q4954" s="3"/>
    </row>
    <row r="4955" spans="1:17" ht="15" x14ac:dyDescent="0.25">
      <c r="A4955" s="3">
        <f>4948</f>
        <v>4948</v>
      </c>
      <c r="B4955" s="3" t="s">
        <v>4957</v>
      </c>
      <c r="C4955" s="3" t="s">
        <v>9</v>
      </c>
      <c r="D4955" s="3" t="s">
        <v>10</v>
      </c>
      <c r="E4955" s="3">
        <v>0</v>
      </c>
      <c r="F4955" s="3">
        <v>0</v>
      </c>
      <c r="G4955" s="3">
        <v>1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/>
      <c r="P4955" s="3"/>
      <c r="Q4955" s="3"/>
    </row>
    <row r="4956" spans="1:17" ht="15" x14ac:dyDescent="0.25">
      <c r="A4956" s="3">
        <f>4949</f>
        <v>4949</v>
      </c>
      <c r="B4956" s="3" t="s">
        <v>4958</v>
      </c>
      <c r="C4956" s="3" t="s">
        <v>9</v>
      </c>
      <c r="D4956" s="3" t="s">
        <v>10</v>
      </c>
      <c r="E4956" s="3">
        <v>0</v>
      </c>
      <c r="F4956" s="3">
        <v>0</v>
      </c>
      <c r="G4956" s="3">
        <v>1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/>
      <c r="P4956" s="3"/>
      <c r="Q4956" s="3"/>
    </row>
    <row r="4957" spans="1:17" ht="15" x14ac:dyDescent="0.25">
      <c r="A4957" s="3">
        <f>4950</f>
        <v>4950</v>
      </c>
      <c r="B4957" s="3" t="s">
        <v>4959</v>
      </c>
      <c r="C4957" s="3" t="s">
        <v>9</v>
      </c>
      <c r="D4957" s="3" t="s">
        <v>10</v>
      </c>
      <c r="E4957" s="3">
        <v>0</v>
      </c>
      <c r="F4957" s="3">
        <v>0</v>
      </c>
      <c r="G4957" s="3">
        <v>1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/>
      <c r="P4957" s="3"/>
      <c r="Q4957" s="3"/>
    </row>
    <row r="4958" spans="1:17" ht="15" x14ac:dyDescent="0.25">
      <c r="A4958" s="3">
        <f>4951</f>
        <v>4951</v>
      </c>
      <c r="B4958" s="3" t="s">
        <v>4960</v>
      </c>
      <c r="C4958" s="3" t="s">
        <v>9</v>
      </c>
      <c r="D4958" s="3" t="s">
        <v>10</v>
      </c>
      <c r="E4958" s="3">
        <v>0</v>
      </c>
      <c r="F4958" s="3">
        <v>0</v>
      </c>
      <c r="G4958" s="3">
        <v>1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/>
      <c r="P4958" s="3"/>
      <c r="Q4958" s="3"/>
    </row>
    <row r="4959" spans="1:17" ht="15" x14ac:dyDescent="0.25">
      <c r="A4959" s="3">
        <f>4952</f>
        <v>4952</v>
      </c>
      <c r="B4959" s="3" t="s">
        <v>4961</v>
      </c>
      <c r="C4959" s="3" t="s">
        <v>9</v>
      </c>
      <c r="D4959" s="3" t="s">
        <v>10</v>
      </c>
      <c r="E4959" s="3">
        <v>0</v>
      </c>
      <c r="F4959" s="3">
        <v>0</v>
      </c>
      <c r="G4959" s="3">
        <v>1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/>
      <c r="P4959" s="3"/>
      <c r="Q4959" s="3"/>
    </row>
    <row r="4960" spans="1:17" ht="15" x14ac:dyDescent="0.25">
      <c r="A4960" s="3">
        <f>4953</f>
        <v>4953</v>
      </c>
      <c r="B4960" s="3" t="s">
        <v>4962</v>
      </c>
      <c r="C4960" s="3" t="s">
        <v>9</v>
      </c>
      <c r="D4960" s="3" t="s">
        <v>10</v>
      </c>
      <c r="E4960" s="3">
        <v>0</v>
      </c>
      <c r="F4960" s="3">
        <v>0</v>
      </c>
      <c r="G4960" s="3">
        <v>1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/>
      <c r="P4960" s="3"/>
      <c r="Q4960" s="3"/>
    </row>
    <row r="4961" spans="1:17" ht="15" x14ac:dyDescent="0.25">
      <c r="A4961" s="3">
        <f>4954</f>
        <v>4954</v>
      </c>
      <c r="B4961" s="3" t="s">
        <v>4963</v>
      </c>
      <c r="C4961" s="3" t="s">
        <v>9</v>
      </c>
      <c r="D4961" s="3" t="s">
        <v>10</v>
      </c>
      <c r="E4961" s="3">
        <v>0</v>
      </c>
      <c r="F4961" s="3">
        <v>0</v>
      </c>
      <c r="G4961" s="3">
        <v>1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/>
      <c r="P4961" s="3"/>
      <c r="Q4961" s="3"/>
    </row>
    <row r="4962" spans="1:17" ht="15" x14ac:dyDescent="0.25">
      <c r="A4962" s="3">
        <f>4955</f>
        <v>4955</v>
      </c>
      <c r="B4962" s="3" t="s">
        <v>4964</v>
      </c>
      <c r="C4962" s="3" t="s">
        <v>9</v>
      </c>
      <c r="D4962" s="3" t="s">
        <v>10</v>
      </c>
      <c r="E4962" s="3">
        <v>0</v>
      </c>
      <c r="F4962" s="3">
        <v>0</v>
      </c>
      <c r="G4962" s="3">
        <v>1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/>
      <c r="P4962" s="3"/>
      <c r="Q4962" s="3"/>
    </row>
    <row r="4963" spans="1:17" ht="15" x14ac:dyDescent="0.25">
      <c r="A4963" s="3">
        <f>4956</f>
        <v>4956</v>
      </c>
      <c r="B4963" s="3" t="s">
        <v>4965</v>
      </c>
      <c r="C4963" s="3" t="s">
        <v>9</v>
      </c>
      <c r="D4963" s="3" t="s">
        <v>10</v>
      </c>
      <c r="E4963" s="3">
        <v>0</v>
      </c>
      <c r="F4963" s="3">
        <v>0</v>
      </c>
      <c r="G4963" s="3">
        <v>1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/>
      <c r="P4963" s="3"/>
      <c r="Q4963" s="3"/>
    </row>
    <row r="4964" spans="1:17" ht="15" x14ac:dyDescent="0.25">
      <c r="A4964" s="3">
        <f>4957</f>
        <v>4957</v>
      </c>
      <c r="B4964" s="3" t="s">
        <v>4966</v>
      </c>
      <c r="C4964" s="3" t="s">
        <v>9</v>
      </c>
      <c r="D4964" s="3" t="s">
        <v>10</v>
      </c>
      <c r="E4964" s="3">
        <v>0</v>
      </c>
      <c r="F4964" s="3">
        <v>0</v>
      </c>
      <c r="G4964" s="3">
        <v>1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/>
      <c r="P4964" s="3"/>
      <c r="Q4964" s="3"/>
    </row>
    <row r="4965" spans="1:17" ht="15" x14ac:dyDescent="0.25">
      <c r="A4965" s="3">
        <f>4958</f>
        <v>4958</v>
      </c>
      <c r="B4965" s="3" t="s">
        <v>4967</v>
      </c>
      <c r="C4965" s="3" t="s">
        <v>9</v>
      </c>
      <c r="D4965" s="3" t="s">
        <v>10</v>
      </c>
      <c r="E4965" s="3">
        <v>0</v>
      </c>
      <c r="F4965" s="3">
        <v>0</v>
      </c>
      <c r="G4965" s="3">
        <v>1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/>
      <c r="P4965" s="3"/>
      <c r="Q4965" s="3"/>
    </row>
    <row r="4966" spans="1:17" ht="15" x14ac:dyDescent="0.25">
      <c r="A4966" s="3">
        <f>4959</f>
        <v>4959</v>
      </c>
      <c r="B4966" s="3" t="s">
        <v>4968</v>
      </c>
      <c r="C4966" s="3" t="s">
        <v>9</v>
      </c>
      <c r="D4966" s="3" t="s">
        <v>10</v>
      </c>
      <c r="E4966" s="3">
        <v>0</v>
      </c>
      <c r="F4966" s="3">
        <v>0</v>
      </c>
      <c r="G4966" s="3">
        <v>1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/>
      <c r="P4966" s="3"/>
      <c r="Q4966" s="3"/>
    </row>
    <row r="4967" spans="1:17" ht="15" x14ac:dyDescent="0.25">
      <c r="A4967" s="3">
        <f>4960</f>
        <v>4960</v>
      </c>
      <c r="B4967" s="3" t="s">
        <v>4969</v>
      </c>
      <c r="C4967" s="3" t="s">
        <v>9</v>
      </c>
      <c r="D4967" s="3" t="s">
        <v>10</v>
      </c>
      <c r="E4967" s="3">
        <v>0</v>
      </c>
      <c r="F4967" s="3">
        <v>0</v>
      </c>
      <c r="G4967" s="3">
        <v>1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/>
      <c r="P4967" s="3"/>
      <c r="Q4967" s="3"/>
    </row>
    <row r="4968" spans="1:17" ht="15" x14ac:dyDescent="0.25">
      <c r="A4968" s="3">
        <f>4961</f>
        <v>4961</v>
      </c>
      <c r="B4968" s="3" t="s">
        <v>4970</v>
      </c>
      <c r="C4968" s="3" t="s">
        <v>9</v>
      </c>
      <c r="D4968" s="3" t="s">
        <v>10</v>
      </c>
      <c r="E4968" s="3">
        <v>0</v>
      </c>
      <c r="F4968" s="3">
        <v>0</v>
      </c>
      <c r="G4968" s="3">
        <v>1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/>
      <c r="P4968" s="3"/>
      <c r="Q4968" s="3"/>
    </row>
    <row r="4969" spans="1:17" ht="15" x14ac:dyDescent="0.25">
      <c r="A4969" s="3">
        <f>4962</f>
        <v>4962</v>
      </c>
      <c r="B4969" s="3" t="s">
        <v>4971</v>
      </c>
      <c r="C4969" s="3" t="s">
        <v>9</v>
      </c>
      <c r="D4969" s="3" t="s">
        <v>10</v>
      </c>
      <c r="E4969" s="3">
        <v>0</v>
      </c>
      <c r="F4969" s="3">
        <v>0</v>
      </c>
      <c r="G4969" s="3">
        <v>1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/>
      <c r="P4969" s="3"/>
      <c r="Q4969" s="3"/>
    </row>
    <row r="4970" spans="1:17" ht="15" x14ac:dyDescent="0.25">
      <c r="A4970" s="3">
        <f>4963</f>
        <v>4963</v>
      </c>
      <c r="B4970" s="3" t="s">
        <v>4972</v>
      </c>
      <c r="C4970" s="3" t="s">
        <v>9</v>
      </c>
      <c r="D4970" s="3" t="s">
        <v>10</v>
      </c>
      <c r="E4970" s="3">
        <v>0</v>
      </c>
      <c r="F4970" s="3">
        <v>0</v>
      </c>
      <c r="G4970" s="3">
        <v>1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/>
      <c r="P4970" s="3"/>
      <c r="Q4970" s="3"/>
    </row>
    <row r="4971" spans="1:17" ht="15" x14ac:dyDescent="0.25">
      <c r="A4971" s="3">
        <f>4964</f>
        <v>4964</v>
      </c>
      <c r="B4971" s="3" t="s">
        <v>4973</v>
      </c>
      <c r="C4971" s="3" t="s">
        <v>9</v>
      </c>
      <c r="D4971" s="3" t="s">
        <v>10</v>
      </c>
      <c r="E4971" s="3">
        <v>0</v>
      </c>
      <c r="F4971" s="3">
        <v>0</v>
      </c>
      <c r="G4971" s="3">
        <v>1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/>
      <c r="P4971" s="3"/>
      <c r="Q4971" s="3"/>
    </row>
    <row r="4972" spans="1:17" ht="15" x14ac:dyDescent="0.25">
      <c r="A4972" s="3">
        <f>4965</f>
        <v>4965</v>
      </c>
      <c r="B4972" s="3" t="s">
        <v>4974</v>
      </c>
      <c r="C4972" s="3" t="s">
        <v>9</v>
      </c>
      <c r="D4972" s="3" t="s">
        <v>10</v>
      </c>
      <c r="E4972" s="3">
        <v>0</v>
      </c>
      <c r="F4972" s="3">
        <v>0</v>
      </c>
      <c r="G4972" s="3">
        <v>1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/>
      <c r="P4972" s="3"/>
      <c r="Q4972" s="3"/>
    </row>
    <row r="4973" spans="1:17" ht="15" x14ac:dyDescent="0.25">
      <c r="A4973" s="3">
        <f>4966</f>
        <v>4966</v>
      </c>
      <c r="B4973" s="3" t="s">
        <v>4975</v>
      </c>
      <c r="C4973" s="3" t="s">
        <v>9</v>
      </c>
      <c r="D4973" s="3" t="s">
        <v>9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/>
      <c r="P4973" s="3"/>
      <c r="Q4973" s="3"/>
    </row>
    <row r="4974" spans="1:17" ht="15" x14ac:dyDescent="0.25">
      <c r="A4974" s="3">
        <f>4967</f>
        <v>4967</v>
      </c>
      <c r="B4974" s="3" t="s">
        <v>4976</v>
      </c>
      <c r="C4974" s="3" t="s">
        <v>9</v>
      </c>
      <c r="D4974" s="3" t="s">
        <v>9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/>
      <c r="P4974" s="3"/>
      <c r="Q4974" s="3"/>
    </row>
    <row r="4975" spans="1:17" ht="15" x14ac:dyDescent="0.25">
      <c r="A4975" s="3">
        <f>4968</f>
        <v>4968</v>
      </c>
      <c r="B4975" s="3" t="s">
        <v>4977</v>
      </c>
      <c r="C4975" s="3" t="s">
        <v>9</v>
      </c>
      <c r="D4975" s="3" t="s">
        <v>10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/>
      <c r="P4975" s="3"/>
      <c r="Q4975" s="3"/>
    </row>
    <row r="4976" spans="1:17" ht="15" x14ac:dyDescent="0.25">
      <c r="A4976" s="3">
        <f>4969</f>
        <v>4969</v>
      </c>
      <c r="B4976" s="3" t="s">
        <v>4978</v>
      </c>
      <c r="C4976" s="3" t="s">
        <v>9</v>
      </c>
      <c r="D4976" s="3" t="s">
        <v>10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/>
      <c r="P4976" s="3"/>
      <c r="Q4976" s="3"/>
    </row>
    <row r="4977" spans="1:17" ht="15" x14ac:dyDescent="0.25">
      <c r="A4977" s="3">
        <f>4970</f>
        <v>4970</v>
      </c>
      <c r="B4977" s="3" t="s">
        <v>4979</v>
      </c>
      <c r="C4977" s="3" t="s">
        <v>9</v>
      </c>
      <c r="D4977" s="3" t="s">
        <v>9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/>
      <c r="P4977" s="3"/>
      <c r="Q4977" s="3"/>
    </row>
    <row r="4978" spans="1:17" ht="15" x14ac:dyDescent="0.25">
      <c r="A4978" s="3">
        <f>4971</f>
        <v>4971</v>
      </c>
      <c r="B4978" s="3" t="s">
        <v>4980</v>
      </c>
      <c r="C4978" s="3" t="s">
        <v>9</v>
      </c>
      <c r="D4978" s="3" t="s">
        <v>9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/>
      <c r="P4978" s="3"/>
      <c r="Q4978" s="3"/>
    </row>
    <row r="4979" spans="1:17" ht="15" x14ac:dyDescent="0.25">
      <c r="A4979" s="3">
        <f>4972</f>
        <v>4972</v>
      </c>
      <c r="B4979" s="3" t="s">
        <v>4981</v>
      </c>
      <c r="C4979" s="3" t="s">
        <v>10</v>
      </c>
      <c r="D4979" s="3" t="s">
        <v>9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/>
      <c r="P4979" s="3"/>
      <c r="Q4979" s="3"/>
    </row>
    <row r="4980" spans="1:17" ht="15" x14ac:dyDescent="0.25">
      <c r="A4980" s="3">
        <f>4973</f>
        <v>4973</v>
      </c>
      <c r="B4980" s="3" t="s">
        <v>4982</v>
      </c>
      <c r="C4980" s="3" t="s">
        <v>10</v>
      </c>
      <c r="D4980" s="3" t="s">
        <v>9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/>
      <c r="P4980" s="3"/>
      <c r="Q4980" s="3"/>
    </row>
    <row r="4981" spans="1:17" ht="15" x14ac:dyDescent="0.25">
      <c r="A4981" s="3">
        <f>4974</f>
        <v>4974</v>
      </c>
      <c r="B4981" s="3" t="s">
        <v>4983</v>
      </c>
      <c r="C4981" s="3" t="s">
        <v>10</v>
      </c>
      <c r="D4981" s="3" t="s">
        <v>9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/>
      <c r="P4981" s="3"/>
      <c r="Q4981" s="3"/>
    </row>
    <row r="4982" spans="1:17" ht="15" x14ac:dyDescent="0.25">
      <c r="A4982" s="3">
        <f>4975</f>
        <v>4975</v>
      </c>
      <c r="B4982" s="3" t="s">
        <v>4984</v>
      </c>
      <c r="C4982" s="3" t="s">
        <v>10</v>
      </c>
      <c r="D4982" s="3" t="s">
        <v>9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/>
      <c r="P4982" s="3"/>
      <c r="Q4982" s="3"/>
    </row>
    <row r="4983" spans="1:17" ht="15" x14ac:dyDescent="0.25">
      <c r="A4983" s="3">
        <f>4976</f>
        <v>4976</v>
      </c>
      <c r="B4983" s="3" t="s">
        <v>4985</v>
      </c>
      <c r="C4983" s="3" t="s">
        <v>10</v>
      </c>
      <c r="D4983" s="3" t="s">
        <v>9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/>
      <c r="P4983" s="3"/>
      <c r="Q4983" s="3"/>
    </row>
    <row r="4984" spans="1:17" ht="15" x14ac:dyDescent="0.25">
      <c r="A4984" s="3">
        <f>4977</f>
        <v>4977</v>
      </c>
      <c r="B4984" s="3" t="s">
        <v>4986</v>
      </c>
      <c r="C4984" s="3" t="s">
        <v>9</v>
      </c>
      <c r="D4984" s="3" t="s">
        <v>10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/>
      <c r="P4984" s="3"/>
      <c r="Q4984" s="3"/>
    </row>
    <row r="4985" spans="1:17" ht="15" x14ac:dyDescent="0.25">
      <c r="A4985" s="3">
        <f>4978</f>
        <v>4978</v>
      </c>
      <c r="B4985" s="3" t="s">
        <v>4987</v>
      </c>
      <c r="C4985" s="3" t="s">
        <v>9</v>
      </c>
      <c r="D4985" s="3" t="s">
        <v>10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/>
      <c r="P4985" s="3"/>
      <c r="Q4985" s="3"/>
    </row>
    <row r="4986" spans="1:17" ht="15" x14ac:dyDescent="0.25">
      <c r="A4986" s="3">
        <f>4979</f>
        <v>4979</v>
      </c>
      <c r="B4986" s="3" t="s">
        <v>4988</v>
      </c>
      <c r="C4986" s="3" t="s">
        <v>9</v>
      </c>
      <c r="D4986" s="3" t="s">
        <v>10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/>
      <c r="P4986" s="3"/>
      <c r="Q4986" s="3"/>
    </row>
    <row r="4987" spans="1:17" ht="15" x14ac:dyDescent="0.25">
      <c r="A4987" s="3">
        <f>4980</f>
        <v>4980</v>
      </c>
      <c r="B4987" s="3" t="s">
        <v>4989</v>
      </c>
      <c r="C4987" s="3" t="s">
        <v>9</v>
      </c>
      <c r="D4987" s="3" t="s">
        <v>10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/>
      <c r="P4987" s="3"/>
      <c r="Q4987" s="3"/>
    </row>
    <row r="4988" spans="1:17" ht="15" x14ac:dyDescent="0.25">
      <c r="A4988" s="3">
        <f>4981</f>
        <v>4981</v>
      </c>
      <c r="B4988" s="3" t="s">
        <v>4990</v>
      </c>
      <c r="C4988" s="3" t="s">
        <v>9</v>
      </c>
      <c r="D4988" s="3" t="s">
        <v>10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/>
      <c r="P4988" s="3"/>
      <c r="Q4988" s="3"/>
    </row>
    <row r="4989" spans="1:17" ht="15" x14ac:dyDescent="0.25">
      <c r="A4989" s="3">
        <f>4982</f>
        <v>4982</v>
      </c>
      <c r="B4989" s="3" t="s">
        <v>4991</v>
      </c>
      <c r="C4989" s="3" t="s">
        <v>9</v>
      </c>
      <c r="D4989" s="3" t="s">
        <v>10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/>
      <c r="P4989" s="3"/>
      <c r="Q4989" s="3"/>
    </row>
    <row r="4990" spans="1:17" ht="15" x14ac:dyDescent="0.25">
      <c r="A4990" s="3">
        <f>4983</f>
        <v>4983</v>
      </c>
      <c r="B4990" s="3" t="s">
        <v>4992</v>
      </c>
      <c r="C4990" s="3" t="s">
        <v>9</v>
      </c>
      <c r="D4990" s="3" t="s">
        <v>10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/>
      <c r="P4990" s="3"/>
      <c r="Q4990" s="3"/>
    </row>
    <row r="4991" spans="1:17" ht="15" x14ac:dyDescent="0.25">
      <c r="A4991" s="3">
        <f>4984</f>
        <v>4984</v>
      </c>
      <c r="B4991" s="3" t="s">
        <v>4993</v>
      </c>
      <c r="C4991" s="3" t="s">
        <v>9</v>
      </c>
      <c r="D4991" s="3" t="s">
        <v>10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/>
      <c r="P4991" s="3"/>
      <c r="Q4991" s="3"/>
    </row>
    <row r="4992" spans="1:17" ht="15" x14ac:dyDescent="0.25">
      <c r="A4992" s="3">
        <f>4985</f>
        <v>4985</v>
      </c>
      <c r="B4992" s="3" t="s">
        <v>4994</v>
      </c>
      <c r="C4992" s="3" t="s">
        <v>9</v>
      </c>
      <c r="D4992" s="3" t="s">
        <v>10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/>
      <c r="P4992" s="3"/>
      <c r="Q4992" s="3"/>
    </row>
    <row r="4993" spans="1:17" ht="15" x14ac:dyDescent="0.25">
      <c r="A4993" s="3">
        <f>4986</f>
        <v>4986</v>
      </c>
      <c r="B4993" s="3" t="s">
        <v>4995</v>
      </c>
      <c r="C4993" s="3" t="s">
        <v>9</v>
      </c>
      <c r="D4993" s="3" t="s">
        <v>10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/>
      <c r="P4993" s="3"/>
      <c r="Q4993" s="3"/>
    </row>
    <row r="4994" spans="1:17" ht="15" x14ac:dyDescent="0.25">
      <c r="A4994" s="3">
        <f>4987</f>
        <v>4987</v>
      </c>
      <c r="B4994" s="3" t="s">
        <v>4996</v>
      </c>
      <c r="C4994" s="3" t="s">
        <v>9</v>
      </c>
      <c r="D4994" s="3" t="s">
        <v>10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/>
      <c r="P4994" s="3"/>
      <c r="Q4994" s="3"/>
    </row>
    <row r="4995" spans="1:17" ht="15" x14ac:dyDescent="0.25">
      <c r="A4995" s="3">
        <f>4988</f>
        <v>4988</v>
      </c>
      <c r="B4995" s="3" t="s">
        <v>4997</v>
      </c>
      <c r="C4995" s="3" t="s">
        <v>9</v>
      </c>
      <c r="D4995" s="3" t="s">
        <v>10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/>
      <c r="P4995" s="3"/>
      <c r="Q4995" s="3"/>
    </row>
    <row r="4996" spans="1:17" ht="15" x14ac:dyDescent="0.25">
      <c r="A4996" s="3">
        <f>4989</f>
        <v>4989</v>
      </c>
      <c r="B4996" s="3" t="s">
        <v>4998</v>
      </c>
      <c r="C4996" s="3" t="s">
        <v>9</v>
      </c>
      <c r="D4996" s="3" t="s">
        <v>10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/>
      <c r="P4996" s="3"/>
      <c r="Q4996" s="3"/>
    </row>
    <row r="4997" spans="1:17" ht="15" x14ac:dyDescent="0.25">
      <c r="A4997" s="3">
        <f>4990</f>
        <v>4990</v>
      </c>
      <c r="B4997" s="3" t="s">
        <v>4999</v>
      </c>
      <c r="C4997" s="3" t="s">
        <v>9</v>
      </c>
      <c r="D4997" s="3" t="s">
        <v>10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/>
      <c r="P4997" s="3"/>
      <c r="Q4997" s="3"/>
    </row>
    <row r="4998" spans="1:17" ht="15" x14ac:dyDescent="0.25">
      <c r="A4998" s="3">
        <f>4991</f>
        <v>4991</v>
      </c>
      <c r="B4998" s="3" t="s">
        <v>5000</v>
      </c>
      <c r="C4998" s="3" t="s">
        <v>9</v>
      </c>
      <c r="D4998" s="3" t="s">
        <v>10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/>
      <c r="P4998" s="3"/>
      <c r="Q4998" s="3"/>
    </row>
    <row r="4999" spans="1:17" ht="15" x14ac:dyDescent="0.25">
      <c r="A4999" s="3">
        <f>4992</f>
        <v>4992</v>
      </c>
      <c r="B4999" s="3" t="s">
        <v>5001</v>
      </c>
      <c r="C4999" s="3" t="s">
        <v>9</v>
      </c>
      <c r="D4999" s="3" t="s">
        <v>10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/>
      <c r="P4999" s="3"/>
      <c r="Q4999" s="3"/>
    </row>
    <row r="5000" spans="1:17" ht="15" x14ac:dyDescent="0.25">
      <c r="A5000" s="3">
        <f>4993</f>
        <v>4993</v>
      </c>
      <c r="B5000" s="3" t="s">
        <v>5002</v>
      </c>
      <c r="C5000" s="3" t="s">
        <v>9</v>
      </c>
      <c r="D5000" s="3" t="s">
        <v>10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/>
      <c r="P5000" s="3"/>
      <c r="Q5000" s="3"/>
    </row>
    <row r="5001" spans="1:17" ht="15" x14ac:dyDescent="0.25">
      <c r="A5001" s="3">
        <f>4994</f>
        <v>4994</v>
      </c>
      <c r="B5001" s="3" t="s">
        <v>5003</v>
      </c>
      <c r="C5001" s="3" t="s">
        <v>9</v>
      </c>
      <c r="D5001" s="3" t="s">
        <v>10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/>
      <c r="P5001" s="3"/>
      <c r="Q5001" s="3"/>
    </row>
    <row r="5002" spans="1:17" ht="15" x14ac:dyDescent="0.25">
      <c r="A5002" s="3">
        <f>4995</f>
        <v>4995</v>
      </c>
      <c r="B5002" s="3" t="s">
        <v>5004</v>
      </c>
      <c r="C5002" s="3" t="s">
        <v>9</v>
      </c>
      <c r="D5002" s="3" t="s">
        <v>10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/>
      <c r="P5002" s="3"/>
      <c r="Q5002" s="3"/>
    </row>
    <row r="5003" spans="1:17" ht="15" x14ac:dyDescent="0.25">
      <c r="A5003" s="3">
        <f>4996</f>
        <v>4996</v>
      </c>
      <c r="B5003" s="3" t="s">
        <v>5005</v>
      </c>
      <c r="C5003" s="3" t="s">
        <v>9</v>
      </c>
      <c r="D5003" s="3" t="s">
        <v>10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/>
      <c r="P5003" s="3"/>
      <c r="Q5003" s="3"/>
    </row>
    <row r="5004" spans="1:17" ht="15" x14ac:dyDescent="0.25">
      <c r="A5004" s="3">
        <f>4997</f>
        <v>4997</v>
      </c>
      <c r="B5004" s="3" t="s">
        <v>5006</v>
      </c>
      <c r="C5004" s="3" t="s">
        <v>9</v>
      </c>
      <c r="D5004" s="3" t="s">
        <v>10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/>
      <c r="P5004" s="3"/>
      <c r="Q5004" s="3"/>
    </row>
    <row r="5005" spans="1:17" ht="15" x14ac:dyDescent="0.25">
      <c r="A5005" s="3">
        <f>4998</f>
        <v>4998</v>
      </c>
      <c r="B5005" s="3" t="s">
        <v>5007</v>
      </c>
      <c r="C5005" s="3" t="s">
        <v>9</v>
      </c>
      <c r="D5005" s="3" t="s">
        <v>10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/>
      <c r="P5005" s="3"/>
      <c r="Q5005" s="3"/>
    </row>
    <row r="5006" spans="1:17" ht="15" x14ac:dyDescent="0.25">
      <c r="A5006" s="3">
        <f>4999</f>
        <v>4999</v>
      </c>
      <c r="B5006" s="3" t="s">
        <v>5008</v>
      </c>
      <c r="C5006" s="3" t="s">
        <v>9</v>
      </c>
      <c r="D5006" s="3" t="s">
        <v>10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/>
      <c r="P5006" s="3"/>
      <c r="Q5006" s="3"/>
    </row>
    <row r="5007" spans="1:17" ht="15" x14ac:dyDescent="0.25">
      <c r="A5007" s="3">
        <f>5000</f>
        <v>5000</v>
      </c>
      <c r="B5007" s="3" t="s">
        <v>5009</v>
      </c>
      <c r="C5007" s="3" t="s">
        <v>9</v>
      </c>
      <c r="D5007" s="3" t="s">
        <v>10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/>
      <c r="P5007" s="3"/>
      <c r="Q5007" s="3"/>
    </row>
    <row r="5008" spans="1:17" ht="15" x14ac:dyDescent="0.25">
      <c r="A5008" s="3">
        <f>5001</f>
        <v>5001</v>
      </c>
      <c r="B5008" s="3" t="s">
        <v>5010</v>
      </c>
      <c r="C5008" s="3" t="s">
        <v>9</v>
      </c>
      <c r="D5008" s="3" t="s">
        <v>10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/>
      <c r="P5008" s="3"/>
      <c r="Q5008" s="3"/>
    </row>
    <row r="5009" spans="1:17" ht="15" x14ac:dyDescent="0.25">
      <c r="A5009" s="3">
        <f>5002</f>
        <v>5002</v>
      </c>
      <c r="B5009" s="3" t="s">
        <v>5011</v>
      </c>
      <c r="C5009" s="3" t="s">
        <v>9</v>
      </c>
      <c r="D5009" s="3" t="s">
        <v>10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/>
      <c r="P5009" s="3"/>
      <c r="Q5009" s="3"/>
    </row>
    <row r="5010" spans="1:17" ht="15" x14ac:dyDescent="0.25">
      <c r="A5010" s="3">
        <f>5003</f>
        <v>5003</v>
      </c>
      <c r="B5010" s="3" t="s">
        <v>5012</v>
      </c>
      <c r="C5010" s="3" t="s">
        <v>9</v>
      </c>
      <c r="D5010" s="3" t="s">
        <v>10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/>
      <c r="P5010" s="3"/>
      <c r="Q5010" s="3"/>
    </row>
    <row r="5011" spans="1:17" ht="15" x14ac:dyDescent="0.25">
      <c r="A5011" s="3">
        <f>5004</f>
        <v>5004</v>
      </c>
      <c r="B5011" s="3" t="s">
        <v>5013</v>
      </c>
      <c r="C5011" s="3" t="s">
        <v>9</v>
      </c>
      <c r="D5011" s="3" t="s">
        <v>10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/>
      <c r="P5011" s="3"/>
      <c r="Q5011" s="3"/>
    </row>
    <row r="5012" spans="1:17" ht="15" x14ac:dyDescent="0.25">
      <c r="A5012" s="3">
        <f>5005</f>
        <v>5005</v>
      </c>
      <c r="B5012" s="3" t="s">
        <v>5014</v>
      </c>
      <c r="C5012" s="3" t="s">
        <v>9</v>
      </c>
      <c r="D5012" s="3" t="s">
        <v>10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/>
      <c r="P5012" s="3"/>
      <c r="Q5012" s="3"/>
    </row>
    <row r="5013" spans="1:17" ht="15" x14ac:dyDescent="0.25">
      <c r="A5013" s="3">
        <f>5006</f>
        <v>5006</v>
      </c>
      <c r="B5013" s="3" t="s">
        <v>5015</v>
      </c>
      <c r="C5013" s="3" t="s">
        <v>9</v>
      </c>
      <c r="D5013" s="3" t="s">
        <v>10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/>
      <c r="P5013" s="3"/>
      <c r="Q5013" s="3"/>
    </row>
    <row r="5014" spans="1:17" ht="15" x14ac:dyDescent="0.25">
      <c r="A5014" s="3">
        <f>5007</f>
        <v>5007</v>
      </c>
      <c r="B5014" s="3" t="s">
        <v>5016</v>
      </c>
      <c r="C5014" s="3" t="s">
        <v>9</v>
      </c>
      <c r="D5014" s="3" t="s">
        <v>10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/>
      <c r="P5014" s="3"/>
      <c r="Q5014" s="3"/>
    </row>
    <row r="5015" spans="1:17" ht="15" x14ac:dyDescent="0.25">
      <c r="A5015" s="3">
        <f>5008</f>
        <v>5008</v>
      </c>
      <c r="B5015" s="3" t="s">
        <v>5017</v>
      </c>
      <c r="C5015" s="3" t="s">
        <v>9</v>
      </c>
      <c r="D5015" s="3" t="s">
        <v>10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/>
      <c r="P5015" s="3"/>
      <c r="Q5015" s="3"/>
    </row>
    <row r="5016" spans="1:17" ht="15" x14ac:dyDescent="0.25">
      <c r="A5016" s="3">
        <f>5009</f>
        <v>5009</v>
      </c>
      <c r="B5016" s="3" t="s">
        <v>5018</v>
      </c>
      <c r="C5016" s="3" t="s">
        <v>9</v>
      </c>
      <c r="D5016" s="3" t="s">
        <v>10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/>
      <c r="P5016" s="3"/>
      <c r="Q5016" s="3"/>
    </row>
    <row r="5017" spans="1:17" ht="15" x14ac:dyDescent="0.25">
      <c r="A5017" s="3">
        <f>5010</f>
        <v>5010</v>
      </c>
      <c r="B5017" s="3" t="s">
        <v>5019</v>
      </c>
      <c r="C5017" s="3" t="s">
        <v>9</v>
      </c>
      <c r="D5017" s="3" t="s">
        <v>10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/>
      <c r="P5017" s="3"/>
      <c r="Q5017" s="3"/>
    </row>
    <row r="5018" spans="1:17" ht="15" x14ac:dyDescent="0.25">
      <c r="A5018" s="3">
        <f>5011</f>
        <v>5011</v>
      </c>
      <c r="B5018" s="3" t="s">
        <v>5020</v>
      </c>
      <c r="C5018" s="3" t="s">
        <v>9</v>
      </c>
      <c r="D5018" s="3" t="s">
        <v>10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/>
      <c r="P5018" s="3"/>
      <c r="Q5018" s="3"/>
    </row>
    <row r="5019" spans="1:17" ht="15" x14ac:dyDescent="0.25">
      <c r="A5019" s="3">
        <f>5012</f>
        <v>5012</v>
      </c>
      <c r="B5019" s="3" t="s">
        <v>5021</v>
      </c>
      <c r="C5019" s="3" t="s">
        <v>9</v>
      </c>
      <c r="D5019" s="3" t="s">
        <v>10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/>
      <c r="P5019" s="3"/>
      <c r="Q5019" s="3"/>
    </row>
    <row r="5020" spans="1:17" ht="15" x14ac:dyDescent="0.25">
      <c r="A5020" s="3">
        <f>5013</f>
        <v>5013</v>
      </c>
      <c r="B5020" s="3" t="s">
        <v>5022</v>
      </c>
      <c r="C5020" s="3" t="s">
        <v>9</v>
      </c>
      <c r="D5020" s="3" t="s">
        <v>10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/>
      <c r="P5020" s="3"/>
      <c r="Q5020" s="3"/>
    </row>
    <row r="5021" spans="1:17" ht="15" x14ac:dyDescent="0.25">
      <c r="A5021" s="3">
        <f>5014</f>
        <v>5014</v>
      </c>
      <c r="B5021" s="3" t="s">
        <v>5023</v>
      </c>
      <c r="C5021" s="3" t="s">
        <v>9</v>
      </c>
      <c r="D5021" s="3" t="s">
        <v>10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/>
      <c r="P5021" s="3"/>
      <c r="Q5021" s="3"/>
    </row>
    <row r="5022" spans="1:17" ht="15" x14ac:dyDescent="0.25">
      <c r="A5022" s="3">
        <f>5015</f>
        <v>5015</v>
      </c>
      <c r="B5022" s="3" t="s">
        <v>5024</v>
      </c>
      <c r="C5022" s="3" t="s">
        <v>9</v>
      </c>
      <c r="D5022" s="3" t="s">
        <v>10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/>
      <c r="P5022" s="3"/>
      <c r="Q5022" s="3"/>
    </row>
    <row r="5023" spans="1:17" ht="15" x14ac:dyDescent="0.25">
      <c r="A5023" s="3">
        <f>5016</f>
        <v>5016</v>
      </c>
      <c r="B5023" s="3" t="s">
        <v>5025</v>
      </c>
      <c r="C5023" s="3" t="s">
        <v>9</v>
      </c>
      <c r="D5023" s="3" t="s">
        <v>10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/>
      <c r="P5023" s="3"/>
      <c r="Q5023" s="3"/>
    </row>
    <row r="5024" spans="1:17" ht="15" x14ac:dyDescent="0.25">
      <c r="A5024" s="3">
        <f>5017</f>
        <v>5017</v>
      </c>
      <c r="B5024" s="3" t="s">
        <v>5026</v>
      </c>
      <c r="C5024" s="3" t="s">
        <v>9</v>
      </c>
      <c r="D5024" s="3" t="s">
        <v>10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/>
      <c r="P5024" s="3"/>
      <c r="Q5024" s="3"/>
    </row>
    <row r="5025" spans="1:17" ht="15" x14ac:dyDescent="0.25">
      <c r="A5025" s="3">
        <f>5018</f>
        <v>5018</v>
      </c>
      <c r="B5025" s="3" t="s">
        <v>5027</v>
      </c>
      <c r="C5025" s="3" t="s">
        <v>9</v>
      </c>
      <c r="D5025" s="3" t="s">
        <v>10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/>
      <c r="P5025" s="3"/>
      <c r="Q5025" s="3"/>
    </row>
    <row r="5026" spans="1:17" ht="15" x14ac:dyDescent="0.25">
      <c r="A5026" s="3">
        <f>5019</f>
        <v>5019</v>
      </c>
      <c r="B5026" s="3" t="s">
        <v>5028</v>
      </c>
      <c r="C5026" s="3" t="s">
        <v>9</v>
      </c>
      <c r="D5026" s="3" t="s">
        <v>10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/>
      <c r="P5026" s="3"/>
      <c r="Q5026" s="3"/>
    </row>
    <row r="5027" spans="1:17" ht="15" x14ac:dyDescent="0.25">
      <c r="A5027" s="3">
        <f>5020</f>
        <v>5020</v>
      </c>
      <c r="B5027" s="3" t="s">
        <v>5029</v>
      </c>
      <c r="C5027" s="3" t="s">
        <v>9</v>
      </c>
      <c r="D5027" s="3" t="s">
        <v>10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/>
      <c r="P5027" s="3"/>
      <c r="Q5027" s="3"/>
    </row>
    <row r="5028" spans="1:17" ht="15" x14ac:dyDescent="0.25">
      <c r="A5028" s="3">
        <f>5021</f>
        <v>5021</v>
      </c>
      <c r="B5028" s="3" t="s">
        <v>5030</v>
      </c>
      <c r="C5028" s="3" t="s">
        <v>9</v>
      </c>
      <c r="D5028" s="3" t="s">
        <v>10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/>
      <c r="P5028" s="3"/>
      <c r="Q5028" s="3"/>
    </row>
    <row r="5029" spans="1:17" ht="15" x14ac:dyDescent="0.25">
      <c r="A5029" s="3">
        <f>5022</f>
        <v>5022</v>
      </c>
      <c r="B5029" s="3" t="s">
        <v>5031</v>
      </c>
      <c r="C5029" s="3" t="s">
        <v>9</v>
      </c>
      <c r="D5029" s="3" t="s">
        <v>10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/>
      <c r="P5029" s="3"/>
      <c r="Q5029" s="3"/>
    </row>
    <row r="5030" spans="1:17" ht="15" x14ac:dyDescent="0.25">
      <c r="A5030" s="3">
        <f>5023</f>
        <v>5023</v>
      </c>
      <c r="B5030" s="3" t="s">
        <v>5032</v>
      </c>
      <c r="C5030" s="3" t="s">
        <v>9</v>
      </c>
      <c r="D5030" s="3" t="s">
        <v>10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/>
      <c r="P5030" s="3"/>
      <c r="Q5030" s="3"/>
    </row>
    <row r="5031" spans="1:17" ht="15" x14ac:dyDescent="0.25">
      <c r="A5031" s="3">
        <f>5024</f>
        <v>5024</v>
      </c>
      <c r="B5031" s="3" t="s">
        <v>5033</v>
      </c>
      <c r="C5031" s="3" t="s">
        <v>9</v>
      </c>
      <c r="D5031" s="3" t="s">
        <v>10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/>
      <c r="P5031" s="3"/>
      <c r="Q5031" s="3"/>
    </row>
    <row r="5032" spans="1:17" ht="15" x14ac:dyDescent="0.25">
      <c r="A5032" s="3">
        <f>5025</f>
        <v>5025</v>
      </c>
      <c r="B5032" s="3" t="s">
        <v>5034</v>
      </c>
      <c r="C5032" s="3" t="s">
        <v>9</v>
      </c>
      <c r="D5032" s="3" t="s">
        <v>10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/>
      <c r="P5032" s="3"/>
      <c r="Q5032" s="3"/>
    </row>
    <row r="5033" spans="1:17" ht="15" x14ac:dyDescent="0.25">
      <c r="A5033" s="3">
        <f>5026</f>
        <v>5026</v>
      </c>
      <c r="B5033" s="3" t="s">
        <v>5035</v>
      </c>
      <c r="C5033" s="3" t="s">
        <v>9</v>
      </c>
      <c r="D5033" s="3" t="s">
        <v>10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/>
      <c r="P5033" s="3"/>
      <c r="Q5033" s="3"/>
    </row>
    <row r="5034" spans="1:17" ht="15" x14ac:dyDescent="0.25">
      <c r="A5034" s="3">
        <f>5027</f>
        <v>5027</v>
      </c>
      <c r="B5034" s="3" t="s">
        <v>5036</v>
      </c>
      <c r="C5034" s="3" t="s">
        <v>9</v>
      </c>
      <c r="D5034" s="3" t="s">
        <v>10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/>
      <c r="P5034" s="3"/>
      <c r="Q5034" s="3"/>
    </row>
    <row r="5035" spans="1:17" ht="15" x14ac:dyDescent="0.25">
      <c r="A5035" s="3">
        <f>5028</f>
        <v>5028</v>
      </c>
      <c r="B5035" s="3" t="s">
        <v>5037</v>
      </c>
      <c r="C5035" s="3" t="s">
        <v>9</v>
      </c>
      <c r="D5035" s="3" t="s">
        <v>10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/>
      <c r="P5035" s="3"/>
      <c r="Q5035" s="3"/>
    </row>
    <row r="5036" spans="1:17" ht="15" x14ac:dyDescent="0.25">
      <c r="A5036" s="3">
        <f>5029</f>
        <v>5029</v>
      </c>
      <c r="B5036" s="3" t="s">
        <v>5038</v>
      </c>
      <c r="C5036" s="3" t="s">
        <v>9</v>
      </c>
      <c r="D5036" s="3" t="s">
        <v>10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/>
      <c r="P5036" s="3"/>
      <c r="Q5036" s="3"/>
    </row>
    <row r="5037" spans="1:17" ht="15" x14ac:dyDescent="0.25">
      <c r="A5037" s="3">
        <f>5030</f>
        <v>5030</v>
      </c>
      <c r="B5037" s="3" t="s">
        <v>5039</v>
      </c>
      <c r="C5037" s="3" t="s">
        <v>9</v>
      </c>
      <c r="D5037" s="3" t="s">
        <v>10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/>
      <c r="P5037" s="3"/>
      <c r="Q5037" s="3"/>
    </row>
    <row r="5038" spans="1:17" ht="15" x14ac:dyDescent="0.25">
      <c r="A5038" s="3">
        <f>5031</f>
        <v>5031</v>
      </c>
      <c r="B5038" s="3" t="s">
        <v>5040</v>
      </c>
      <c r="C5038" s="3" t="s">
        <v>9</v>
      </c>
      <c r="D5038" s="3" t="s">
        <v>10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/>
      <c r="P5038" s="3"/>
      <c r="Q5038" s="3"/>
    </row>
    <row r="5039" spans="1:17" ht="15" x14ac:dyDescent="0.25">
      <c r="A5039" s="3">
        <f>5032</f>
        <v>5032</v>
      </c>
      <c r="B5039" s="3" t="s">
        <v>5041</v>
      </c>
      <c r="C5039" s="3" t="s">
        <v>9</v>
      </c>
      <c r="D5039" s="3" t="s">
        <v>10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/>
      <c r="P5039" s="3"/>
      <c r="Q5039" s="3"/>
    </row>
    <row r="5040" spans="1:17" ht="15" x14ac:dyDescent="0.25">
      <c r="A5040" s="3">
        <f>5033</f>
        <v>5033</v>
      </c>
      <c r="B5040" s="3" t="s">
        <v>5042</v>
      </c>
      <c r="C5040" s="3" t="s">
        <v>9</v>
      </c>
      <c r="D5040" s="3" t="s">
        <v>10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/>
      <c r="P5040" s="3"/>
      <c r="Q5040" s="3"/>
    </row>
    <row r="5041" spans="1:17" ht="15" x14ac:dyDescent="0.25">
      <c r="A5041" s="3">
        <f>5034</f>
        <v>5034</v>
      </c>
      <c r="B5041" s="3" t="s">
        <v>5043</v>
      </c>
      <c r="C5041" s="3" t="s">
        <v>9</v>
      </c>
      <c r="D5041" s="3" t="s">
        <v>10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/>
      <c r="P5041" s="3"/>
      <c r="Q5041" s="3"/>
    </row>
    <row r="5042" spans="1:17" ht="15" x14ac:dyDescent="0.25">
      <c r="A5042" s="3">
        <f>5035</f>
        <v>5035</v>
      </c>
      <c r="B5042" s="3" t="s">
        <v>5044</v>
      </c>
      <c r="C5042" s="3" t="s">
        <v>9</v>
      </c>
      <c r="D5042" s="3" t="s">
        <v>10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/>
      <c r="P5042" s="3"/>
      <c r="Q5042" s="3"/>
    </row>
    <row r="5043" spans="1:17" ht="15" x14ac:dyDescent="0.25">
      <c r="A5043" s="3">
        <f>5036</f>
        <v>5036</v>
      </c>
      <c r="B5043" s="3" t="s">
        <v>5045</v>
      </c>
      <c r="C5043" s="3" t="s">
        <v>9</v>
      </c>
      <c r="D5043" s="3" t="s">
        <v>10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/>
      <c r="P5043" s="3"/>
      <c r="Q5043" s="3"/>
    </row>
    <row r="5044" spans="1:17" ht="15" x14ac:dyDescent="0.25">
      <c r="A5044" s="3">
        <f>5037</f>
        <v>5037</v>
      </c>
      <c r="B5044" s="3" t="s">
        <v>5046</v>
      </c>
      <c r="C5044" s="3" t="s">
        <v>9</v>
      </c>
      <c r="D5044" s="3" t="s">
        <v>10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/>
      <c r="P5044" s="3"/>
      <c r="Q5044" s="3"/>
    </row>
    <row r="5045" spans="1:17" ht="15" x14ac:dyDescent="0.25">
      <c r="A5045" s="3">
        <f>5038</f>
        <v>5038</v>
      </c>
      <c r="B5045" s="3" t="s">
        <v>5047</v>
      </c>
      <c r="C5045" s="3" t="s">
        <v>9</v>
      </c>
      <c r="D5045" s="3" t="s">
        <v>10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/>
      <c r="P5045" s="3"/>
      <c r="Q5045" s="3"/>
    </row>
    <row r="5046" spans="1:17" ht="15" x14ac:dyDescent="0.25">
      <c r="A5046" s="3">
        <f>5039</f>
        <v>5039</v>
      </c>
      <c r="B5046" s="3" t="s">
        <v>5048</v>
      </c>
      <c r="C5046" s="3" t="s">
        <v>9</v>
      </c>
      <c r="D5046" s="3" t="s">
        <v>10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/>
      <c r="P5046" s="3"/>
      <c r="Q5046" s="3"/>
    </row>
    <row r="5047" spans="1:17" ht="15" x14ac:dyDescent="0.25">
      <c r="A5047" s="3">
        <f>5040</f>
        <v>5040</v>
      </c>
      <c r="B5047" s="3" t="s">
        <v>5049</v>
      </c>
      <c r="C5047" s="3" t="s">
        <v>9</v>
      </c>
      <c r="D5047" s="3" t="s">
        <v>10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/>
      <c r="P5047" s="3"/>
      <c r="Q5047" s="3"/>
    </row>
    <row r="5048" spans="1:17" ht="15" x14ac:dyDescent="0.25">
      <c r="A5048" s="3">
        <f>5041</f>
        <v>5041</v>
      </c>
      <c r="B5048" s="3" t="s">
        <v>5050</v>
      </c>
      <c r="C5048" s="3" t="s">
        <v>9</v>
      </c>
      <c r="D5048" s="3" t="s">
        <v>10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/>
      <c r="P5048" s="3"/>
      <c r="Q5048" s="3"/>
    </row>
    <row r="5049" spans="1:17" ht="15" x14ac:dyDescent="0.25">
      <c r="A5049" s="3">
        <f>5042</f>
        <v>5042</v>
      </c>
      <c r="B5049" s="3" t="s">
        <v>5051</v>
      </c>
      <c r="C5049" s="3" t="s">
        <v>9</v>
      </c>
      <c r="D5049" s="3" t="s">
        <v>10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/>
      <c r="P5049" s="3"/>
      <c r="Q5049" s="3"/>
    </row>
    <row r="5050" spans="1:17" ht="15" x14ac:dyDescent="0.25">
      <c r="A5050" s="3">
        <f>5043</f>
        <v>5043</v>
      </c>
      <c r="B5050" s="3" t="s">
        <v>5052</v>
      </c>
      <c r="C5050" s="3" t="s">
        <v>9</v>
      </c>
      <c r="D5050" s="3" t="s">
        <v>10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/>
      <c r="P5050" s="3"/>
      <c r="Q5050" s="3"/>
    </row>
    <row r="5051" spans="1:17" ht="15" x14ac:dyDescent="0.25">
      <c r="A5051" s="3">
        <f>5044</f>
        <v>5044</v>
      </c>
      <c r="B5051" s="3" t="s">
        <v>5053</v>
      </c>
      <c r="C5051" s="3" t="s">
        <v>9</v>
      </c>
      <c r="D5051" s="3" t="s">
        <v>10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/>
      <c r="P5051" s="3"/>
      <c r="Q5051" s="3"/>
    </row>
    <row r="5052" spans="1:17" ht="15" x14ac:dyDescent="0.25">
      <c r="A5052" s="3">
        <f>5045</f>
        <v>5045</v>
      </c>
      <c r="B5052" s="3" t="s">
        <v>5054</v>
      </c>
      <c r="C5052" s="3" t="s">
        <v>9</v>
      </c>
      <c r="D5052" s="3" t="s">
        <v>10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/>
      <c r="P5052" s="3"/>
      <c r="Q5052" s="3"/>
    </row>
    <row r="5053" spans="1:17" ht="15" x14ac:dyDescent="0.25">
      <c r="A5053" s="3">
        <f>5046</f>
        <v>5046</v>
      </c>
      <c r="B5053" s="3" t="s">
        <v>5055</v>
      </c>
      <c r="C5053" s="3" t="s">
        <v>9</v>
      </c>
      <c r="D5053" s="3" t="s">
        <v>10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/>
      <c r="P5053" s="3"/>
      <c r="Q5053" s="3"/>
    </row>
    <row r="5054" spans="1:17" ht="15" x14ac:dyDescent="0.25">
      <c r="A5054" s="3">
        <f>5047</f>
        <v>5047</v>
      </c>
      <c r="B5054" s="3" t="s">
        <v>5056</v>
      </c>
      <c r="C5054" s="3" t="s">
        <v>9</v>
      </c>
      <c r="D5054" s="3" t="s">
        <v>10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/>
      <c r="P5054" s="3"/>
      <c r="Q5054" s="3"/>
    </row>
    <row r="5055" spans="1:17" ht="15" x14ac:dyDescent="0.25">
      <c r="A5055" s="3">
        <f>5048</f>
        <v>5048</v>
      </c>
      <c r="B5055" s="3" t="s">
        <v>5057</v>
      </c>
      <c r="C5055" s="3" t="s">
        <v>9</v>
      </c>
      <c r="D5055" s="3" t="s">
        <v>10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/>
      <c r="P5055" s="3"/>
      <c r="Q5055" s="3"/>
    </row>
    <row r="5056" spans="1:17" ht="15" x14ac:dyDescent="0.25">
      <c r="A5056" s="3">
        <f>5049</f>
        <v>5049</v>
      </c>
      <c r="B5056" s="3" t="s">
        <v>5058</v>
      </c>
      <c r="C5056" s="3" t="s">
        <v>9</v>
      </c>
      <c r="D5056" s="3" t="s">
        <v>10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/>
      <c r="P5056" s="3"/>
      <c r="Q5056" s="3"/>
    </row>
    <row r="5057" spans="1:17" ht="15" x14ac:dyDescent="0.25">
      <c r="A5057" s="3">
        <f>5050</f>
        <v>5050</v>
      </c>
      <c r="B5057" s="3" t="s">
        <v>5059</v>
      </c>
      <c r="C5057" s="3" t="s">
        <v>9</v>
      </c>
      <c r="D5057" s="3" t="s">
        <v>10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/>
      <c r="P5057" s="3"/>
      <c r="Q5057" s="3"/>
    </row>
    <row r="5058" spans="1:17" ht="15" x14ac:dyDescent="0.25">
      <c r="A5058" s="3">
        <f>5051</f>
        <v>5051</v>
      </c>
      <c r="B5058" s="3" t="s">
        <v>5060</v>
      </c>
      <c r="C5058" s="3" t="s">
        <v>9</v>
      </c>
      <c r="D5058" s="3" t="s">
        <v>10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/>
      <c r="P5058" s="3"/>
      <c r="Q5058" s="3"/>
    </row>
    <row r="5059" spans="1:17" ht="15" x14ac:dyDescent="0.25">
      <c r="A5059" s="3">
        <f>5052</f>
        <v>5052</v>
      </c>
      <c r="B5059" s="3" t="s">
        <v>5061</v>
      </c>
      <c r="C5059" s="3" t="s">
        <v>9</v>
      </c>
      <c r="D5059" s="3" t="s">
        <v>10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/>
      <c r="P5059" s="3"/>
      <c r="Q5059" s="3"/>
    </row>
    <row r="5060" spans="1:17" ht="15" x14ac:dyDescent="0.25">
      <c r="A5060" s="3">
        <f>5053</f>
        <v>5053</v>
      </c>
      <c r="B5060" s="3" t="s">
        <v>5062</v>
      </c>
      <c r="C5060" s="3" t="s">
        <v>9</v>
      </c>
      <c r="D5060" s="3" t="s">
        <v>10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/>
      <c r="P5060" s="3"/>
      <c r="Q5060" s="3"/>
    </row>
    <row r="5061" spans="1:17" ht="15" x14ac:dyDescent="0.25">
      <c r="A5061" s="3">
        <f>5054</f>
        <v>5054</v>
      </c>
      <c r="B5061" s="3" t="s">
        <v>5063</v>
      </c>
      <c r="C5061" s="3" t="s">
        <v>9</v>
      </c>
      <c r="D5061" s="3" t="s">
        <v>10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/>
      <c r="P5061" s="3"/>
      <c r="Q5061" s="3"/>
    </row>
    <row r="5062" spans="1:17" ht="15" x14ac:dyDescent="0.25">
      <c r="A5062" s="3">
        <f>5055</f>
        <v>5055</v>
      </c>
      <c r="B5062" s="3" t="s">
        <v>5064</v>
      </c>
      <c r="C5062" s="3" t="s">
        <v>9</v>
      </c>
      <c r="D5062" s="3" t="s">
        <v>10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/>
      <c r="P5062" s="3"/>
      <c r="Q5062" s="3"/>
    </row>
    <row r="5063" spans="1:17" ht="15" x14ac:dyDescent="0.25">
      <c r="A5063" s="3">
        <f>5056</f>
        <v>5056</v>
      </c>
      <c r="B5063" s="3" t="s">
        <v>5065</v>
      </c>
      <c r="C5063" s="3" t="s">
        <v>9</v>
      </c>
      <c r="D5063" s="3" t="s">
        <v>10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/>
      <c r="P5063" s="3"/>
      <c r="Q5063" s="3"/>
    </row>
    <row r="5064" spans="1:17" ht="15" x14ac:dyDescent="0.25">
      <c r="A5064" s="3">
        <f>5057</f>
        <v>5057</v>
      </c>
      <c r="B5064" s="3" t="s">
        <v>5066</v>
      </c>
      <c r="C5064" s="3" t="s">
        <v>9</v>
      </c>
      <c r="D5064" s="3" t="s">
        <v>10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/>
      <c r="P5064" s="3"/>
      <c r="Q5064" s="3"/>
    </row>
    <row r="5065" spans="1:17" ht="15" x14ac:dyDescent="0.25">
      <c r="A5065" s="3">
        <f>5058</f>
        <v>5058</v>
      </c>
      <c r="B5065" s="3" t="s">
        <v>5067</v>
      </c>
      <c r="C5065" s="3" t="s">
        <v>9</v>
      </c>
      <c r="D5065" s="3" t="s">
        <v>10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/>
      <c r="P5065" s="3"/>
      <c r="Q5065" s="3"/>
    </row>
    <row r="5066" spans="1:17" ht="15" x14ac:dyDescent="0.25">
      <c r="A5066" s="3">
        <f>5059</f>
        <v>5059</v>
      </c>
      <c r="B5066" s="3" t="s">
        <v>5068</v>
      </c>
      <c r="C5066" s="3" t="s">
        <v>9</v>
      </c>
      <c r="D5066" s="3" t="s">
        <v>10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/>
      <c r="P5066" s="3"/>
      <c r="Q5066" s="3"/>
    </row>
    <row r="5067" spans="1:17" ht="15" x14ac:dyDescent="0.25">
      <c r="A5067" s="3">
        <f>5060</f>
        <v>5060</v>
      </c>
      <c r="B5067" s="3" t="s">
        <v>5069</v>
      </c>
      <c r="C5067" s="3" t="s">
        <v>9</v>
      </c>
      <c r="D5067" s="3" t="s">
        <v>10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/>
      <c r="P5067" s="3"/>
      <c r="Q5067" s="3"/>
    </row>
    <row r="5068" spans="1:17" ht="15" x14ac:dyDescent="0.25">
      <c r="A5068" s="3">
        <f>5061</f>
        <v>5061</v>
      </c>
      <c r="B5068" s="3" t="s">
        <v>5070</v>
      </c>
      <c r="C5068" s="3" t="s">
        <v>9</v>
      </c>
      <c r="D5068" s="3" t="s">
        <v>10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/>
      <c r="P5068" s="3"/>
      <c r="Q5068" s="3"/>
    </row>
    <row r="5069" spans="1:17" ht="15" x14ac:dyDescent="0.25">
      <c r="A5069" s="3">
        <f>5062</f>
        <v>5062</v>
      </c>
      <c r="B5069" s="3" t="s">
        <v>5071</v>
      </c>
      <c r="C5069" s="3" t="s">
        <v>9</v>
      </c>
      <c r="D5069" s="3" t="s">
        <v>10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/>
      <c r="P5069" s="3"/>
      <c r="Q5069" s="3"/>
    </row>
    <row r="5070" spans="1:17" ht="15" x14ac:dyDescent="0.25">
      <c r="A5070" s="3">
        <f>5063</f>
        <v>5063</v>
      </c>
      <c r="B5070" s="3" t="s">
        <v>5072</v>
      </c>
      <c r="C5070" s="3" t="s">
        <v>9</v>
      </c>
      <c r="D5070" s="3" t="s">
        <v>10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/>
      <c r="P5070" s="3"/>
      <c r="Q5070" s="3"/>
    </row>
    <row r="5071" spans="1:17" ht="15" x14ac:dyDescent="0.25">
      <c r="A5071" s="3">
        <f>5064</f>
        <v>5064</v>
      </c>
      <c r="B5071" s="3" t="s">
        <v>5073</v>
      </c>
      <c r="C5071" s="3" t="s">
        <v>9</v>
      </c>
      <c r="D5071" s="3" t="s">
        <v>10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/>
      <c r="P5071" s="3"/>
      <c r="Q5071" s="3"/>
    </row>
    <row r="5072" spans="1:17" ht="15" x14ac:dyDescent="0.25">
      <c r="A5072" s="3">
        <f>5065</f>
        <v>5065</v>
      </c>
      <c r="B5072" s="3" t="s">
        <v>5074</v>
      </c>
      <c r="C5072" s="3" t="s">
        <v>10</v>
      </c>
      <c r="D5072" s="3" t="s">
        <v>9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/>
      <c r="P5072" s="3"/>
      <c r="Q5072" s="3"/>
    </row>
    <row r="5073" spans="1:17" ht="15" x14ac:dyDescent="0.25">
      <c r="A5073" s="3">
        <f>5066</f>
        <v>5066</v>
      </c>
      <c r="B5073" s="3" t="s">
        <v>5075</v>
      </c>
      <c r="C5073" s="3" t="s">
        <v>10</v>
      </c>
      <c r="D5073" s="3" t="s">
        <v>9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/>
      <c r="P5073" s="3"/>
      <c r="Q5073" s="3"/>
    </row>
    <row r="5074" spans="1:17" ht="15" x14ac:dyDescent="0.25">
      <c r="A5074" s="3">
        <f>5067</f>
        <v>5067</v>
      </c>
      <c r="B5074" s="3" t="s">
        <v>5076</v>
      </c>
      <c r="C5074" s="3" t="s">
        <v>10</v>
      </c>
      <c r="D5074" s="3" t="s">
        <v>9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/>
      <c r="P5074" s="3"/>
      <c r="Q5074" s="3"/>
    </row>
    <row r="5075" spans="1:17" ht="15" x14ac:dyDescent="0.25">
      <c r="A5075" s="3">
        <f>5068</f>
        <v>5068</v>
      </c>
      <c r="B5075" s="3" t="s">
        <v>5077</v>
      </c>
      <c r="C5075" s="3" t="s">
        <v>10</v>
      </c>
      <c r="D5075" s="3" t="s">
        <v>9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/>
      <c r="P5075" s="3"/>
      <c r="Q5075" s="3"/>
    </row>
    <row r="5076" spans="1:17" ht="15" x14ac:dyDescent="0.25">
      <c r="A5076" s="3">
        <f>5069</f>
        <v>5069</v>
      </c>
      <c r="B5076" s="3" t="s">
        <v>5078</v>
      </c>
      <c r="C5076" s="3" t="s">
        <v>10</v>
      </c>
      <c r="D5076" s="3" t="s">
        <v>9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/>
      <c r="P5076" s="3"/>
      <c r="Q5076" s="3"/>
    </row>
    <row r="5077" spans="1:17" ht="15" x14ac:dyDescent="0.25">
      <c r="A5077" s="3">
        <f>5070</f>
        <v>5070</v>
      </c>
      <c r="B5077" s="3" t="s">
        <v>5079</v>
      </c>
      <c r="C5077" s="3" t="s">
        <v>10</v>
      </c>
      <c r="D5077" s="3" t="s">
        <v>9</v>
      </c>
      <c r="E5077" s="3">
        <v>0</v>
      </c>
      <c r="F5077" s="3">
        <v>0</v>
      </c>
      <c r="G5077" s="3">
        <v>1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/>
      <c r="P5077" s="3"/>
      <c r="Q5077" s="3"/>
    </row>
    <row r="5078" spans="1:17" ht="15" x14ac:dyDescent="0.25">
      <c r="A5078" s="3">
        <f>5071</f>
        <v>5071</v>
      </c>
      <c r="B5078" s="3" t="s">
        <v>5080</v>
      </c>
      <c r="C5078" s="3" t="s">
        <v>10</v>
      </c>
      <c r="D5078" s="3" t="s">
        <v>9</v>
      </c>
      <c r="E5078" s="3">
        <v>22</v>
      </c>
      <c r="F5078" s="3">
        <v>0</v>
      </c>
      <c r="G5078" s="3">
        <v>1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/>
      <c r="P5078" s="3"/>
      <c r="Q5078" s="3"/>
    </row>
    <row r="5079" spans="1:17" ht="15" x14ac:dyDescent="0.25">
      <c r="A5079" s="3">
        <f>5072</f>
        <v>5072</v>
      </c>
      <c r="B5079" s="3" t="s">
        <v>5081</v>
      </c>
      <c r="C5079" s="3" t="s">
        <v>10</v>
      </c>
      <c r="D5079" s="3" t="s">
        <v>9</v>
      </c>
      <c r="E5079" s="3">
        <v>22</v>
      </c>
      <c r="F5079" s="3">
        <v>0</v>
      </c>
      <c r="G5079" s="3">
        <v>1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/>
      <c r="P5079" s="3"/>
      <c r="Q5079" s="3"/>
    </row>
    <row r="5080" spans="1:17" ht="15" x14ac:dyDescent="0.25">
      <c r="A5080" s="3">
        <f>5073</f>
        <v>5073</v>
      </c>
      <c r="B5080" s="3" t="s">
        <v>5082</v>
      </c>
      <c r="C5080" s="3" t="s">
        <v>10</v>
      </c>
      <c r="D5080" s="3" t="s">
        <v>9</v>
      </c>
      <c r="E5080" s="3">
        <v>22</v>
      </c>
      <c r="F5080" s="3">
        <v>0</v>
      </c>
      <c r="G5080" s="3">
        <v>1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/>
      <c r="P5080" s="3"/>
      <c r="Q5080" s="3"/>
    </row>
    <row r="5081" spans="1:17" ht="15" x14ac:dyDescent="0.25">
      <c r="A5081" s="3">
        <f>5074</f>
        <v>5074</v>
      </c>
      <c r="B5081" s="3" t="s">
        <v>5083</v>
      </c>
      <c r="C5081" s="3" t="s">
        <v>10</v>
      </c>
      <c r="D5081" s="3" t="s">
        <v>9</v>
      </c>
      <c r="E5081" s="3">
        <v>22</v>
      </c>
      <c r="F5081" s="3">
        <v>0</v>
      </c>
      <c r="G5081" s="3">
        <v>1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/>
      <c r="P5081" s="3"/>
      <c r="Q5081" s="3"/>
    </row>
    <row r="5082" spans="1:17" ht="15" x14ac:dyDescent="0.25">
      <c r="A5082" s="3">
        <f>5075</f>
        <v>5075</v>
      </c>
      <c r="B5082" s="3" t="s">
        <v>5084</v>
      </c>
      <c r="C5082" s="3" t="s">
        <v>10</v>
      </c>
      <c r="D5082" s="3" t="s">
        <v>9</v>
      </c>
      <c r="E5082" s="3">
        <v>22</v>
      </c>
      <c r="F5082" s="3">
        <v>0</v>
      </c>
      <c r="G5082" s="3">
        <v>1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/>
      <c r="P5082" s="3"/>
      <c r="Q5082" s="3"/>
    </row>
    <row r="5083" spans="1:17" ht="15" x14ac:dyDescent="0.25">
      <c r="A5083" s="3">
        <f>5076</f>
        <v>5076</v>
      </c>
      <c r="B5083" s="3" t="s">
        <v>5085</v>
      </c>
      <c r="C5083" s="3" t="s">
        <v>10</v>
      </c>
      <c r="D5083" s="3" t="s">
        <v>9</v>
      </c>
      <c r="E5083" s="3">
        <v>22</v>
      </c>
      <c r="F5083" s="3">
        <v>0</v>
      </c>
      <c r="G5083" s="3">
        <v>1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/>
      <c r="P5083" s="3"/>
      <c r="Q5083" s="3"/>
    </row>
    <row r="5084" spans="1:17" ht="15" x14ac:dyDescent="0.25">
      <c r="A5084" s="3">
        <f>5077</f>
        <v>5077</v>
      </c>
      <c r="B5084" s="3" t="s">
        <v>5086</v>
      </c>
      <c r="C5084" s="3" t="s">
        <v>10</v>
      </c>
      <c r="D5084" s="3" t="s">
        <v>9</v>
      </c>
      <c r="E5084" s="3">
        <v>22</v>
      </c>
      <c r="F5084" s="3">
        <v>0</v>
      </c>
      <c r="G5084" s="3">
        <v>1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/>
      <c r="P5084" s="3"/>
      <c r="Q5084" s="3"/>
    </row>
    <row r="5085" spans="1:17" ht="15" x14ac:dyDescent="0.25">
      <c r="A5085" s="3">
        <f>5078</f>
        <v>5078</v>
      </c>
      <c r="B5085" s="3" t="s">
        <v>5087</v>
      </c>
      <c r="C5085" s="3" t="s">
        <v>10</v>
      </c>
      <c r="D5085" s="3" t="s">
        <v>9</v>
      </c>
      <c r="E5085" s="3">
        <v>22</v>
      </c>
      <c r="F5085" s="3">
        <v>0</v>
      </c>
      <c r="G5085" s="3">
        <v>1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/>
      <c r="P5085" s="3"/>
      <c r="Q5085" s="3"/>
    </row>
    <row r="5086" spans="1:17" ht="15" x14ac:dyDescent="0.25">
      <c r="A5086" s="3">
        <f>5079</f>
        <v>5079</v>
      </c>
      <c r="B5086" s="3" t="s">
        <v>5088</v>
      </c>
      <c r="C5086" s="3" t="s">
        <v>10</v>
      </c>
      <c r="D5086" s="3" t="s">
        <v>9</v>
      </c>
      <c r="E5086" s="3">
        <v>22</v>
      </c>
      <c r="F5086" s="3">
        <v>0</v>
      </c>
      <c r="G5086" s="3">
        <v>1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/>
      <c r="P5086" s="3"/>
      <c r="Q5086" s="3"/>
    </row>
    <row r="5087" spans="1:17" ht="15" x14ac:dyDescent="0.25">
      <c r="A5087" s="3">
        <f>5080</f>
        <v>5080</v>
      </c>
      <c r="B5087" s="3" t="s">
        <v>5089</v>
      </c>
      <c r="C5087" s="3" t="s">
        <v>10</v>
      </c>
      <c r="D5087" s="3" t="s">
        <v>9</v>
      </c>
      <c r="E5087" s="3">
        <v>22</v>
      </c>
      <c r="F5087" s="3">
        <v>0</v>
      </c>
      <c r="G5087" s="3">
        <v>1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/>
      <c r="P5087" s="3"/>
      <c r="Q5087" s="3"/>
    </row>
    <row r="5088" spans="1:17" ht="15" x14ac:dyDescent="0.25">
      <c r="A5088" s="3">
        <f>5081</f>
        <v>5081</v>
      </c>
      <c r="B5088" s="3" t="s">
        <v>5090</v>
      </c>
      <c r="C5088" s="3" t="s">
        <v>10</v>
      </c>
      <c r="D5088" s="3" t="s">
        <v>9</v>
      </c>
      <c r="E5088" s="3">
        <v>22</v>
      </c>
      <c r="F5088" s="3">
        <v>0</v>
      </c>
      <c r="G5088" s="3">
        <v>1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/>
      <c r="P5088" s="3"/>
      <c r="Q5088" s="3"/>
    </row>
    <row r="5089" spans="1:17" ht="15" x14ac:dyDescent="0.25">
      <c r="A5089" s="3">
        <f>5082</f>
        <v>5082</v>
      </c>
      <c r="B5089" s="3" t="s">
        <v>5091</v>
      </c>
      <c r="C5089" s="3" t="s">
        <v>10</v>
      </c>
      <c r="D5089" s="3" t="s">
        <v>9</v>
      </c>
      <c r="E5089" s="3">
        <v>22</v>
      </c>
      <c r="F5089" s="3">
        <v>0</v>
      </c>
      <c r="G5089" s="3">
        <v>1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/>
      <c r="P5089" s="3"/>
      <c r="Q5089" s="3"/>
    </row>
    <row r="5090" spans="1:17" ht="15" x14ac:dyDescent="0.25">
      <c r="A5090" s="3">
        <f>5083</f>
        <v>5083</v>
      </c>
      <c r="B5090" s="3" t="s">
        <v>5092</v>
      </c>
      <c r="C5090" s="3" t="s">
        <v>10</v>
      </c>
      <c r="D5090" s="3" t="s">
        <v>9</v>
      </c>
      <c r="E5090" s="3">
        <v>22</v>
      </c>
      <c r="F5090" s="3">
        <v>0</v>
      </c>
      <c r="G5090" s="3">
        <v>1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/>
      <c r="P5090" s="3"/>
      <c r="Q5090" s="3"/>
    </row>
    <row r="5091" spans="1:17" ht="15" x14ac:dyDescent="0.25">
      <c r="A5091" s="3">
        <f>5084</f>
        <v>5084</v>
      </c>
      <c r="B5091" s="3" t="s">
        <v>5093</v>
      </c>
      <c r="C5091" s="3" t="s">
        <v>10</v>
      </c>
      <c r="D5091" s="3" t="s">
        <v>9</v>
      </c>
      <c r="E5091" s="3">
        <v>22</v>
      </c>
      <c r="F5091" s="3">
        <v>0</v>
      </c>
      <c r="G5091" s="3">
        <v>1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/>
      <c r="P5091" s="3"/>
      <c r="Q5091" s="3"/>
    </row>
    <row r="5092" spans="1:17" ht="15" x14ac:dyDescent="0.25">
      <c r="A5092" s="3">
        <f>5085</f>
        <v>5085</v>
      </c>
      <c r="B5092" s="3" t="s">
        <v>5094</v>
      </c>
      <c r="C5092" s="3" t="s">
        <v>10</v>
      </c>
      <c r="D5092" s="3" t="s">
        <v>9</v>
      </c>
      <c r="E5092" s="3">
        <v>22</v>
      </c>
      <c r="F5092" s="3">
        <v>0</v>
      </c>
      <c r="G5092" s="3">
        <v>1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/>
      <c r="P5092" s="3"/>
      <c r="Q5092" s="3"/>
    </row>
    <row r="5093" spans="1:17" ht="15" x14ac:dyDescent="0.25">
      <c r="A5093" s="3">
        <f>5086</f>
        <v>5086</v>
      </c>
      <c r="B5093" s="3" t="s">
        <v>5095</v>
      </c>
      <c r="C5093" s="3" t="s">
        <v>10</v>
      </c>
      <c r="D5093" s="3" t="s">
        <v>9</v>
      </c>
      <c r="E5093" s="3">
        <v>22</v>
      </c>
      <c r="F5093" s="3">
        <v>0</v>
      </c>
      <c r="G5093" s="3">
        <v>1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/>
      <c r="P5093" s="3"/>
      <c r="Q5093" s="3"/>
    </row>
    <row r="5094" spans="1:17" ht="15" x14ac:dyDescent="0.25">
      <c r="A5094" s="3">
        <f>5087</f>
        <v>5087</v>
      </c>
      <c r="B5094" s="3" t="s">
        <v>5096</v>
      </c>
      <c r="C5094" s="3" t="s">
        <v>10</v>
      </c>
      <c r="D5094" s="3" t="s">
        <v>9</v>
      </c>
      <c r="E5094" s="3">
        <v>22</v>
      </c>
      <c r="F5094" s="3">
        <v>0</v>
      </c>
      <c r="G5094" s="3">
        <v>1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/>
      <c r="P5094" s="3"/>
      <c r="Q5094" s="3"/>
    </row>
    <row r="5095" spans="1:17" ht="15" x14ac:dyDescent="0.25">
      <c r="A5095" s="3">
        <f>5088</f>
        <v>5088</v>
      </c>
      <c r="B5095" s="3" t="s">
        <v>5097</v>
      </c>
      <c r="C5095" s="3" t="s">
        <v>10</v>
      </c>
      <c r="D5095" s="3" t="s">
        <v>9</v>
      </c>
      <c r="E5095" s="3">
        <v>22</v>
      </c>
      <c r="F5095" s="3">
        <v>0</v>
      </c>
      <c r="G5095" s="3">
        <v>1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/>
      <c r="P5095" s="3"/>
      <c r="Q5095" s="3"/>
    </row>
    <row r="5096" spans="1:17" ht="15" x14ac:dyDescent="0.25">
      <c r="A5096" s="3">
        <f>5089</f>
        <v>5089</v>
      </c>
      <c r="B5096" s="3" t="s">
        <v>5098</v>
      </c>
      <c r="C5096" s="3" t="s">
        <v>10</v>
      </c>
      <c r="D5096" s="3" t="s">
        <v>9</v>
      </c>
      <c r="E5096" s="3">
        <v>22</v>
      </c>
      <c r="F5096" s="3">
        <v>0</v>
      </c>
      <c r="G5096" s="3">
        <v>1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/>
      <c r="P5096" s="3"/>
      <c r="Q5096" s="3"/>
    </row>
    <row r="5097" spans="1:17" ht="15" x14ac:dyDescent="0.25">
      <c r="A5097" s="3">
        <f>5090</f>
        <v>5090</v>
      </c>
      <c r="B5097" s="3" t="s">
        <v>5099</v>
      </c>
      <c r="C5097" s="3" t="s">
        <v>10</v>
      </c>
      <c r="D5097" s="3" t="s">
        <v>9</v>
      </c>
      <c r="E5097" s="3">
        <v>22</v>
      </c>
      <c r="F5097" s="3">
        <v>0</v>
      </c>
      <c r="G5097" s="3">
        <v>1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/>
      <c r="P5097" s="3"/>
      <c r="Q5097" s="3"/>
    </row>
    <row r="5098" spans="1:17" ht="15" x14ac:dyDescent="0.25">
      <c r="A5098" s="3">
        <f>5091</f>
        <v>5091</v>
      </c>
      <c r="B5098" s="3" t="s">
        <v>5100</v>
      </c>
      <c r="C5098" s="3" t="s">
        <v>10</v>
      </c>
      <c r="D5098" s="3" t="s">
        <v>9</v>
      </c>
      <c r="E5098" s="3">
        <v>22</v>
      </c>
      <c r="F5098" s="3">
        <v>0</v>
      </c>
      <c r="G5098" s="3">
        <v>1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/>
      <c r="P5098" s="3"/>
      <c r="Q5098" s="3"/>
    </row>
    <row r="5099" spans="1:17" ht="15" x14ac:dyDescent="0.25">
      <c r="A5099" s="3">
        <f>5092</f>
        <v>5092</v>
      </c>
      <c r="B5099" s="3" t="s">
        <v>5101</v>
      </c>
      <c r="C5099" s="3" t="s">
        <v>10</v>
      </c>
      <c r="D5099" s="3" t="s">
        <v>9</v>
      </c>
      <c r="E5099" s="3">
        <v>22</v>
      </c>
      <c r="F5099" s="3">
        <v>0</v>
      </c>
      <c r="G5099" s="3">
        <v>1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/>
      <c r="P5099" s="3"/>
      <c r="Q5099" s="3"/>
    </row>
    <row r="5100" spans="1:17" ht="15" x14ac:dyDescent="0.25">
      <c r="A5100" s="3">
        <f>5093</f>
        <v>5093</v>
      </c>
      <c r="B5100" s="3" t="s">
        <v>5102</v>
      </c>
      <c r="C5100" s="3" t="s">
        <v>10</v>
      </c>
      <c r="D5100" s="3" t="s">
        <v>9</v>
      </c>
      <c r="E5100" s="3">
        <v>22</v>
      </c>
      <c r="F5100" s="3">
        <v>0</v>
      </c>
      <c r="G5100" s="3">
        <v>1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/>
      <c r="P5100" s="3"/>
      <c r="Q5100" s="3"/>
    </row>
    <row r="5101" spans="1:17" ht="15" x14ac:dyDescent="0.25">
      <c r="A5101" s="3">
        <f>5094</f>
        <v>5094</v>
      </c>
      <c r="B5101" s="3" t="s">
        <v>5103</v>
      </c>
      <c r="C5101" s="3" t="s">
        <v>10</v>
      </c>
      <c r="D5101" s="3" t="s">
        <v>9</v>
      </c>
      <c r="E5101" s="3">
        <v>22</v>
      </c>
      <c r="F5101" s="3">
        <v>0</v>
      </c>
      <c r="G5101" s="3">
        <v>1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/>
      <c r="P5101" s="3"/>
      <c r="Q5101" s="3"/>
    </row>
    <row r="5102" spans="1:17" ht="15" x14ac:dyDescent="0.25">
      <c r="A5102" s="3">
        <f>5095</f>
        <v>5095</v>
      </c>
      <c r="B5102" s="3" t="s">
        <v>5104</v>
      </c>
      <c r="C5102" s="3" t="s">
        <v>10</v>
      </c>
      <c r="D5102" s="3" t="s">
        <v>9</v>
      </c>
      <c r="E5102" s="3">
        <v>22</v>
      </c>
      <c r="F5102" s="3">
        <v>0</v>
      </c>
      <c r="G5102" s="3">
        <v>1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/>
      <c r="P5102" s="3"/>
      <c r="Q5102" s="3"/>
    </row>
    <row r="5103" spans="1:17" ht="15" x14ac:dyDescent="0.25">
      <c r="A5103" s="3">
        <f>5096</f>
        <v>5096</v>
      </c>
      <c r="B5103" s="3" t="s">
        <v>5105</v>
      </c>
      <c r="C5103" s="3" t="s">
        <v>10</v>
      </c>
      <c r="D5103" s="3" t="s">
        <v>9</v>
      </c>
      <c r="E5103" s="3">
        <v>22</v>
      </c>
      <c r="F5103" s="3">
        <v>0</v>
      </c>
      <c r="G5103" s="3">
        <v>1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/>
      <c r="P5103" s="3"/>
      <c r="Q5103" s="3"/>
    </row>
    <row r="5104" spans="1:17" ht="15" x14ac:dyDescent="0.25">
      <c r="A5104" s="3">
        <f>5097</f>
        <v>5097</v>
      </c>
      <c r="B5104" s="3" t="s">
        <v>5106</v>
      </c>
      <c r="C5104" s="3" t="s">
        <v>10</v>
      </c>
      <c r="D5104" s="3" t="s">
        <v>9</v>
      </c>
      <c r="E5104" s="3">
        <v>22</v>
      </c>
      <c r="F5104" s="3">
        <v>0</v>
      </c>
      <c r="G5104" s="3">
        <v>1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/>
      <c r="P5104" s="3"/>
      <c r="Q5104" s="3"/>
    </row>
    <row r="5105" spans="1:17" ht="15" x14ac:dyDescent="0.25">
      <c r="A5105" s="3">
        <f>5098</f>
        <v>5098</v>
      </c>
      <c r="B5105" s="3" t="s">
        <v>5107</v>
      </c>
      <c r="C5105" s="3" t="s">
        <v>10</v>
      </c>
      <c r="D5105" s="3" t="s">
        <v>9</v>
      </c>
      <c r="E5105" s="3">
        <v>22</v>
      </c>
      <c r="F5105" s="3">
        <v>0</v>
      </c>
      <c r="G5105" s="3">
        <v>1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/>
      <c r="P5105" s="3"/>
      <c r="Q5105" s="3"/>
    </row>
    <row r="5106" spans="1:17" ht="15" x14ac:dyDescent="0.25">
      <c r="A5106" s="3">
        <f>5099</f>
        <v>5099</v>
      </c>
      <c r="B5106" s="3" t="s">
        <v>5108</v>
      </c>
      <c r="C5106" s="3" t="s">
        <v>10</v>
      </c>
      <c r="D5106" s="3" t="s">
        <v>9</v>
      </c>
      <c r="E5106" s="3">
        <v>22</v>
      </c>
      <c r="F5106" s="3">
        <v>0</v>
      </c>
      <c r="G5106" s="3">
        <v>1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/>
      <c r="P5106" s="3"/>
      <c r="Q5106" s="3"/>
    </row>
    <row r="5107" spans="1:17" ht="15" x14ac:dyDescent="0.25">
      <c r="A5107" s="3">
        <f>5100</f>
        <v>5100</v>
      </c>
      <c r="B5107" s="3" t="s">
        <v>5109</v>
      </c>
      <c r="C5107" s="3" t="s">
        <v>10</v>
      </c>
      <c r="D5107" s="3" t="s">
        <v>9</v>
      </c>
      <c r="E5107" s="3">
        <v>22</v>
      </c>
      <c r="F5107" s="3">
        <v>0</v>
      </c>
      <c r="G5107" s="3">
        <v>1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/>
      <c r="P5107" s="3"/>
      <c r="Q5107" s="3"/>
    </row>
    <row r="5108" spans="1:17" ht="15" x14ac:dyDescent="0.25">
      <c r="A5108" s="3">
        <f>5101</f>
        <v>5101</v>
      </c>
      <c r="B5108" s="3" t="s">
        <v>5110</v>
      </c>
      <c r="C5108" s="3" t="s">
        <v>10</v>
      </c>
      <c r="D5108" s="3" t="s">
        <v>9</v>
      </c>
      <c r="E5108" s="3">
        <v>22</v>
      </c>
      <c r="F5108" s="3">
        <v>0</v>
      </c>
      <c r="G5108" s="3">
        <v>1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/>
      <c r="P5108" s="3"/>
      <c r="Q5108" s="3"/>
    </row>
    <row r="5109" spans="1:17" ht="15" x14ac:dyDescent="0.25">
      <c r="A5109" s="3">
        <f>5102</f>
        <v>5102</v>
      </c>
      <c r="B5109" s="3" t="s">
        <v>5111</v>
      </c>
      <c r="C5109" s="3" t="s">
        <v>10</v>
      </c>
      <c r="D5109" s="3" t="s">
        <v>9</v>
      </c>
      <c r="E5109" s="3">
        <v>22</v>
      </c>
      <c r="F5109" s="3">
        <v>0</v>
      </c>
      <c r="G5109" s="3">
        <v>1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/>
      <c r="P5109" s="3"/>
      <c r="Q5109" s="3"/>
    </row>
    <row r="5110" spans="1:17" ht="15" x14ac:dyDescent="0.25">
      <c r="A5110" s="3">
        <f>5103</f>
        <v>5103</v>
      </c>
      <c r="B5110" s="3" t="s">
        <v>5112</v>
      </c>
      <c r="C5110" s="3" t="s">
        <v>10</v>
      </c>
      <c r="D5110" s="3" t="s">
        <v>9</v>
      </c>
      <c r="E5110" s="3">
        <v>22</v>
      </c>
      <c r="F5110" s="3">
        <v>0</v>
      </c>
      <c r="G5110" s="3">
        <v>1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/>
      <c r="P5110" s="3"/>
      <c r="Q5110" s="3"/>
    </row>
    <row r="5111" spans="1:17" ht="15" x14ac:dyDescent="0.25">
      <c r="A5111" s="3">
        <f>5104</f>
        <v>5104</v>
      </c>
      <c r="B5111" s="3" t="s">
        <v>5113</v>
      </c>
      <c r="C5111" s="3" t="s">
        <v>10</v>
      </c>
      <c r="D5111" s="3" t="s">
        <v>9</v>
      </c>
      <c r="E5111" s="3">
        <v>22</v>
      </c>
      <c r="F5111" s="3">
        <v>0</v>
      </c>
      <c r="G5111" s="3">
        <v>1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/>
      <c r="P5111" s="3"/>
      <c r="Q5111" s="3"/>
    </row>
    <row r="5112" spans="1:17" ht="15" x14ac:dyDescent="0.25">
      <c r="A5112" s="3">
        <f>5105</f>
        <v>5105</v>
      </c>
      <c r="B5112" s="3" t="s">
        <v>5114</v>
      </c>
      <c r="C5112" s="3" t="s">
        <v>10</v>
      </c>
      <c r="D5112" s="3" t="s">
        <v>9</v>
      </c>
      <c r="E5112" s="3">
        <v>22</v>
      </c>
      <c r="F5112" s="3">
        <v>0</v>
      </c>
      <c r="G5112" s="3">
        <v>1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/>
      <c r="P5112" s="3"/>
      <c r="Q5112" s="3"/>
    </row>
    <row r="5113" spans="1:17" ht="15" x14ac:dyDescent="0.25">
      <c r="A5113" s="3">
        <f>5106</f>
        <v>5106</v>
      </c>
      <c r="B5113" s="3" t="s">
        <v>5115</v>
      </c>
      <c r="C5113" s="3" t="s">
        <v>10</v>
      </c>
      <c r="D5113" s="3" t="s">
        <v>9</v>
      </c>
      <c r="E5113" s="3">
        <v>22</v>
      </c>
      <c r="F5113" s="3">
        <v>0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/>
      <c r="P5113" s="3"/>
      <c r="Q5113" s="3"/>
    </row>
    <row r="5114" spans="1:17" ht="15" x14ac:dyDescent="0.25">
      <c r="A5114" s="3">
        <f>5107</f>
        <v>5107</v>
      </c>
      <c r="B5114" s="3" t="s">
        <v>5116</v>
      </c>
      <c r="C5114" s="3" t="s">
        <v>10</v>
      </c>
      <c r="D5114" s="3" t="s">
        <v>9</v>
      </c>
      <c r="E5114" s="3">
        <v>22</v>
      </c>
      <c r="F5114" s="3">
        <v>0</v>
      </c>
      <c r="G5114" s="3">
        <v>1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/>
      <c r="P5114" s="3"/>
      <c r="Q5114" s="3"/>
    </row>
    <row r="5115" spans="1:17" ht="15" x14ac:dyDescent="0.25">
      <c r="A5115" s="3">
        <f>5108</f>
        <v>5108</v>
      </c>
      <c r="B5115" s="3" t="s">
        <v>5117</v>
      </c>
      <c r="C5115" s="3" t="s">
        <v>10</v>
      </c>
      <c r="D5115" s="3" t="s">
        <v>9</v>
      </c>
      <c r="E5115" s="3">
        <v>22</v>
      </c>
      <c r="F5115" s="3">
        <v>0</v>
      </c>
      <c r="G5115" s="3">
        <v>1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/>
      <c r="P5115" s="3"/>
      <c r="Q5115" s="3"/>
    </row>
    <row r="5116" spans="1:17" ht="15" x14ac:dyDescent="0.25">
      <c r="A5116" s="3">
        <f>5109</f>
        <v>5109</v>
      </c>
      <c r="B5116" s="3" t="s">
        <v>5118</v>
      </c>
      <c r="C5116" s="3" t="s">
        <v>10</v>
      </c>
      <c r="D5116" s="3" t="s">
        <v>9</v>
      </c>
      <c r="E5116" s="3">
        <v>22</v>
      </c>
      <c r="F5116" s="3">
        <v>0</v>
      </c>
      <c r="G5116" s="3">
        <v>1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/>
      <c r="P5116" s="3"/>
      <c r="Q5116" s="3"/>
    </row>
    <row r="5117" spans="1:17" ht="15" x14ac:dyDescent="0.25">
      <c r="A5117" s="3">
        <f>5110</f>
        <v>5110</v>
      </c>
      <c r="B5117" s="3" t="s">
        <v>5119</v>
      </c>
      <c r="C5117" s="3" t="s">
        <v>10</v>
      </c>
      <c r="D5117" s="3" t="s">
        <v>9</v>
      </c>
      <c r="E5117" s="3">
        <v>22</v>
      </c>
      <c r="F5117" s="3">
        <v>0</v>
      </c>
      <c r="G5117" s="3">
        <v>1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/>
      <c r="P5117" s="3"/>
      <c r="Q5117" s="3"/>
    </row>
    <row r="5118" spans="1:17" ht="15" x14ac:dyDescent="0.25">
      <c r="A5118" s="3">
        <f>5111</f>
        <v>5111</v>
      </c>
      <c r="B5118" s="3" t="s">
        <v>5120</v>
      </c>
      <c r="C5118" s="3" t="s">
        <v>10</v>
      </c>
      <c r="D5118" s="3" t="s">
        <v>9</v>
      </c>
      <c r="E5118" s="3">
        <v>22</v>
      </c>
      <c r="F5118" s="3">
        <v>0</v>
      </c>
      <c r="G5118" s="3">
        <v>1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/>
      <c r="P5118" s="3"/>
      <c r="Q5118" s="3"/>
    </row>
    <row r="5119" spans="1:17" ht="15" x14ac:dyDescent="0.25">
      <c r="A5119" s="3">
        <f>5112</f>
        <v>5112</v>
      </c>
      <c r="B5119" s="3" t="s">
        <v>5121</v>
      </c>
      <c r="C5119" s="3" t="s">
        <v>10</v>
      </c>
      <c r="D5119" s="3" t="s">
        <v>9</v>
      </c>
      <c r="E5119" s="3">
        <v>22</v>
      </c>
      <c r="F5119" s="3">
        <v>0</v>
      </c>
      <c r="G5119" s="3">
        <v>1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/>
      <c r="P5119" s="3"/>
      <c r="Q5119" s="3"/>
    </row>
    <row r="5120" spans="1:17" ht="15" x14ac:dyDescent="0.25">
      <c r="A5120" s="3">
        <f>5113</f>
        <v>5113</v>
      </c>
      <c r="B5120" s="3" t="s">
        <v>5122</v>
      </c>
      <c r="C5120" s="3" t="s">
        <v>10</v>
      </c>
      <c r="D5120" s="3" t="s">
        <v>9</v>
      </c>
      <c r="E5120" s="3">
        <v>22</v>
      </c>
      <c r="F5120" s="3">
        <v>0</v>
      </c>
      <c r="G5120" s="3">
        <v>1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/>
      <c r="P5120" s="3"/>
      <c r="Q5120" s="3"/>
    </row>
    <row r="5121" spans="1:17" ht="15" x14ac:dyDescent="0.25">
      <c r="A5121" s="3">
        <f>5114</f>
        <v>5114</v>
      </c>
      <c r="B5121" s="3" t="s">
        <v>5123</v>
      </c>
      <c r="C5121" s="3" t="s">
        <v>10</v>
      </c>
      <c r="D5121" s="3" t="s">
        <v>9</v>
      </c>
      <c r="E5121" s="3">
        <v>22</v>
      </c>
      <c r="F5121" s="3">
        <v>0</v>
      </c>
      <c r="G5121" s="3">
        <v>1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/>
      <c r="P5121" s="3"/>
      <c r="Q5121" s="3"/>
    </row>
    <row r="5122" spans="1:17" ht="15" x14ac:dyDescent="0.25">
      <c r="A5122" s="3">
        <f>5115</f>
        <v>5115</v>
      </c>
      <c r="B5122" s="3" t="s">
        <v>5124</v>
      </c>
      <c r="C5122" s="3" t="s">
        <v>10</v>
      </c>
      <c r="D5122" s="3" t="s">
        <v>9</v>
      </c>
      <c r="E5122" s="3">
        <v>22</v>
      </c>
      <c r="F5122" s="3">
        <v>0</v>
      </c>
      <c r="G5122" s="3">
        <v>1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/>
      <c r="P5122" s="3"/>
      <c r="Q5122" s="3"/>
    </row>
    <row r="5123" spans="1:17" ht="15" x14ac:dyDescent="0.25">
      <c r="A5123" s="3">
        <f>5116</f>
        <v>5116</v>
      </c>
      <c r="B5123" s="3" t="s">
        <v>5125</v>
      </c>
      <c r="C5123" s="3" t="s">
        <v>10</v>
      </c>
      <c r="D5123" s="3" t="s">
        <v>9</v>
      </c>
      <c r="E5123" s="3">
        <v>22</v>
      </c>
      <c r="F5123" s="3">
        <v>0</v>
      </c>
      <c r="G5123" s="3">
        <v>1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/>
      <c r="P5123" s="3"/>
      <c r="Q5123" s="3"/>
    </row>
    <row r="5124" spans="1:17" ht="15" x14ac:dyDescent="0.25">
      <c r="A5124" s="3">
        <f>5117</f>
        <v>5117</v>
      </c>
      <c r="B5124" s="3" t="s">
        <v>5126</v>
      </c>
      <c r="C5124" s="3" t="s">
        <v>10</v>
      </c>
      <c r="D5124" s="3" t="s">
        <v>9</v>
      </c>
      <c r="E5124" s="3">
        <v>22</v>
      </c>
      <c r="F5124" s="3">
        <v>0</v>
      </c>
      <c r="G5124" s="3">
        <v>1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/>
      <c r="P5124" s="3"/>
      <c r="Q5124" s="3"/>
    </row>
    <row r="5125" spans="1:17" ht="15" x14ac:dyDescent="0.25">
      <c r="A5125" s="3">
        <f>5118</f>
        <v>5118</v>
      </c>
      <c r="B5125" s="3" t="s">
        <v>5127</v>
      </c>
      <c r="C5125" s="3" t="s">
        <v>10</v>
      </c>
      <c r="D5125" s="3" t="s">
        <v>9</v>
      </c>
      <c r="E5125" s="3">
        <v>22</v>
      </c>
      <c r="F5125" s="3">
        <v>0</v>
      </c>
      <c r="G5125" s="3">
        <v>1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/>
      <c r="P5125" s="3"/>
      <c r="Q5125" s="3"/>
    </row>
    <row r="5126" spans="1:17" ht="15" x14ac:dyDescent="0.25">
      <c r="A5126" s="3">
        <f>5119</f>
        <v>5119</v>
      </c>
      <c r="B5126" s="3" t="s">
        <v>5128</v>
      </c>
      <c r="C5126" s="3" t="s">
        <v>10</v>
      </c>
      <c r="D5126" s="3" t="s">
        <v>9</v>
      </c>
      <c r="E5126" s="3">
        <v>22</v>
      </c>
      <c r="F5126" s="3">
        <v>0</v>
      </c>
      <c r="G5126" s="3">
        <v>1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/>
      <c r="P5126" s="3"/>
      <c r="Q5126" s="3"/>
    </row>
    <row r="5127" spans="1:17" ht="15" x14ac:dyDescent="0.25">
      <c r="A5127" s="3">
        <f>5120</f>
        <v>5120</v>
      </c>
      <c r="B5127" s="3" t="s">
        <v>5129</v>
      </c>
      <c r="C5127" s="3" t="s">
        <v>10</v>
      </c>
      <c r="D5127" s="3" t="s">
        <v>9</v>
      </c>
      <c r="E5127" s="3">
        <v>22</v>
      </c>
      <c r="F5127" s="3">
        <v>0</v>
      </c>
      <c r="G5127" s="3">
        <v>1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/>
      <c r="P5127" s="3"/>
      <c r="Q5127" s="3"/>
    </row>
    <row r="5128" spans="1:17" ht="15" x14ac:dyDescent="0.25">
      <c r="A5128" s="3">
        <f>5121</f>
        <v>5121</v>
      </c>
      <c r="B5128" s="3" t="s">
        <v>5130</v>
      </c>
      <c r="C5128" s="3" t="s">
        <v>10</v>
      </c>
      <c r="D5128" s="3" t="s">
        <v>9</v>
      </c>
      <c r="E5128" s="3">
        <v>22</v>
      </c>
      <c r="F5128" s="3">
        <v>0</v>
      </c>
      <c r="G5128" s="3">
        <v>1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/>
      <c r="P5128" s="3"/>
      <c r="Q5128" s="3"/>
    </row>
    <row r="5129" spans="1:17" ht="15" x14ac:dyDescent="0.25">
      <c r="A5129" s="3">
        <f>5122</f>
        <v>5122</v>
      </c>
      <c r="B5129" s="3" t="s">
        <v>5131</v>
      </c>
      <c r="C5129" s="3" t="s">
        <v>10</v>
      </c>
      <c r="D5129" s="3" t="s">
        <v>9</v>
      </c>
      <c r="E5129" s="3">
        <v>22</v>
      </c>
      <c r="F5129" s="3">
        <v>0</v>
      </c>
      <c r="G5129" s="3">
        <v>1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/>
      <c r="P5129" s="3"/>
      <c r="Q5129" s="3"/>
    </row>
    <row r="5130" spans="1:17" ht="15" x14ac:dyDescent="0.25">
      <c r="A5130" s="3">
        <f>5123</f>
        <v>5123</v>
      </c>
      <c r="B5130" s="3" t="s">
        <v>5132</v>
      </c>
      <c r="C5130" s="3" t="s">
        <v>10</v>
      </c>
      <c r="D5130" s="3" t="s">
        <v>9</v>
      </c>
      <c r="E5130" s="3">
        <v>22</v>
      </c>
      <c r="F5130" s="3">
        <v>0</v>
      </c>
      <c r="G5130" s="3">
        <v>1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/>
      <c r="P5130" s="3"/>
      <c r="Q5130" s="3"/>
    </row>
    <row r="5131" spans="1:17" ht="15" x14ac:dyDescent="0.25">
      <c r="A5131" s="3">
        <f>5124</f>
        <v>5124</v>
      </c>
      <c r="B5131" s="3" t="s">
        <v>5133</v>
      </c>
      <c r="C5131" s="3" t="s">
        <v>10</v>
      </c>
      <c r="D5131" s="3" t="s">
        <v>9</v>
      </c>
      <c r="E5131" s="3">
        <v>22</v>
      </c>
      <c r="F5131" s="3">
        <v>0</v>
      </c>
      <c r="G5131" s="3">
        <v>1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/>
      <c r="P5131" s="3"/>
      <c r="Q5131" s="3"/>
    </row>
    <row r="5132" spans="1:17" ht="15" x14ac:dyDescent="0.25">
      <c r="A5132" s="3">
        <f>5125</f>
        <v>5125</v>
      </c>
      <c r="B5132" s="3" t="s">
        <v>5134</v>
      </c>
      <c r="C5132" s="3" t="s">
        <v>10</v>
      </c>
      <c r="D5132" s="3" t="s">
        <v>9</v>
      </c>
      <c r="E5132" s="3">
        <v>22</v>
      </c>
      <c r="F5132" s="3">
        <v>0</v>
      </c>
      <c r="G5132" s="3">
        <v>1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/>
      <c r="P5132" s="3"/>
      <c r="Q5132" s="3"/>
    </row>
    <row r="5133" spans="1:17" ht="15" x14ac:dyDescent="0.25">
      <c r="A5133" s="3">
        <f>5126</f>
        <v>5126</v>
      </c>
      <c r="B5133" s="3" t="s">
        <v>5135</v>
      </c>
      <c r="C5133" s="3" t="s">
        <v>10</v>
      </c>
      <c r="D5133" s="3" t="s">
        <v>9</v>
      </c>
      <c r="E5133" s="3">
        <v>22</v>
      </c>
      <c r="F5133" s="3">
        <v>0</v>
      </c>
      <c r="G5133" s="3">
        <v>1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/>
      <c r="P5133" s="3"/>
      <c r="Q5133" s="3"/>
    </row>
    <row r="5134" spans="1:17" ht="15" x14ac:dyDescent="0.25">
      <c r="A5134" s="3">
        <f>5127</f>
        <v>5127</v>
      </c>
      <c r="B5134" s="3" t="s">
        <v>5136</v>
      </c>
      <c r="C5134" s="3" t="s">
        <v>10</v>
      </c>
      <c r="D5134" s="3" t="s">
        <v>9</v>
      </c>
      <c r="E5134" s="3">
        <v>22</v>
      </c>
      <c r="F5134" s="3">
        <v>0</v>
      </c>
      <c r="G5134" s="3">
        <v>1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/>
      <c r="P5134" s="3"/>
      <c r="Q5134" s="3"/>
    </row>
    <row r="5135" spans="1:17" ht="15" x14ac:dyDescent="0.25">
      <c r="A5135" s="3">
        <f>5128</f>
        <v>5128</v>
      </c>
      <c r="B5135" s="3" t="s">
        <v>5137</v>
      </c>
      <c r="C5135" s="3" t="s">
        <v>10</v>
      </c>
      <c r="D5135" s="3" t="s">
        <v>9</v>
      </c>
      <c r="E5135" s="3">
        <v>22</v>
      </c>
      <c r="F5135" s="3">
        <v>0</v>
      </c>
      <c r="G5135" s="3">
        <v>1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/>
      <c r="P5135" s="3"/>
      <c r="Q5135" s="3"/>
    </row>
    <row r="5136" spans="1:17" ht="15" x14ac:dyDescent="0.25">
      <c r="A5136" s="3">
        <f>5129</f>
        <v>5129</v>
      </c>
      <c r="B5136" s="3" t="s">
        <v>5138</v>
      </c>
      <c r="C5136" s="3" t="s">
        <v>10</v>
      </c>
      <c r="D5136" s="3" t="s">
        <v>9</v>
      </c>
      <c r="E5136" s="3">
        <v>22</v>
      </c>
      <c r="F5136" s="3">
        <v>0</v>
      </c>
      <c r="G5136" s="3">
        <v>1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/>
      <c r="P5136" s="3"/>
      <c r="Q5136" s="3"/>
    </row>
    <row r="5137" spans="1:17" ht="15" x14ac:dyDescent="0.25">
      <c r="A5137" s="3">
        <f>5130</f>
        <v>5130</v>
      </c>
      <c r="B5137" s="3" t="s">
        <v>5139</v>
      </c>
      <c r="C5137" s="3" t="s">
        <v>10</v>
      </c>
      <c r="D5137" s="3" t="s">
        <v>9</v>
      </c>
      <c r="E5137" s="3">
        <v>22</v>
      </c>
      <c r="F5137" s="3">
        <v>0</v>
      </c>
      <c r="G5137" s="3">
        <v>1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/>
      <c r="P5137" s="3"/>
      <c r="Q5137" s="3"/>
    </row>
    <row r="5138" spans="1:17" ht="15" x14ac:dyDescent="0.25">
      <c r="A5138" s="3">
        <f>5131</f>
        <v>5131</v>
      </c>
      <c r="B5138" s="3" t="s">
        <v>5140</v>
      </c>
      <c r="C5138" s="3" t="s">
        <v>10</v>
      </c>
      <c r="D5138" s="3" t="s">
        <v>9</v>
      </c>
      <c r="E5138" s="3">
        <v>22</v>
      </c>
      <c r="F5138" s="3">
        <v>0</v>
      </c>
      <c r="G5138" s="3">
        <v>1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/>
      <c r="P5138" s="3"/>
      <c r="Q5138" s="3"/>
    </row>
    <row r="5139" spans="1:17" ht="15" x14ac:dyDescent="0.25">
      <c r="A5139" s="3">
        <f>5132</f>
        <v>5132</v>
      </c>
      <c r="B5139" s="3" t="s">
        <v>5141</v>
      </c>
      <c r="C5139" s="3" t="s">
        <v>10</v>
      </c>
      <c r="D5139" s="3" t="s">
        <v>9</v>
      </c>
      <c r="E5139" s="3">
        <v>22</v>
      </c>
      <c r="F5139" s="3">
        <v>0</v>
      </c>
      <c r="G5139" s="3">
        <v>1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/>
      <c r="P5139" s="3"/>
      <c r="Q5139" s="3"/>
    </row>
    <row r="5140" spans="1:17" ht="15" x14ac:dyDescent="0.25">
      <c r="A5140" s="3">
        <f>5133</f>
        <v>5133</v>
      </c>
      <c r="B5140" s="3" t="s">
        <v>5142</v>
      </c>
      <c r="C5140" s="3" t="s">
        <v>10</v>
      </c>
      <c r="D5140" s="3" t="s">
        <v>9</v>
      </c>
      <c r="E5140" s="3">
        <v>22</v>
      </c>
      <c r="F5140" s="3">
        <v>0</v>
      </c>
      <c r="G5140" s="3">
        <v>1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/>
      <c r="P5140" s="3"/>
      <c r="Q5140" s="3"/>
    </row>
    <row r="5141" spans="1:17" ht="15" x14ac:dyDescent="0.25">
      <c r="A5141" s="3">
        <f>5134</f>
        <v>5134</v>
      </c>
      <c r="B5141" s="3" t="s">
        <v>5143</v>
      </c>
      <c r="C5141" s="3" t="s">
        <v>10</v>
      </c>
      <c r="D5141" s="3" t="s">
        <v>9</v>
      </c>
      <c r="E5141" s="3">
        <v>22</v>
      </c>
      <c r="F5141" s="3">
        <v>0</v>
      </c>
      <c r="G5141" s="3">
        <v>1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/>
      <c r="P5141" s="3"/>
      <c r="Q5141" s="3"/>
    </row>
    <row r="5142" spans="1:17" ht="15" x14ac:dyDescent="0.25">
      <c r="A5142" s="3">
        <f>5135</f>
        <v>5135</v>
      </c>
      <c r="B5142" s="3" t="s">
        <v>5144</v>
      </c>
      <c r="C5142" s="3" t="s">
        <v>10</v>
      </c>
      <c r="D5142" s="3" t="s">
        <v>9</v>
      </c>
      <c r="E5142" s="3">
        <v>22</v>
      </c>
      <c r="F5142" s="3">
        <v>0</v>
      </c>
      <c r="G5142" s="3">
        <v>1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/>
      <c r="P5142" s="3"/>
      <c r="Q5142" s="3"/>
    </row>
    <row r="5143" spans="1:17" ht="15" x14ac:dyDescent="0.25">
      <c r="A5143" s="3">
        <f>5136</f>
        <v>5136</v>
      </c>
      <c r="B5143" s="3" t="s">
        <v>5145</v>
      </c>
      <c r="C5143" s="3" t="s">
        <v>10</v>
      </c>
      <c r="D5143" s="3" t="s">
        <v>9</v>
      </c>
      <c r="E5143" s="3">
        <v>22</v>
      </c>
      <c r="F5143" s="3">
        <v>0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/>
      <c r="P5143" s="3"/>
      <c r="Q5143" s="3"/>
    </row>
    <row r="5144" spans="1:17" ht="15" x14ac:dyDescent="0.25">
      <c r="A5144" s="3">
        <f>5137</f>
        <v>5137</v>
      </c>
      <c r="B5144" s="3" t="s">
        <v>5146</v>
      </c>
      <c r="C5144" s="3" t="s">
        <v>10</v>
      </c>
      <c r="D5144" s="3" t="s">
        <v>9</v>
      </c>
      <c r="E5144" s="3">
        <v>22</v>
      </c>
      <c r="F5144" s="3">
        <v>0</v>
      </c>
      <c r="G5144" s="3">
        <v>1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/>
      <c r="P5144" s="3"/>
      <c r="Q5144" s="3"/>
    </row>
    <row r="5145" spans="1:17" ht="15" x14ac:dyDescent="0.25">
      <c r="A5145" s="3">
        <f>5138</f>
        <v>5138</v>
      </c>
      <c r="B5145" s="3" t="s">
        <v>5147</v>
      </c>
      <c r="C5145" s="3" t="s">
        <v>10</v>
      </c>
      <c r="D5145" s="3" t="s">
        <v>9</v>
      </c>
      <c r="E5145" s="3">
        <v>22</v>
      </c>
      <c r="F5145" s="3">
        <v>0</v>
      </c>
      <c r="G5145" s="3">
        <v>1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/>
      <c r="P5145" s="3"/>
      <c r="Q5145" s="3"/>
    </row>
    <row r="5146" spans="1:17" ht="15" x14ac:dyDescent="0.25">
      <c r="A5146" s="3">
        <f>5139</f>
        <v>5139</v>
      </c>
      <c r="B5146" s="3" t="s">
        <v>5148</v>
      </c>
      <c r="C5146" s="3" t="s">
        <v>10</v>
      </c>
      <c r="D5146" s="3" t="s">
        <v>9</v>
      </c>
      <c r="E5146" s="3">
        <v>22</v>
      </c>
      <c r="F5146" s="3">
        <v>0</v>
      </c>
      <c r="G5146" s="3">
        <v>1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/>
      <c r="P5146" s="3"/>
      <c r="Q5146" s="3"/>
    </row>
    <row r="5147" spans="1:17" ht="15" x14ac:dyDescent="0.25">
      <c r="A5147" s="3">
        <f>5140</f>
        <v>5140</v>
      </c>
      <c r="B5147" s="3" t="s">
        <v>5149</v>
      </c>
      <c r="C5147" s="3" t="s">
        <v>10</v>
      </c>
      <c r="D5147" s="3" t="s">
        <v>9</v>
      </c>
      <c r="E5147" s="3">
        <v>22</v>
      </c>
      <c r="F5147" s="3">
        <v>0</v>
      </c>
      <c r="G5147" s="3">
        <v>1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/>
      <c r="P5147" s="3"/>
      <c r="Q5147" s="3"/>
    </row>
    <row r="5148" spans="1:17" ht="15" x14ac:dyDescent="0.25">
      <c r="A5148" s="3">
        <f>5141</f>
        <v>5141</v>
      </c>
      <c r="B5148" s="3" t="s">
        <v>5150</v>
      </c>
      <c r="C5148" s="3" t="s">
        <v>10</v>
      </c>
      <c r="D5148" s="3" t="s">
        <v>9</v>
      </c>
      <c r="E5148" s="3">
        <v>22</v>
      </c>
      <c r="F5148" s="3">
        <v>0</v>
      </c>
      <c r="G5148" s="3">
        <v>1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/>
      <c r="P5148" s="3"/>
      <c r="Q5148" s="3"/>
    </row>
    <row r="5149" spans="1:17" ht="15" x14ac:dyDescent="0.25">
      <c r="A5149" s="3">
        <f>5142</f>
        <v>5142</v>
      </c>
      <c r="B5149" s="3" t="s">
        <v>5151</v>
      </c>
      <c r="C5149" s="3" t="s">
        <v>10</v>
      </c>
      <c r="D5149" s="3" t="s">
        <v>9</v>
      </c>
      <c r="E5149" s="3">
        <v>22</v>
      </c>
      <c r="F5149" s="3">
        <v>0</v>
      </c>
      <c r="G5149" s="3">
        <v>1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/>
      <c r="P5149" s="3"/>
      <c r="Q5149" s="3"/>
    </row>
    <row r="5150" spans="1:17" ht="15" x14ac:dyDescent="0.25">
      <c r="A5150" s="3">
        <f>5143</f>
        <v>5143</v>
      </c>
      <c r="B5150" s="3" t="s">
        <v>5152</v>
      </c>
      <c r="C5150" s="3" t="s">
        <v>10</v>
      </c>
      <c r="D5150" s="3" t="s">
        <v>9</v>
      </c>
      <c r="E5150" s="3">
        <v>22</v>
      </c>
      <c r="F5150" s="3">
        <v>0</v>
      </c>
      <c r="G5150" s="3">
        <v>1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/>
      <c r="P5150" s="3"/>
      <c r="Q5150" s="3"/>
    </row>
    <row r="5151" spans="1:17" ht="15" x14ac:dyDescent="0.25">
      <c r="A5151" s="3">
        <f>5144</f>
        <v>5144</v>
      </c>
      <c r="B5151" s="3" t="s">
        <v>5153</v>
      </c>
      <c r="C5151" s="3" t="s">
        <v>10</v>
      </c>
      <c r="D5151" s="3" t="s">
        <v>9</v>
      </c>
      <c r="E5151" s="3">
        <v>22</v>
      </c>
      <c r="F5151" s="3">
        <v>0</v>
      </c>
      <c r="G5151" s="3">
        <v>1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/>
      <c r="P5151" s="3"/>
      <c r="Q5151" s="3"/>
    </row>
    <row r="5152" spans="1:17" ht="15" x14ac:dyDescent="0.25">
      <c r="A5152" s="3">
        <f>5145</f>
        <v>5145</v>
      </c>
      <c r="B5152" s="3" t="s">
        <v>5154</v>
      </c>
      <c r="C5152" s="3" t="s">
        <v>10</v>
      </c>
      <c r="D5152" s="3" t="s">
        <v>9</v>
      </c>
      <c r="E5152" s="3">
        <v>22</v>
      </c>
      <c r="F5152" s="3">
        <v>0</v>
      </c>
      <c r="G5152" s="3">
        <v>1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/>
      <c r="P5152" s="3"/>
      <c r="Q5152" s="3"/>
    </row>
    <row r="5153" spans="1:17" ht="15" x14ac:dyDescent="0.25">
      <c r="A5153" s="3">
        <f>5146</f>
        <v>5146</v>
      </c>
      <c r="B5153" s="3" t="s">
        <v>5155</v>
      </c>
      <c r="C5153" s="3" t="s">
        <v>10</v>
      </c>
      <c r="D5153" s="3" t="s">
        <v>9</v>
      </c>
      <c r="E5153" s="3">
        <v>22</v>
      </c>
      <c r="F5153" s="3">
        <v>0</v>
      </c>
      <c r="G5153" s="3">
        <v>1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/>
      <c r="P5153" s="3"/>
      <c r="Q5153" s="3"/>
    </row>
    <row r="5154" spans="1:17" ht="15" x14ac:dyDescent="0.25">
      <c r="A5154" s="3">
        <f>5147</f>
        <v>5147</v>
      </c>
      <c r="B5154" s="3" t="s">
        <v>5156</v>
      </c>
      <c r="C5154" s="3" t="s">
        <v>10</v>
      </c>
      <c r="D5154" s="3" t="s">
        <v>9</v>
      </c>
      <c r="E5154" s="3">
        <v>22</v>
      </c>
      <c r="F5154" s="3">
        <v>0</v>
      </c>
      <c r="G5154" s="3">
        <v>1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/>
      <c r="P5154" s="3"/>
      <c r="Q5154" s="3"/>
    </row>
    <row r="5155" spans="1:17" ht="15" x14ac:dyDescent="0.25">
      <c r="A5155" s="3">
        <f>5148</f>
        <v>5148</v>
      </c>
      <c r="B5155" s="3" t="s">
        <v>5157</v>
      </c>
      <c r="C5155" s="3" t="s">
        <v>10</v>
      </c>
      <c r="D5155" s="3" t="s">
        <v>9</v>
      </c>
      <c r="E5155" s="3">
        <v>22</v>
      </c>
      <c r="F5155" s="3">
        <v>0</v>
      </c>
      <c r="G5155" s="3">
        <v>1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/>
      <c r="P5155" s="3"/>
      <c r="Q5155" s="3"/>
    </row>
    <row r="5156" spans="1:17" ht="15" x14ac:dyDescent="0.25">
      <c r="A5156" s="3">
        <f>5149</f>
        <v>5149</v>
      </c>
      <c r="B5156" s="3" t="s">
        <v>5158</v>
      </c>
      <c r="C5156" s="3" t="s">
        <v>10</v>
      </c>
      <c r="D5156" s="3" t="s">
        <v>9</v>
      </c>
      <c r="E5156" s="3">
        <v>22</v>
      </c>
      <c r="F5156" s="3">
        <v>0</v>
      </c>
      <c r="G5156" s="3">
        <v>1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/>
      <c r="P5156" s="3"/>
      <c r="Q5156" s="3"/>
    </row>
    <row r="5157" spans="1:17" ht="15" x14ac:dyDescent="0.25">
      <c r="A5157" s="3">
        <f>5150</f>
        <v>5150</v>
      </c>
      <c r="B5157" s="3" t="s">
        <v>5159</v>
      </c>
      <c r="C5157" s="3" t="s">
        <v>10</v>
      </c>
      <c r="D5157" s="3" t="s">
        <v>9</v>
      </c>
      <c r="E5157" s="3">
        <v>22</v>
      </c>
      <c r="F5157" s="3">
        <v>0</v>
      </c>
      <c r="G5157" s="3">
        <v>1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/>
      <c r="P5157" s="3"/>
      <c r="Q5157" s="3"/>
    </row>
    <row r="5158" spans="1:17" ht="15" x14ac:dyDescent="0.25">
      <c r="A5158" s="3">
        <f>5151</f>
        <v>5151</v>
      </c>
      <c r="B5158" s="3" t="s">
        <v>5160</v>
      </c>
      <c r="C5158" s="3" t="s">
        <v>10</v>
      </c>
      <c r="D5158" s="3" t="s">
        <v>9</v>
      </c>
      <c r="E5158" s="3">
        <v>22</v>
      </c>
      <c r="F5158" s="3">
        <v>0</v>
      </c>
      <c r="G5158" s="3">
        <v>1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/>
      <c r="P5158" s="3"/>
      <c r="Q5158" s="3"/>
    </row>
    <row r="5159" spans="1:17" ht="15" x14ac:dyDescent="0.25">
      <c r="A5159" s="3">
        <f>5152</f>
        <v>5152</v>
      </c>
      <c r="B5159" s="3" t="s">
        <v>5161</v>
      </c>
      <c r="C5159" s="3" t="s">
        <v>10</v>
      </c>
      <c r="D5159" s="3" t="s">
        <v>9</v>
      </c>
      <c r="E5159" s="3">
        <v>22</v>
      </c>
      <c r="F5159" s="3">
        <v>0</v>
      </c>
      <c r="G5159" s="3">
        <v>1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/>
      <c r="P5159" s="3"/>
      <c r="Q5159" s="3"/>
    </row>
    <row r="5160" spans="1:17" ht="15" x14ac:dyDescent="0.25">
      <c r="A5160" s="3">
        <f>5153</f>
        <v>5153</v>
      </c>
      <c r="B5160" s="3" t="s">
        <v>5162</v>
      </c>
      <c r="C5160" s="3" t="s">
        <v>10</v>
      </c>
      <c r="D5160" s="3" t="s">
        <v>9</v>
      </c>
      <c r="E5160" s="3">
        <v>22</v>
      </c>
      <c r="F5160" s="3">
        <v>0</v>
      </c>
      <c r="G5160" s="3">
        <v>1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/>
      <c r="P5160" s="3"/>
      <c r="Q5160" s="3"/>
    </row>
    <row r="5161" spans="1:17" ht="15" x14ac:dyDescent="0.25">
      <c r="A5161" s="3">
        <f>5154</f>
        <v>5154</v>
      </c>
      <c r="B5161" s="3" t="s">
        <v>5163</v>
      </c>
      <c r="C5161" s="3" t="s">
        <v>10</v>
      </c>
      <c r="D5161" s="3" t="s">
        <v>9</v>
      </c>
      <c r="E5161" s="3">
        <v>22</v>
      </c>
      <c r="F5161" s="3">
        <v>0</v>
      </c>
      <c r="G5161" s="3">
        <v>1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/>
      <c r="P5161" s="3"/>
      <c r="Q5161" s="3"/>
    </row>
    <row r="5162" spans="1:17" ht="15" x14ac:dyDescent="0.25">
      <c r="A5162" s="3">
        <f>5155</f>
        <v>5155</v>
      </c>
      <c r="B5162" s="3" t="s">
        <v>5164</v>
      </c>
      <c r="C5162" s="3" t="s">
        <v>10</v>
      </c>
      <c r="D5162" s="3" t="s">
        <v>9</v>
      </c>
      <c r="E5162" s="3">
        <v>22</v>
      </c>
      <c r="F5162" s="3">
        <v>0</v>
      </c>
      <c r="G5162" s="3">
        <v>1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/>
      <c r="P5162" s="3"/>
      <c r="Q5162" s="3"/>
    </row>
    <row r="5163" spans="1:17" ht="15" x14ac:dyDescent="0.25">
      <c r="A5163" s="3">
        <f>5156</f>
        <v>5156</v>
      </c>
      <c r="B5163" s="3" t="s">
        <v>5165</v>
      </c>
      <c r="C5163" s="3" t="s">
        <v>10</v>
      </c>
      <c r="D5163" s="3" t="s">
        <v>9</v>
      </c>
      <c r="E5163" s="3">
        <v>22</v>
      </c>
      <c r="F5163" s="3">
        <v>0</v>
      </c>
      <c r="G5163" s="3">
        <v>1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/>
      <c r="P5163" s="3"/>
      <c r="Q5163" s="3"/>
    </row>
    <row r="5164" spans="1:17" ht="15" x14ac:dyDescent="0.25">
      <c r="A5164" s="3">
        <f>5157</f>
        <v>5157</v>
      </c>
      <c r="B5164" s="3" t="s">
        <v>5166</v>
      </c>
      <c r="C5164" s="3" t="s">
        <v>10</v>
      </c>
      <c r="D5164" s="3" t="s">
        <v>9</v>
      </c>
      <c r="E5164" s="3">
        <v>22</v>
      </c>
      <c r="F5164" s="3">
        <v>0</v>
      </c>
      <c r="G5164" s="3">
        <v>1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/>
      <c r="P5164" s="3"/>
      <c r="Q5164" s="3"/>
    </row>
    <row r="5165" spans="1:17" ht="15" x14ac:dyDescent="0.25">
      <c r="A5165" s="3">
        <f>5158</f>
        <v>5158</v>
      </c>
      <c r="B5165" s="3" t="s">
        <v>5167</v>
      </c>
      <c r="C5165" s="3" t="s">
        <v>10</v>
      </c>
      <c r="D5165" s="3" t="s">
        <v>9</v>
      </c>
      <c r="E5165" s="3">
        <v>22</v>
      </c>
      <c r="F5165" s="3">
        <v>0</v>
      </c>
      <c r="G5165" s="3">
        <v>1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/>
      <c r="P5165" s="3"/>
      <c r="Q5165" s="3"/>
    </row>
    <row r="5166" spans="1:17" ht="15" x14ac:dyDescent="0.25">
      <c r="A5166" s="3">
        <f>5159</f>
        <v>5159</v>
      </c>
      <c r="B5166" s="3" t="s">
        <v>5168</v>
      </c>
      <c r="C5166" s="3" t="s">
        <v>10</v>
      </c>
      <c r="D5166" s="3" t="s">
        <v>9</v>
      </c>
      <c r="E5166" s="3">
        <v>22</v>
      </c>
      <c r="F5166" s="3">
        <v>0</v>
      </c>
      <c r="G5166" s="3">
        <v>1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/>
      <c r="P5166" s="3"/>
      <c r="Q5166" s="3"/>
    </row>
    <row r="5167" spans="1:17" ht="15" x14ac:dyDescent="0.25">
      <c r="A5167" s="3">
        <f>5160</f>
        <v>5160</v>
      </c>
      <c r="B5167" s="3" t="s">
        <v>5169</v>
      </c>
      <c r="C5167" s="3" t="s">
        <v>10</v>
      </c>
      <c r="D5167" s="3" t="s">
        <v>9</v>
      </c>
      <c r="E5167" s="3">
        <v>22</v>
      </c>
      <c r="F5167" s="3">
        <v>0</v>
      </c>
      <c r="G5167" s="3">
        <v>1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/>
      <c r="P5167" s="3"/>
      <c r="Q5167" s="3"/>
    </row>
    <row r="5168" spans="1:17" ht="15" x14ac:dyDescent="0.25">
      <c r="A5168" s="3">
        <f>5161</f>
        <v>5161</v>
      </c>
      <c r="B5168" s="3" t="s">
        <v>5170</v>
      </c>
      <c r="C5168" s="3" t="s">
        <v>10</v>
      </c>
      <c r="D5168" s="3" t="s">
        <v>9</v>
      </c>
      <c r="E5168" s="3">
        <v>22</v>
      </c>
      <c r="F5168" s="3">
        <v>0</v>
      </c>
      <c r="G5168" s="3">
        <v>1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/>
      <c r="P5168" s="3"/>
      <c r="Q5168" s="3"/>
    </row>
    <row r="5169" spans="1:17" ht="15" x14ac:dyDescent="0.25">
      <c r="A5169" s="3">
        <f>5162</f>
        <v>5162</v>
      </c>
      <c r="B5169" s="3" t="s">
        <v>5171</v>
      </c>
      <c r="C5169" s="3" t="s">
        <v>10</v>
      </c>
      <c r="D5169" s="3" t="s">
        <v>9</v>
      </c>
      <c r="E5169" s="3">
        <v>22</v>
      </c>
      <c r="F5169" s="3">
        <v>0</v>
      </c>
      <c r="G5169" s="3">
        <v>1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/>
      <c r="P5169" s="3"/>
      <c r="Q5169" s="3"/>
    </row>
    <row r="5170" spans="1:17" ht="15" x14ac:dyDescent="0.25">
      <c r="A5170" s="3">
        <f>5163</f>
        <v>5163</v>
      </c>
      <c r="B5170" s="3" t="s">
        <v>5172</v>
      </c>
      <c r="C5170" s="3" t="s">
        <v>10</v>
      </c>
      <c r="D5170" s="3" t="s">
        <v>9</v>
      </c>
      <c r="E5170" s="3">
        <v>22</v>
      </c>
      <c r="F5170" s="3">
        <v>0</v>
      </c>
      <c r="G5170" s="3">
        <v>1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/>
      <c r="P5170" s="3"/>
      <c r="Q5170" s="3"/>
    </row>
    <row r="5171" spans="1:17" ht="15" x14ac:dyDescent="0.25">
      <c r="A5171" s="3">
        <f>5164</f>
        <v>5164</v>
      </c>
      <c r="B5171" s="3" t="s">
        <v>5173</v>
      </c>
      <c r="C5171" s="3" t="s">
        <v>10</v>
      </c>
      <c r="D5171" s="3" t="s">
        <v>9</v>
      </c>
      <c r="E5171" s="3">
        <v>22</v>
      </c>
      <c r="F5171" s="3">
        <v>0</v>
      </c>
      <c r="G5171" s="3">
        <v>1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/>
      <c r="P5171" s="3"/>
      <c r="Q5171" s="3"/>
    </row>
    <row r="5172" spans="1:17" ht="15" x14ac:dyDescent="0.25">
      <c r="A5172" s="3">
        <f>5165</f>
        <v>5165</v>
      </c>
      <c r="B5172" s="3" t="s">
        <v>5174</v>
      </c>
      <c r="C5172" s="3" t="s">
        <v>10</v>
      </c>
      <c r="D5172" s="3" t="s">
        <v>9</v>
      </c>
      <c r="E5172" s="3">
        <v>22</v>
      </c>
      <c r="F5172" s="3">
        <v>0</v>
      </c>
      <c r="G5172" s="3">
        <v>1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/>
      <c r="P5172" s="3"/>
      <c r="Q5172" s="3"/>
    </row>
    <row r="5173" spans="1:17" ht="15" x14ac:dyDescent="0.25">
      <c r="A5173" s="3">
        <f>5166</f>
        <v>5166</v>
      </c>
      <c r="B5173" s="3" t="s">
        <v>5175</v>
      </c>
      <c r="C5173" s="3" t="s">
        <v>10</v>
      </c>
      <c r="D5173" s="3" t="s">
        <v>9</v>
      </c>
      <c r="E5173" s="3">
        <v>22</v>
      </c>
      <c r="F5173" s="3">
        <v>0</v>
      </c>
      <c r="G5173" s="3">
        <v>1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/>
      <c r="P5173" s="3"/>
      <c r="Q5173" s="3"/>
    </row>
    <row r="5174" spans="1:17" ht="15" x14ac:dyDescent="0.25">
      <c r="A5174" s="3">
        <f>5167</f>
        <v>5167</v>
      </c>
      <c r="B5174" s="3" t="s">
        <v>5176</v>
      </c>
      <c r="C5174" s="3" t="s">
        <v>10</v>
      </c>
      <c r="D5174" s="3" t="s">
        <v>9</v>
      </c>
      <c r="E5174" s="3">
        <v>22</v>
      </c>
      <c r="F5174" s="3">
        <v>0</v>
      </c>
      <c r="G5174" s="3">
        <v>1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/>
      <c r="P5174" s="3"/>
      <c r="Q5174" s="3"/>
    </row>
    <row r="5175" spans="1:17" ht="15" x14ac:dyDescent="0.25">
      <c r="A5175" s="3">
        <f>5168</f>
        <v>5168</v>
      </c>
      <c r="B5175" s="3" t="s">
        <v>5177</v>
      </c>
      <c r="C5175" s="3" t="s">
        <v>10</v>
      </c>
      <c r="D5175" s="3" t="s">
        <v>9</v>
      </c>
      <c r="E5175" s="3">
        <v>22</v>
      </c>
      <c r="F5175" s="3">
        <v>0</v>
      </c>
      <c r="G5175" s="3">
        <v>1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/>
      <c r="P5175" s="3"/>
      <c r="Q5175" s="3"/>
    </row>
    <row r="5176" spans="1:17" ht="15" x14ac:dyDescent="0.25">
      <c r="A5176" s="3">
        <f>5169</f>
        <v>5169</v>
      </c>
      <c r="B5176" s="3" t="s">
        <v>5178</v>
      </c>
      <c r="C5176" s="3" t="s">
        <v>10</v>
      </c>
      <c r="D5176" s="3" t="s">
        <v>9</v>
      </c>
      <c r="E5176" s="3">
        <v>22</v>
      </c>
      <c r="F5176" s="3">
        <v>0</v>
      </c>
      <c r="G5176" s="3">
        <v>1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/>
      <c r="P5176" s="3"/>
      <c r="Q5176" s="3"/>
    </row>
    <row r="5177" spans="1:17" ht="15" x14ac:dyDescent="0.25">
      <c r="A5177" s="3">
        <f>5170</f>
        <v>5170</v>
      </c>
      <c r="B5177" s="3" t="s">
        <v>5179</v>
      </c>
      <c r="C5177" s="3" t="s">
        <v>10</v>
      </c>
      <c r="D5177" s="3" t="s">
        <v>9</v>
      </c>
      <c r="E5177" s="3">
        <v>22</v>
      </c>
      <c r="F5177" s="3">
        <v>0</v>
      </c>
      <c r="G5177" s="3">
        <v>1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/>
      <c r="P5177" s="3"/>
      <c r="Q5177" s="3"/>
    </row>
    <row r="5178" spans="1:17" ht="15" x14ac:dyDescent="0.25">
      <c r="A5178" s="3">
        <f>5171</f>
        <v>5171</v>
      </c>
      <c r="B5178" s="3" t="s">
        <v>5180</v>
      </c>
      <c r="C5178" s="3" t="s">
        <v>10</v>
      </c>
      <c r="D5178" s="3" t="s">
        <v>9</v>
      </c>
      <c r="E5178" s="3">
        <v>22</v>
      </c>
      <c r="F5178" s="3">
        <v>0</v>
      </c>
      <c r="G5178" s="3">
        <v>1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/>
      <c r="P5178" s="3"/>
      <c r="Q5178" s="3"/>
    </row>
    <row r="5179" spans="1:17" ht="15" x14ac:dyDescent="0.25">
      <c r="A5179" s="3">
        <f>5172</f>
        <v>5172</v>
      </c>
      <c r="B5179" s="3" t="s">
        <v>5181</v>
      </c>
      <c r="C5179" s="3" t="s">
        <v>10</v>
      </c>
      <c r="D5179" s="3" t="s">
        <v>9</v>
      </c>
      <c r="E5179" s="3">
        <v>22</v>
      </c>
      <c r="F5179" s="3">
        <v>0</v>
      </c>
      <c r="G5179" s="3">
        <v>1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/>
      <c r="P5179" s="3"/>
      <c r="Q5179" s="3"/>
    </row>
    <row r="5180" spans="1:17" ht="15" x14ac:dyDescent="0.25">
      <c r="A5180" s="3">
        <f>5173</f>
        <v>5173</v>
      </c>
      <c r="B5180" s="3" t="s">
        <v>5182</v>
      </c>
      <c r="C5180" s="3" t="s">
        <v>10</v>
      </c>
      <c r="D5180" s="3" t="s">
        <v>9</v>
      </c>
      <c r="E5180" s="3">
        <v>22</v>
      </c>
      <c r="F5180" s="3">
        <v>0</v>
      </c>
      <c r="G5180" s="3">
        <v>1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/>
      <c r="P5180" s="3"/>
      <c r="Q5180" s="3"/>
    </row>
    <row r="5181" spans="1:17" ht="15" x14ac:dyDescent="0.25">
      <c r="A5181" s="3">
        <f>5174</f>
        <v>5174</v>
      </c>
      <c r="B5181" s="3" t="s">
        <v>5183</v>
      </c>
      <c r="C5181" s="3" t="s">
        <v>10</v>
      </c>
      <c r="D5181" s="3" t="s">
        <v>9</v>
      </c>
      <c r="E5181" s="3">
        <v>22</v>
      </c>
      <c r="F5181" s="3">
        <v>0</v>
      </c>
      <c r="G5181" s="3">
        <v>1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/>
      <c r="P5181" s="3"/>
      <c r="Q5181" s="3"/>
    </row>
    <row r="5182" spans="1:17" ht="15" x14ac:dyDescent="0.25">
      <c r="A5182" s="3">
        <f>5175</f>
        <v>5175</v>
      </c>
      <c r="B5182" s="3" t="s">
        <v>5184</v>
      </c>
      <c r="C5182" s="3" t="s">
        <v>10</v>
      </c>
      <c r="D5182" s="3" t="s">
        <v>9</v>
      </c>
      <c r="E5182" s="3">
        <v>22</v>
      </c>
      <c r="F5182" s="3">
        <v>0</v>
      </c>
      <c r="G5182" s="3">
        <v>1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/>
      <c r="P5182" s="3"/>
      <c r="Q5182" s="3"/>
    </row>
    <row r="5183" spans="1:17" ht="15" x14ac:dyDescent="0.25">
      <c r="A5183" s="3">
        <f>5176</f>
        <v>5176</v>
      </c>
      <c r="B5183" s="3" t="s">
        <v>5185</v>
      </c>
      <c r="C5183" s="3" t="s">
        <v>10</v>
      </c>
      <c r="D5183" s="3" t="s">
        <v>9</v>
      </c>
      <c r="E5183" s="3">
        <v>22</v>
      </c>
      <c r="F5183" s="3">
        <v>0</v>
      </c>
      <c r="G5183" s="3">
        <v>1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/>
      <c r="P5183" s="3"/>
      <c r="Q5183" s="3"/>
    </row>
    <row r="5184" spans="1:17" ht="15" x14ac:dyDescent="0.25">
      <c r="A5184" s="3">
        <f>5177</f>
        <v>5177</v>
      </c>
      <c r="B5184" s="3" t="s">
        <v>5186</v>
      </c>
      <c r="C5184" s="3" t="s">
        <v>10</v>
      </c>
      <c r="D5184" s="3" t="s">
        <v>9</v>
      </c>
      <c r="E5184" s="3">
        <v>22</v>
      </c>
      <c r="F5184" s="3">
        <v>0</v>
      </c>
      <c r="G5184" s="3">
        <v>1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/>
      <c r="P5184" s="3"/>
      <c r="Q5184" s="3"/>
    </row>
    <row r="5185" spans="1:17" ht="15" x14ac:dyDescent="0.25">
      <c r="A5185" s="3">
        <f>5178</f>
        <v>5178</v>
      </c>
      <c r="B5185" s="3" t="s">
        <v>5187</v>
      </c>
      <c r="C5185" s="3" t="s">
        <v>10</v>
      </c>
      <c r="D5185" s="3" t="s">
        <v>9</v>
      </c>
      <c r="E5185" s="3">
        <v>22</v>
      </c>
      <c r="F5185" s="3">
        <v>0</v>
      </c>
      <c r="G5185" s="3">
        <v>1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/>
      <c r="P5185" s="3"/>
      <c r="Q5185" s="3"/>
    </row>
    <row r="5186" spans="1:17" ht="15" x14ac:dyDescent="0.25">
      <c r="A5186" s="3">
        <f>5179</f>
        <v>5179</v>
      </c>
      <c r="B5186" s="3" t="s">
        <v>5188</v>
      </c>
      <c r="C5186" s="3" t="s">
        <v>10</v>
      </c>
      <c r="D5186" s="3" t="s">
        <v>9</v>
      </c>
      <c r="E5186" s="3">
        <v>22</v>
      </c>
      <c r="F5186" s="3">
        <v>0</v>
      </c>
      <c r="G5186" s="3">
        <v>1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/>
      <c r="P5186" s="3"/>
      <c r="Q5186" s="3"/>
    </row>
    <row r="5187" spans="1:17" ht="15" x14ac:dyDescent="0.25">
      <c r="A5187" s="3">
        <f>5180</f>
        <v>5180</v>
      </c>
      <c r="B5187" s="3" t="s">
        <v>5189</v>
      </c>
      <c r="C5187" s="3" t="s">
        <v>10</v>
      </c>
      <c r="D5187" s="3" t="s">
        <v>9</v>
      </c>
      <c r="E5187" s="3">
        <v>22</v>
      </c>
      <c r="F5187" s="3">
        <v>0</v>
      </c>
      <c r="G5187" s="3">
        <v>1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/>
      <c r="P5187" s="3"/>
      <c r="Q5187" s="3"/>
    </row>
    <row r="5188" spans="1:17" ht="15" x14ac:dyDescent="0.25">
      <c r="A5188" s="3">
        <f>5181</f>
        <v>5181</v>
      </c>
      <c r="B5188" s="3" t="s">
        <v>5190</v>
      </c>
      <c r="C5188" s="3" t="s">
        <v>10</v>
      </c>
      <c r="D5188" s="3" t="s">
        <v>9</v>
      </c>
      <c r="E5188" s="3">
        <v>22</v>
      </c>
      <c r="F5188" s="3">
        <v>0</v>
      </c>
      <c r="G5188" s="3">
        <v>1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/>
      <c r="P5188" s="3"/>
      <c r="Q5188" s="3"/>
    </row>
    <row r="5189" spans="1:17" ht="15" x14ac:dyDescent="0.25">
      <c r="A5189" s="3">
        <f>5182</f>
        <v>5182</v>
      </c>
      <c r="B5189" s="3" t="s">
        <v>5191</v>
      </c>
      <c r="C5189" s="3" t="s">
        <v>10</v>
      </c>
      <c r="D5189" s="3" t="s">
        <v>9</v>
      </c>
      <c r="E5189" s="3">
        <v>22</v>
      </c>
      <c r="F5189" s="3">
        <v>0</v>
      </c>
      <c r="G5189" s="3">
        <v>1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/>
      <c r="P5189" s="3"/>
      <c r="Q5189" s="3"/>
    </row>
    <row r="5190" spans="1:17" ht="15" x14ac:dyDescent="0.25">
      <c r="A5190" s="3">
        <f>5183</f>
        <v>5183</v>
      </c>
      <c r="B5190" s="3" t="s">
        <v>5192</v>
      </c>
      <c r="C5190" s="3" t="s">
        <v>10</v>
      </c>
      <c r="D5190" s="3" t="s">
        <v>9</v>
      </c>
      <c r="E5190" s="3">
        <v>22</v>
      </c>
      <c r="F5190" s="3">
        <v>0</v>
      </c>
      <c r="G5190" s="3">
        <v>1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/>
      <c r="P5190" s="3"/>
      <c r="Q5190" s="3"/>
    </row>
    <row r="5191" spans="1:17" ht="15" x14ac:dyDescent="0.25">
      <c r="A5191" s="3">
        <f>5184</f>
        <v>5184</v>
      </c>
      <c r="B5191" s="3" t="s">
        <v>5193</v>
      </c>
      <c r="C5191" s="3" t="s">
        <v>10</v>
      </c>
      <c r="D5191" s="3" t="s">
        <v>9</v>
      </c>
      <c r="E5191" s="3">
        <v>22</v>
      </c>
      <c r="F5191" s="3">
        <v>0</v>
      </c>
      <c r="G5191" s="3">
        <v>1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/>
      <c r="P5191" s="3"/>
      <c r="Q5191" s="3"/>
    </row>
    <row r="5192" spans="1:17" ht="15" x14ac:dyDescent="0.25">
      <c r="A5192" s="3">
        <f>5185</f>
        <v>5185</v>
      </c>
      <c r="B5192" s="3" t="s">
        <v>5194</v>
      </c>
      <c r="C5192" s="3" t="s">
        <v>10</v>
      </c>
      <c r="D5192" s="3" t="s">
        <v>9</v>
      </c>
      <c r="E5192" s="3">
        <v>22</v>
      </c>
      <c r="F5192" s="3">
        <v>0</v>
      </c>
      <c r="G5192" s="3">
        <v>1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/>
      <c r="P5192" s="3"/>
      <c r="Q5192" s="3"/>
    </row>
    <row r="5193" spans="1:17" ht="15" x14ac:dyDescent="0.25">
      <c r="A5193" s="3">
        <f>5186</f>
        <v>5186</v>
      </c>
      <c r="B5193" s="3" t="s">
        <v>5195</v>
      </c>
      <c r="C5193" s="3" t="s">
        <v>10</v>
      </c>
      <c r="D5193" s="3" t="s">
        <v>9</v>
      </c>
      <c r="E5193" s="3">
        <v>22</v>
      </c>
      <c r="F5193" s="3">
        <v>0</v>
      </c>
      <c r="G5193" s="3">
        <v>1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/>
      <c r="P5193" s="3"/>
      <c r="Q5193" s="3"/>
    </row>
    <row r="5194" spans="1:17" ht="15" x14ac:dyDescent="0.25">
      <c r="A5194" s="3">
        <f>5187</f>
        <v>5187</v>
      </c>
      <c r="B5194" s="3" t="s">
        <v>5196</v>
      </c>
      <c r="C5194" s="3" t="s">
        <v>10</v>
      </c>
      <c r="D5194" s="3" t="s">
        <v>9</v>
      </c>
      <c r="E5194" s="3">
        <v>22</v>
      </c>
      <c r="F5194" s="3">
        <v>0</v>
      </c>
      <c r="G5194" s="3">
        <v>1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/>
      <c r="P5194" s="3"/>
      <c r="Q5194" s="3"/>
    </row>
    <row r="5195" spans="1:17" ht="15" x14ac:dyDescent="0.25">
      <c r="A5195" s="3">
        <f>5188</f>
        <v>5188</v>
      </c>
      <c r="B5195" s="3" t="s">
        <v>5197</v>
      </c>
      <c r="C5195" s="3" t="s">
        <v>10</v>
      </c>
      <c r="D5195" s="3" t="s">
        <v>9</v>
      </c>
      <c r="E5195" s="3">
        <v>22</v>
      </c>
      <c r="F5195" s="3">
        <v>0</v>
      </c>
      <c r="G5195" s="3">
        <v>1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/>
      <c r="P5195" s="3"/>
      <c r="Q5195" s="3"/>
    </row>
    <row r="5196" spans="1:17" ht="15" x14ac:dyDescent="0.25">
      <c r="A5196" s="3">
        <f>5189</f>
        <v>5189</v>
      </c>
      <c r="B5196" s="3" t="s">
        <v>5198</v>
      </c>
      <c r="C5196" s="3" t="s">
        <v>10</v>
      </c>
      <c r="D5196" s="3" t="s">
        <v>9</v>
      </c>
      <c r="E5196" s="3">
        <v>22</v>
      </c>
      <c r="F5196" s="3">
        <v>0</v>
      </c>
      <c r="G5196" s="3">
        <v>1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/>
      <c r="P5196" s="3"/>
      <c r="Q5196" s="3"/>
    </row>
    <row r="5197" spans="1:17" ht="15" x14ac:dyDescent="0.25">
      <c r="A5197" s="3">
        <f>5190</f>
        <v>5190</v>
      </c>
      <c r="B5197" s="3" t="s">
        <v>5199</v>
      </c>
      <c r="C5197" s="3" t="s">
        <v>10</v>
      </c>
      <c r="D5197" s="3" t="s">
        <v>9</v>
      </c>
      <c r="E5197" s="3">
        <v>22</v>
      </c>
      <c r="F5197" s="3">
        <v>0</v>
      </c>
      <c r="G5197" s="3">
        <v>1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/>
      <c r="P5197" s="3"/>
      <c r="Q5197" s="3"/>
    </row>
    <row r="5198" spans="1:17" ht="15" x14ac:dyDescent="0.25">
      <c r="A5198" s="3">
        <f>5191</f>
        <v>5191</v>
      </c>
      <c r="B5198" s="3" t="s">
        <v>5200</v>
      </c>
      <c r="C5198" s="3" t="s">
        <v>10</v>
      </c>
      <c r="D5198" s="3" t="s">
        <v>9</v>
      </c>
      <c r="E5198" s="3">
        <v>22</v>
      </c>
      <c r="F5198" s="3">
        <v>0</v>
      </c>
      <c r="G5198" s="3">
        <v>1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/>
      <c r="P5198" s="3"/>
      <c r="Q5198" s="3"/>
    </row>
    <row r="5199" spans="1:17" ht="15" x14ac:dyDescent="0.25">
      <c r="A5199" s="3">
        <f>5192</f>
        <v>5192</v>
      </c>
      <c r="B5199" s="3" t="s">
        <v>5201</v>
      </c>
      <c r="C5199" s="3" t="s">
        <v>10</v>
      </c>
      <c r="D5199" s="3" t="s">
        <v>9</v>
      </c>
      <c r="E5199" s="3">
        <v>22</v>
      </c>
      <c r="F5199" s="3">
        <v>0</v>
      </c>
      <c r="G5199" s="3">
        <v>1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/>
      <c r="P5199" s="3"/>
      <c r="Q5199" s="3"/>
    </row>
    <row r="5200" spans="1:17" ht="15" x14ac:dyDescent="0.25">
      <c r="A5200" s="3">
        <f>5193</f>
        <v>5193</v>
      </c>
      <c r="B5200" s="3" t="s">
        <v>5202</v>
      </c>
      <c r="C5200" s="3" t="s">
        <v>10</v>
      </c>
      <c r="D5200" s="3" t="s">
        <v>9</v>
      </c>
      <c r="E5200" s="3">
        <v>22</v>
      </c>
      <c r="F5200" s="3">
        <v>0</v>
      </c>
      <c r="G5200" s="3">
        <v>1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/>
      <c r="P5200" s="3"/>
      <c r="Q5200" s="3"/>
    </row>
    <row r="5201" spans="1:17" ht="15" x14ac:dyDescent="0.25">
      <c r="A5201" s="3">
        <f>5194</f>
        <v>5194</v>
      </c>
      <c r="B5201" s="3" t="s">
        <v>5203</v>
      </c>
      <c r="C5201" s="3" t="s">
        <v>10</v>
      </c>
      <c r="D5201" s="3" t="s">
        <v>9</v>
      </c>
      <c r="E5201" s="3">
        <v>22</v>
      </c>
      <c r="F5201" s="3">
        <v>0</v>
      </c>
      <c r="G5201" s="3">
        <v>1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/>
      <c r="P5201" s="3"/>
      <c r="Q5201" s="3"/>
    </row>
    <row r="5202" spans="1:17" ht="15" x14ac:dyDescent="0.25">
      <c r="A5202" s="3">
        <f>5195</f>
        <v>5195</v>
      </c>
      <c r="B5202" s="3" t="s">
        <v>5204</v>
      </c>
      <c r="C5202" s="3" t="s">
        <v>10</v>
      </c>
      <c r="D5202" s="3" t="s">
        <v>9</v>
      </c>
      <c r="E5202" s="3">
        <v>22</v>
      </c>
      <c r="F5202" s="3">
        <v>0</v>
      </c>
      <c r="G5202" s="3">
        <v>1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/>
      <c r="P5202" s="3"/>
      <c r="Q5202" s="3"/>
    </row>
    <row r="5203" spans="1:17" ht="15" x14ac:dyDescent="0.25">
      <c r="A5203" s="3">
        <f>5196</f>
        <v>5196</v>
      </c>
      <c r="B5203" s="3" t="s">
        <v>5205</v>
      </c>
      <c r="C5203" s="3" t="s">
        <v>10</v>
      </c>
      <c r="D5203" s="3" t="s">
        <v>9</v>
      </c>
      <c r="E5203" s="3">
        <v>22</v>
      </c>
      <c r="F5203" s="3">
        <v>0</v>
      </c>
      <c r="G5203" s="3">
        <v>1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/>
      <c r="P5203" s="3"/>
      <c r="Q5203" s="3"/>
    </row>
    <row r="5204" spans="1:17" ht="15" x14ac:dyDescent="0.25">
      <c r="A5204" s="3">
        <f>5197</f>
        <v>5197</v>
      </c>
      <c r="B5204" s="3" t="s">
        <v>5206</v>
      </c>
      <c r="C5204" s="3" t="s">
        <v>10</v>
      </c>
      <c r="D5204" s="3" t="s">
        <v>9</v>
      </c>
      <c r="E5204" s="3">
        <v>22</v>
      </c>
      <c r="F5204" s="3">
        <v>0</v>
      </c>
      <c r="G5204" s="3">
        <v>1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/>
      <c r="P5204" s="3"/>
      <c r="Q5204" s="3"/>
    </row>
    <row r="5205" spans="1:17" ht="15" x14ac:dyDescent="0.25">
      <c r="A5205" s="3">
        <f>5198</f>
        <v>5198</v>
      </c>
      <c r="B5205" s="3" t="s">
        <v>5207</v>
      </c>
      <c r="C5205" s="3" t="s">
        <v>10</v>
      </c>
      <c r="D5205" s="3" t="s">
        <v>9</v>
      </c>
      <c r="E5205" s="3">
        <v>22</v>
      </c>
      <c r="F5205" s="3">
        <v>0</v>
      </c>
      <c r="G5205" s="3">
        <v>1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/>
      <c r="P5205" s="3"/>
      <c r="Q5205" s="3"/>
    </row>
    <row r="5206" spans="1:17" ht="15" x14ac:dyDescent="0.25">
      <c r="A5206" s="3">
        <f>5199</f>
        <v>5199</v>
      </c>
      <c r="B5206" s="3" t="s">
        <v>5208</v>
      </c>
      <c r="C5206" s="3" t="s">
        <v>10</v>
      </c>
      <c r="D5206" s="3" t="s">
        <v>9</v>
      </c>
      <c r="E5206" s="3">
        <v>22</v>
      </c>
      <c r="F5206" s="3">
        <v>0</v>
      </c>
      <c r="G5206" s="3">
        <v>1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/>
      <c r="P5206" s="3"/>
      <c r="Q5206" s="3"/>
    </row>
    <row r="5207" spans="1:17" ht="15" x14ac:dyDescent="0.25">
      <c r="A5207" s="3">
        <f>5200</f>
        <v>5200</v>
      </c>
      <c r="B5207" s="3" t="s">
        <v>5209</v>
      </c>
      <c r="C5207" s="3" t="s">
        <v>10</v>
      </c>
      <c r="D5207" s="3" t="s">
        <v>9</v>
      </c>
      <c r="E5207" s="3">
        <v>22</v>
      </c>
      <c r="F5207" s="3">
        <v>0</v>
      </c>
      <c r="G5207" s="3">
        <v>1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/>
      <c r="P5207" s="3"/>
      <c r="Q5207" s="3"/>
    </row>
    <row r="5208" spans="1:17" ht="15" x14ac:dyDescent="0.25">
      <c r="A5208" s="3">
        <f>5201</f>
        <v>5201</v>
      </c>
      <c r="B5208" s="3" t="s">
        <v>5210</v>
      </c>
      <c r="C5208" s="3" t="s">
        <v>10</v>
      </c>
      <c r="D5208" s="3" t="s">
        <v>9</v>
      </c>
      <c r="E5208" s="3">
        <v>22</v>
      </c>
      <c r="F5208" s="3">
        <v>0</v>
      </c>
      <c r="G5208" s="3">
        <v>1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/>
      <c r="P5208" s="3"/>
      <c r="Q5208" s="3"/>
    </row>
    <row r="5209" spans="1:17" ht="15" x14ac:dyDescent="0.25">
      <c r="A5209" s="3">
        <f>5202</f>
        <v>5202</v>
      </c>
      <c r="B5209" s="3" t="s">
        <v>5211</v>
      </c>
      <c r="C5209" s="3" t="s">
        <v>10</v>
      </c>
      <c r="D5209" s="3" t="s">
        <v>9</v>
      </c>
      <c r="E5209" s="3">
        <v>22</v>
      </c>
      <c r="F5209" s="3">
        <v>0</v>
      </c>
      <c r="G5209" s="3">
        <v>1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/>
      <c r="P5209" s="3"/>
      <c r="Q5209" s="3"/>
    </row>
    <row r="5210" spans="1:17" ht="15" x14ac:dyDescent="0.25">
      <c r="A5210" s="3">
        <f>5203</f>
        <v>5203</v>
      </c>
      <c r="B5210" s="3" t="s">
        <v>5212</v>
      </c>
      <c r="C5210" s="3" t="s">
        <v>10</v>
      </c>
      <c r="D5210" s="3" t="s">
        <v>9</v>
      </c>
      <c r="E5210" s="3">
        <v>22</v>
      </c>
      <c r="F5210" s="3">
        <v>0</v>
      </c>
      <c r="G5210" s="3">
        <v>1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/>
      <c r="P5210" s="3"/>
      <c r="Q5210" s="3"/>
    </row>
    <row r="5211" spans="1:17" ht="15" x14ac:dyDescent="0.25">
      <c r="A5211" s="3">
        <f>5204</f>
        <v>5204</v>
      </c>
      <c r="B5211" s="3" t="s">
        <v>5213</v>
      </c>
      <c r="C5211" s="3" t="s">
        <v>10</v>
      </c>
      <c r="D5211" s="3" t="s">
        <v>9</v>
      </c>
      <c r="E5211" s="3">
        <v>22</v>
      </c>
      <c r="F5211" s="3">
        <v>0</v>
      </c>
      <c r="G5211" s="3">
        <v>1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/>
      <c r="P5211" s="3"/>
      <c r="Q5211" s="3"/>
    </row>
    <row r="5212" spans="1:17" ht="15" x14ac:dyDescent="0.25">
      <c r="A5212" s="3">
        <f>5205</f>
        <v>5205</v>
      </c>
      <c r="B5212" s="3" t="s">
        <v>5214</v>
      </c>
      <c r="C5212" s="3" t="s">
        <v>10</v>
      </c>
      <c r="D5212" s="3" t="s">
        <v>9</v>
      </c>
      <c r="E5212" s="3">
        <v>22</v>
      </c>
      <c r="F5212" s="3">
        <v>0</v>
      </c>
      <c r="G5212" s="3">
        <v>1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/>
      <c r="P5212" s="3"/>
      <c r="Q5212" s="3"/>
    </row>
    <row r="5213" spans="1:17" ht="15" x14ac:dyDescent="0.25">
      <c r="A5213" s="3">
        <f>5206</f>
        <v>5206</v>
      </c>
      <c r="B5213" s="3" t="s">
        <v>5215</v>
      </c>
      <c r="C5213" s="3" t="s">
        <v>10</v>
      </c>
      <c r="D5213" s="3" t="s">
        <v>9</v>
      </c>
      <c r="E5213" s="3">
        <v>22</v>
      </c>
      <c r="F5213" s="3">
        <v>0</v>
      </c>
      <c r="G5213" s="3">
        <v>1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/>
      <c r="P5213" s="3"/>
      <c r="Q5213" s="3"/>
    </row>
    <row r="5214" spans="1:17" ht="15" x14ac:dyDescent="0.25">
      <c r="A5214" s="3">
        <f>5207</f>
        <v>5207</v>
      </c>
      <c r="B5214" s="3" t="s">
        <v>5216</v>
      </c>
      <c r="C5214" s="3" t="s">
        <v>10</v>
      </c>
      <c r="D5214" s="3" t="s">
        <v>9</v>
      </c>
      <c r="E5214" s="3">
        <v>22</v>
      </c>
      <c r="F5214" s="3">
        <v>0</v>
      </c>
      <c r="G5214" s="3">
        <v>1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/>
      <c r="P5214" s="3"/>
      <c r="Q5214" s="3"/>
    </row>
    <row r="5215" spans="1:17" ht="15" x14ac:dyDescent="0.25">
      <c r="A5215" s="3">
        <f>5208</f>
        <v>5208</v>
      </c>
      <c r="B5215" s="3" t="s">
        <v>5217</v>
      </c>
      <c r="C5215" s="3" t="s">
        <v>10</v>
      </c>
      <c r="D5215" s="3" t="s">
        <v>9</v>
      </c>
      <c r="E5215" s="3">
        <v>22</v>
      </c>
      <c r="F5215" s="3">
        <v>0</v>
      </c>
      <c r="G5215" s="3">
        <v>1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/>
      <c r="P5215" s="3"/>
      <c r="Q5215" s="3"/>
    </row>
    <row r="5216" spans="1:17" ht="15" x14ac:dyDescent="0.25">
      <c r="A5216" s="3">
        <f>5209</f>
        <v>5209</v>
      </c>
      <c r="B5216" s="3" t="s">
        <v>5218</v>
      </c>
      <c r="C5216" s="3" t="s">
        <v>10</v>
      </c>
      <c r="D5216" s="3" t="s">
        <v>9</v>
      </c>
      <c r="E5216" s="3">
        <v>22</v>
      </c>
      <c r="F5216" s="3">
        <v>0</v>
      </c>
      <c r="G5216" s="3">
        <v>1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/>
      <c r="P5216" s="3"/>
      <c r="Q5216" s="3"/>
    </row>
    <row r="5217" spans="1:17" ht="15" x14ac:dyDescent="0.25">
      <c r="A5217" s="3">
        <f>5210</f>
        <v>5210</v>
      </c>
      <c r="B5217" s="3" t="s">
        <v>5219</v>
      </c>
      <c r="C5217" s="3" t="s">
        <v>10</v>
      </c>
      <c r="D5217" s="3" t="s">
        <v>9</v>
      </c>
      <c r="E5217" s="3">
        <v>22</v>
      </c>
      <c r="F5217" s="3">
        <v>0</v>
      </c>
      <c r="G5217" s="3">
        <v>1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/>
      <c r="P5217" s="3"/>
      <c r="Q5217" s="3"/>
    </row>
    <row r="5218" spans="1:17" ht="15" x14ac:dyDescent="0.25">
      <c r="A5218" s="3">
        <f>5211</f>
        <v>5211</v>
      </c>
      <c r="B5218" s="3" t="s">
        <v>5220</v>
      </c>
      <c r="C5218" s="3" t="s">
        <v>10</v>
      </c>
      <c r="D5218" s="3" t="s">
        <v>9</v>
      </c>
      <c r="E5218" s="3">
        <v>22</v>
      </c>
      <c r="F5218" s="3">
        <v>0</v>
      </c>
      <c r="G5218" s="3">
        <v>1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/>
      <c r="P5218" s="3"/>
      <c r="Q5218" s="3"/>
    </row>
    <row r="5219" spans="1:17" ht="15" x14ac:dyDescent="0.25">
      <c r="A5219" s="3">
        <f>5212</f>
        <v>5212</v>
      </c>
      <c r="B5219" s="3" t="s">
        <v>5221</v>
      </c>
      <c r="C5219" s="3" t="s">
        <v>10</v>
      </c>
      <c r="D5219" s="3" t="s">
        <v>9</v>
      </c>
      <c r="E5219" s="3">
        <v>22</v>
      </c>
      <c r="F5219" s="3">
        <v>0</v>
      </c>
      <c r="G5219" s="3">
        <v>1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/>
      <c r="P5219" s="3"/>
      <c r="Q5219" s="3"/>
    </row>
    <row r="5220" spans="1:17" ht="15" x14ac:dyDescent="0.25">
      <c r="A5220" s="3">
        <f>5213</f>
        <v>5213</v>
      </c>
      <c r="B5220" s="3" t="s">
        <v>5222</v>
      </c>
      <c r="C5220" s="3" t="s">
        <v>10</v>
      </c>
      <c r="D5220" s="3" t="s">
        <v>9</v>
      </c>
      <c r="E5220" s="3">
        <v>22</v>
      </c>
      <c r="F5220" s="3">
        <v>0</v>
      </c>
      <c r="G5220" s="3">
        <v>1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/>
      <c r="P5220" s="3"/>
      <c r="Q5220" s="3"/>
    </row>
    <row r="5221" spans="1:17" ht="15" x14ac:dyDescent="0.25">
      <c r="A5221" s="3">
        <f>5214</f>
        <v>5214</v>
      </c>
      <c r="B5221" s="3" t="s">
        <v>5223</v>
      </c>
      <c r="C5221" s="3" t="s">
        <v>10</v>
      </c>
      <c r="D5221" s="3" t="s">
        <v>9</v>
      </c>
      <c r="E5221" s="3">
        <v>22</v>
      </c>
      <c r="F5221" s="3">
        <v>0</v>
      </c>
      <c r="G5221" s="3">
        <v>1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/>
      <c r="P5221" s="3"/>
      <c r="Q5221" s="3"/>
    </row>
    <row r="5222" spans="1:17" ht="15" x14ac:dyDescent="0.25">
      <c r="A5222" s="3">
        <f>5215</f>
        <v>5215</v>
      </c>
      <c r="B5222" s="3" t="s">
        <v>5224</v>
      </c>
      <c r="C5222" s="3" t="s">
        <v>10</v>
      </c>
      <c r="D5222" s="3" t="s">
        <v>9</v>
      </c>
      <c r="E5222" s="3">
        <v>22</v>
      </c>
      <c r="F5222" s="3">
        <v>0</v>
      </c>
      <c r="G5222" s="3">
        <v>1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/>
      <c r="P5222" s="3"/>
      <c r="Q5222" s="3"/>
    </row>
    <row r="5223" spans="1:17" ht="15" x14ac:dyDescent="0.25">
      <c r="A5223" s="3">
        <f>5216</f>
        <v>5216</v>
      </c>
      <c r="B5223" s="3" t="s">
        <v>5225</v>
      </c>
      <c r="C5223" s="3" t="s">
        <v>10</v>
      </c>
      <c r="D5223" s="3" t="s">
        <v>9</v>
      </c>
      <c r="E5223" s="3">
        <v>22</v>
      </c>
      <c r="F5223" s="3">
        <v>0</v>
      </c>
      <c r="G5223" s="3">
        <v>1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/>
      <c r="P5223" s="3"/>
      <c r="Q5223" s="3"/>
    </row>
    <row r="5224" spans="1:17" ht="15" x14ac:dyDescent="0.25">
      <c r="A5224" s="3">
        <f>5217</f>
        <v>5217</v>
      </c>
      <c r="B5224" s="3" t="s">
        <v>5226</v>
      </c>
      <c r="C5224" s="3" t="s">
        <v>10</v>
      </c>
      <c r="D5224" s="3" t="s">
        <v>9</v>
      </c>
      <c r="E5224" s="3">
        <v>22</v>
      </c>
      <c r="F5224" s="3">
        <v>0</v>
      </c>
      <c r="G5224" s="3">
        <v>1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/>
      <c r="P5224" s="3"/>
      <c r="Q5224" s="3"/>
    </row>
    <row r="5225" spans="1:17" ht="15" x14ac:dyDescent="0.25">
      <c r="A5225" s="3">
        <f>5218</f>
        <v>5218</v>
      </c>
      <c r="B5225" s="3" t="s">
        <v>5227</v>
      </c>
      <c r="C5225" s="3" t="s">
        <v>10</v>
      </c>
      <c r="D5225" s="3" t="s">
        <v>9</v>
      </c>
      <c r="E5225" s="3">
        <v>22</v>
      </c>
      <c r="F5225" s="3">
        <v>0</v>
      </c>
      <c r="G5225" s="3">
        <v>1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/>
      <c r="P5225" s="3"/>
      <c r="Q5225" s="3"/>
    </row>
    <row r="5226" spans="1:17" ht="15" x14ac:dyDescent="0.25">
      <c r="A5226" s="3">
        <f>5219</f>
        <v>5219</v>
      </c>
      <c r="B5226" s="3" t="s">
        <v>5228</v>
      </c>
      <c r="C5226" s="3" t="s">
        <v>10</v>
      </c>
      <c r="D5226" s="3" t="s">
        <v>9</v>
      </c>
      <c r="E5226" s="3">
        <v>22</v>
      </c>
      <c r="F5226" s="3">
        <v>0</v>
      </c>
      <c r="G5226" s="3">
        <v>1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/>
      <c r="P5226" s="3"/>
      <c r="Q5226" s="3"/>
    </row>
    <row r="5227" spans="1:17" ht="15" x14ac:dyDescent="0.25">
      <c r="A5227" s="3">
        <f>5220</f>
        <v>5220</v>
      </c>
      <c r="B5227" s="3" t="s">
        <v>5229</v>
      </c>
      <c r="C5227" s="3" t="s">
        <v>10</v>
      </c>
      <c r="D5227" s="3" t="s">
        <v>9</v>
      </c>
      <c r="E5227" s="3">
        <v>22</v>
      </c>
      <c r="F5227" s="3">
        <v>0</v>
      </c>
      <c r="G5227" s="3">
        <v>1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/>
      <c r="P5227" s="3"/>
      <c r="Q5227" s="3"/>
    </row>
    <row r="5228" spans="1:17" ht="15" x14ac:dyDescent="0.25">
      <c r="A5228" s="3">
        <f>5221</f>
        <v>5221</v>
      </c>
      <c r="B5228" s="3" t="s">
        <v>5230</v>
      </c>
      <c r="C5228" s="3" t="s">
        <v>10</v>
      </c>
      <c r="D5228" s="3" t="s">
        <v>9</v>
      </c>
      <c r="E5228" s="3">
        <v>22</v>
      </c>
      <c r="F5228" s="3">
        <v>0</v>
      </c>
      <c r="G5228" s="3">
        <v>1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/>
      <c r="P5228" s="3"/>
      <c r="Q5228" s="3"/>
    </row>
    <row r="5229" spans="1:17" ht="15" x14ac:dyDescent="0.25">
      <c r="A5229" s="3">
        <f>5222</f>
        <v>5222</v>
      </c>
      <c r="B5229" s="3" t="s">
        <v>5231</v>
      </c>
      <c r="C5229" s="3" t="s">
        <v>10</v>
      </c>
      <c r="D5229" s="3" t="s">
        <v>9</v>
      </c>
      <c r="E5229" s="3">
        <v>22</v>
      </c>
      <c r="F5229" s="3">
        <v>0</v>
      </c>
      <c r="G5229" s="3">
        <v>1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/>
      <c r="P5229" s="3"/>
      <c r="Q5229" s="3"/>
    </row>
    <row r="5230" spans="1:17" ht="15" x14ac:dyDescent="0.25">
      <c r="A5230" s="3">
        <f>5223</f>
        <v>5223</v>
      </c>
      <c r="B5230" s="3" t="s">
        <v>5232</v>
      </c>
      <c r="C5230" s="3" t="s">
        <v>10</v>
      </c>
      <c r="D5230" s="3" t="s">
        <v>9</v>
      </c>
      <c r="E5230" s="3">
        <v>22</v>
      </c>
      <c r="F5230" s="3">
        <v>0</v>
      </c>
      <c r="G5230" s="3">
        <v>1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/>
      <c r="P5230" s="3"/>
      <c r="Q5230" s="3"/>
    </row>
    <row r="5231" spans="1:17" ht="15" x14ac:dyDescent="0.25">
      <c r="A5231" s="3">
        <f>5224</f>
        <v>5224</v>
      </c>
      <c r="B5231" s="3" t="s">
        <v>5233</v>
      </c>
      <c r="C5231" s="3" t="s">
        <v>10</v>
      </c>
      <c r="D5231" s="3" t="s">
        <v>9</v>
      </c>
      <c r="E5231" s="3">
        <v>22</v>
      </c>
      <c r="F5231" s="3">
        <v>0</v>
      </c>
      <c r="G5231" s="3">
        <v>1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/>
      <c r="P5231" s="3"/>
      <c r="Q5231" s="3"/>
    </row>
    <row r="5232" spans="1:17" ht="15" x14ac:dyDescent="0.25">
      <c r="A5232" s="3">
        <f>5225</f>
        <v>5225</v>
      </c>
      <c r="B5232" s="3" t="s">
        <v>5234</v>
      </c>
      <c r="C5232" s="3" t="s">
        <v>10</v>
      </c>
      <c r="D5232" s="3" t="s">
        <v>9</v>
      </c>
      <c r="E5232" s="3">
        <v>22</v>
      </c>
      <c r="F5232" s="3">
        <v>0</v>
      </c>
      <c r="G5232" s="3">
        <v>1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/>
      <c r="P5232" s="3"/>
      <c r="Q5232" s="3"/>
    </row>
    <row r="5233" spans="1:17" ht="15" x14ac:dyDescent="0.25">
      <c r="A5233" s="3">
        <f>5226</f>
        <v>5226</v>
      </c>
      <c r="B5233" s="3" t="s">
        <v>5235</v>
      </c>
      <c r="C5233" s="3" t="s">
        <v>10</v>
      </c>
      <c r="D5233" s="3" t="s">
        <v>9</v>
      </c>
      <c r="E5233" s="3">
        <v>22</v>
      </c>
      <c r="F5233" s="3">
        <v>0</v>
      </c>
      <c r="G5233" s="3">
        <v>1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/>
      <c r="P5233" s="3"/>
      <c r="Q5233" s="3"/>
    </row>
    <row r="5234" spans="1:17" ht="15" x14ac:dyDescent="0.25">
      <c r="A5234" s="3">
        <f>5227</f>
        <v>5227</v>
      </c>
      <c r="B5234" s="3" t="s">
        <v>5236</v>
      </c>
      <c r="C5234" s="3" t="s">
        <v>10</v>
      </c>
      <c r="D5234" s="3" t="s">
        <v>9</v>
      </c>
      <c r="E5234" s="3">
        <v>22</v>
      </c>
      <c r="F5234" s="3">
        <v>0</v>
      </c>
      <c r="G5234" s="3">
        <v>1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/>
      <c r="P5234" s="3"/>
      <c r="Q5234" s="3"/>
    </row>
    <row r="5235" spans="1:17" ht="15" x14ac:dyDescent="0.25">
      <c r="A5235" s="3">
        <f>5228</f>
        <v>5228</v>
      </c>
      <c r="B5235" s="3" t="s">
        <v>5237</v>
      </c>
      <c r="C5235" s="3" t="s">
        <v>10</v>
      </c>
      <c r="D5235" s="3" t="s">
        <v>9</v>
      </c>
      <c r="E5235" s="3">
        <v>22</v>
      </c>
      <c r="F5235" s="3">
        <v>0</v>
      </c>
      <c r="G5235" s="3">
        <v>1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/>
      <c r="P5235" s="3"/>
      <c r="Q5235" s="3"/>
    </row>
    <row r="5236" spans="1:17" ht="15" x14ac:dyDescent="0.25">
      <c r="A5236" s="3">
        <f>5229</f>
        <v>5229</v>
      </c>
      <c r="B5236" s="3" t="s">
        <v>5238</v>
      </c>
      <c r="C5236" s="3" t="s">
        <v>10</v>
      </c>
      <c r="D5236" s="3" t="s">
        <v>9</v>
      </c>
      <c r="E5236" s="3">
        <v>22</v>
      </c>
      <c r="F5236" s="3">
        <v>0</v>
      </c>
      <c r="G5236" s="3">
        <v>1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/>
      <c r="P5236" s="3"/>
      <c r="Q5236" s="3"/>
    </row>
    <row r="5237" spans="1:17" ht="15" x14ac:dyDescent="0.25">
      <c r="A5237" s="3">
        <f>5230</f>
        <v>5230</v>
      </c>
      <c r="B5237" s="3" t="s">
        <v>5239</v>
      </c>
      <c r="C5237" s="3" t="s">
        <v>10</v>
      </c>
      <c r="D5237" s="3" t="s">
        <v>9</v>
      </c>
      <c r="E5237" s="3">
        <v>22</v>
      </c>
      <c r="F5237" s="3">
        <v>0</v>
      </c>
      <c r="G5237" s="3">
        <v>1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/>
      <c r="P5237" s="3"/>
      <c r="Q5237" s="3"/>
    </row>
    <row r="5238" spans="1:17" ht="15" x14ac:dyDescent="0.25">
      <c r="A5238" s="3">
        <f>5231</f>
        <v>5231</v>
      </c>
      <c r="B5238" s="3" t="s">
        <v>5240</v>
      </c>
      <c r="C5238" s="3" t="s">
        <v>10</v>
      </c>
      <c r="D5238" s="3" t="s">
        <v>9</v>
      </c>
      <c r="E5238" s="3">
        <v>22</v>
      </c>
      <c r="F5238" s="3">
        <v>0</v>
      </c>
      <c r="G5238" s="3">
        <v>1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/>
      <c r="P5238" s="3"/>
      <c r="Q5238" s="3"/>
    </row>
    <row r="5239" spans="1:17" ht="15" x14ac:dyDescent="0.25">
      <c r="A5239" s="3">
        <f>5232</f>
        <v>5232</v>
      </c>
      <c r="B5239" s="3" t="s">
        <v>5241</v>
      </c>
      <c r="C5239" s="3" t="s">
        <v>10</v>
      </c>
      <c r="D5239" s="3" t="s">
        <v>9</v>
      </c>
      <c r="E5239" s="3">
        <v>22</v>
      </c>
      <c r="F5239" s="3">
        <v>0</v>
      </c>
      <c r="G5239" s="3">
        <v>1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/>
      <c r="P5239" s="3"/>
      <c r="Q5239" s="3"/>
    </row>
    <row r="5240" spans="1:17" ht="15" x14ac:dyDescent="0.25">
      <c r="A5240" s="3">
        <f>5233</f>
        <v>5233</v>
      </c>
      <c r="B5240" s="3" t="s">
        <v>5242</v>
      </c>
      <c r="C5240" s="3" t="s">
        <v>10</v>
      </c>
      <c r="D5240" s="3" t="s">
        <v>9</v>
      </c>
      <c r="E5240" s="3">
        <v>22</v>
      </c>
      <c r="F5240" s="3">
        <v>0</v>
      </c>
      <c r="G5240" s="3">
        <v>1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/>
      <c r="P5240" s="3"/>
      <c r="Q5240" s="3"/>
    </row>
    <row r="5241" spans="1:17" ht="15" x14ac:dyDescent="0.25">
      <c r="A5241" s="3">
        <f>5234</f>
        <v>5234</v>
      </c>
      <c r="B5241" s="3" t="s">
        <v>5243</v>
      </c>
      <c r="C5241" s="3" t="s">
        <v>10</v>
      </c>
      <c r="D5241" s="3" t="s">
        <v>9</v>
      </c>
      <c r="E5241" s="3">
        <v>22</v>
      </c>
      <c r="F5241" s="3">
        <v>0</v>
      </c>
      <c r="G5241" s="3">
        <v>1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/>
      <c r="P5241" s="3"/>
      <c r="Q5241" s="3"/>
    </row>
    <row r="5242" spans="1:17" ht="15" x14ac:dyDescent="0.25">
      <c r="A5242" s="3">
        <f>5235</f>
        <v>5235</v>
      </c>
      <c r="B5242" s="3" t="s">
        <v>5244</v>
      </c>
      <c r="C5242" s="3" t="s">
        <v>10</v>
      </c>
      <c r="D5242" s="3" t="s">
        <v>9</v>
      </c>
      <c r="E5242" s="3">
        <v>22</v>
      </c>
      <c r="F5242" s="3">
        <v>0</v>
      </c>
      <c r="G5242" s="3">
        <v>1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/>
      <c r="P5242" s="3"/>
      <c r="Q5242" s="3"/>
    </row>
    <row r="5243" spans="1:17" ht="15" x14ac:dyDescent="0.25">
      <c r="A5243" s="3">
        <f>5236</f>
        <v>5236</v>
      </c>
      <c r="B5243" s="3" t="s">
        <v>5245</v>
      </c>
      <c r="C5243" s="3" t="s">
        <v>10</v>
      </c>
      <c r="D5243" s="3" t="s">
        <v>9</v>
      </c>
      <c r="E5243" s="3">
        <v>22</v>
      </c>
      <c r="F5243" s="3">
        <v>0</v>
      </c>
      <c r="G5243" s="3">
        <v>1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/>
      <c r="P5243" s="3"/>
      <c r="Q5243" s="3"/>
    </row>
    <row r="5244" spans="1:17" ht="15" x14ac:dyDescent="0.25">
      <c r="A5244" s="3">
        <f>5237</f>
        <v>5237</v>
      </c>
      <c r="B5244" s="3" t="s">
        <v>5246</v>
      </c>
      <c r="C5244" s="3" t="s">
        <v>10</v>
      </c>
      <c r="D5244" s="3" t="s">
        <v>9</v>
      </c>
      <c r="E5244" s="3">
        <v>22</v>
      </c>
      <c r="F5244" s="3">
        <v>0</v>
      </c>
      <c r="G5244" s="3">
        <v>1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/>
      <c r="P5244" s="3"/>
      <c r="Q5244" s="3"/>
    </row>
    <row r="5245" spans="1:17" ht="15" x14ac:dyDescent="0.25">
      <c r="A5245" s="3">
        <f>5238</f>
        <v>5238</v>
      </c>
      <c r="B5245" s="3" t="s">
        <v>5247</v>
      </c>
      <c r="C5245" s="3" t="s">
        <v>10</v>
      </c>
      <c r="D5245" s="3" t="s">
        <v>9</v>
      </c>
      <c r="E5245" s="3">
        <v>22</v>
      </c>
      <c r="F5245" s="3">
        <v>0</v>
      </c>
      <c r="G5245" s="3">
        <v>1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/>
      <c r="P5245" s="3"/>
      <c r="Q5245" s="3"/>
    </row>
    <row r="5246" spans="1:17" ht="15" x14ac:dyDescent="0.25">
      <c r="A5246" s="3">
        <f>5239</f>
        <v>5239</v>
      </c>
      <c r="B5246" s="3" t="s">
        <v>5248</v>
      </c>
      <c r="C5246" s="3" t="s">
        <v>10</v>
      </c>
      <c r="D5246" s="3" t="s">
        <v>9</v>
      </c>
      <c r="E5246" s="3">
        <v>22</v>
      </c>
      <c r="F5246" s="3">
        <v>0</v>
      </c>
      <c r="G5246" s="3">
        <v>1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/>
      <c r="P5246" s="3"/>
      <c r="Q5246" s="3"/>
    </row>
    <row r="5247" spans="1:17" ht="15" x14ac:dyDescent="0.25">
      <c r="A5247" s="3">
        <f>5240</f>
        <v>5240</v>
      </c>
      <c r="B5247" s="3" t="s">
        <v>5249</v>
      </c>
      <c r="C5247" s="3" t="s">
        <v>10</v>
      </c>
      <c r="D5247" s="3" t="s">
        <v>9</v>
      </c>
      <c r="E5247" s="3">
        <v>22</v>
      </c>
      <c r="F5247" s="3">
        <v>0</v>
      </c>
      <c r="G5247" s="3">
        <v>1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/>
      <c r="P5247" s="3"/>
      <c r="Q5247" s="3"/>
    </row>
    <row r="5248" spans="1:17" ht="15" x14ac:dyDescent="0.25">
      <c r="A5248" s="3">
        <f>5241</f>
        <v>5241</v>
      </c>
      <c r="B5248" s="3" t="s">
        <v>5250</v>
      </c>
      <c r="C5248" s="3" t="s">
        <v>10</v>
      </c>
      <c r="D5248" s="3" t="s">
        <v>9</v>
      </c>
      <c r="E5248" s="3">
        <v>22</v>
      </c>
      <c r="F5248" s="3">
        <v>0</v>
      </c>
      <c r="G5248" s="3">
        <v>1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/>
      <c r="P5248" s="3"/>
      <c r="Q5248" s="3"/>
    </row>
    <row r="5249" spans="1:17" ht="15" x14ac:dyDescent="0.25">
      <c r="A5249" s="3">
        <f>5242</f>
        <v>5242</v>
      </c>
      <c r="B5249" s="3" t="s">
        <v>5251</v>
      </c>
      <c r="C5249" s="3" t="s">
        <v>10</v>
      </c>
      <c r="D5249" s="3" t="s">
        <v>9</v>
      </c>
      <c r="E5249" s="3">
        <v>22</v>
      </c>
      <c r="F5249" s="3">
        <v>0</v>
      </c>
      <c r="G5249" s="3">
        <v>1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/>
      <c r="P5249" s="3"/>
      <c r="Q5249" s="3"/>
    </row>
    <row r="5250" spans="1:17" ht="15" x14ac:dyDescent="0.25">
      <c r="A5250" s="3">
        <f>5243</f>
        <v>5243</v>
      </c>
      <c r="B5250" s="3" t="s">
        <v>5252</v>
      </c>
      <c r="C5250" s="3" t="s">
        <v>10</v>
      </c>
      <c r="D5250" s="3" t="s">
        <v>9</v>
      </c>
      <c r="E5250" s="3">
        <v>22</v>
      </c>
      <c r="F5250" s="3">
        <v>0</v>
      </c>
      <c r="G5250" s="3">
        <v>1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/>
      <c r="P5250" s="3"/>
      <c r="Q5250" s="3"/>
    </row>
    <row r="5251" spans="1:17" ht="15" x14ac:dyDescent="0.25">
      <c r="A5251" s="3">
        <f>5244</f>
        <v>5244</v>
      </c>
      <c r="B5251" s="3" t="s">
        <v>5253</v>
      </c>
      <c r="C5251" s="3" t="s">
        <v>10</v>
      </c>
      <c r="D5251" s="3" t="s">
        <v>9</v>
      </c>
      <c r="E5251" s="3">
        <v>22</v>
      </c>
      <c r="F5251" s="3">
        <v>0</v>
      </c>
      <c r="G5251" s="3">
        <v>1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/>
      <c r="P5251" s="3"/>
      <c r="Q5251" s="3"/>
    </row>
    <row r="5252" spans="1:17" ht="15" x14ac:dyDescent="0.25">
      <c r="A5252" s="3">
        <f>5245</f>
        <v>5245</v>
      </c>
      <c r="B5252" s="3" t="s">
        <v>5254</v>
      </c>
      <c r="C5252" s="3" t="s">
        <v>10</v>
      </c>
      <c r="D5252" s="3" t="s">
        <v>9</v>
      </c>
      <c r="E5252" s="3">
        <v>22</v>
      </c>
      <c r="F5252" s="3">
        <v>0</v>
      </c>
      <c r="G5252" s="3">
        <v>1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/>
      <c r="P5252" s="3"/>
      <c r="Q5252" s="3"/>
    </row>
    <row r="5253" spans="1:17" ht="15" x14ac:dyDescent="0.25">
      <c r="A5253" s="3">
        <f>5246</f>
        <v>5246</v>
      </c>
      <c r="B5253" s="3" t="s">
        <v>5255</v>
      </c>
      <c r="C5253" s="3" t="s">
        <v>10</v>
      </c>
      <c r="D5253" s="3" t="s">
        <v>9</v>
      </c>
      <c r="E5253" s="3">
        <v>22</v>
      </c>
      <c r="F5253" s="3">
        <v>0</v>
      </c>
      <c r="G5253" s="3">
        <v>1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/>
      <c r="P5253" s="3"/>
      <c r="Q5253" s="3"/>
    </row>
    <row r="5254" spans="1:17" ht="15" x14ac:dyDescent="0.25">
      <c r="A5254" s="3">
        <f>5247</f>
        <v>5247</v>
      </c>
      <c r="B5254" s="3" t="s">
        <v>5256</v>
      </c>
      <c r="C5254" s="3" t="s">
        <v>10</v>
      </c>
      <c r="D5254" s="3" t="s">
        <v>9</v>
      </c>
      <c r="E5254" s="3">
        <v>22</v>
      </c>
      <c r="F5254" s="3">
        <v>0</v>
      </c>
      <c r="G5254" s="3">
        <v>1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/>
      <c r="P5254" s="3"/>
      <c r="Q5254" s="3"/>
    </row>
    <row r="5255" spans="1:17" ht="15" x14ac:dyDescent="0.25">
      <c r="A5255" s="3">
        <f>5248</f>
        <v>5248</v>
      </c>
      <c r="B5255" s="3" t="s">
        <v>5257</v>
      </c>
      <c r="C5255" s="3" t="s">
        <v>10</v>
      </c>
      <c r="D5255" s="3" t="s">
        <v>9</v>
      </c>
      <c r="E5255" s="3">
        <v>22</v>
      </c>
      <c r="F5255" s="3">
        <v>0</v>
      </c>
      <c r="G5255" s="3">
        <v>1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/>
      <c r="P5255" s="3"/>
      <c r="Q5255" s="3"/>
    </row>
    <row r="5256" spans="1:17" ht="15" x14ac:dyDescent="0.25">
      <c r="A5256" s="3">
        <f>5249</f>
        <v>5249</v>
      </c>
      <c r="B5256" s="3" t="s">
        <v>5258</v>
      </c>
      <c r="C5256" s="3" t="s">
        <v>10</v>
      </c>
      <c r="D5256" s="3" t="s">
        <v>9</v>
      </c>
      <c r="E5256" s="3">
        <v>22</v>
      </c>
      <c r="F5256" s="3">
        <v>0</v>
      </c>
      <c r="G5256" s="3">
        <v>1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/>
      <c r="P5256" s="3"/>
      <c r="Q5256" s="3"/>
    </row>
    <row r="5257" spans="1:17" ht="15" x14ac:dyDescent="0.25">
      <c r="A5257" s="3">
        <f>5250</f>
        <v>5250</v>
      </c>
      <c r="B5257" s="3" t="s">
        <v>5259</v>
      </c>
      <c r="C5257" s="3" t="s">
        <v>10</v>
      </c>
      <c r="D5257" s="3" t="s">
        <v>9</v>
      </c>
      <c r="E5257" s="3">
        <v>22</v>
      </c>
      <c r="F5257" s="3">
        <v>0</v>
      </c>
      <c r="G5257" s="3">
        <v>1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/>
      <c r="P5257" s="3"/>
      <c r="Q5257" s="3"/>
    </row>
    <row r="5258" spans="1:17" ht="15" x14ac:dyDescent="0.25">
      <c r="A5258" s="3">
        <f>5251</f>
        <v>5251</v>
      </c>
      <c r="B5258" s="3" t="s">
        <v>5260</v>
      </c>
      <c r="C5258" s="3" t="s">
        <v>10</v>
      </c>
      <c r="D5258" s="3" t="s">
        <v>9</v>
      </c>
      <c r="E5258" s="3">
        <v>22</v>
      </c>
      <c r="F5258" s="3">
        <v>0</v>
      </c>
      <c r="G5258" s="3">
        <v>1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/>
      <c r="P5258" s="3"/>
      <c r="Q5258" s="3"/>
    </row>
    <row r="5259" spans="1:17" ht="15" x14ac:dyDescent="0.25">
      <c r="A5259" s="3">
        <f>5252</f>
        <v>5252</v>
      </c>
      <c r="B5259" s="3" t="s">
        <v>5261</v>
      </c>
      <c r="C5259" s="3" t="s">
        <v>10</v>
      </c>
      <c r="D5259" s="3" t="s">
        <v>9</v>
      </c>
      <c r="E5259" s="3">
        <v>22</v>
      </c>
      <c r="F5259" s="3">
        <v>0</v>
      </c>
      <c r="G5259" s="3">
        <v>1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/>
      <c r="P5259" s="3"/>
      <c r="Q5259" s="3"/>
    </row>
    <row r="5260" spans="1:17" ht="15" x14ac:dyDescent="0.25">
      <c r="A5260" s="3">
        <f>5253</f>
        <v>5253</v>
      </c>
      <c r="B5260" s="3" t="s">
        <v>5262</v>
      </c>
      <c r="C5260" s="3" t="s">
        <v>10</v>
      </c>
      <c r="D5260" s="3" t="s">
        <v>9</v>
      </c>
      <c r="E5260" s="3">
        <v>22</v>
      </c>
      <c r="F5260" s="3">
        <v>0</v>
      </c>
      <c r="G5260" s="3">
        <v>1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/>
      <c r="P5260" s="3"/>
      <c r="Q5260" s="3"/>
    </row>
    <row r="5261" spans="1:17" ht="15" x14ac:dyDescent="0.25">
      <c r="A5261" s="3">
        <f>5254</f>
        <v>5254</v>
      </c>
      <c r="B5261" s="3" t="s">
        <v>5263</v>
      </c>
      <c r="C5261" s="3" t="s">
        <v>10</v>
      </c>
      <c r="D5261" s="3" t="s">
        <v>9</v>
      </c>
      <c r="E5261" s="3">
        <v>22</v>
      </c>
      <c r="F5261" s="3">
        <v>0</v>
      </c>
      <c r="G5261" s="3">
        <v>1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/>
      <c r="P5261" s="3"/>
      <c r="Q5261" s="3"/>
    </row>
    <row r="5262" spans="1:17" ht="15" x14ac:dyDescent="0.25">
      <c r="A5262" s="3">
        <f>5255</f>
        <v>5255</v>
      </c>
      <c r="B5262" s="3" t="s">
        <v>5264</v>
      </c>
      <c r="C5262" s="3" t="s">
        <v>10</v>
      </c>
      <c r="D5262" s="3" t="s">
        <v>9</v>
      </c>
      <c r="E5262" s="3">
        <v>22</v>
      </c>
      <c r="F5262" s="3">
        <v>0</v>
      </c>
      <c r="G5262" s="3">
        <v>1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/>
      <c r="P5262" s="3"/>
      <c r="Q5262" s="3"/>
    </row>
    <row r="5263" spans="1:17" ht="15" x14ac:dyDescent="0.25">
      <c r="A5263" s="3">
        <f>5256</f>
        <v>5256</v>
      </c>
      <c r="B5263" s="3" t="s">
        <v>5265</v>
      </c>
      <c r="C5263" s="3" t="s">
        <v>10</v>
      </c>
      <c r="D5263" s="3" t="s">
        <v>9</v>
      </c>
      <c r="E5263" s="3">
        <v>22</v>
      </c>
      <c r="F5263" s="3">
        <v>0</v>
      </c>
      <c r="G5263" s="3">
        <v>1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/>
      <c r="P5263" s="3"/>
      <c r="Q5263" s="3"/>
    </row>
    <row r="5264" spans="1:17" ht="15" x14ac:dyDescent="0.25">
      <c r="A5264" s="3">
        <f>5257</f>
        <v>5257</v>
      </c>
      <c r="B5264" s="3" t="s">
        <v>5266</v>
      </c>
      <c r="C5264" s="3" t="s">
        <v>10</v>
      </c>
      <c r="D5264" s="3" t="s">
        <v>9</v>
      </c>
      <c r="E5264" s="3">
        <v>22</v>
      </c>
      <c r="F5264" s="3">
        <v>0</v>
      </c>
      <c r="G5264" s="3">
        <v>1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/>
      <c r="P5264" s="3"/>
      <c r="Q5264" s="3"/>
    </row>
    <row r="5265" spans="1:17" ht="15" x14ac:dyDescent="0.25">
      <c r="A5265" s="3">
        <f>5258</f>
        <v>5258</v>
      </c>
      <c r="B5265" s="3" t="s">
        <v>5267</v>
      </c>
      <c r="C5265" s="3" t="s">
        <v>10</v>
      </c>
      <c r="D5265" s="3" t="s">
        <v>9</v>
      </c>
      <c r="E5265" s="3">
        <v>22</v>
      </c>
      <c r="F5265" s="3">
        <v>0</v>
      </c>
      <c r="G5265" s="3">
        <v>1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/>
      <c r="P5265" s="3"/>
      <c r="Q5265" s="3"/>
    </row>
    <row r="5266" spans="1:17" ht="15" x14ac:dyDescent="0.25">
      <c r="A5266" s="3">
        <f>5259</f>
        <v>5259</v>
      </c>
      <c r="B5266" s="3" t="s">
        <v>5268</v>
      </c>
      <c r="C5266" s="3" t="s">
        <v>10</v>
      </c>
      <c r="D5266" s="3" t="s">
        <v>9</v>
      </c>
      <c r="E5266" s="3">
        <v>22</v>
      </c>
      <c r="F5266" s="3">
        <v>0</v>
      </c>
      <c r="G5266" s="3">
        <v>1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/>
      <c r="P5266" s="3"/>
      <c r="Q5266" s="3"/>
    </row>
    <row r="5267" spans="1:17" ht="15" x14ac:dyDescent="0.25">
      <c r="A5267" s="3">
        <f>5260</f>
        <v>5260</v>
      </c>
      <c r="B5267" s="3" t="s">
        <v>5269</v>
      </c>
      <c r="C5267" s="3" t="s">
        <v>10</v>
      </c>
      <c r="D5267" s="3" t="s">
        <v>9</v>
      </c>
      <c r="E5267" s="3">
        <v>22</v>
      </c>
      <c r="F5267" s="3">
        <v>0</v>
      </c>
      <c r="G5267" s="3">
        <v>1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/>
      <c r="P5267" s="3"/>
      <c r="Q5267" s="3"/>
    </row>
    <row r="5268" spans="1:17" ht="15" x14ac:dyDescent="0.25">
      <c r="A5268" s="3">
        <f>5261</f>
        <v>5261</v>
      </c>
      <c r="B5268" s="3" t="s">
        <v>5270</v>
      </c>
      <c r="C5268" s="3" t="s">
        <v>10</v>
      </c>
      <c r="D5268" s="3" t="s">
        <v>9</v>
      </c>
      <c r="E5268" s="3">
        <v>22</v>
      </c>
      <c r="F5268" s="3">
        <v>0</v>
      </c>
      <c r="G5268" s="3">
        <v>1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/>
      <c r="P5268" s="3"/>
      <c r="Q5268" s="3"/>
    </row>
    <row r="5269" spans="1:17" ht="15" x14ac:dyDescent="0.25">
      <c r="A5269" s="3">
        <f>5262</f>
        <v>5262</v>
      </c>
      <c r="B5269" s="3" t="s">
        <v>5271</v>
      </c>
      <c r="C5269" s="3" t="s">
        <v>10</v>
      </c>
      <c r="D5269" s="3" t="s">
        <v>9</v>
      </c>
      <c r="E5269" s="3">
        <v>22</v>
      </c>
      <c r="F5269" s="3">
        <v>0</v>
      </c>
      <c r="G5269" s="3">
        <v>1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/>
      <c r="P5269" s="3"/>
      <c r="Q5269" s="3"/>
    </row>
    <row r="5270" spans="1:17" ht="15" x14ac:dyDescent="0.25">
      <c r="A5270" s="3">
        <f>5263</f>
        <v>5263</v>
      </c>
      <c r="B5270" s="3" t="s">
        <v>5272</v>
      </c>
      <c r="C5270" s="3" t="s">
        <v>10</v>
      </c>
      <c r="D5270" s="3" t="s">
        <v>9</v>
      </c>
      <c r="E5270" s="3">
        <v>22</v>
      </c>
      <c r="F5270" s="3">
        <v>0</v>
      </c>
      <c r="G5270" s="3">
        <v>1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/>
      <c r="P5270" s="3"/>
      <c r="Q5270" s="3"/>
    </row>
    <row r="5271" spans="1:17" ht="15" x14ac:dyDescent="0.25">
      <c r="A5271" s="3">
        <f>5264</f>
        <v>5264</v>
      </c>
      <c r="B5271" s="3" t="s">
        <v>5273</v>
      </c>
      <c r="C5271" s="3" t="s">
        <v>10</v>
      </c>
      <c r="D5271" s="3" t="s">
        <v>9</v>
      </c>
      <c r="E5271" s="3">
        <v>22</v>
      </c>
      <c r="F5271" s="3">
        <v>0</v>
      </c>
      <c r="G5271" s="3">
        <v>1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/>
      <c r="P5271" s="3"/>
      <c r="Q5271" s="3"/>
    </row>
    <row r="5272" spans="1:17" ht="15" x14ac:dyDescent="0.25">
      <c r="A5272" s="3">
        <f>5265</f>
        <v>5265</v>
      </c>
      <c r="B5272" s="3" t="s">
        <v>5274</v>
      </c>
      <c r="C5272" s="3" t="s">
        <v>10</v>
      </c>
      <c r="D5272" s="3" t="s">
        <v>9</v>
      </c>
      <c r="E5272" s="3">
        <v>22</v>
      </c>
      <c r="F5272" s="3">
        <v>0</v>
      </c>
      <c r="G5272" s="3">
        <v>1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/>
      <c r="P5272" s="3"/>
      <c r="Q5272" s="3"/>
    </row>
    <row r="5273" spans="1:17" ht="15" x14ac:dyDescent="0.25">
      <c r="A5273" s="3">
        <f>5266</f>
        <v>5266</v>
      </c>
      <c r="B5273" s="3" t="s">
        <v>5275</v>
      </c>
      <c r="C5273" s="3" t="s">
        <v>10</v>
      </c>
      <c r="D5273" s="3" t="s">
        <v>9</v>
      </c>
      <c r="E5273" s="3">
        <v>22</v>
      </c>
      <c r="F5273" s="3">
        <v>0</v>
      </c>
      <c r="G5273" s="3">
        <v>1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/>
      <c r="P5273" s="3"/>
      <c r="Q5273" s="3"/>
    </row>
    <row r="5274" spans="1:17" ht="15" x14ac:dyDescent="0.25">
      <c r="A5274" s="3">
        <f>5267</f>
        <v>5267</v>
      </c>
      <c r="B5274" s="3" t="s">
        <v>5276</v>
      </c>
      <c r="C5274" s="3" t="s">
        <v>10</v>
      </c>
      <c r="D5274" s="3" t="s">
        <v>9</v>
      </c>
      <c r="E5274" s="3">
        <v>22</v>
      </c>
      <c r="F5274" s="3">
        <v>0</v>
      </c>
      <c r="G5274" s="3">
        <v>1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/>
      <c r="P5274" s="3"/>
      <c r="Q5274" s="3"/>
    </row>
    <row r="5275" spans="1:17" ht="15" x14ac:dyDescent="0.25">
      <c r="A5275" s="3">
        <f>5268</f>
        <v>5268</v>
      </c>
      <c r="B5275" s="3" t="s">
        <v>5277</v>
      </c>
      <c r="C5275" s="3" t="s">
        <v>10</v>
      </c>
      <c r="D5275" s="3" t="s">
        <v>9</v>
      </c>
      <c r="E5275" s="3">
        <v>22</v>
      </c>
      <c r="F5275" s="3">
        <v>0</v>
      </c>
      <c r="G5275" s="3">
        <v>1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/>
      <c r="P5275" s="3"/>
      <c r="Q5275" s="3"/>
    </row>
    <row r="5276" spans="1:17" ht="15" x14ac:dyDescent="0.25">
      <c r="A5276" s="3">
        <f>5269</f>
        <v>5269</v>
      </c>
      <c r="B5276" s="3" t="s">
        <v>5278</v>
      </c>
      <c r="C5276" s="3" t="s">
        <v>10</v>
      </c>
      <c r="D5276" s="3" t="s">
        <v>9</v>
      </c>
      <c r="E5276" s="3">
        <v>22</v>
      </c>
      <c r="F5276" s="3">
        <v>0</v>
      </c>
      <c r="G5276" s="3">
        <v>1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/>
      <c r="P5276" s="3"/>
      <c r="Q5276" s="3"/>
    </row>
    <row r="5277" spans="1:17" ht="15" x14ac:dyDescent="0.25">
      <c r="A5277" s="3">
        <f>5270</f>
        <v>5270</v>
      </c>
      <c r="B5277" s="3" t="s">
        <v>5279</v>
      </c>
      <c r="C5277" s="3" t="s">
        <v>10</v>
      </c>
      <c r="D5277" s="3" t="s">
        <v>9</v>
      </c>
      <c r="E5277" s="3">
        <v>22</v>
      </c>
      <c r="F5277" s="3">
        <v>0</v>
      </c>
      <c r="G5277" s="3">
        <v>1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/>
      <c r="P5277" s="3"/>
      <c r="Q5277" s="3"/>
    </row>
    <row r="5278" spans="1:17" ht="15" x14ac:dyDescent="0.25">
      <c r="A5278" s="3">
        <f>5271</f>
        <v>5271</v>
      </c>
      <c r="B5278" s="3" t="s">
        <v>5280</v>
      </c>
      <c r="C5278" s="3" t="s">
        <v>10</v>
      </c>
      <c r="D5278" s="3" t="s">
        <v>9</v>
      </c>
      <c r="E5278" s="3">
        <v>22</v>
      </c>
      <c r="F5278" s="3">
        <v>0</v>
      </c>
      <c r="G5278" s="3">
        <v>1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/>
      <c r="P5278" s="3"/>
      <c r="Q5278" s="3"/>
    </row>
    <row r="5279" spans="1:17" ht="15" x14ac:dyDescent="0.25">
      <c r="A5279" s="3">
        <f>5272</f>
        <v>5272</v>
      </c>
      <c r="B5279" s="3" t="s">
        <v>5281</v>
      </c>
      <c r="C5279" s="3" t="s">
        <v>10</v>
      </c>
      <c r="D5279" s="3" t="s">
        <v>9</v>
      </c>
      <c r="E5279" s="3">
        <v>22</v>
      </c>
      <c r="F5279" s="3">
        <v>0</v>
      </c>
      <c r="G5279" s="3">
        <v>1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/>
      <c r="P5279" s="3"/>
      <c r="Q5279" s="3"/>
    </row>
    <row r="5280" spans="1:17" ht="15" x14ac:dyDescent="0.25">
      <c r="A5280" s="3">
        <f>5273</f>
        <v>5273</v>
      </c>
      <c r="B5280" s="3" t="s">
        <v>5282</v>
      </c>
      <c r="C5280" s="3" t="s">
        <v>10</v>
      </c>
      <c r="D5280" s="3" t="s">
        <v>9</v>
      </c>
      <c r="E5280" s="3">
        <v>22</v>
      </c>
      <c r="F5280" s="3">
        <v>0</v>
      </c>
      <c r="G5280" s="3">
        <v>1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/>
      <c r="P5280" s="3"/>
      <c r="Q5280" s="3"/>
    </row>
    <row r="5281" spans="1:17" ht="15" x14ac:dyDescent="0.25">
      <c r="A5281" s="3">
        <f>5274</f>
        <v>5274</v>
      </c>
      <c r="B5281" s="3" t="s">
        <v>5283</v>
      </c>
      <c r="C5281" s="3" t="s">
        <v>10</v>
      </c>
      <c r="D5281" s="3" t="s">
        <v>9</v>
      </c>
      <c r="E5281" s="3">
        <v>22</v>
      </c>
      <c r="F5281" s="3">
        <v>0</v>
      </c>
      <c r="G5281" s="3">
        <v>1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/>
      <c r="P5281" s="3"/>
      <c r="Q5281" s="3"/>
    </row>
    <row r="5282" spans="1:17" ht="15" x14ac:dyDescent="0.25">
      <c r="A5282" s="3">
        <f>5275</f>
        <v>5275</v>
      </c>
      <c r="B5282" s="3" t="s">
        <v>5284</v>
      </c>
      <c r="C5282" s="3" t="s">
        <v>10</v>
      </c>
      <c r="D5282" s="3" t="s">
        <v>9</v>
      </c>
      <c r="E5282" s="3">
        <v>22</v>
      </c>
      <c r="F5282" s="3">
        <v>0</v>
      </c>
      <c r="G5282" s="3">
        <v>1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/>
      <c r="P5282" s="3"/>
      <c r="Q5282" s="3"/>
    </row>
    <row r="5283" spans="1:17" ht="15" x14ac:dyDescent="0.25">
      <c r="A5283" s="3">
        <f>5276</f>
        <v>5276</v>
      </c>
      <c r="B5283" s="3" t="s">
        <v>5285</v>
      </c>
      <c r="C5283" s="3" t="s">
        <v>10</v>
      </c>
      <c r="D5283" s="3" t="s">
        <v>9</v>
      </c>
      <c r="E5283" s="3">
        <v>22</v>
      </c>
      <c r="F5283" s="3">
        <v>0</v>
      </c>
      <c r="G5283" s="3">
        <v>1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/>
      <c r="P5283" s="3"/>
      <c r="Q5283" s="3"/>
    </row>
    <row r="5284" spans="1:17" ht="15" x14ac:dyDescent="0.25">
      <c r="A5284" s="3">
        <f>5277</f>
        <v>5277</v>
      </c>
      <c r="B5284" s="3" t="s">
        <v>5286</v>
      </c>
      <c r="C5284" s="3" t="s">
        <v>10</v>
      </c>
      <c r="D5284" s="3" t="s">
        <v>9</v>
      </c>
      <c r="E5284" s="3">
        <v>22</v>
      </c>
      <c r="F5284" s="3">
        <v>0</v>
      </c>
      <c r="G5284" s="3">
        <v>1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/>
      <c r="P5284" s="3"/>
      <c r="Q5284" s="3"/>
    </row>
    <row r="5285" spans="1:17" ht="15" x14ac:dyDescent="0.25">
      <c r="A5285" s="3">
        <f>5278</f>
        <v>5278</v>
      </c>
      <c r="B5285" s="3" t="s">
        <v>5287</v>
      </c>
      <c r="C5285" s="3" t="s">
        <v>10</v>
      </c>
      <c r="D5285" s="3" t="s">
        <v>9</v>
      </c>
      <c r="E5285" s="3">
        <v>22</v>
      </c>
      <c r="F5285" s="3">
        <v>0</v>
      </c>
      <c r="G5285" s="3">
        <v>1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/>
      <c r="P5285" s="3"/>
      <c r="Q5285" s="3"/>
    </row>
    <row r="5286" spans="1:17" ht="15" x14ac:dyDescent="0.25">
      <c r="A5286" s="3">
        <f>5279</f>
        <v>5279</v>
      </c>
      <c r="B5286" s="3" t="s">
        <v>5288</v>
      </c>
      <c r="C5286" s="3" t="s">
        <v>10</v>
      </c>
      <c r="D5286" s="3" t="s">
        <v>9</v>
      </c>
      <c r="E5286" s="3">
        <v>22</v>
      </c>
      <c r="F5286" s="3">
        <v>0</v>
      </c>
      <c r="G5286" s="3">
        <v>1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/>
      <c r="P5286" s="3"/>
      <c r="Q5286" s="3"/>
    </row>
    <row r="5287" spans="1:17" ht="15" x14ac:dyDescent="0.25">
      <c r="A5287" s="3">
        <f>5280</f>
        <v>5280</v>
      </c>
      <c r="B5287" s="3" t="s">
        <v>5289</v>
      </c>
      <c r="C5287" s="3" t="s">
        <v>10</v>
      </c>
      <c r="D5287" s="3" t="s">
        <v>9</v>
      </c>
      <c r="E5287" s="3">
        <v>22</v>
      </c>
      <c r="F5287" s="3">
        <v>0</v>
      </c>
      <c r="G5287" s="3">
        <v>1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/>
      <c r="P5287" s="3"/>
      <c r="Q5287" s="3"/>
    </row>
    <row r="5288" spans="1:17" ht="15" x14ac:dyDescent="0.25">
      <c r="A5288" s="3">
        <f>5281</f>
        <v>5281</v>
      </c>
      <c r="B5288" s="3" t="s">
        <v>5290</v>
      </c>
      <c r="C5288" s="3" t="s">
        <v>9</v>
      </c>
      <c r="D5288" s="3" t="s">
        <v>9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/>
      <c r="P5288" s="3"/>
      <c r="Q5288" s="3"/>
    </row>
    <row r="5289" spans="1:17" ht="15" x14ac:dyDescent="0.25">
      <c r="A5289" s="3">
        <f>5282</f>
        <v>5282</v>
      </c>
      <c r="B5289" s="3" t="s">
        <v>5291</v>
      </c>
      <c r="C5289" s="3" t="s">
        <v>9</v>
      </c>
      <c r="D5289" s="3" t="s">
        <v>9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/>
      <c r="P5289" s="3"/>
      <c r="Q5289" s="3"/>
    </row>
    <row r="5290" spans="1:17" ht="15" x14ac:dyDescent="0.25">
      <c r="A5290" s="3">
        <f>5283</f>
        <v>5283</v>
      </c>
      <c r="B5290" s="3" t="s">
        <v>5292</v>
      </c>
      <c r="C5290" s="3" t="s">
        <v>9</v>
      </c>
      <c r="D5290" s="3" t="s">
        <v>9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/>
      <c r="P5290" s="3"/>
      <c r="Q5290" s="3"/>
    </row>
    <row r="5291" spans="1:17" ht="15" x14ac:dyDescent="0.25">
      <c r="A5291" s="3">
        <f>5284</f>
        <v>5284</v>
      </c>
      <c r="B5291" s="3" t="s">
        <v>5293</v>
      </c>
      <c r="C5291" s="3" t="s">
        <v>9</v>
      </c>
      <c r="D5291" s="3" t="s">
        <v>9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/>
      <c r="P5291" s="3"/>
      <c r="Q5291" s="3"/>
    </row>
    <row r="5292" spans="1:17" ht="15" x14ac:dyDescent="0.25">
      <c r="A5292" s="3">
        <f>5285</f>
        <v>5285</v>
      </c>
      <c r="B5292" s="3" t="s">
        <v>5294</v>
      </c>
      <c r="C5292" s="3" t="s">
        <v>9</v>
      </c>
      <c r="D5292" s="3" t="s">
        <v>9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/>
      <c r="P5292" s="3"/>
      <c r="Q5292" s="3"/>
    </row>
    <row r="5293" spans="1:17" ht="15" x14ac:dyDescent="0.25">
      <c r="A5293" s="3">
        <f>5286</f>
        <v>5286</v>
      </c>
      <c r="B5293" s="3" t="s">
        <v>5295</v>
      </c>
      <c r="C5293" s="3" t="s">
        <v>9</v>
      </c>
      <c r="D5293" s="3" t="s">
        <v>9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/>
      <c r="P5293" s="3"/>
      <c r="Q5293" s="3"/>
    </row>
    <row r="5294" spans="1:17" ht="15" x14ac:dyDescent="0.25">
      <c r="A5294" s="3">
        <f>5287</f>
        <v>5287</v>
      </c>
      <c r="B5294" s="3" t="s">
        <v>5296</v>
      </c>
      <c r="C5294" s="3" t="s">
        <v>9</v>
      </c>
      <c r="D5294" s="3" t="s">
        <v>9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/>
      <c r="P5294" s="3"/>
      <c r="Q5294" s="3"/>
    </row>
    <row r="5295" spans="1:17" ht="15" x14ac:dyDescent="0.25">
      <c r="A5295" s="3">
        <f>5288</f>
        <v>5288</v>
      </c>
      <c r="B5295" s="3" t="s">
        <v>5297</v>
      </c>
      <c r="C5295" s="3" t="s">
        <v>9</v>
      </c>
      <c r="D5295" s="3" t="s">
        <v>9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/>
      <c r="P5295" s="3"/>
      <c r="Q5295" s="3"/>
    </row>
    <row r="5296" spans="1:17" ht="15" x14ac:dyDescent="0.25">
      <c r="A5296" s="3">
        <f>5289</f>
        <v>5289</v>
      </c>
      <c r="B5296" s="3" t="s">
        <v>5298</v>
      </c>
      <c r="C5296" s="3" t="s">
        <v>9</v>
      </c>
      <c r="D5296" s="3" t="s">
        <v>9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/>
      <c r="P5296" s="3"/>
      <c r="Q5296" s="3"/>
    </row>
    <row r="5297" spans="1:17" ht="15" x14ac:dyDescent="0.25">
      <c r="A5297" s="3">
        <f>5290</f>
        <v>5290</v>
      </c>
      <c r="B5297" s="3" t="s">
        <v>5299</v>
      </c>
      <c r="C5297" s="3" t="s">
        <v>9</v>
      </c>
      <c r="D5297" s="3" t="s">
        <v>9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/>
      <c r="P5297" s="3"/>
      <c r="Q5297" s="3"/>
    </row>
    <row r="5298" spans="1:17" ht="15" x14ac:dyDescent="0.25">
      <c r="A5298" s="3">
        <f>5291</f>
        <v>5291</v>
      </c>
      <c r="B5298" s="3" t="s">
        <v>5300</v>
      </c>
      <c r="C5298" s="3" t="s">
        <v>9</v>
      </c>
      <c r="D5298" s="3" t="s">
        <v>9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/>
      <c r="P5298" s="3"/>
      <c r="Q5298" s="3"/>
    </row>
    <row r="5299" spans="1:17" ht="15" x14ac:dyDescent="0.25">
      <c r="A5299" s="3">
        <f>5292</f>
        <v>5292</v>
      </c>
      <c r="B5299" s="3" t="s">
        <v>5301</v>
      </c>
      <c r="C5299" s="3" t="s">
        <v>9</v>
      </c>
      <c r="D5299" s="3" t="s">
        <v>9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/>
      <c r="P5299" s="3"/>
      <c r="Q5299" s="3"/>
    </row>
    <row r="5300" spans="1:17" ht="15" x14ac:dyDescent="0.25">
      <c r="A5300" s="3">
        <f>5293</f>
        <v>5293</v>
      </c>
      <c r="B5300" s="3" t="s">
        <v>5302</v>
      </c>
      <c r="C5300" s="3" t="s">
        <v>9</v>
      </c>
      <c r="D5300" s="3" t="s">
        <v>9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/>
      <c r="P5300" s="3"/>
      <c r="Q5300" s="3"/>
    </row>
    <row r="5301" spans="1:17" ht="15" x14ac:dyDescent="0.25">
      <c r="A5301" s="3">
        <f>5294</f>
        <v>5294</v>
      </c>
      <c r="B5301" s="3" t="s">
        <v>5303</v>
      </c>
      <c r="C5301" s="3" t="s">
        <v>9</v>
      </c>
      <c r="D5301" s="3" t="s">
        <v>9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/>
      <c r="P5301" s="3"/>
      <c r="Q5301" s="3"/>
    </row>
    <row r="5302" spans="1:17" ht="15" x14ac:dyDescent="0.25">
      <c r="A5302" s="3">
        <f>5295</f>
        <v>5295</v>
      </c>
      <c r="B5302" s="3" t="s">
        <v>5304</v>
      </c>
      <c r="C5302" s="3" t="s">
        <v>9</v>
      </c>
      <c r="D5302" s="3" t="s">
        <v>9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/>
      <c r="P5302" s="3"/>
      <c r="Q5302" s="3"/>
    </row>
    <row r="5303" spans="1:17" ht="15" x14ac:dyDescent="0.25">
      <c r="A5303" s="3">
        <f>5296</f>
        <v>5296</v>
      </c>
      <c r="B5303" s="3" t="s">
        <v>5305</v>
      </c>
      <c r="C5303" s="3" t="s">
        <v>9</v>
      </c>
      <c r="D5303" s="3" t="s">
        <v>9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/>
      <c r="P5303" s="3"/>
      <c r="Q5303" s="3"/>
    </row>
    <row r="5304" spans="1:17" ht="15" x14ac:dyDescent="0.25">
      <c r="A5304" s="3">
        <f>5297</f>
        <v>5297</v>
      </c>
      <c r="B5304" s="3" t="s">
        <v>5306</v>
      </c>
      <c r="C5304" s="3" t="s">
        <v>9</v>
      </c>
      <c r="D5304" s="3" t="s">
        <v>9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/>
      <c r="P5304" s="3"/>
      <c r="Q5304" s="3"/>
    </row>
    <row r="5305" spans="1:17" ht="15" x14ac:dyDescent="0.25">
      <c r="A5305" s="3">
        <f>5298</f>
        <v>5298</v>
      </c>
      <c r="B5305" s="3" t="s">
        <v>5307</v>
      </c>
      <c r="C5305" s="3" t="s">
        <v>9</v>
      </c>
      <c r="D5305" s="3" t="s">
        <v>9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/>
      <c r="P5305" s="3"/>
      <c r="Q5305" s="3"/>
    </row>
    <row r="5306" spans="1:17" ht="15" x14ac:dyDescent="0.25">
      <c r="A5306" s="3">
        <f>5299</f>
        <v>5299</v>
      </c>
      <c r="B5306" s="3" t="s">
        <v>5308</v>
      </c>
      <c r="C5306" s="3" t="s">
        <v>9</v>
      </c>
      <c r="D5306" s="3" t="s">
        <v>9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/>
      <c r="P5306" s="3"/>
      <c r="Q5306" s="3"/>
    </row>
    <row r="5307" spans="1:17" ht="15" x14ac:dyDescent="0.25">
      <c r="A5307" s="3">
        <f>5300</f>
        <v>5300</v>
      </c>
      <c r="B5307" s="3" t="s">
        <v>5309</v>
      </c>
      <c r="C5307" s="3" t="s">
        <v>9</v>
      </c>
      <c r="D5307" s="3" t="s">
        <v>9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/>
      <c r="P5307" s="3"/>
      <c r="Q5307" s="3"/>
    </row>
    <row r="5308" spans="1:17" ht="15" x14ac:dyDescent="0.25">
      <c r="A5308" s="3">
        <f>5301</f>
        <v>5301</v>
      </c>
      <c r="B5308" s="3" t="s">
        <v>5310</v>
      </c>
      <c r="C5308" s="3" t="s">
        <v>9</v>
      </c>
      <c r="D5308" s="3" t="s">
        <v>9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/>
      <c r="P5308" s="3"/>
      <c r="Q5308" s="3"/>
    </row>
    <row r="5309" spans="1:17" ht="15" x14ac:dyDescent="0.25">
      <c r="A5309" s="3">
        <f>5302</f>
        <v>5302</v>
      </c>
      <c r="B5309" s="3" t="s">
        <v>5311</v>
      </c>
      <c r="C5309" s="3" t="s">
        <v>9</v>
      </c>
      <c r="D5309" s="3" t="s">
        <v>9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/>
      <c r="P5309" s="3"/>
      <c r="Q5309" s="3"/>
    </row>
    <row r="5310" spans="1:17" ht="15" x14ac:dyDescent="0.25">
      <c r="A5310" s="3">
        <f>5303</f>
        <v>5303</v>
      </c>
      <c r="B5310" s="3" t="s">
        <v>5312</v>
      </c>
      <c r="C5310" s="3" t="s">
        <v>9</v>
      </c>
      <c r="D5310" s="3" t="s">
        <v>9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/>
      <c r="P5310" s="3"/>
      <c r="Q5310" s="3"/>
    </row>
    <row r="5311" spans="1:17" ht="15" x14ac:dyDescent="0.25">
      <c r="A5311" s="3">
        <f>5304</f>
        <v>5304</v>
      </c>
      <c r="B5311" s="3" t="s">
        <v>5313</v>
      </c>
      <c r="C5311" s="3" t="s">
        <v>9</v>
      </c>
      <c r="D5311" s="3" t="s">
        <v>9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/>
      <c r="P5311" s="3"/>
      <c r="Q5311" s="3"/>
    </row>
    <row r="5312" spans="1:17" ht="15" x14ac:dyDescent="0.25">
      <c r="A5312" s="3">
        <f>5305</f>
        <v>5305</v>
      </c>
      <c r="B5312" s="3" t="s">
        <v>5314</v>
      </c>
      <c r="C5312" s="3" t="s">
        <v>9</v>
      </c>
      <c r="D5312" s="3" t="s">
        <v>9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/>
      <c r="P5312" s="3"/>
      <c r="Q5312" s="3"/>
    </row>
    <row r="5313" spans="1:17" ht="15" x14ac:dyDescent="0.25">
      <c r="A5313" s="3">
        <f>5306</f>
        <v>5306</v>
      </c>
      <c r="B5313" s="3" t="s">
        <v>5315</v>
      </c>
      <c r="C5313" s="3" t="s">
        <v>9</v>
      </c>
      <c r="D5313" s="3" t="s">
        <v>9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/>
      <c r="P5313" s="3"/>
      <c r="Q5313" s="3"/>
    </row>
    <row r="5314" spans="1:17" ht="15" x14ac:dyDescent="0.25">
      <c r="A5314" s="3">
        <f>5307</f>
        <v>5307</v>
      </c>
      <c r="B5314" s="3" t="s">
        <v>5316</v>
      </c>
      <c r="C5314" s="3" t="s">
        <v>9</v>
      </c>
      <c r="D5314" s="3" t="s">
        <v>9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/>
      <c r="P5314" s="3"/>
      <c r="Q5314" s="3"/>
    </row>
    <row r="5315" spans="1:17" ht="15" x14ac:dyDescent="0.25">
      <c r="A5315" s="3">
        <f>5308</f>
        <v>5308</v>
      </c>
      <c r="B5315" s="3" t="s">
        <v>5317</v>
      </c>
      <c r="C5315" s="3" t="s">
        <v>9</v>
      </c>
      <c r="D5315" s="3" t="s">
        <v>9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/>
      <c r="P5315" s="3"/>
      <c r="Q5315" s="3"/>
    </row>
    <row r="5316" spans="1:17" ht="15" x14ac:dyDescent="0.25">
      <c r="A5316" s="3">
        <f>5309</f>
        <v>5309</v>
      </c>
      <c r="B5316" s="3" t="s">
        <v>5318</v>
      </c>
      <c r="C5316" s="3" t="s">
        <v>9</v>
      </c>
      <c r="D5316" s="3" t="s">
        <v>9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/>
      <c r="P5316" s="3"/>
      <c r="Q5316" s="3"/>
    </row>
    <row r="5317" spans="1:17" ht="15" x14ac:dyDescent="0.25">
      <c r="A5317" s="3">
        <f>5310</f>
        <v>5310</v>
      </c>
      <c r="B5317" s="3" t="s">
        <v>5319</v>
      </c>
      <c r="C5317" s="3" t="s">
        <v>9</v>
      </c>
      <c r="D5317" s="3" t="s">
        <v>9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/>
      <c r="P5317" s="3"/>
      <c r="Q5317" s="3"/>
    </row>
    <row r="5318" spans="1:17" ht="15" x14ac:dyDescent="0.25">
      <c r="A5318" s="3">
        <f>5311</f>
        <v>5311</v>
      </c>
      <c r="B5318" s="3" t="s">
        <v>5320</v>
      </c>
      <c r="C5318" s="3" t="s">
        <v>9</v>
      </c>
      <c r="D5318" s="3" t="s">
        <v>9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/>
      <c r="P5318" s="3"/>
      <c r="Q5318" s="3"/>
    </row>
    <row r="5319" spans="1:17" ht="15" x14ac:dyDescent="0.25">
      <c r="A5319" s="3">
        <f>5312</f>
        <v>5312</v>
      </c>
      <c r="B5319" s="3" t="s">
        <v>5321</v>
      </c>
      <c r="C5319" s="3" t="s">
        <v>9</v>
      </c>
      <c r="D5319" s="3" t="s">
        <v>9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/>
      <c r="P5319" s="3"/>
      <c r="Q5319" s="3"/>
    </row>
    <row r="5320" spans="1:17" ht="15" x14ac:dyDescent="0.25">
      <c r="A5320" s="3">
        <f>5313</f>
        <v>5313</v>
      </c>
      <c r="B5320" s="3" t="s">
        <v>5322</v>
      </c>
      <c r="C5320" s="3" t="s">
        <v>9</v>
      </c>
      <c r="D5320" s="3" t="s">
        <v>9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/>
      <c r="P5320" s="3"/>
      <c r="Q5320" s="3"/>
    </row>
    <row r="5321" spans="1:17" ht="15" x14ac:dyDescent="0.25">
      <c r="A5321" s="3">
        <f>5314</f>
        <v>5314</v>
      </c>
      <c r="B5321" s="3" t="s">
        <v>5323</v>
      </c>
      <c r="C5321" s="3" t="s">
        <v>9</v>
      </c>
      <c r="D5321" s="3" t="s">
        <v>9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/>
      <c r="P5321" s="3"/>
      <c r="Q5321" s="3"/>
    </row>
    <row r="5322" spans="1:17" ht="15" x14ac:dyDescent="0.25">
      <c r="A5322" s="3">
        <f>5315</f>
        <v>5315</v>
      </c>
      <c r="B5322" s="3" t="s">
        <v>5324</v>
      </c>
      <c r="C5322" s="3" t="s">
        <v>9</v>
      </c>
      <c r="D5322" s="3" t="s">
        <v>9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/>
      <c r="P5322" s="3"/>
      <c r="Q5322" s="3"/>
    </row>
    <row r="5323" spans="1:17" ht="15" x14ac:dyDescent="0.25">
      <c r="A5323" s="3">
        <f>5316</f>
        <v>5316</v>
      </c>
      <c r="B5323" s="3" t="s">
        <v>5325</v>
      </c>
      <c r="C5323" s="3" t="s">
        <v>9</v>
      </c>
      <c r="D5323" s="3" t="s">
        <v>9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/>
      <c r="P5323" s="3"/>
      <c r="Q5323" s="3"/>
    </row>
    <row r="5324" spans="1:17" ht="15" x14ac:dyDescent="0.25">
      <c r="A5324" s="3">
        <f>5317</f>
        <v>5317</v>
      </c>
      <c r="B5324" s="3" t="s">
        <v>5326</v>
      </c>
      <c r="C5324" s="3" t="s">
        <v>9</v>
      </c>
      <c r="D5324" s="3" t="s">
        <v>9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/>
      <c r="P5324" s="3"/>
      <c r="Q5324" s="3"/>
    </row>
    <row r="5325" spans="1:17" ht="15" x14ac:dyDescent="0.25">
      <c r="A5325" s="3">
        <f>5318</f>
        <v>5318</v>
      </c>
      <c r="B5325" s="3" t="s">
        <v>5327</v>
      </c>
      <c r="C5325" s="3" t="s">
        <v>9</v>
      </c>
      <c r="D5325" s="3" t="s">
        <v>9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/>
      <c r="P5325" s="3"/>
      <c r="Q5325" s="3"/>
    </row>
    <row r="5326" spans="1:17" ht="15" x14ac:dyDescent="0.25">
      <c r="A5326" s="3">
        <f>5319</f>
        <v>5319</v>
      </c>
      <c r="B5326" s="3" t="s">
        <v>5328</v>
      </c>
      <c r="C5326" s="3" t="s">
        <v>9</v>
      </c>
      <c r="D5326" s="3" t="s">
        <v>9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/>
      <c r="P5326" s="3"/>
      <c r="Q5326" s="3"/>
    </row>
    <row r="5327" spans="1:17" ht="15" x14ac:dyDescent="0.25">
      <c r="A5327" s="3">
        <f>5320</f>
        <v>5320</v>
      </c>
      <c r="B5327" s="3" t="s">
        <v>5329</v>
      </c>
      <c r="C5327" s="3" t="s">
        <v>9</v>
      </c>
      <c r="D5327" s="3" t="s">
        <v>9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/>
      <c r="P5327" s="3"/>
      <c r="Q5327" s="3"/>
    </row>
    <row r="5328" spans="1:17" ht="15" x14ac:dyDescent="0.25">
      <c r="A5328" s="3">
        <f>5321</f>
        <v>5321</v>
      </c>
      <c r="B5328" s="3" t="s">
        <v>5330</v>
      </c>
      <c r="C5328" s="3" t="s">
        <v>9</v>
      </c>
      <c r="D5328" s="3" t="s">
        <v>9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/>
      <c r="P5328" s="3"/>
      <c r="Q5328" s="3"/>
    </row>
    <row r="5329" spans="1:17" ht="15" x14ac:dyDescent="0.25">
      <c r="A5329" s="3">
        <f>5322</f>
        <v>5322</v>
      </c>
      <c r="B5329" s="3" t="s">
        <v>5331</v>
      </c>
      <c r="C5329" s="3" t="s">
        <v>9</v>
      </c>
      <c r="D5329" s="3" t="s">
        <v>9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/>
      <c r="P5329" s="3"/>
      <c r="Q5329" s="3"/>
    </row>
    <row r="5330" spans="1:17" ht="15" x14ac:dyDescent="0.25">
      <c r="A5330" s="3">
        <f>5323</f>
        <v>5323</v>
      </c>
      <c r="B5330" s="3" t="s">
        <v>5332</v>
      </c>
      <c r="C5330" s="3" t="s">
        <v>9</v>
      </c>
      <c r="D5330" s="3" t="s">
        <v>9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/>
      <c r="P5330" s="3"/>
      <c r="Q5330" s="3"/>
    </row>
    <row r="5331" spans="1:17" ht="15" x14ac:dyDescent="0.25">
      <c r="A5331" s="3">
        <f>5324</f>
        <v>5324</v>
      </c>
      <c r="B5331" s="3" t="s">
        <v>5333</v>
      </c>
      <c r="C5331" s="3" t="s">
        <v>9</v>
      </c>
      <c r="D5331" s="3" t="s">
        <v>9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/>
      <c r="P5331" s="3"/>
      <c r="Q5331" s="3"/>
    </row>
    <row r="5332" spans="1:17" ht="15" x14ac:dyDescent="0.25">
      <c r="A5332" s="3">
        <f>5325</f>
        <v>5325</v>
      </c>
      <c r="B5332" s="3" t="s">
        <v>5334</v>
      </c>
      <c r="C5332" s="3" t="s">
        <v>9</v>
      </c>
      <c r="D5332" s="3" t="s">
        <v>9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/>
      <c r="P5332" s="3"/>
      <c r="Q5332" s="3"/>
    </row>
    <row r="5333" spans="1:17" ht="15" x14ac:dyDescent="0.25">
      <c r="A5333" s="3">
        <f>5326</f>
        <v>5326</v>
      </c>
      <c r="B5333" s="3" t="s">
        <v>5335</v>
      </c>
      <c r="C5333" s="3" t="s">
        <v>9</v>
      </c>
      <c r="D5333" s="3" t="s">
        <v>9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/>
      <c r="P5333" s="3"/>
      <c r="Q5333" s="3"/>
    </row>
    <row r="5334" spans="1:17" ht="15" x14ac:dyDescent="0.25">
      <c r="A5334" s="3">
        <f>5327</f>
        <v>5327</v>
      </c>
      <c r="B5334" s="3" t="s">
        <v>5336</v>
      </c>
      <c r="C5334" s="3" t="s">
        <v>9</v>
      </c>
      <c r="D5334" s="3" t="s">
        <v>9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/>
      <c r="P5334" s="3"/>
      <c r="Q5334" s="3"/>
    </row>
    <row r="5335" spans="1:17" ht="15" x14ac:dyDescent="0.25">
      <c r="A5335" s="3">
        <f>5328</f>
        <v>5328</v>
      </c>
      <c r="B5335" s="3" t="s">
        <v>5337</v>
      </c>
      <c r="C5335" s="3" t="s">
        <v>9</v>
      </c>
      <c r="D5335" s="3" t="s">
        <v>9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/>
      <c r="P5335" s="3"/>
      <c r="Q5335" s="3"/>
    </row>
    <row r="5336" spans="1:17" ht="15" x14ac:dyDescent="0.25">
      <c r="A5336" s="3">
        <f>5329</f>
        <v>5329</v>
      </c>
      <c r="B5336" s="3" t="s">
        <v>5338</v>
      </c>
      <c r="C5336" s="3" t="s">
        <v>9</v>
      </c>
      <c r="D5336" s="3" t="s">
        <v>9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/>
      <c r="P5336" s="3"/>
      <c r="Q5336" s="3"/>
    </row>
    <row r="5337" spans="1:17" ht="15" x14ac:dyDescent="0.25">
      <c r="A5337" s="3">
        <f>5330</f>
        <v>5330</v>
      </c>
      <c r="B5337" s="3" t="s">
        <v>5339</v>
      </c>
      <c r="C5337" s="3" t="s">
        <v>9</v>
      </c>
      <c r="D5337" s="3" t="s">
        <v>9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/>
      <c r="P5337" s="3"/>
      <c r="Q5337" s="3"/>
    </row>
    <row r="5338" spans="1:17" ht="15" x14ac:dyDescent="0.25">
      <c r="A5338" s="3">
        <f>5331</f>
        <v>5331</v>
      </c>
      <c r="B5338" s="3" t="s">
        <v>5340</v>
      </c>
      <c r="C5338" s="3" t="s">
        <v>9</v>
      </c>
      <c r="D5338" s="3" t="s">
        <v>9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/>
      <c r="P5338" s="3"/>
      <c r="Q5338" s="3"/>
    </row>
    <row r="5339" spans="1:17" ht="15" x14ac:dyDescent="0.25">
      <c r="A5339" s="3">
        <f>5332</f>
        <v>5332</v>
      </c>
      <c r="B5339" s="3" t="s">
        <v>5341</v>
      </c>
      <c r="C5339" s="3" t="s">
        <v>9</v>
      </c>
      <c r="D5339" s="3" t="s">
        <v>9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/>
      <c r="P5339" s="3"/>
      <c r="Q5339" s="3"/>
    </row>
    <row r="5340" spans="1:17" ht="15" x14ac:dyDescent="0.25">
      <c r="A5340" s="3">
        <f>5333</f>
        <v>5333</v>
      </c>
      <c r="B5340" s="3" t="s">
        <v>5342</v>
      </c>
      <c r="C5340" s="3" t="s">
        <v>9</v>
      </c>
      <c r="D5340" s="3" t="s">
        <v>9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/>
      <c r="P5340" s="3"/>
      <c r="Q5340" s="3"/>
    </row>
    <row r="5341" spans="1:17" ht="15" x14ac:dyDescent="0.25">
      <c r="A5341" s="3">
        <f>5334</f>
        <v>5334</v>
      </c>
      <c r="B5341" s="3" t="s">
        <v>5343</v>
      </c>
      <c r="C5341" s="3" t="s">
        <v>9</v>
      </c>
      <c r="D5341" s="3" t="s">
        <v>9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/>
      <c r="P5341" s="3"/>
      <c r="Q5341" s="3"/>
    </row>
    <row r="5342" spans="1:17" ht="15" x14ac:dyDescent="0.25">
      <c r="A5342" s="3">
        <f>5335</f>
        <v>5335</v>
      </c>
      <c r="B5342" s="3" t="s">
        <v>5344</v>
      </c>
      <c r="C5342" s="3" t="s">
        <v>9</v>
      </c>
      <c r="D5342" s="3" t="s">
        <v>9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/>
      <c r="P5342" s="3"/>
      <c r="Q5342" s="3"/>
    </row>
    <row r="5343" spans="1:17" ht="15" x14ac:dyDescent="0.25">
      <c r="A5343" s="3">
        <f>5336</f>
        <v>5336</v>
      </c>
      <c r="B5343" s="3" t="s">
        <v>5345</v>
      </c>
      <c r="C5343" s="3" t="s">
        <v>9</v>
      </c>
      <c r="D5343" s="3" t="s">
        <v>9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/>
      <c r="P5343" s="3"/>
      <c r="Q5343" s="3"/>
    </row>
    <row r="5344" spans="1:17" ht="15" x14ac:dyDescent="0.25">
      <c r="A5344" s="3">
        <f>5337</f>
        <v>5337</v>
      </c>
      <c r="B5344" s="3" t="s">
        <v>5346</v>
      </c>
      <c r="C5344" s="3" t="s">
        <v>9</v>
      </c>
      <c r="D5344" s="3" t="s">
        <v>9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/>
      <c r="P5344" s="3"/>
      <c r="Q5344" s="3"/>
    </row>
    <row r="5345" spans="1:17" ht="15" x14ac:dyDescent="0.25">
      <c r="A5345" s="3">
        <f>5338</f>
        <v>5338</v>
      </c>
      <c r="B5345" s="3" t="s">
        <v>5347</v>
      </c>
      <c r="C5345" s="3" t="s">
        <v>9</v>
      </c>
      <c r="D5345" s="3" t="s">
        <v>9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/>
      <c r="P5345" s="3"/>
      <c r="Q5345" s="3"/>
    </row>
    <row r="5346" spans="1:17" ht="15" x14ac:dyDescent="0.25">
      <c r="A5346" s="3">
        <f>5339</f>
        <v>5339</v>
      </c>
      <c r="B5346" s="3" t="s">
        <v>5348</v>
      </c>
      <c r="C5346" s="3" t="s">
        <v>9</v>
      </c>
      <c r="D5346" s="3" t="s">
        <v>9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/>
      <c r="P5346" s="3"/>
      <c r="Q5346" s="3"/>
    </row>
    <row r="5347" spans="1:17" ht="15" x14ac:dyDescent="0.25">
      <c r="A5347" s="3">
        <f>5340</f>
        <v>5340</v>
      </c>
      <c r="B5347" s="3" t="s">
        <v>5349</v>
      </c>
      <c r="C5347" s="3" t="s">
        <v>9</v>
      </c>
      <c r="D5347" s="3" t="s">
        <v>9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/>
      <c r="P5347" s="3"/>
      <c r="Q5347" s="3"/>
    </row>
    <row r="5348" spans="1:17" ht="15" x14ac:dyDescent="0.25">
      <c r="A5348" s="3">
        <f>5341</f>
        <v>5341</v>
      </c>
      <c r="B5348" s="3" t="s">
        <v>5350</v>
      </c>
      <c r="C5348" s="3" t="s">
        <v>9</v>
      </c>
      <c r="D5348" s="3" t="s">
        <v>9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/>
      <c r="P5348" s="3"/>
      <c r="Q5348" s="3"/>
    </row>
    <row r="5349" spans="1:17" ht="15" x14ac:dyDescent="0.25">
      <c r="A5349" s="3">
        <f>5342</f>
        <v>5342</v>
      </c>
      <c r="B5349" s="3" t="s">
        <v>5351</v>
      </c>
      <c r="C5349" s="3" t="s">
        <v>9</v>
      </c>
      <c r="D5349" s="3" t="s">
        <v>9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/>
      <c r="P5349" s="3"/>
      <c r="Q5349" s="3"/>
    </row>
    <row r="5350" spans="1:17" ht="15" x14ac:dyDescent="0.25">
      <c r="A5350" s="3">
        <f>5343</f>
        <v>5343</v>
      </c>
      <c r="B5350" s="3" t="s">
        <v>5352</v>
      </c>
      <c r="C5350" s="3" t="s">
        <v>9</v>
      </c>
      <c r="D5350" s="3" t="s">
        <v>9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/>
      <c r="P5350" s="3"/>
      <c r="Q5350" s="3"/>
    </row>
    <row r="5351" spans="1:17" ht="15" x14ac:dyDescent="0.25">
      <c r="A5351" s="3">
        <f>5344</f>
        <v>5344</v>
      </c>
      <c r="B5351" s="3" t="s">
        <v>5353</v>
      </c>
      <c r="C5351" s="3" t="s">
        <v>9</v>
      </c>
      <c r="D5351" s="3" t="s">
        <v>9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/>
      <c r="P5351" s="3"/>
      <c r="Q5351" s="3"/>
    </row>
    <row r="5352" spans="1:17" ht="15" x14ac:dyDescent="0.25">
      <c r="A5352" s="3">
        <f>5345</f>
        <v>5345</v>
      </c>
      <c r="B5352" s="3" t="s">
        <v>5354</v>
      </c>
      <c r="C5352" s="3" t="s">
        <v>9</v>
      </c>
      <c r="D5352" s="3" t="s">
        <v>9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/>
      <c r="P5352" s="3"/>
      <c r="Q5352" s="3"/>
    </row>
    <row r="5353" spans="1:17" ht="15" x14ac:dyDescent="0.25">
      <c r="A5353" s="3">
        <f>5346</f>
        <v>5346</v>
      </c>
      <c r="B5353" s="3" t="s">
        <v>5355</v>
      </c>
      <c r="C5353" s="3" t="s">
        <v>9</v>
      </c>
      <c r="D5353" s="3" t="s">
        <v>9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/>
      <c r="P5353" s="3"/>
      <c r="Q5353" s="3"/>
    </row>
    <row r="5354" spans="1:17" ht="15" x14ac:dyDescent="0.25">
      <c r="A5354" s="3">
        <f>5347</f>
        <v>5347</v>
      </c>
      <c r="B5354" s="3" t="s">
        <v>5356</v>
      </c>
      <c r="C5354" s="3" t="s">
        <v>9</v>
      </c>
      <c r="D5354" s="3" t="s">
        <v>10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/>
      <c r="P5354" s="3"/>
      <c r="Q5354" s="3"/>
    </row>
    <row r="5355" spans="1:17" ht="15" x14ac:dyDescent="0.25">
      <c r="A5355" s="3">
        <f>5348</f>
        <v>5348</v>
      </c>
      <c r="B5355" s="3" t="s">
        <v>5357</v>
      </c>
      <c r="C5355" s="3" t="s">
        <v>9</v>
      </c>
      <c r="D5355" s="3" t="s">
        <v>10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/>
      <c r="P5355" s="3"/>
      <c r="Q5355" s="3"/>
    </row>
    <row r="5356" spans="1:17" ht="15" x14ac:dyDescent="0.25">
      <c r="A5356" s="3">
        <f>5349</f>
        <v>5349</v>
      </c>
      <c r="B5356" s="3" t="s">
        <v>5358</v>
      </c>
      <c r="C5356" s="3" t="s">
        <v>10</v>
      </c>
      <c r="D5356" s="3" t="s">
        <v>9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/>
      <c r="P5356" s="3"/>
      <c r="Q5356" s="3"/>
    </row>
    <row r="5357" spans="1:17" ht="15" x14ac:dyDescent="0.25">
      <c r="A5357" s="3">
        <f>5350</f>
        <v>5350</v>
      </c>
      <c r="B5357" s="3" t="s">
        <v>5359</v>
      </c>
      <c r="C5357" s="3" t="s">
        <v>10</v>
      </c>
      <c r="D5357" s="3" t="s">
        <v>9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/>
      <c r="P5357" s="3"/>
      <c r="Q5357" s="3"/>
    </row>
    <row r="5358" spans="1:17" ht="15" x14ac:dyDescent="0.25">
      <c r="A5358" s="3">
        <f>5351</f>
        <v>5351</v>
      </c>
      <c r="B5358" s="3" t="s">
        <v>5360</v>
      </c>
      <c r="C5358" s="3" t="s">
        <v>10</v>
      </c>
      <c r="D5358" s="3" t="s">
        <v>9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/>
      <c r="P5358" s="3"/>
      <c r="Q5358" s="3"/>
    </row>
    <row r="5359" spans="1:17" ht="15" x14ac:dyDescent="0.25">
      <c r="A5359" s="3">
        <f>5352</f>
        <v>5352</v>
      </c>
      <c r="B5359" s="3" t="s">
        <v>5361</v>
      </c>
      <c r="C5359" s="3" t="s">
        <v>10</v>
      </c>
      <c r="D5359" s="3" t="s">
        <v>9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/>
      <c r="P5359" s="3"/>
      <c r="Q5359" s="3"/>
    </row>
    <row r="5360" spans="1:17" ht="15" x14ac:dyDescent="0.25">
      <c r="A5360" s="3">
        <f>5353</f>
        <v>5353</v>
      </c>
      <c r="B5360" s="3" t="s">
        <v>5362</v>
      </c>
      <c r="C5360" s="3" t="s">
        <v>10</v>
      </c>
      <c r="D5360" s="3" t="s">
        <v>9</v>
      </c>
      <c r="E5360" s="3">
        <v>25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/>
      <c r="P5360" s="3"/>
      <c r="Q5360" s="3"/>
    </row>
    <row r="5361" spans="1:17" ht="15" x14ac:dyDescent="0.25">
      <c r="A5361" s="3">
        <f>5354</f>
        <v>5354</v>
      </c>
      <c r="B5361" s="3" t="s">
        <v>5363</v>
      </c>
      <c r="C5361" s="3" t="s">
        <v>10</v>
      </c>
      <c r="D5361" s="3" t="s">
        <v>9</v>
      </c>
      <c r="E5361" s="3">
        <v>25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/>
      <c r="P5361" s="3"/>
      <c r="Q5361" s="3"/>
    </row>
    <row r="5362" spans="1:17" ht="15" x14ac:dyDescent="0.25">
      <c r="A5362" s="3">
        <f>5355</f>
        <v>5355</v>
      </c>
      <c r="B5362" s="3" t="s">
        <v>5364</v>
      </c>
      <c r="C5362" s="3" t="s">
        <v>10</v>
      </c>
      <c r="D5362" s="3" t="s">
        <v>9</v>
      </c>
      <c r="E5362" s="3">
        <v>25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/>
      <c r="P5362" s="3"/>
      <c r="Q5362" s="3"/>
    </row>
    <row r="5363" spans="1:17" ht="15" x14ac:dyDescent="0.25">
      <c r="A5363" s="3">
        <f>5356</f>
        <v>5356</v>
      </c>
      <c r="B5363" s="3" t="s">
        <v>5365</v>
      </c>
      <c r="C5363" s="3" t="s">
        <v>10</v>
      </c>
      <c r="D5363" s="3" t="s">
        <v>9</v>
      </c>
      <c r="E5363" s="3">
        <v>25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/>
      <c r="P5363" s="3"/>
      <c r="Q5363" s="3"/>
    </row>
    <row r="5364" spans="1:17" ht="15" x14ac:dyDescent="0.25">
      <c r="A5364" s="3">
        <f>5357</f>
        <v>5357</v>
      </c>
      <c r="B5364" s="3" t="s">
        <v>5366</v>
      </c>
      <c r="C5364" s="3" t="s">
        <v>10</v>
      </c>
      <c r="D5364" s="3" t="s">
        <v>9</v>
      </c>
      <c r="E5364" s="3">
        <v>25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/>
      <c r="P5364" s="3"/>
      <c r="Q5364" s="3"/>
    </row>
    <row r="5365" spans="1:17" ht="15" x14ac:dyDescent="0.25">
      <c r="A5365" s="3">
        <f>5358</f>
        <v>5358</v>
      </c>
      <c r="B5365" s="3" t="s">
        <v>5367</v>
      </c>
      <c r="C5365" s="3" t="s">
        <v>10</v>
      </c>
      <c r="D5365" s="3" t="s">
        <v>9</v>
      </c>
      <c r="E5365" s="3">
        <v>25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/>
      <c r="P5365" s="3"/>
      <c r="Q5365" s="3"/>
    </row>
    <row r="5366" spans="1:17" ht="15" x14ac:dyDescent="0.25">
      <c r="A5366" s="3">
        <f>5359</f>
        <v>5359</v>
      </c>
      <c r="B5366" s="3" t="s">
        <v>5368</v>
      </c>
      <c r="C5366" s="3" t="s">
        <v>10</v>
      </c>
      <c r="D5366" s="3" t="s">
        <v>9</v>
      </c>
      <c r="E5366" s="3">
        <v>25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/>
      <c r="P5366" s="3"/>
      <c r="Q5366" s="3"/>
    </row>
    <row r="5367" spans="1:17" ht="15" x14ac:dyDescent="0.25">
      <c r="A5367" s="3">
        <f>5360</f>
        <v>5360</v>
      </c>
      <c r="B5367" s="3" t="s">
        <v>5369</v>
      </c>
      <c r="C5367" s="3" t="s">
        <v>10</v>
      </c>
      <c r="D5367" s="3" t="s">
        <v>9</v>
      </c>
      <c r="E5367" s="3">
        <v>25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/>
      <c r="P5367" s="3"/>
      <c r="Q5367" s="3"/>
    </row>
    <row r="5368" spans="1:17" ht="15" x14ac:dyDescent="0.25">
      <c r="A5368" s="3">
        <f>5361</f>
        <v>5361</v>
      </c>
      <c r="B5368" s="3" t="s">
        <v>5370</v>
      </c>
      <c r="C5368" s="3" t="s">
        <v>10</v>
      </c>
      <c r="D5368" s="3" t="s">
        <v>9</v>
      </c>
      <c r="E5368" s="3">
        <v>25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/>
      <c r="P5368" s="3"/>
      <c r="Q5368" s="3"/>
    </row>
    <row r="5369" spans="1:17" ht="15" x14ac:dyDescent="0.25">
      <c r="A5369" s="3">
        <f>5362</f>
        <v>5362</v>
      </c>
      <c r="B5369" s="3" t="s">
        <v>5371</v>
      </c>
      <c r="C5369" s="3" t="s">
        <v>10</v>
      </c>
      <c r="D5369" s="3" t="s">
        <v>9</v>
      </c>
      <c r="E5369" s="3">
        <v>25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/>
      <c r="P5369" s="3"/>
      <c r="Q5369" s="3"/>
    </row>
    <row r="5370" spans="1:17" ht="15" x14ac:dyDescent="0.25">
      <c r="A5370" s="3">
        <f>5363</f>
        <v>5363</v>
      </c>
      <c r="B5370" s="3" t="s">
        <v>5372</v>
      </c>
      <c r="C5370" s="3" t="s">
        <v>10</v>
      </c>
      <c r="D5370" s="3" t="s">
        <v>9</v>
      </c>
      <c r="E5370" s="3">
        <v>25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/>
      <c r="P5370" s="3"/>
      <c r="Q5370" s="3"/>
    </row>
    <row r="5371" spans="1:17" ht="15" x14ac:dyDescent="0.25">
      <c r="A5371" s="3">
        <f>5364</f>
        <v>5364</v>
      </c>
      <c r="B5371" s="3" t="s">
        <v>5373</v>
      </c>
      <c r="C5371" s="3" t="s">
        <v>10</v>
      </c>
      <c r="D5371" s="3" t="s">
        <v>9</v>
      </c>
      <c r="E5371" s="3">
        <v>25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/>
      <c r="P5371" s="3"/>
      <c r="Q5371" s="3"/>
    </row>
    <row r="5372" spans="1:17" ht="15" x14ac:dyDescent="0.25">
      <c r="A5372" s="3">
        <f>5365</f>
        <v>5365</v>
      </c>
      <c r="B5372" s="3" t="s">
        <v>5374</v>
      </c>
      <c r="C5372" s="3" t="s">
        <v>10</v>
      </c>
      <c r="D5372" s="3" t="s">
        <v>9</v>
      </c>
      <c r="E5372" s="3">
        <v>25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/>
      <c r="P5372" s="3"/>
      <c r="Q5372" s="3"/>
    </row>
    <row r="5373" spans="1:17" ht="15" x14ac:dyDescent="0.25">
      <c r="A5373" s="3">
        <f>5366</f>
        <v>5366</v>
      </c>
      <c r="B5373" s="3" t="s">
        <v>5375</v>
      </c>
      <c r="C5373" s="3" t="s">
        <v>10</v>
      </c>
      <c r="D5373" s="3" t="s">
        <v>9</v>
      </c>
      <c r="E5373" s="3">
        <v>25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/>
      <c r="P5373" s="3"/>
      <c r="Q5373" s="3"/>
    </row>
    <row r="5374" spans="1:17" ht="15" x14ac:dyDescent="0.25">
      <c r="A5374" s="3">
        <f>5367</f>
        <v>5367</v>
      </c>
      <c r="B5374" s="3" t="s">
        <v>5376</v>
      </c>
      <c r="C5374" s="3" t="s">
        <v>10</v>
      </c>
      <c r="D5374" s="3" t="s">
        <v>9</v>
      </c>
      <c r="E5374" s="3">
        <v>25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/>
      <c r="P5374" s="3"/>
      <c r="Q5374" s="3"/>
    </row>
    <row r="5375" spans="1:17" ht="15" x14ac:dyDescent="0.25">
      <c r="A5375" s="3">
        <f>5368</f>
        <v>5368</v>
      </c>
      <c r="B5375" s="3" t="s">
        <v>5377</v>
      </c>
      <c r="C5375" s="3" t="s">
        <v>10</v>
      </c>
      <c r="D5375" s="3" t="s">
        <v>9</v>
      </c>
      <c r="E5375" s="3">
        <v>25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/>
      <c r="P5375" s="3"/>
      <c r="Q5375" s="3"/>
    </row>
    <row r="5376" spans="1:17" ht="15" x14ac:dyDescent="0.25">
      <c r="A5376" s="3">
        <f>5369</f>
        <v>5369</v>
      </c>
      <c r="B5376" s="3" t="s">
        <v>5378</v>
      </c>
      <c r="C5376" s="3" t="s">
        <v>10</v>
      </c>
      <c r="D5376" s="3" t="s">
        <v>9</v>
      </c>
      <c r="E5376" s="3">
        <v>25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/>
      <c r="P5376" s="3"/>
      <c r="Q5376" s="3"/>
    </row>
    <row r="5377" spans="1:17" ht="15" x14ac:dyDescent="0.25">
      <c r="A5377" s="3">
        <f>5370</f>
        <v>5370</v>
      </c>
      <c r="B5377" s="3" t="s">
        <v>5379</v>
      </c>
      <c r="C5377" s="3" t="s">
        <v>10</v>
      </c>
      <c r="D5377" s="3" t="s">
        <v>9</v>
      </c>
      <c r="E5377" s="3">
        <v>25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/>
      <c r="P5377" s="3"/>
      <c r="Q5377" s="3"/>
    </row>
    <row r="5378" spans="1:17" ht="15" x14ac:dyDescent="0.25">
      <c r="A5378" s="3">
        <f>5371</f>
        <v>5371</v>
      </c>
      <c r="B5378" s="3" t="s">
        <v>5380</v>
      </c>
      <c r="C5378" s="3" t="s">
        <v>10</v>
      </c>
      <c r="D5378" s="3" t="s">
        <v>9</v>
      </c>
      <c r="E5378" s="3">
        <v>25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/>
      <c r="P5378" s="3"/>
      <c r="Q5378" s="3"/>
    </row>
    <row r="5379" spans="1:17" ht="15" x14ac:dyDescent="0.25">
      <c r="A5379" s="3">
        <f>5372</f>
        <v>5372</v>
      </c>
      <c r="B5379" s="3" t="s">
        <v>5381</v>
      </c>
      <c r="C5379" s="3" t="s">
        <v>10</v>
      </c>
      <c r="D5379" s="3" t="s">
        <v>9</v>
      </c>
      <c r="E5379" s="3">
        <v>25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/>
      <c r="P5379" s="3"/>
      <c r="Q5379" s="3"/>
    </row>
    <row r="5380" spans="1:17" ht="15" x14ac:dyDescent="0.25">
      <c r="A5380" s="3">
        <f>5373</f>
        <v>5373</v>
      </c>
      <c r="B5380" s="3" t="s">
        <v>5382</v>
      </c>
      <c r="C5380" s="3" t="s">
        <v>10</v>
      </c>
      <c r="D5380" s="3" t="s">
        <v>9</v>
      </c>
      <c r="E5380" s="3">
        <v>25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/>
      <c r="P5380" s="3"/>
      <c r="Q5380" s="3"/>
    </row>
    <row r="5381" spans="1:17" ht="15" x14ac:dyDescent="0.25">
      <c r="A5381" s="3">
        <f>5374</f>
        <v>5374</v>
      </c>
      <c r="B5381" s="3" t="s">
        <v>5383</v>
      </c>
      <c r="C5381" s="3" t="s">
        <v>10</v>
      </c>
      <c r="D5381" s="3" t="s">
        <v>9</v>
      </c>
      <c r="E5381" s="3">
        <v>25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/>
      <c r="P5381" s="3"/>
      <c r="Q5381" s="3"/>
    </row>
    <row r="5382" spans="1:17" ht="15" x14ac:dyDescent="0.25">
      <c r="A5382" s="3">
        <f>5375</f>
        <v>5375</v>
      </c>
      <c r="B5382" s="3" t="s">
        <v>5384</v>
      </c>
      <c r="C5382" s="3" t="s">
        <v>10</v>
      </c>
      <c r="D5382" s="3" t="s">
        <v>9</v>
      </c>
      <c r="E5382" s="3">
        <v>25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/>
      <c r="P5382" s="3"/>
      <c r="Q5382" s="3"/>
    </row>
    <row r="5383" spans="1:17" ht="15" x14ac:dyDescent="0.25">
      <c r="A5383" s="3">
        <f>5376</f>
        <v>5376</v>
      </c>
      <c r="B5383" s="3" t="s">
        <v>5385</v>
      </c>
      <c r="C5383" s="3" t="s">
        <v>10</v>
      </c>
      <c r="D5383" s="3" t="s">
        <v>9</v>
      </c>
      <c r="E5383" s="3">
        <v>25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/>
      <c r="P5383" s="3"/>
      <c r="Q5383" s="3"/>
    </row>
    <row r="5384" spans="1:17" ht="15" x14ac:dyDescent="0.25">
      <c r="A5384" s="3">
        <f>5377</f>
        <v>5377</v>
      </c>
      <c r="B5384" s="3" t="s">
        <v>5386</v>
      </c>
      <c r="C5384" s="3" t="s">
        <v>10</v>
      </c>
      <c r="D5384" s="3" t="s">
        <v>9</v>
      </c>
      <c r="E5384" s="3">
        <v>25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/>
      <c r="P5384" s="3"/>
      <c r="Q5384" s="3"/>
    </row>
    <row r="5385" spans="1:17" ht="15" x14ac:dyDescent="0.25">
      <c r="A5385" s="3">
        <f>5378</f>
        <v>5378</v>
      </c>
      <c r="B5385" s="3" t="s">
        <v>5387</v>
      </c>
      <c r="C5385" s="3" t="s">
        <v>10</v>
      </c>
      <c r="D5385" s="3" t="s">
        <v>9</v>
      </c>
      <c r="E5385" s="3">
        <v>25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/>
      <c r="P5385" s="3"/>
      <c r="Q5385" s="3"/>
    </row>
    <row r="5386" spans="1:17" ht="15" x14ac:dyDescent="0.25">
      <c r="A5386" s="3">
        <f>5379</f>
        <v>5379</v>
      </c>
      <c r="B5386" s="3" t="s">
        <v>5388</v>
      </c>
      <c r="C5386" s="3" t="s">
        <v>10</v>
      </c>
      <c r="D5386" s="3" t="s">
        <v>9</v>
      </c>
      <c r="E5386" s="3">
        <v>25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/>
      <c r="P5386" s="3"/>
      <c r="Q5386" s="3"/>
    </row>
    <row r="5387" spans="1:17" ht="15" x14ac:dyDescent="0.25">
      <c r="A5387" s="3">
        <f>5380</f>
        <v>5380</v>
      </c>
      <c r="B5387" s="3" t="s">
        <v>5389</v>
      </c>
      <c r="C5387" s="3" t="s">
        <v>10</v>
      </c>
      <c r="D5387" s="3" t="s">
        <v>9</v>
      </c>
      <c r="E5387" s="3">
        <v>25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/>
      <c r="P5387" s="3"/>
      <c r="Q5387" s="3"/>
    </row>
    <row r="5388" spans="1:17" ht="15" x14ac:dyDescent="0.25">
      <c r="A5388" s="3">
        <f>5381</f>
        <v>5381</v>
      </c>
      <c r="B5388" s="3" t="s">
        <v>5390</v>
      </c>
      <c r="C5388" s="3" t="s">
        <v>10</v>
      </c>
      <c r="D5388" s="3" t="s">
        <v>9</v>
      </c>
      <c r="E5388" s="3">
        <v>25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/>
      <c r="P5388" s="3"/>
      <c r="Q5388" s="3"/>
    </row>
    <row r="5389" spans="1:17" ht="15" x14ac:dyDescent="0.25">
      <c r="A5389" s="3">
        <f>5382</f>
        <v>5382</v>
      </c>
      <c r="B5389" s="3" t="s">
        <v>5391</v>
      </c>
      <c r="C5389" s="3" t="s">
        <v>10</v>
      </c>
      <c r="D5389" s="3" t="s">
        <v>9</v>
      </c>
      <c r="E5389" s="3">
        <v>25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/>
      <c r="P5389" s="3"/>
      <c r="Q5389" s="3"/>
    </row>
    <row r="5390" spans="1:17" ht="15" x14ac:dyDescent="0.25">
      <c r="A5390" s="3">
        <f>5383</f>
        <v>5383</v>
      </c>
      <c r="B5390" s="3" t="s">
        <v>5392</v>
      </c>
      <c r="C5390" s="3" t="s">
        <v>10</v>
      </c>
      <c r="D5390" s="3" t="s">
        <v>9</v>
      </c>
      <c r="E5390" s="3">
        <v>25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/>
      <c r="P5390" s="3"/>
      <c r="Q5390" s="3"/>
    </row>
    <row r="5391" spans="1:17" ht="15" x14ac:dyDescent="0.25">
      <c r="A5391" s="3">
        <f>5384</f>
        <v>5384</v>
      </c>
      <c r="B5391" s="3" t="s">
        <v>5393</v>
      </c>
      <c r="C5391" s="3" t="s">
        <v>10</v>
      </c>
      <c r="D5391" s="3" t="s">
        <v>9</v>
      </c>
      <c r="E5391" s="3">
        <v>25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/>
      <c r="P5391" s="3"/>
      <c r="Q5391" s="3"/>
    </row>
    <row r="5392" spans="1:17" ht="15" x14ac:dyDescent="0.25">
      <c r="A5392" s="3">
        <f>5385</f>
        <v>5385</v>
      </c>
      <c r="B5392" s="3" t="s">
        <v>5394</v>
      </c>
      <c r="C5392" s="3" t="s">
        <v>10</v>
      </c>
      <c r="D5392" s="3" t="s">
        <v>9</v>
      </c>
      <c r="E5392" s="3">
        <v>25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/>
      <c r="P5392" s="3"/>
      <c r="Q5392" s="3"/>
    </row>
    <row r="5393" spans="1:17" ht="15" x14ac:dyDescent="0.25">
      <c r="A5393" s="3">
        <f>5386</f>
        <v>5386</v>
      </c>
      <c r="B5393" s="3" t="s">
        <v>5395</v>
      </c>
      <c r="C5393" s="3" t="s">
        <v>10</v>
      </c>
      <c r="D5393" s="3" t="s">
        <v>9</v>
      </c>
      <c r="E5393" s="3">
        <v>25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/>
      <c r="P5393" s="3"/>
      <c r="Q5393" s="3"/>
    </row>
    <row r="5394" spans="1:17" ht="15" x14ac:dyDescent="0.25">
      <c r="A5394" s="3">
        <f>5387</f>
        <v>5387</v>
      </c>
      <c r="B5394" s="3" t="s">
        <v>5396</v>
      </c>
      <c r="C5394" s="3" t="s">
        <v>10</v>
      </c>
      <c r="D5394" s="3" t="s">
        <v>9</v>
      </c>
      <c r="E5394" s="3">
        <v>25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/>
      <c r="P5394" s="3"/>
      <c r="Q5394" s="3"/>
    </row>
    <row r="5395" spans="1:17" ht="15" x14ac:dyDescent="0.25">
      <c r="A5395" s="3">
        <f>5388</f>
        <v>5388</v>
      </c>
      <c r="B5395" s="3" t="s">
        <v>5397</v>
      </c>
      <c r="C5395" s="3" t="s">
        <v>10</v>
      </c>
      <c r="D5395" s="3" t="s">
        <v>9</v>
      </c>
      <c r="E5395" s="3">
        <v>25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/>
      <c r="P5395" s="3"/>
      <c r="Q5395" s="3"/>
    </row>
    <row r="5396" spans="1:17" ht="15" x14ac:dyDescent="0.25">
      <c r="A5396" s="3">
        <f>5389</f>
        <v>5389</v>
      </c>
      <c r="B5396" s="3" t="s">
        <v>5398</v>
      </c>
      <c r="C5396" s="3" t="s">
        <v>10</v>
      </c>
      <c r="D5396" s="3" t="s">
        <v>9</v>
      </c>
      <c r="E5396" s="3">
        <v>25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/>
      <c r="P5396" s="3"/>
      <c r="Q5396" s="3"/>
    </row>
    <row r="5397" spans="1:17" ht="15" x14ac:dyDescent="0.25">
      <c r="A5397" s="3">
        <f>5390</f>
        <v>5390</v>
      </c>
      <c r="B5397" s="3" t="s">
        <v>5399</v>
      </c>
      <c r="C5397" s="3" t="s">
        <v>10</v>
      </c>
      <c r="D5397" s="3" t="s">
        <v>9</v>
      </c>
      <c r="E5397" s="3">
        <v>25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/>
      <c r="P5397" s="3"/>
      <c r="Q5397" s="3"/>
    </row>
    <row r="5398" spans="1:17" ht="15" x14ac:dyDescent="0.25">
      <c r="A5398" s="3">
        <f>5391</f>
        <v>5391</v>
      </c>
      <c r="B5398" s="3" t="s">
        <v>5400</v>
      </c>
      <c r="C5398" s="3" t="s">
        <v>10</v>
      </c>
      <c r="D5398" s="3" t="s">
        <v>9</v>
      </c>
      <c r="E5398" s="3">
        <v>25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/>
      <c r="P5398" s="3"/>
      <c r="Q5398" s="3"/>
    </row>
    <row r="5399" spans="1:17" ht="15" x14ac:dyDescent="0.25">
      <c r="A5399" s="3">
        <f>5392</f>
        <v>5392</v>
      </c>
      <c r="B5399" s="3" t="s">
        <v>5401</v>
      </c>
      <c r="C5399" s="3" t="s">
        <v>10</v>
      </c>
      <c r="D5399" s="3" t="s">
        <v>9</v>
      </c>
      <c r="E5399" s="3">
        <v>25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/>
      <c r="P5399" s="3"/>
      <c r="Q5399" s="3"/>
    </row>
    <row r="5400" spans="1:17" ht="15" x14ac:dyDescent="0.25">
      <c r="A5400" s="3">
        <f>5393</f>
        <v>5393</v>
      </c>
      <c r="B5400" s="3" t="s">
        <v>5402</v>
      </c>
      <c r="C5400" s="3" t="s">
        <v>10</v>
      </c>
      <c r="D5400" s="3" t="s">
        <v>9</v>
      </c>
      <c r="E5400" s="3">
        <v>25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/>
      <c r="P5400" s="3"/>
      <c r="Q5400" s="3"/>
    </row>
    <row r="5401" spans="1:17" ht="15" x14ac:dyDescent="0.25">
      <c r="A5401" s="3">
        <f>5394</f>
        <v>5394</v>
      </c>
      <c r="B5401" s="3" t="s">
        <v>5403</v>
      </c>
      <c r="C5401" s="3" t="s">
        <v>10</v>
      </c>
      <c r="D5401" s="3" t="s">
        <v>9</v>
      </c>
      <c r="E5401" s="3">
        <v>25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/>
      <c r="P5401" s="3"/>
      <c r="Q5401" s="3"/>
    </row>
    <row r="5402" spans="1:17" ht="15" x14ac:dyDescent="0.25">
      <c r="A5402" s="3">
        <f>5395</f>
        <v>5395</v>
      </c>
      <c r="B5402" s="3" t="s">
        <v>5404</v>
      </c>
      <c r="C5402" s="3" t="s">
        <v>10</v>
      </c>
      <c r="D5402" s="3" t="s">
        <v>9</v>
      </c>
      <c r="E5402" s="3">
        <v>25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/>
      <c r="P5402" s="3"/>
      <c r="Q5402" s="3"/>
    </row>
    <row r="5403" spans="1:17" ht="15" x14ac:dyDescent="0.25">
      <c r="A5403" s="3">
        <f>5396</f>
        <v>5396</v>
      </c>
      <c r="B5403" s="3" t="s">
        <v>5405</v>
      </c>
      <c r="C5403" s="3" t="s">
        <v>10</v>
      </c>
      <c r="D5403" s="3" t="s">
        <v>9</v>
      </c>
      <c r="E5403" s="3">
        <v>25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/>
      <c r="P5403" s="3"/>
      <c r="Q5403" s="3"/>
    </row>
    <row r="5404" spans="1:17" ht="15" x14ac:dyDescent="0.25">
      <c r="A5404" s="3">
        <f>5397</f>
        <v>5397</v>
      </c>
      <c r="B5404" s="3" t="s">
        <v>5406</v>
      </c>
      <c r="C5404" s="3" t="s">
        <v>10</v>
      </c>
      <c r="D5404" s="3" t="s">
        <v>9</v>
      </c>
      <c r="E5404" s="3">
        <v>25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/>
      <c r="P5404" s="3"/>
      <c r="Q5404" s="3"/>
    </row>
    <row r="5405" spans="1:17" ht="15" x14ac:dyDescent="0.25">
      <c r="A5405" s="3">
        <f>5398</f>
        <v>5398</v>
      </c>
      <c r="B5405" s="3" t="s">
        <v>5407</v>
      </c>
      <c r="C5405" s="3" t="s">
        <v>10</v>
      </c>
      <c r="D5405" s="3" t="s">
        <v>9</v>
      </c>
      <c r="E5405" s="3">
        <v>25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/>
      <c r="P5405" s="3"/>
      <c r="Q5405" s="3"/>
    </row>
    <row r="5406" spans="1:17" ht="15" x14ac:dyDescent="0.25">
      <c r="A5406" s="3">
        <f>5399</f>
        <v>5399</v>
      </c>
      <c r="B5406" s="3" t="s">
        <v>5408</v>
      </c>
      <c r="C5406" s="3" t="s">
        <v>10</v>
      </c>
      <c r="D5406" s="3" t="s">
        <v>9</v>
      </c>
      <c r="E5406" s="3">
        <v>25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/>
      <c r="P5406" s="3"/>
      <c r="Q5406" s="3"/>
    </row>
    <row r="5407" spans="1:17" ht="15" x14ac:dyDescent="0.25">
      <c r="A5407" s="3">
        <f>5400</f>
        <v>5400</v>
      </c>
      <c r="B5407" s="3" t="s">
        <v>5409</v>
      </c>
      <c r="C5407" s="3" t="s">
        <v>10</v>
      </c>
      <c r="D5407" s="3" t="s">
        <v>9</v>
      </c>
      <c r="E5407" s="3">
        <v>25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/>
      <c r="P5407" s="3"/>
      <c r="Q5407" s="3"/>
    </row>
    <row r="5408" spans="1:17" ht="15" x14ac:dyDescent="0.25">
      <c r="A5408" s="3">
        <f>5401</f>
        <v>5401</v>
      </c>
      <c r="B5408" s="3" t="s">
        <v>5410</v>
      </c>
      <c r="C5408" s="3" t="s">
        <v>10</v>
      </c>
      <c r="D5408" s="3" t="s">
        <v>9</v>
      </c>
      <c r="E5408" s="3">
        <v>25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/>
      <c r="P5408" s="3"/>
      <c r="Q5408" s="3"/>
    </row>
    <row r="5409" spans="1:17" ht="15" x14ac:dyDescent="0.25">
      <c r="A5409" s="3">
        <f>5402</f>
        <v>5402</v>
      </c>
      <c r="B5409" s="3" t="s">
        <v>5411</v>
      </c>
      <c r="C5409" s="3" t="s">
        <v>10</v>
      </c>
      <c r="D5409" s="3" t="s">
        <v>9</v>
      </c>
      <c r="E5409" s="3">
        <v>25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/>
      <c r="P5409" s="3"/>
      <c r="Q5409" s="3"/>
    </row>
    <row r="5410" spans="1:17" ht="15" x14ac:dyDescent="0.25">
      <c r="A5410" s="3">
        <f>5403</f>
        <v>5403</v>
      </c>
      <c r="B5410" s="3" t="s">
        <v>5412</v>
      </c>
      <c r="C5410" s="3" t="s">
        <v>10</v>
      </c>
      <c r="D5410" s="3" t="s">
        <v>9</v>
      </c>
      <c r="E5410" s="3">
        <v>25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/>
      <c r="P5410" s="3"/>
      <c r="Q5410" s="3"/>
    </row>
    <row r="5411" spans="1:17" ht="15" x14ac:dyDescent="0.25">
      <c r="A5411" s="3">
        <f>5404</f>
        <v>5404</v>
      </c>
      <c r="B5411" s="3" t="s">
        <v>5413</v>
      </c>
      <c r="C5411" s="3" t="s">
        <v>10</v>
      </c>
      <c r="D5411" s="3" t="s">
        <v>9</v>
      </c>
      <c r="E5411" s="3">
        <v>25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/>
      <c r="P5411" s="3"/>
      <c r="Q5411" s="3"/>
    </row>
    <row r="5412" spans="1:17" ht="15" x14ac:dyDescent="0.25">
      <c r="A5412" s="3">
        <f>5405</f>
        <v>5405</v>
      </c>
      <c r="B5412" s="3" t="s">
        <v>5414</v>
      </c>
      <c r="C5412" s="3" t="s">
        <v>10</v>
      </c>
      <c r="D5412" s="3" t="s">
        <v>9</v>
      </c>
      <c r="E5412" s="3">
        <v>25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/>
      <c r="P5412" s="3"/>
      <c r="Q5412" s="3"/>
    </row>
    <row r="5413" spans="1:17" ht="15" x14ac:dyDescent="0.25">
      <c r="A5413" s="3">
        <f>5406</f>
        <v>5406</v>
      </c>
      <c r="B5413" s="3" t="s">
        <v>5415</v>
      </c>
      <c r="C5413" s="3" t="s">
        <v>10</v>
      </c>
      <c r="D5413" s="3" t="s">
        <v>9</v>
      </c>
      <c r="E5413" s="3">
        <v>25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/>
      <c r="P5413" s="3"/>
      <c r="Q5413" s="3"/>
    </row>
    <row r="5414" spans="1:17" ht="15" x14ac:dyDescent="0.25">
      <c r="A5414" s="3">
        <f>5407</f>
        <v>5407</v>
      </c>
      <c r="B5414" s="3" t="s">
        <v>5416</v>
      </c>
      <c r="C5414" s="3" t="s">
        <v>10</v>
      </c>
      <c r="D5414" s="3" t="s">
        <v>9</v>
      </c>
      <c r="E5414" s="3">
        <v>25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/>
      <c r="P5414" s="3"/>
      <c r="Q5414" s="3"/>
    </row>
    <row r="5415" spans="1:17" ht="15" x14ac:dyDescent="0.25">
      <c r="A5415" s="3">
        <f>5408</f>
        <v>5408</v>
      </c>
      <c r="B5415" s="3" t="s">
        <v>5417</v>
      </c>
      <c r="C5415" s="3" t="s">
        <v>10</v>
      </c>
      <c r="D5415" s="3" t="s">
        <v>9</v>
      </c>
      <c r="E5415" s="3">
        <v>25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/>
      <c r="P5415" s="3"/>
      <c r="Q5415" s="3"/>
    </row>
    <row r="5416" spans="1:17" ht="15" x14ac:dyDescent="0.25">
      <c r="A5416" s="3">
        <f>5409</f>
        <v>5409</v>
      </c>
      <c r="B5416" s="3" t="s">
        <v>5418</v>
      </c>
      <c r="C5416" s="3" t="s">
        <v>10</v>
      </c>
      <c r="D5416" s="3" t="s">
        <v>9</v>
      </c>
      <c r="E5416" s="3">
        <v>25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/>
      <c r="P5416" s="3"/>
      <c r="Q5416" s="3"/>
    </row>
    <row r="5417" spans="1:17" ht="15" x14ac:dyDescent="0.25">
      <c r="A5417" s="3">
        <f>5410</f>
        <v>5410</v>
      </c>
      <c r="B5417" s="3" t="s">
        <v>5419</v>
      </c>
      <c r="C5417" s="3" t="s">
        <v>10</v>
      </c>
      <c r="D5417" s="3" t="s">
        <v>9</v>
      </c>
      <c r="E5417" s="3">
        <v>25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/>
      <c r="P5417" s="3"/>
      <c r="Q5417" s="3"/>
    </row>
    <row r="5418" spans="1:17" ht="15" x14ac:dyDescent="0.25">
      <c r="A5418" s="3">
        <f>5411</f>
        <v>5411</v>
      </c>
      <c r="B5418" s="3" t="s">
        <v>5420</v>
      </c>
      <c r="C5418" s="3" t="s">
        <v>10</v>
      </c>
      <c r="D5418" s="3" t="s">
        <v>9</v>
      </c>
      <c r="E5418" s="3">
        <v>25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/>
      <c r="P5418" s="3"/>
      <c r="Q5418" s="3"/>
    </row>
    <row r="5419" spans="1:17" ht="15" x14ac:dyDescent="0.25">
      <c r="A5419" s="3">
        <f>5412</f>
        <v>5412</v>
      </c>
      <c r="B5419" s="3" t="s">
        <v>5421</v>
      </c>
      <c r="C5419" s="3" t="s">
        <v>10</v>
      </c>
      <c r="D5419" s="3" t="s">
        <v>9</v>
      </c>
      <c r="E5419" s="3">
        <v>25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/>
      <c r="P5419" s="3"/>
      <c r="Q5419" s="3"/>
    </row>
    <row r="5420" spans="1:17" ht="15" x14ac:dyDescent="0.25">
      <c r="A5420" s="3">
        <f>5413</f>
        <v>5413</v>
      </c>
      <c r="B5420" s="3" t="s">
        <v>5422</v>
      </c>
      <c r="C5420" s="3" t="s">
        <v>10</v>
      </c>
      <c r="D5420" s="3" t="s">
        <v>9</v>
      </c>
      <c r="E5420" s="3">
        <v>25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/>
      <c r="P5420" s="3"/>
      <c r="Q5420" s="3"/>
    </row>
    <row r="5421" spans="1:17" ht="15" x14ac:dyDescent="0.25">
      <c r="A5421" s="3">
        <f>5414</f>
        <v>5414</v>
      </c>
      <c r="B5421" s="3" t="s">
        <v>5423</v>
      </c>
      <c r="C5421" s="3" t="s">
        <v>10</v>
      </c>
      <c r="D5421" s="3" t="s">
        <v>9</v>
      </c>
      <c r="E5421" s="3">
        <v>25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/>
      <c r="P5421" s="3"/>
      <c r="Q5421" s="3"/>
    </row>
    <row r="5422" spans="1:17" ht="15" x14ac:dyDescent="0.25">
      <c r="A5422" s="3">
        <f>5415</f>
        <v>5415</v>
      </c>
      <c r="B5422" s="3" t="s">
        <v>5424</v>
      </c>
      <c r="C5422" s="3" t="s">
        <v>10</v>
      </c>
      <c r="D5422" s="3" t="s">
        <v>9</v>
      </c>
      <c r="E5422" s="3">
        <v>25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/>
      <c r="P5422" s="3"/>
      <c r="Q5422" s="3"/>
    </row>
    <row r="5423" spans="1:17" ht="15" x14ac:dyDescent="0.25">
      <c r="A5423" s="3">
        <f>5416</f>
        <v>5416</v>
      </c>
      <c r="B5423" s="3" t="s">
        <v>5425</v>
      </c>
      <c r="C5423" s="3" t="s">
        <v>10</v>
      </c>
      <c r="D5423" s="3" t="s">
        <v>9</v>
      </c>
      <c r="E5423" s="3">
        <v>25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/>
      <c r="P5423" s="3"/>
      <c r="Q5423" s="3"/>
    </row>
    <row r="5424" spans="1:17" ht="15" x14ac:dyDescent="0.25">
      <c r="A5424" s="3">
        <f>5417</f>
        <v>5417</v>
      </c>
      <c r="B5424" s="3" t="s">
        <v>5426</v>
      </c>
      <c r="C5424" s="3" t="s">
        <v>10</v>
      </c>
      <c r="D5424" s="3" t="s">
        <v>9</v>
      </c>
      <c r="E5424" s="3">
        <v>25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/>
      <c r="P5424" s="3"/>
      <c r="Q5424" s="3"/>
    </row>
    <row r="5425" spans="1:17" ht="15" x14ac:dyDescent="0.25">
      <c r="A5425" s="3">
        <f>5418</f>
        <v>5418</v>
      </c>
      <c r="B5425" s="3" t="s">
        <v>5427</v>
      </c>
      <c r="C5425" s="3" t="s">
        <v>10</v>
      </c>
      <c r="D5425" s="3" t="s">
        <v>9</v>
      </c>
      <c r="E5425" s="3">
        <v>25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/>
      <c r="P5425" s="3"/>
      <c r="Q5425" s="3"/>
    </row>
    <row r="5426" spans="1:17" ht="15" x14ac:dyDescent="0.25">
      <c r="A5426" s="3">
        <f>5419</f>
        <v>5419</v>
      </c>
      <c r="B5426" s="3" t="s">
        <v>5428</v>
      </c>
      <c r="C5426" s="3" t="s">
        <v>10</v>
      </c>
      <c r="D5426" s="3" t="s">
        <v>9</v>
      </c>
      <c r="E5426" s="3">
        <v>25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/>
      <c r="P5426" s="3"/>
      <c r="Q5426" s="3"/>
    </row>
    <row r="5427" spans="1:17" ht="15" x14ac:dyDescent="0.25">
      <c r="A5427" s="3">
        <f>5420</f>
        <v>5420</v>
      </c>
      <c r="B5427" s="3" t="s">
        <v>5429</v>
      </c>
      <c r="C5427" s="3" t="s">
        <v>10</v>
      </c>
      <c r="D5427" s="3" t="s">
        <v>9</v>
      </c>
      <c r="E5427" s="3">
        <v>25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/>
      <c r="P5427" s="3"/>
      <c r="Q5427" s="3"/>
    </row>
    <row r="5428" spans="1:17" ht="15" x14ac:dyDescent="0.25">
      <c r="A5428" s="3">
        <f>5421</f>
        <v>5421</v>
      </c>
      <c r="B5428" s="3" t="s">
        <v>5430</v>
      </c>
      <c r="C5428" s="3" t="s">
        <v>10</v>
      </c>
      <c r="D5428" s="3" t="s">
        <v>9</v>
      </c>
      <c r="E5428" s="3">
        <v>25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/>
      <c r="P5428" s="3"/>
      <c r="Q5428" s="3"/>
    </row>
    <row r="5429" spans="1:17" ht="15" x14ac:dyDescent="0.25">
      <c r="A5429" s="3">
        <f>5422</f>
        <v>5422</v>
      </c>
      <c r="B5429" s="3" t="s">
        <v>5431</v>
      </c>
      <c r="C5429" s="3" t="s">
        <v>10</v>
      </c>
      <c r="D5429" s="3" t="s">
        <v>9</v>
      </c>
      <c r="E5429" s="3">
        <v>25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/>
      <c r="P5429" s="3"/>
      <c r="Q5429" s="3"/>
    </row>
    <row r="5430" spans="1:17" ht="15" x14ac:dyDescent="0.25">
      <c r="A5430" s="3">
        <f>5423</f>
        <v>5423</v>
      </c>
      <c r="B5430" s="3" t="s">
        <v>5432</v>
      </c>
      <c r="C5430" s="3" t="s">
        <v>10</v>
      </c>
      <c r="D5430" s="3" t="s">
        <v>9</v>
      </c>
      <c r="E5430" s="3">
        <v>25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/>
      <c r="P5430" s="3"/>
      <c r="Q5430" s="3"/>
    </row>
    <row r="5431" spans="1:17" ht="15" x14ac:dyDescent="0.25">
      <c r="A5431" s="3">
        <f>5424</f>
        <v>5424</v>
      </c>
      <c r="B5431" s="3" t="s">
        <v>5433</v>
      </c>
      <c r="C5431" s="3" t="s">
        <v>10</v>
      </c>
      <c r="D5431" s="3" t="s">
        <v>9</v>
      </c>
      <c r="E5431" s="3">
        <v>25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/>
      <c r="P5431" s="3"/>
      <c r="Q5431" s="3"/>
    </row>
    <row r="5432" spans="1:17" ht="15" x14ac:dyDescent="0.25">
      <c r="A5432" s="3">
        <f>5425</f>
        <v>5425</v>
      </c>
      <c r="B5432" s="3" t="s">
        <v>5434</v>
      </c>
      <c r="C5432" s="3" t="s">
        <v>10</v>
      </c>
      <c r="D5432" s="3" t="s">
        <v>9</v>
      </c>
      <c r="E5432" s="3">
        <v>25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/>
      <c r="P5432" s="3"/>
      <c r="Q5432" s="3"/>
    </row>
    <row r="5433" spans="1:17" ht="15" x14ac:dyDescent="0.25">
      <c r="A5433" s="3">
        <f>5426</f>
        <v>5426</v>
      </c>
      <c r="B5433" s="3" t="s">
        <v>5435</v>
      </c>
      <c r="C5433" s="3" t="s">
        <v>10</v>
      </c>
      <c r="D5433" s="3" t="s">
        <v>9</v>
      </c>
      <c r="E5433" s="3">
        <v>25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/>
      <c r="P5433" s="3"/>
      <c r="Q5433" s="3"/>
    </row>
    <row r="5434" spans="1:17" ht="15" x14ac:dyDescent="0.25">
      <c r="A5434" s="3">
        <f>5427</f>
        <v>5427</v>
      </c>
      <c r="B5434" s="3" t="s">
        <v>5436</v>
      </c>
      <c r="C5434" s="3" t="s">
        <v>10</v>
      </c>
      <c r="D5434" s="3" t="s">
        <v>9</v>
      </c>
      <c r="E5434" s="3">
        <v>25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/>
      <c r="P5434" s="3"/>
      <c r="Q5434" s="3"/>
    </row>
    <row r="5435" spans="1:17" ht="15" x14ac:dyDescent="0.25">
      <c r="A5435" s="3">
        <f>5428</f>
        <v>5428</v>
      </c>
      <c r="B5435" s="3" t="s">
        <v>5437</v>
      </c>
      <c r="C5435" s="3" t="s">
        <v>10</v>
      </c>
      <c r="D5435" s="3" t="s">
        <v>9</v>
      </c>
      <c r="E5435" s="3">
        <v>25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/>
      <c r="P5435" s="3"/>
      <c r="Q5435" s="3"/>
    </row>
    <row r="5436" spans="1:17" ht="15" x14ac:dyDescent="0.25">
      <c r="A5436" s="3">
        <f>5429</f>
        <v>5429</v>
      </c>
      <c r="B5436" s="3" t="s">
        <v>5438</v>
      </c>
      <c r="C5436" s="3" t="s">
        <v>10</v>
      </c>
      <c r="D5436" s="3" t="s">
        <v>9</v>
      </c>
      <c r="E5436" s="3">
        <v>25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/>
      <c r="P5436" s="3"/>
      <c r="Q5436" s="3"/>
    </row>
    <row r="5437" spans="1:17" ht="15" x14ac:dyDescent="0.25">
      <c r="A5437" s="3">
        <f>5430</f>
        <v>5430</v>
      </c>
      <c r="B5437" s="3" t="s">
        <v>5439</v>
      </c>
      <c r="C5437" s="3" t="s">
        <v>10</v>
      </c>
      <c r="D5437" s="3" t="s">
        <v>9</v>
      </c>
      <c r="E5437" s="3">
        <v>25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/>
      <c r="P5437" s="3"/>
      <c r="Q5437" s="3"/>
    </row>
    <row r="5438" spans="1:17" ht="15" x14ac:dyDescent="0.25">
      <c r="A5438" s="3">
        <f>5431</f>
        <v>5431</v>
      </c>
      <c r="B5438" s="3" t="s">
        <v>5440</v>
      </c>
      <c r="C5438" s="3" t="s">
        <v>10</v>
      </c>
      <c r="D5438" s="3" t="s">
        <v>9</v>
      </c>
      <c r="E5438" s="3">
        <v>25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/>
      <c r="P5438" s="3"/>
      <c r="Q5438" s="3"/>
    </row>
    <row r="5439" spans="1:17" ht="15" x14ac:dyDescent="0.25">
      <c r="A5439" s="3">
        <f>5432</f>
        <v>5432</v>
      </c>
      <c r="B5439" s="3" t="s">
        <v>5441</v>
      </c>
      <c r="C5439" s="3" t="s">
        <v>10</v>
      </c>
      <c r="D5439" s="3" t="s">
        <v>9</v>
      </c>
      <c r="E5439" s="3">
        <v>25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/>
      <c r="P5439" s="3"/>
      <c r="Q5439" s="3"/>
    </row>
    <row r="5440" spans="1:17" ht="15" x14ac:dyDescent="0.25">
      <c r="A5440" s="3">
        <f>5433</f>
        <v>5433</v>
      </c>
      <c r="B5440" s="3" t="s">
        <v>5442</v>
      </c>
      <c r="C5440" s="3" t="s">
        <v>10</v>
      </c>
      <c r="D5440" s="3" t="s">
        <v>9</v>
      </c>
      <c r="E5440" s="3">
        <v>25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/>
      <c r="P5440" s="3"/>
      <c r="Q5440" s="3"/>
    </row>
    <row r="5441" spans="1:17" ht="15" x14ac:dyDescent="0.25">
      <c r="A5441" s="3">
        <f>5434</f>
        <v>5434</v>
      </c>
      <c r="B5441" s="3" t="s">
        <v>5443</v>
      </c>
      <c r="C5441" s="3" t="s">
        <v>10</v>
      </c>
      <c r="D5441" s="3" t="s">
        <v>9</v>
      </c>
      <c r="E5441" s="3">
        <v>25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/>
      <c r="P5441" s="3"/>
      <c r="Q5441" s="3"/>
    </row>
    <row r="5442" spans="1:17" ht="15" x14ac:dyDescent="0.25">
      <c r="A5442" s="3">
        <f>5435</f>
        <v>5435</v>
      </c>
      <c r="B5442" s="3" t="s">
        <v>5444</v>
      </c>
      <c r="C5442" s="3" t="s">
        <v>10</v>
      </c>
      <c r="D5442" s="3" t="s">
        <v>9</v>
      </c>
      <c r="E5442" s="3">
        <v>25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/>
      <c r="P5442" s="3"/>
      <c r="Q5442" s="3"/>
    </row>
    <row r="5443" spans="1:17" ht="15" x14ac:dyDescent="0.25">
      <c r="A5443" s="3">
        <f>5436</f>
        <v>5436</v>
      </c>
      <c r="B5443" s="3" t="s">
        <v>5445</v>
      </c>
      <c r="C5443" s="3" t="s">
        <v>10</v>
      </c>
      <c r="D5443" s="3" t="s">
        <v>9</v>
      </c>
      <c r="E5443" s="3">
        <v>25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/>
      <c r="P5443" s="3"/>
      <c r="Q5443" s="3"/>
    </row>
    <row r="5444" spans="1:17" ht="15" x14ac:dyDescent="0.25">
      <c r="A5444" s="3">
        <f>5437</f>
        <v>5437</v>
      </c>
      <c r="B5444" s="3" t="s">
        <v>5446</v>
      </c>
      <c r="C5444" s="3" t="s">
        <v>10</v>
      </c>
      <c r="D5444" s="3" t="s">
        <v>9</v>
      </c>
      <c r="E5444" s="3">
        <v>25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/>
      <c r="P5444" s="3"/>
      <c r="Q5444" s="3"/>
    </row>
    <row r="5445" spans="1:17" ht="15" x14ac:dyDescent="0.25">
      <c r="A5445" s="3">
        <f>5438</f>
        <v>5438</v>
      </c>
      <c r="B5445" s="3" t="s">
        <v>5447</v>
      </c>
      <c r="C5445" s="3" t="s">
        <v>10</v>
      </c>
      <c r="D5445" s="3" t="s">
        <v>9</v>
      </c>
      <c r="E5445" s="3">
        <v>25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/>
      <c r="P5445" s="3"/>
      <c r="Q5445" s="3"/>
    </row>
    <row r="5446" spans="1:17" ht="15" x14ac:dyDescent="0.25">
      <c r="A5446" s="3">
        <f>5439</f>
        <v>5439</v>
      </c>
      <c r="B5446" s="3" t="s">
        <v>5448</v>
      </c>
      <c r="C5446" s="3" t="s">
        <v>10</v>
      </c>
      <c r="D5446" s="3" t="s">
        <v>9</v>
      </c>
      <c r="E5446" s="3">
        <v>25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/>
      <c r="P5446" s="3"/>
      <c r="Q5446" s="3"/>
    </row>
    <row r="5447" spans="1:17" ht="15" x14ac:dyDescent="0.25">
      <c r="A5447" s="3">
        <f>5440</f>
        <v>5440</v>
      </c>
      <c r="B5447" s="3" t="s">
        <v>5449</v>
      </c>
      <c r="C5447" s="3" t="s">
        <v>10</v>
      </c>
      <c r="D5447" s="3" t="s">
        <v>9</v>
      </c>
      <c r="E5447" s="3">
        <v>25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/>
      <c r="P5447" s="3"/>
      <c r="Q5447" s="3"/>
    </row>
    <row r="5448" spans="1:17" ht="15" x14ac:dyDescent="0.25">
      <c r="A5448" s="3">
        <f>5441</f>
        <v>5441</v>
      </c>
      <c r="B5448" s="3" t="s">
        <v>5450</v>
      </c>
      <c r="C5448" s="3" t="s">
        <v>10</v>
      </c>
      <c r="D5448" s="3" t="s">
        <v>9</v>
      </c>
      <c r="E5448" s="3">
        <v>25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/>
      <c r="P5448" s="3"/>
      <c r="Q5448" s="3"/>
    </row>
    <row r="5449" spans="1:17" ht="15" x14ac:dyDescent="0.25">
      <c r="A5449" s="3">
        <f>5442</f>
        <v>5442</v>
      </c>
      <c r="B5449" s="3" t="s">
        <v>5451</v>
      </c>
      <c r="C5449" s="3" t="s">
        <v>10</v>
      </c>
      <c r="D5449" s="3" t="s">
        <v>9</v>
      </c>
      <c r="E5449" s="3">
        <v>25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/>
      <c r="P5449" s="3"/>
      <c r="Q5449" s="3"/>
    </row>
    <row r="5450" spans="1:17" ht="15" x14ac:dyDescent="0.25">
      <c r="A5450" s="3">
        <f>5443</f>
        <v>5443</v>
      </c>
      <c r="B5450" s="3" t="s">
        <v>5452</v>
      </c>
      <c r="C5450" s="3" t="s">
        <v>10</v>
      </c>
      <c r="D5450" s="3" t="s">
        <v>9</v>
      </c>
      <c r="E5450" s="3">
        <v>25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/>
      <c r="P5450" s="3"/>
      <c r="Q5450" s="3"/>
    </row>
    <row r="5451" spans="1:17" ht="15" x14ac:dyDescent="0.25">
      <c r="A5451" s="3">
        <f>5444</f>
        <v>5444</v>
      </c>
      <c r="B5451" s="3" t="s">
        <v>5453</v>
      </c>
      <c r="C5451" s="3" t="s">
        <v>10</v>
      </c>
      <c r="D5451" s="3" t="s">
        <v>9</v>
      </c>
      <c r="E5451" s="3">
        <v>25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/>
      <c r="P5451" s="3"/>
      <c r="Q5451" s="3"/>
    </row>
    <row r="5452" spans="1:17" ht="15" x14ac:dyDescent="0.25">
      <c r="A5452" s="3">
        <f>5445</f>
        <v>5445</v>
      </c>
      <c r="B5452" s="3" t="s">
        <v>5454</v>
      </c>
      <c r="C5452" s="3" t="s">
        <v>10</v>
      </c>
      <c r="D5452" s="3" t="s">
        <v>9</v>
      </c>
      <c r="E5452" s="3">
        <v>25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/>
      <c r="P5452" s="3"/>
      <c r="Q5452" s="3"/>
    </row>
    <row r="5453" spans="1:17" ht="15" x14ac:dyDescent="0.25">
      <c r="A5453" s="3">
        <f>5446</f>
        <v>5446</v>
      </c>
      <c r="B5453" s="3" t="s">
        <v>5455</v>
      </c>
      <c r="C5453" s="3" t="s">
        <v>10</v>
      </c>
      <c r="D5453" s="3" t="s">
        <v>9</v>
      </c>
      <c r="E5453" s="3">
        <v>25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/>
      <c r="P5453" s="3"/>
      <c r="Q5453" s="3"/>
    </row>
    <row r="5454" spans="1:17" ht="15" x14ac:dyDescent="0.25">
      <c r="A5454" s="3">
        <f>5447</f>
        <v>5447</v>
      </c>
      <c r="B5454" s="3" t="s">
        <v>5456</v>
      </c>
      <c r="C5454" s="3" t="s">
        <v>10</v>
      </c>
      <c r="D5454" s="3" t="s">
        <v>9</v>
      </c>
      <c r="E5454" s="3">
        <v>25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/>
      <c r="P5454" s="3"/>
      <c r="Q5454" s="3"/>
    </row>
    <row r="5455" spans="1:17" ht="15" x14ac:dyDescent="0.25">
      <c r="A5455" s="3">
        <f>5448</f>
        <v>5448</v>
      </c>
      <c r="B5455" s="3" t="s">
        <v>5457</v>
      </c>
      <c r="C5455" s="3" t="s">
        <v>10</v>
      </c>
      <c r="D5455" s="3" t="s">
        <v>9</v>
      </c>
      <c r="E5455" s="3">
        <v>25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/>
      <c r="P5455" s="3"/>
      <c r="Q5455" s="3"/>
    </row>
    <row r="5456" spans="1:17" ht="15" x14ac:dyDescent="0.25">
      <c r="A5456" s="3">
        <f>5449</f>
        <v>5449</v>
      </c>
      <c r="B5456" s="3" t="s">
        <v>5458</v>
      </c>
      <c r="C5456" s="3" t="s">
        <v>10</v>
      </c>
      <c r="D5456" s="3" t="s">
        <v>9</v>
      </c>
      <c r="E5456" s="3">
        <v>25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/>
      <c r="P5456" s="3"/>
      <c r="Q5456" s="3"/>
    </row>
    <row r="5457" spans="1:17" ht="15" x14ac:dyDescent="0.25">
      <c r="A5457" s="3">
        <f>5450</f>
        <v>5450</v>
      </c>
      <c r="B5457" s="3" t="s">
        <v>5459</v>
      </c>
      <c r="C5457" s="3" t="s">
        <v>10</v>
      </c>
      <c r="D5457" s="3" t="s">
        <v>9</v>
      </c>
      <c r="E5457" s="3">
        <v>25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/>
      <c r="P5457" s="3"/>
      <c r="Q5457" s="3"/>
    </row>
    <row r="5458" spans="1:17" ht="15" x14ac:dyDescent="0.25">
      <c r="A5458" s="3">
        <f>5451</f>
        <v>5451</v>
      </c>
      <c r="B5458" s="3" t="s">
        <v>5460</v>
      </c>
      <c r="C5458" s="3" t="s">
        <v>10</v>
      </c>
      <c r="D5458" s="3" t="s">
        <v>9</v>
      </c>
      <c r="E5458" s="3">
        <v>23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/>
      <c r="P5458" s="3"/>
      <c r="Q5458" s="3"/>
    </row>
    <row r="5459" spans="1:17" ht="15" x14ac:dyDescent="0.25">
      <c r="A5459" s="3">
        <f>5452</f>
        <v>5452</v>
      </c>
      <c r="B5459" s="3" t="s">
        <v>5461</v>
      </c>
      <c r="C5459" s="3" t="s">
        <v>10</v>
      </c>
      <c r="D5459" s="3" t="s">
        <v>9</v>
      </c>
      <c r="E5459" s="3">
        <v>21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/>
      <c r="P5459" s="3"/>
      <c r="Q5459" s="3"/>
    </row>
    <row r="5460" spans="1:17" ht="15" x14ac:dyDescent="0.25">
      <c r="A5460" s="3">
        <f>5453</f>
        <v>5453</v>
      </c>
      <c r="B5460" s="3" t="s">
        <v>5462</v>
      </c>
      <c r="C5460" s="3" t="s">
        <v>10</v>
      </c>
      <c r="D5460" s="3" t="s">
        <v>9</v>
      </c>
      <c r="E5460" s="3">
        <v>21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/>
      <c r="P5460" s="3"/>
      <c r="Q5460" s="3"/>
    </row>
    <row r="5461" spans="1:17" ht="15" x14ac:dyDescent="0.25">
      <c r="A5461" s="3">
        <f>5454</f>
        <v>5454</v>
      </c>
      <c r="B5461" s="3" t="s">
        <v>5463</v>
      </c>
      <c r="C5461" s="3" t="s">
        <v>10</v>
      </c>
      <c r="D5461" s="3" t="s">
        <v>9</v>
      </c>
      <c r="E5461" s="3">
        <v>21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/>
      <c r="P5461" s="3"/>
      <c r="Q5461" s="3"/>
    </row>
    <row r="5462" spans="1:17" ht="15" x14ac:dyDescent="0.25">
      <c r="A5462" s="3">
        <f>5455</f>
        <v>5455</v>
      </c>
      <c r="B5462" s="3" t="s">
        <v>5464</v>
      </c>
      <c r="C5462" s="3" t="s">
        <v>10</v>
      </c>
      <c r="D5462" s="3" t="s">
        <v>9</v>
      </c>
      <c r="E5462" s="3">
        <v>21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/>
      <c r="P5462" s="3"/>
      <c r="Q5462" s="3"/>
    </row>
    <row r="5463" spans="1:17" ht="15" x14ac:dyDescent="0.25">
      <c r="A5463" s="3">
        <f>5456</f>
        <v>5456</v>
      </c>
      <c r="B5463" s="3" t="s">
        <v>5465</v>
      </c>
      <c r="C5463" s="3" t="s">
        <v>10</v>
      </c>
      <c r="D5463" s="3" t="s">
        <v>9</v>
      </c>
      <c r="E5463" s="3">
        <v>21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/>
      <c r="P5463" s="3"/>
      <c r="Q5463" s="3"/>
    </row>
    <row r="5464" spans="1:17" ht="15" x14ac:dyDescent="0.25">
      <c r="A5464" s="3">
        <f>5457</f>
        <v>5457</v>
      </c>
      <c r="B5464" s="3" t="s">
        <v>5466</v>
      </c>
      <c r="C5464" s="3" t="s">
        <v>10</v>
      </c>
      <c r="D5464" s="3" t="s">
        <v>9</v>
      </c>
      <c r="E5464" s="3">
        <v>21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/>
      <c r="P5464" s="3"/>
      <c r="Q5464" s="3"/>
    </row>
    <row r="5465" spans="1:17" ht="15" x14ac:dyDescent="0.25">
      <c r="A5465" s="3">
        <f>5458</f>
        <v>5458</v>
      </c>
      <c r="B5465" s="3" t="s">
        <v>5467</v>
      </c>
      <c r="C5465" s="3" t="s">
        <v>10</v>
      </c>
      <c r="D5465" s="3" t="s">
        <v>9</v>
      </c>
      <c r="E5465" s="3">
        <v>21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/>
      <c r="P5465" s="3"/>
      <c r="Q5465" s="3"/>
    </row>
    <row r="5466" spans="1:17" ht="15" x14ac:dyDescent="0.25">
      <c r="A5466" s="3">
        <f>5459</f>
        <v>5459</v>
      </c>
      <c r="B5466" s="3" t="s">
        <v>5468</v>
      </c>
      <c r="C5466" s="3" t="s">
        <v>10</v>
      </c>
      <c r="D5466" s="3" t="s">
        <v>9</v>
      </c>
      <c r="E5466" s="3">
        <v>21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/>
      <c r="P5466" s="3"/>
      <c r="Q5466" s="3"/>
    </row>
    <row r="5467" spans="1:17" ht="15" x14ac:dyDescent="0.25">
      <c r="A5467" s="3">
        <f>5460</f>
        <v>5460</v>
      </c>
      <c r="B5467" s="3" t="s">
        <v>5469</v>
      </c>
      <c r="C5467" s="3" t="s">
        <v>10</v>
      </c>
      <c r="D5467" s="3" t="s">
        <v>9</v>
      </c>
      <c r="E5467" s="3">
        <v>21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/>
      <c r="P5467" s="3"/>
      <c r="Q5467" s="3"/>
    </row>
    <row r="5468" spans="1:17" ht="15" x14ac:dyDescent="0.25">
      <c r="A5468" s="3">
        <f>5461</f>
        <v>5461</v>
      </c>
      <c r="B5468" s="3" t="s">
        <v>5470</v>
      </c>
      <c r="C5468" s="3" t="s">
        <v>10</v>
      </c>
      <c r="D5468" s="3" t="s">
        <v>9</v>
      </c>
      <c r="E5468" s="3">
        <v>21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/>
      <c r="P5468" s="3"/>
      <c r="Q5468" s="3"/>
    </row>
    <row r="5469" spans="1:17" ht="15" x14ac:dyDescent="0.25">
      <c r="A5469" s="3">
        <f>5462</f>
        <v>5462</v>
      </c>
      <c r="B5469" s="3" t="s">
        <v>5471</v>
      </c>
      <c r="C5469" s="3" t="s">
        <v>10</v>
      </c>
      <c r="D5469" s="3" t="s">
        <v>9</v>
      </c>
      <c r="E5469" s="3">
        <v>21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/>
      <c r="P5469" s="3"/>
      <c r="Q5469" s="3"/>
    </row>
    <row r="5470" spans="1:17" ht="15" x14ac:dyDescent="0.25">
      <c r="A5470" s="3">
        <f>5463</f>
        <v>5463</v>
      </c>
      <c r="B5470" s="3" t="s">
        <v>5472</v>
      </c>
      <c r="C5470" s="3" t="s">
        <v>10</v>
      </c>
      <c r="D5470" s="3" t="s">
        <v>9</v>
      </c>
      <c r="E5470" s="3">
        <v>21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/>
      <c r="P5470" s="3"/>
      <c r="Q5470" s="3"/>
    </row>
    <row r="5471" spans="1:17" ht="15" x14ac:dyDescent="0.25">
      <c r="A5471" s="3">
        <f>5464</f>
        <v>5464</v>
      </c>
      <c r="B5471" s="3" t="s">
        <v>5473</v>
      </c>
      <c r="C5471" s="3" t="s">
        <v>10</v>
      </c>
      <c r="D5471" s="3" t="s">
        <v>9</v>
      </c>
      <c r="E5471" s="3">
        <v>21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/>
      <c r="P5471" s="3"/>
      <c r="Q5471" s="3"/>
    </row>
    <row r="5472" spans="1:17" ht="15" x14ac:dyDescent="0.25">
      <c r="A5472" s="3">
        <f>5465</f>
        <v>5465</v>
      </c>
      <c r="B5472" s="3" t="s">
        <v>5474</v>
      </c>
      <c r="C5472" s="3" t="s">
        <v>10</v>
      </c>
      <c r="D5472" s="3" t="s">
        <v>9</v>
      </c>
      <c r="E5472" s="3">
        <v>21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/>
      <c r="P5472" s="3"/>
      <c r="Q5472" s="3"/>
    </row>
    <row r="5473" spans="1:17" ht="15" x14ac:dyDescent="0.25">
      <c r="A5473" s="3">
        <f>5466</f>
        <v>5466</v>
      </c>
      <c r="B5473" s="3" t="s">
        <v>5475</v>
      </c>
      <c r="C5473" s="3" t="s">
        <v>10</v>
      </c>
      <c r="D5473" s="3" t="s">
        <v>9</v>
      </c>
      <c r="E5473" s="3">
        <v>21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/>
      <c r="P5473" s="3"/>
      <c r="Q5473" s="3"/>
    </row>
    <row r="5474" spans="1:17" ht="15" x14ac:dyDescent="0.25">
      <c r="A5474" s="3">
        <f>5467</f>
        <v>5467</v>
      </c>
      <c r="B5474" s="3" t="s">
        <v>5476</v>
      </c>
      <c r="C5474" s="3" t="s">
        <v>10</v>
      </c>
      <c r="D5474" s="3" t="s">
        <v>9</v>
      </c>
      <c r="E5474" s="3">
        <v>22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/>
      <c r="P5474" s="3"/>
      <c r="Q5474" s="3"/>
    </row>
    <row r="5475" spans="1:17" ht="15" x14ac:dyDescent="0.25">
      <c r="A5475" s="3">
        <f>5468</f>
        <v>5468</v>
      </c>
      <c r="B5475" s="3" t="s">
        <v>5477</v>
      </c>
      <c r="C5475" s="3" t="s">
        <v>10</v>
      </c>
      <c r="D5475" s="3" t="s">
        <v>9</v>
      </c>
      <c r="E5475" s="3">
        <v>22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/>
      <c r="P5475" s="3"/>
      <c r="Q5475" s="3"/>
    </row>
    <row r="5476" spans="1:17" ht="15" x14ac:dyDescent="0.25">
      <c r="A5476" s="3">
        <f>5469</f>
        <v>5469</v>
      </c>
      <c r="B5476" s="3" t="s">
        <v>5478</v>
      </c>
      <c r="C5476" s="3" t="s">
        <v>10</v>
      </c>
      <c r="D5476" s="3" t="s">
        <v>9</v>
      </c>
      <c r="E5476" s="3">
        <v>22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/>
      <c r="P5476" s="3"/>
      <c r="Q5476" s="3"/>
    </row>
    <row r="5477" spans="1:17" ht="15" x14ac:dyDescent="0.25">
      <c r="A5477" s="3">
        <f>5470</f>
        <v>5470</v>
      </c>
      <c r="B5477" s="3" t="s">
        <v>5479</v>
      </c>
      <c r="C5477" s="3" t="s">
        <v>10</v>
      </c>
      <c r="D5477" s="3" t="s">
        <v>9</v>
      </c>
      <c r="E5477" s="3">
        <v>22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/>
      <c r="P5477" s="3"/>
      <c r="Q5477" s="3"/>
    </row>
    <row r="5478" spans="1:17" ht="15" x14ac:dyDescent="0.25">
      <c r="A5478" s="3">
        <f>5471</f>
        <v>5471</v>
      </c>
      <c r="B5478" s="3" t="s">
        <v>5480</v>
      </c>
      <c r="C5478" s="3" t="s">
        <v>10</v>
      </c>
      <c r="D5478" s="3" t="s">
        <v>9</v>
      </c>
      <c r="E5478" s="3">
        <v>22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/>
      <c r="P5478" s="3"/>
      <c r="Q5478" s="3"/>
    </row>
    <row r="5479" spans="1:17" ht="15" x14ac:dyDescent="0.25">
      <c r="A5479" s="3">
        <f>5472</f>
        <v>5472</v>
      </c>
      <c r="B5479" s="3" t="s">
        <v>5481</v>
      </c>
      <c r="C5479" s="3" t="s">
        <v>10</v>
      </c>
      <c r="D5479" s="3" t="s">
        <v>9</v>
      </c>
      <c r="E5479" s="3">
        <v>22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/>
      <c r="P5479" s="3"/>
      <c r="Q5479" s="3"/>
    </row>
    <row r="5480" spans="1:17" ht="15" x14ac:dyDescent="0.25">
      <c r="A5480" s="3">
        <f>5473</f>
        <v>5473</v>
      </c>
      <c r="B5480" s="3" t="s">
        <v>5482</v>
      </c>
      <c r="C5480" s="3" t="s">
        <v>10</v>
      </c>
      <c r="D5480" s="3" t="s">
        <v>9</v>
      </c>
      <c r="E5480" s="3">
        <v>22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/>
      <c r="P5480" s="3"/>
      <c r="Q5480" s="3"/>
    </row>
    <row r="5481" spans="1:17" ht="15" x14ac:dyDescent="0.25">
      <c r="A5481" s="3">
        <f>5474</f>
        <v>5474</v>
      </c>
      <c r="B5481" s="3" t="s">
        <v>5483</v>
      </c>
      <c r="C5481" s="3" t="s">
        <v>10</v>
      </c>
      <c r="D5481" s="3" t="s">
        <v>9</v>
      </c>
      <c r="E5481" s="3">
        <v>22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/>
      <c r="P5481" s="3"/>
      <c r="Q5481" s="3"/>
    </row>
    <row r="5482" spans="1:17" ht="15" x14ac:dyDescent="0.25">
      <c r="A5482" s="3">
        <f>5475</f>
        <v>5475</v>
      </c>
      <c r="B5482" s="3" t="s">
        <v>5484</v>
      </c>
      <c r="C5482" s="3" t="s">
        <v>10</v>
      </c>
      <c r="D5482" s="3" t="s">
        <v>9</v>
      </c>
      <c r="E5482" s="3">
        <v>22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/>
      <c r="P5482" s="3"/>
      <c r="Q5482" s="3"/>
    </row>
    <row r="5483" spans="1:17" ht="15" x14ac:dyDescent="0.25">
      <c r="A5483" s="3">
        <f>5476</f>
        <v>5476</v>
      </c>
      <c r="B5483" s="3" t="s">
        <v>5485</v>
      </c>
      <c r="C5483" s="3" t="s">
        <v>10</v>
      </c>
      <c r="D5483" s="3" t="s">
        <v>9</v>
      </c>
      <c r="E5483" s="3">
        <v>22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/>
      <c r="P5483" s="3"/>
      <c r="Q5483" s="3"/>
    </row>
    <row r="5484" spans="1:17" ht="15" x14ac:dyDescent="0.25">
      <c r="A5484" s="3">
        <f>5477</f>
        <v>5477</v>
      </c>
      <c r="B5484" s="3" t="s">
        <v>5486</v>
      </c>
      <c r="C5484" s="3" t="s">
        <v>10</v>
      </c>
      <c r="D5484" s="3" t="s">
        <v>9</v>
      </c>
      <c r="E5484" s="3">
        <v>22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/>
      <c r="P5484" s="3"/>
      <c r="Q5484" s="3"/>
    </row>
    <row r="5485" spans="1:17" ht="15" x14ac:dyDescent="0.25">
      <c r="A5485" s="3">
        <f>5478</f>
        <v>5478</v>
      </c>
      <c r="B5485" s="3" t="s">
        <v>5487</v>
      </c>
      <c r="C5485" s="3" t="s">
        <v>10</v>
      </c>
      <c r="D5485" s="3" t="s">
        <v>9</v>
      </c>
      <c r="E5485" s="3">
        <v>22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/>
      <c r="P5485" s="3"/>
      <c r="Q5485" s="3"/>
    </row>
    <row r="5486" spans="1:17" ht="15" x14ac:dyDescent="0.25">
      <c r="A5486" s="3">
        <f>5479</f>
        <v>5479</v>
      </c>
      <c r="B5486" s="3" t="s">
        <v>5488</v>
      </c>
      <c r="C5486" s="3" t="s">
        <v>10</v>
      </c>
      <c r="D5486" s="3" t="s">
        <v>9</v>
      </c>
      <c r="E5486" s="3">
        <v>22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/>
      <c r="P5486" s="3"/>
      <c r="Q5486" s="3"/>
    </row>
    <row r="5487" spans="1:17" ht="15" x14ac:dyDescent="0.25">
      <c r="A5487" s="3">
        <f>5480</f>
        <v>5480</v>
      </c>
      <c r="B5487" s="3" t="s">
        <v>5489</v>
      </c>
      <c r="C5487" s="3" t="s">
        <v>10</v>
      </c>
      <c r="D5487" s="3" t="s">
        <v>9</v>
      </c>
      <c r="E5487" s="3">
        <v>22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/>
      <c r="P5487" s="3"/>
      <c r="Q5487" s="3"/>
    </row>
    <row r="5488" spans="1:17" ht="15" x14ac:dyDescent="0.25">
      <c r="A5488" s="3">
        <f>5481</f>
        <v>5481</v>
      </c>
      <c r="B5488" s="3" t="s">
        <v>5490</v>
      </c>
      <c r="C5488" s="3" t="s">
        <v>10</v>
      </c>
      <c r="D5488" s="3" t="s">
        <v>9</v>
      </c>
      <c r="E5488" s="3">
        <v>22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/>
      <c r="P5488" s="3"/>
      <c r="Q5488" s="3"/>
    </row>
    <row r="5489" spans="1:17" ht="15" x14ac:dyDescent="0.25">
      <c r="A5489" s="3">
        <f>5482</f>
        <v>5482</v>
      </c>
      <c r="B5489" s="3" t="s">
        <v>5491</v>
      </c>
      <c r="C5489" s="3" t="s">
        <v>10</v>
      </c>
      <c r="D5489" s="3" t="s">
        <v>9</v>
      </c>
      <c r="E5489" s="3">
        <v>22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/>
      <c r="P5489" s="3"/>
      <c r="Q5489" s="3"/>
    </row>
    <row r="5490" spans="1:17" ht="15" x14ac:dyDescent="0.25">
      <c r="A5490" s="3">
        <f>5483</f>
        <v>5483</v>
      </c>
      <c r="B5490" s="3" t="s">
        <v>5492</v>
      </c>
      <c r="C5490" s="3" t="s">
        <v>10</v>
      </c>
      <c r="D5490" s="3" t="s">
        <v>9</v>
      </c>
      <c r="E5490" s="3">
        <v>22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/>
      <c r="P5490" s="3"/>
      <c r="Q5490" s="3"/>
    </row>
    <row r="5491" spans="1:17" ht="15" x14ac:dyDescent="0.25">
      <c r="A5491" s="3">
        <f>5484</f>
        <v>5484</v>
      </c>
      <c r="B5491" s="3" t="s">
        <v>5493</v>
      </c>
      <c r="C5491" s="3" t="s">
        <v>10</v>
      </c>
      <c r="D5491" s="3" t="s">
        <v>9</v>
      </c>
      <c r="E5491" s="3">
        <v>22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/>
      <c r="P5491" s="3"/>
      <c r="Q5491" s="3"/>
    </row>
    <row r="5492" spans="1:17" ht="15" x14ac:dyDescent="0.25">
      <c r="A5492" s="3">
        <f>5485</f>
        <v>5485</v>
      </c>
      <c r="B5492" s="3" t="s">
        <v>5494</v>
      </c>
      <c r="C5492" s="3" t="s">
        <v>10</v>
      </c>
      <c r="D5492" s="3" t="s">
        <v>9</v>
      </c>
      <c r="E5492" s="3">
        <v>22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/>
      <c r="P5492" s="3"/>
      <c r="Q5492" s="3"/>
    </row>
    <row r="5493" spans="1:17" ht="15" x14ac:dyDescent="0.25">
      <c r="A5493" s="3">
        <f>5486</f>
        <v>5486</v>
      </c>
      <c r="B5493" s="3" t="s">
        <v>5495</v>
      </c>
      <c r="C5493" s="3" t="s">
        <v>10</v>
      </c>
      <c r="D5493" s="3" t="s">
        <v>9</v>
      </c>
      <c r="E5493" s="3">
        <v>22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/>
      <c r="P5493" s="3"/>
      <c r="Q5493" s="3"/>
    </row>
    <row r="5494" spans="1:17" ht="15" x14ac:dyDescent="0.25">
      <c r="A5494" s="3">
        <f>5487</f>
        <v>5487</v>
      </c>
      <c r="B5494" s="3" t="s">
        <v>5496</v>
      </c>
      <c r="C5494" s="3" t="s">
        <v>10</v>
      </c>
      <c r="D5494" s="3" t="s">
        <v>9</v>
      </c>
      <c r="E5494" s="3">
        <v>22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/>
      <c r="P5494" s="3"/>
      <c r="Q5494" s="3"/>
    </row>
    <row r="5495" spans="1:17" ht="15" x14ac:dyDescent="0.25">
      <c r="A5495" s="3">
        <f>5488</f>
        <v>5488</v>
      </c>
      <c r="B5495" s="3" t="s">
        <v>5497</v>
      </c>
      <c r="C5495" s="3" t="s">
        <v>10</v>
      </c>
      <c r="D5495" s="3" t="s">
        <v>9</v>
      </c>
      <c r="E5495" s="3">
        <v>22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/>
      <c r="P5495" s="3"/>
      <c r="Q5495" s="3"/>
    </row>
    <row r="5496" spans="1:17" ht="15" x14ac:dyDescent="0.25">
      <c r="A5496" s="3">
        <f>5489</f>
        <v>5489</v>
      </c>
      <c r="B5496" s="3" t="s">
        <v>5498</v>
      </c>
      <c r="C5496" s="3" t="s">
        <v>10</v>
      </c>
      <c r="D5496" s="3" t="s">
        <v>9</v>
      </c>
      <c r="E5496" s="3">
        <v>22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/>
      <c r="P5496" s="3"/>
      <c r="Q5496" s="3"/>
    </row>
    <row r="5497" spans="1:17" ht="15" x14ac:dyDescent="0.25">
      <c r="A5497" s="3">
        <f>5490</f>
        <v>5490</v>
      </c>
      <c r="B5497" s="3" t="s">
        <v>5499</v>
      </c>
      <c r="C5497" s="3" t="s">
        <v>10</v>
      </c>
      <c r="D5497" s="3" t="s">
        <v>9</v>
      </c>
      <c r="E5497" s="3">
        <v>22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/>
      <c r="P5497" s="3"/>
      <c r="Q5497" s="3"/>
    </row>
    <row r="5498" spans="1:17" ht="15" x14ac:dyDescent="0.25">
      <c r="A5498" s="3">
        <f>5491</f>
        <v>5491</v>
      </c>
      <c r="B5498" s="3" t="s">
        <v>5500</v>
      </c>
      <c r="C5498" s="3" t="s">
        <v>10</v>
      </c>
      <c r="D5498" s="3" t="s">
        <v>9</v>
      </c>
      <c r="E5498" s="3">
        <v>22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/>
      <c r="P5498" s="3"/>
      <c r="Q5498" s="3"/>
    </row>
    <row r="5499" spans="1:17" ht="15" x14ac:dyDescent="0.25">
      <c r="A5499" s="3">
        <f>5492</f>
        <v>5492</v>
      </c>
      <c r="B5499" s="3" t="s">
        <v>5501</v>
      </c>
      <c r="C5499" s="3" t="s">
        <v>10</v>
      </c>
      <c r="D5499" s="3" t="s">
        <v>9</v>
      </c>
      <c r="E5499" s="3">
        <v>22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/>
      <c r="P5499" s="3"/>
      <c r="Q5499" s="3"/>
    </row>
    <row r="5500" spans="1:17" ht="15" x14ac:dyDescent="0.25">
      <c r="A5500" s="3">
        <f>5493</f>
        <v>5493</v>
      </c>
      <c r="B5500" s="3" t="s">
        <v>5502</v>
      </c>
      <c r="C5500" s="3" t="s">
        <v>10</v>
      </c>
      <c r="D5500" s="3" t="s">
        <v>9</v>
      </c>
      <c r="E5500" s="3">
        <v>22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/>
      <c r="P5500" s="3"/>
      <c r="Q5500" s="3"/>
    </row>
    <row r="5501" spans="1:17" ht="15" x14ac:dyDescent="0.25">
      <c r="A5501" s="3">
        <f>5494</f>
        <v>5494</v>
      </c>
      <c r="B5501" s="3" t="s">
        <v>5503</v>
      </c>
      <c r="C5501" s="3" t="s">
        <v>10</v>
      </c>
      <c r="D5501" s="3" t="s">
        <v>9</v>
      </c>
      <c r="E5501" s="3">
        <v>22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/>
      <c r="P5501" s="3"/>
      <c r="Q5501" s="3"/>
    </row>
    <row r="5502" spans="1:17" ht="15" x14ac:dyDescent="0.25">
      <c r="A5502" s="3">
        <f>5495</f>
        <v>5495</v>
      </c>
      <c r="B5502" s="3" t="s">
        <v>5504</v>
      </c>
      <c r="C5502" s="3" t="s">
        <v>10</v>
      </c>
      <c r="D5502" s="3" t="s">
        <v>9</v>
      </c>
      <c r="E5502" s="3">
        <v>22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/>
      <c r="P5502" s="3"/>
      <c r="Q5502" s="3"/>
    </row>
    <row r="5503" spans="1:17" ht="15" x14ac:dyDescent="0.25">
      <c r="A5503" s="3">
        <f>5496</f>
        <v>5496</v>
      </c>
      <c r="B5503" s="3" t="s">
        <v>5505</v>
      </c>
      <c r="C5503" s="3" t="s">
        <v>10</v>
      </c>
      <c r="D5503" s="3" t="s">
        <v>9</v>
      </c>
      <c r="E5503" s="3">
        <v>22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/>
      <c r="P5503" s="3"/>
      <c r="Q5503" s="3"/>
    </row>
    <row r="5504" spans="1:17" ht="15" x14ac:dyDescent="0.25">
      <c r="A5504" s="3">
        <f>5497</f>
        <v>5497</v>
      </c>
      <c r="B5504" s="3" t="s">
        <v>5506</v>
      </c>
      <c r="C5504" s="3" t="s">
        <v>10</v>
      </c>
      <c r="D5504" s="3" t="s">
        <v>9</v>
      </c>
      <c r="E5504" s="3">
        <v>22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/>
      <c r="P5504" s="3"/>
      <c r="Q5504" s="3"/>
    </row>
    <row r="5505" spans="1:17" ht="15" x14ac:dyDescent="0.25">
      <c r="A5505" s="3">
        <f>5498</f>
        <v>5498</v>
      </c>
      <c r="B5505" s="3" t="s">
        <v>5507</v>
      </c>
      <c r="C5505" s="3" t="s">
        <v>10</v>
      </c>
      <c r="D5505" s="3" t="s">
        <v>9</v>
      </c>
      <c r="E5505" s="3">
        <v>22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/>
      <c r="P5505" s="3"/>
      <c r="Q5505" s="3"/>
    </row>
    <row r="5506" spans="1:17" ht="15" x14ac:dyDescent="0.25">
      <c r="A5506" s="3">
        <f>5499</f>
        <v>5499</v>
      </c>
      <c r="B5506" s="3" t="s">
        <v>5508</v>
      </c>
      <c r="C5506" s="3" t="s">
        <v>10</v>
      </c>
      <c r="D5506" s="3" t="s">
        <v>9</v>
      </c>
      <c r="E5506" s="3">
        <v>22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/>
      <c r="P5506" s="3"/>
      <c r="Q5506" s="3"/>
    </row>
    <row r="5507" spans="1:17" ht="15" x14ac:dyDescent="0.25">
      <c r="A5507" s="3">
        <f>5500</f>
        <v>5500</v>
      </c>
      <c r="B5507" s="3" t="s">
        <v>5509</v>
      </c>
      <c r="C5507" s="3" t="s">
        <v>10</v>
      </c>
      <c r="D5507" s="3" t="s">
        <v>9</v>
      </c>
      <c r="E5507" s="3">
        <v>22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/>
      <c r="P5507" s="3"/>
      <c r="Q5507" s="3"/>
    </row>
    <row r="5508" spans="1:17" ht="15" x14ac:dyDescent="0.25">
      <c r="A5508" s="3">
        <f>5501</f>
        <v>5501</v>
      </c>
      <c r="B5508" s="3" t="s">
        <v>5510</v>
      </c>
      <c r="C5508" s="3" t="s">
        <v>10</v>
      </c>
      <c r="D5508" s="3" t="s">
        <v>9</v>
      </c>
      <c r="E5508" s="3">
        <v>22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/>
      <c r="P5508" s="3"/>
      <c r="Q5508" s="3"/>
    </row>
    <row r="5509" spans="1:17" ht="15" x14ac:dyDescent="0.25">
      <c r="A5509" s="3">
        <f>5502</f>
        <v>5502</v>
      </c>
      <c r="B5509" s="3" t="s">
        <v>5511</v>
      </c>
      <c r="C5509" s="3" t="s">
        <v>10</v>
      </c>
      <c r="D5509" s="3" t="s">
        <v>9</v>
      </c>
      <c r="E5509" s="3">
        <v>22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/>
      <c r="P5509" s="3"/>
      <c r="Q5509" s="3"/>
    </row>
    <row r="5510" spans="1:17" ht="15" x14ac:dyDescent="0.25">
      <c r="A5510" s="3">
        <f>5503</f>
        <v>5503</v>
      </c>
      <c r="B5510" s="3" t="s">
        <v>5512</v>
      </c>
      <c r="C5510" s="3" t="s">
        <v>10</v>
      </c>
      <c r="D5510" s="3" t="s">
        <v>9</v>
      </c>
      <c r="E5510" s="3">
        <v>22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/>
      <c r="P5510" s="3"/>
      <c r="Q5510" s="3"/>
    </row>
    <row r="5511" spans="1:17" ht="15" x14ac:dyDescent="0.25">
      <c r="A5511" s="3">
        <f>5504</f>
        <v>5504</v>
      </c>
      <c r="B5511" s="3" t="s">
        <v>5513</v>
      </c>
      <c r="C5511" s="3" t="s">
        <v>10</v>
      </c>
      <c r="D5511" s="3" t="s">
        <v>9</v>
      </c>
      <c r="E5511" s="3">
        <v>22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/>
      <c r="P5511" s="3"/>
      <c r="Q5511" s="3"/>
    </row>
    <row r="5512" spans="1:17" ht="15" x14ac:dyDescent="0.25">
      <c r="A5512" s="3">
        <f>5505</f>
        <v>5505</v>
      </c>
      <c r="B5512" s="3" t="s">
        <v>5514</v>
      </c>
      <c r="C5512" s="3" t="s">
        <v>10</v>
      </c>
      <c r="D5512" s="3" t="s">
        <v>9</v>
      </c>
      <c r="E5512" s="3">
        <v>22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/>
      <c r="P5512" s="3"/>
      <c r="Q5512" s="3"/>
    </row>
    <row r="5513" spans="1:17" ht="15" x14ac:dyDescent="0.25">
      <c r="A5513" s="3">
        <f>5506</f>
        <v>5506</v>
      </c>
      <c r="B5513" s="3" t="s">
        <v>5515</v>
      </c>
      <c r="C5513" s="3" t="s">
        <v>10</v>
      </c>
      <c r="D5513" s="3" t="s">
        <v>9</v>
      </c>
      <c r="E5513" s="3">
        <v>22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/>
      <c r="P5513" s="3"/>
      <c r="Q5513" s="3"/>
    </row>
    <row r="5514" spans="1:17" ht="15" x14ac:dyDescent="0.25">
      <c r="A5514" s="3">
        <f>5507</f>
        <v>5507</v>
      </c>
      <c r="B5514" s="3" t="s">
        <v>5516</v>
      </c>
      <c r="C5514" s="3" t="s">
        <v>10</v>
      </c>
      <c r="D5514" s="3" t="s">
        <v>9</v>
      </c>
      <c r="E5514" s="3">
        <v>22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/>
      <c r="P5514" s="3"/>
      <c r="Q5514" s="3"/>
    </row>
    <row r="5515" spans="1:17" ht="15" x14ac:dyDescent="0.25">
      <c r="A5515" s="3">
        <f>5508</f>
        <v>5508</v>
      </c>
      <c r="B5515" s="3" t="s">
        <v>5517</v>
      </c>
      <c r="C5515" s="3" t="s">
        <v>10</v>
      </c>
      <c r="D5515" s="3" t="s">
        <v>9</v>
      </c>
      <c r="E5515" s="3">
        <v>22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/>
      <c r="P5515" s="3"/>
      <c r="Q5515" s="3"/>
    </row>
    <row r="5516" spans="1:17" ht="15" x14ac:dyDescent="0.25">
      <c r="A5516" s="3">
        <f>5509</f>
        <v>5509</v>
      </c>
      <c r="B5516" s="3" t="s">
        <v>5518</v>
      </c>
      <c r="C5516" s="3" t="s">
        <v>10</v>
      </c>
      <c r="D5516" s="3" t="s">
        <v>9</v>
      </c>
      <c r="E5516" s="3">
        <v>22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/>
      <c r="P5516" s="3"/>
      <c r="Q5516" s="3"/>
    </row>
    <row r="5517" spans="1:17" ht="15" x14ac:dyDescent="0.25">
      <c r="A5517" s="3">
        <f>5510</f>
        <v>5510</v>
      </c>
      <c r="B5517" s="3" t="s">
        <v>5519</v>
      </c>
      <c r="C5517" s="3" t="s">
        <v>10</v>
      </c>
      <c r="D5517" s="3" t="s">
        <v>9</v>
      </c>
      <c r="E5517" s="3">
        <v>22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/>
      <c r="P5517" s="3"/>
      <c r="Q5517" s="3"/>
    </row>
    <row r="5518" spans="1:17" ht="15" x14ac:dyDescent="0.25">
      <c r="A5518" s="3">
        <f>5511</f>
        <v>5511</v>
      </c>
      <c r="B5518" s="3" t="s">
        <v>5520</v>
      </c>
      <c r="C5518" s="3" t="s">
        <v>10</v>
      </c>
      <c r="D5518" s="3" t="s">
        <v>9</v>
      </c>
      <c r="E5518" s="3">
        <v>22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/>
      <c r="P5518" s="3"/>
      <c r="Q5518" s="3"/>
    </row>
    <row r="5519" spans="1:17" ht="15" x14ac:dyDescent="0.25">
      <c r="A5519" s="3">
        <f>5512</f>
        <v>5512</v>
      </c>
      <c r="B5519" s="3" t="s">
        <v>5521</v>
      </c>
      <c r="C5519" s="3" t="s">
        <v>10</v>
      </c>
      <c r="D5519" s="3" t="s">
        <v>9</v>
      </c>
      <c r="E5519" s="3">
        <v>22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/>
      <c r="P5519" s="3"/>
      <c r="Q5519" s="3"/>
    </row>
    <row r="5520" spans="1:17" ht="15" x14ac:dyDescent="0.25">
      <c r="A5520" s="3">
        <f>5513</f>
        <v>5513</v>
      </c>
      <c r="B5520" s="3" t="s">
        <v>5522</v>
      </c>
      <c r="C5520" s="3" t="s">
        <v>10</v>
      </c>
      <c r="D5520" s="3" t="s">
        <v>9</v>
      </c>
      <c r="E5520" s="3">
        <v>22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/>
      <c r="P5520" s="3"/>
      <c r="Q5520" s="3"/>
    </row>
    <row r="5521" spans="1:17" ht="15" x14ac:dyDescent="0.25">
      <c r="A5521" s="3">
        <f>5514</f>
        <v>5514</v>
      </c>
      <c r="B5521" s="3" t="s">
        <v>5523</v>
      </c>
      <c r="C5521" s="3" t="s">
        <v>10</v>
      </c>
      <c r="D5521" s="3" t="s">
        <v>9</v>
      </c>
      <c r="E5521" s="3">
        <v>22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/>
      <c r="P5521" s="3"/>
      <c r="Q5521" s="3"/>
    </row>
    <row r="5522" spans="1:17" ht="15" x14ac:dyDescent="0.25">
      <c r="A5522" s="3">
        <f>5515</f>
        <v>5515</v>
      </c>
      <c r="B5522" s="3" t="s">
        <v>5524</v>
      </c>
      <c r="C5522" s="3" t="s">
        <v>10</v>
      </c>
      <c r="D5522" s="3" t="s">
        <v>9</v>
      </c>
      <c r="E5522" s="3">
        <v>22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/>
      <c r="P5522" s="3"/>
      <c r="Q5522" s="3"/>
    </row>
    <row r="5523" spans="1:17" ht="15" x14ac:dyDescent="0.25">
      <c r="A5523" s="3">
        <f>5516</f>
        <v>5516</v>
      </c>
      <c r="B5523" s="3" t="s">
        <v>5525</v>
      </c>
      <c r="C5523" s="3" t="s">
        <v>10</v>
      </c>
      <c r="D5523" s="3" t="s">
        <v>9</v>
      </c>
      <c r="E5523" s="3">
        <v>22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/>
      <c r="P5523" s="3"/>
      <c r="Q5523" s="3"/>
    </row>
    <row r="5524" spans="1:17" ht="15" x14ac:dyDescent="0.25">
      <c r="A5524" s="3">
        <f>5517</f>
        <v>5517</v>
      </c>
      <c r="B5524" s="3" t="s">
        <v>5526</v>
      </c>
      <c r="C5524" s="3" t="s">
        <v>10</v>
      </c>
      <c r="D5524" s="3" t="s">
        <v>9</v>
      </c>
      <c r="E5524" s="3">
        <v>22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/>
      <c r="P5524" s="3"/>
      <c r="Q5524" s="3"/>
    </row>
    <row r="5525" spans="1:17" ht="15" x14ac:dyDescent="0.25">
      <c r="A5525" s="3">
        <f>5518</f>
        <v>5518</v>
      </c>
      <c r="B5525" s="3" t="s">
        <v>5527</v>
      </c>
      <c r="C5525" s="3" t="s">
        <v>10</v>
      </c>
      <c r="D5525" s="3" t="s">
        <v>9</v>
      </c>
      <c r="E5525" s="3">
        <v>22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/>
      <c r="P5525" s="3"/>
      <c r="Q5525" s="3"/>
    </row>
    <row r="5526" spans="1:17" ht="15" x14ac:dyDescent="0.25">
      <c r="A5526" s="3">
        <f>5519</f>
        <v>5519</v>
      </c>
      <c r="B5526" s="3" t="s">
        <v>5528</v>
      </c>
      <c r="C5526" s="3" t="s">
        <v>10</v>
      </c>
      <c r="D5526" s="3" t="s">
        <v>9</v>
      </c>
      <c r="E5526" s="3">
        <v>22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/>
      <c r="P5526" s="3"/>
      <c r="Q5526" s="3"/>
    </row>
    <row r="5527" spans="1:17" ht="15" x14ac:dyDescent="0.25">
      <c r="A5527" s="3">
        <f>5520</f>
        <v>5520</v>
      </c>
      <c r="B5527" s="3" t="s">
        <v>5529</v>
      </c>
      <c r="C5527" s="3" t="s">
        <v>10</v>
      </c>
      <c r="D5527" s="3" t="s">
        <v>9</v>
      </c>
      <c r="E5527" s="3">
        <v>22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/>
      <c r="P5527" s="3"/>
      <c r="Q5527" s="3"/>
    </row>
    <row r="5528" spans="1:17" ht="15" x14ac:dyDescent="0.25">
      <c r="A5528" s="3">
        <f>5521</f>
        <v>5521</v>
      </c>
      <c r="B5528" s="3" t="s">
        <v>5530</v>
      </c>
      <c r="C5528" s="3" t="s">
        <v>10</v>
      </c>
      <c r="D5528" s="3" t="s">
        <v>9</v>
      </c>
      <c r="E5528" s="3">
        <v>22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/>
      <c r="P5528" s="3"/>
      <c r="Q5528" s="3"/>
    </row>
    <row r="5529" spans="1:17" ht="15" x14ac:dyDescent="0.25">
      <c r="A5529" s="3">
        <f>5522</f>
        <v>5522</v>
      </c>
      <c r="B5529" s="3" t="s">
        <v>5531</v>
      </c>
      <c r="C5529" s="3" t="s">
        <v>10</v>
      </c>
      <c r="D5529" s="3" t="s">
        <v>9</v>
      </c>
      <c r="E5529" s="3">
        <v>22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/>
      <c r="P5529" s="3"/>
      <c r="Q5529" s="3"/>
    </row>
    <row r="5530" spans="1:17" ht="15" x14ac:dyDescent="0.25">
      <c r="A5530" s="3">
        <f>5523</f>
        <v>5523</v>
      </c>
      <c r="B5530" s="3" t="s">
        <v>5532</v>
      </c>
      <c r="C5530" s="3" t="s">
        <v>10</v>
      </c>
      <c r="D5530" s="3" t="s">
        <v>9</v>
      </c>
      <c r="E5530" s="3">
        <v>22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/>
      <c r="P5530" s="3"/>
      <c r="Q5530" s="3"/>
    </row>
    <row r="5531" spans="1:17" ht="15" x14ac:dyDescent="0.25">
      <c r="A5531" s="3">
        <f>5524</f>
        <v>5524</v>
      </c>
      <c r="B5531" s="3" t="s">
        <v>5533</v>
      </c>
      <c r="C5531" s="3" t="s">
        <v>10</v>
      </c>
      <c r="D5531" s="3" t="s">
        <v>9</v>
      </c>
      <c r="E5531" s="3">
        <v>22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/>
      <c r="P5531" s="3"/>
      <c r="Q5531" s="3"/>
    </row>
    <row r="5532" spans="1:17" ht="15" x14ac:dyDescent="0.25">
      <c r="A5532" s="3">
        <f>5525</f>
        <v>5525</v>
      </c>
      <c r="B5532" s="3" t="s">
        <v>5534</v>
      </c>
      <c r="C5532" s="3" t="s">
        <v>10</v>
      </c>
      <c r="D5532" s="3" t="s">
        <v>9</v>
      </c>
      <c r="E5532" s="3">
        <v>22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/>
      <c r="P5532" s="3"/>
      <c r="Q5532" s="3"/>
    </row>
    <row r="5533" spans="1:17" ht="15" x14ac:dyDescent="0.25">
      <c r="A5533" s="3">
        <f>5526</f>
        <v>5526</v>
      </c>
      <c r="B5533" s="3" t="s">
        <v>5535</v>
      </c>
      <c r="C5533" s="3" t="s">
        <v>10</v>
      </c>
      <c r="D5533" s="3" t="s">
        <v>9</v>
      </c>
      <c r="E5533" s="3">
        <v>22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/>
      <c r="P5533" s="3"/>
      <c r="Q5533" s="3"/>
    </row>
    <row r="5534" spans="1:17" ht="15" x14ac:dyDescent="0.25">
      <c r="A5534" s="3">
        <f>5527</f>
        <v>5527</v>
      </c>
      <c r="B5534" s="3" t="s">
        <v>5536</v>
      </c>
      <c r="C5534" s="3" t="s">
        <v>10</v>
      </c>
      <c r="D5534" s="3" t="s">
        <v>9</v>
      </c>
      <c r="E5534" s="3">
        <v>22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/>
      <c r="P5534" s="3"/>
      <c r="Q5534" s="3"/>
    </row>
    <row r="5535" spans="1:17" ht="15" x14ac:dyDescent="0.25">
      <c r="A5535" s="3">
        <f>5528</f>
        <v>5528</v>
      </c>
      <c r="B5535" s="3" t="s">
        <v>5537</v>
      </c>
      <c r="C5535" s="3" t="s">
        <v>10</v>
      </c>
      <c r="D5535" s="3" t="s">
        <v>9</v>
      </c>
      <c r="E5535" s="3">
        <v>22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/>
      <c r="P5535" s="3"/>
      <c r="Q5535" s="3"/>
    </row>
    <row r="5536" spans="1:17" ht="15" x14ac:dyDescent="0.25">
      <c r="A5536" s="3">
        <f>5529</f>
        <v>5529</v>
      </c>
      <c r="B5536" s="3" t="s">
        <v>5538</v>
      </c>
      <c r="C5536" s="3" t="s">
        <v>10</v>
      </c>
      <c r="D5536" s="3" t="s">
        <v>9</v>
      </c>
      <c r="E5536" s="3">
        <v>22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/>
      <c r="P5536" s="3"/>
      <c r="Q5536" s="3"/>
    </row>
    <row r="5537" spans="1:17" ht="15" x14ac:dyDescent="0.25">
      <c r="A5537" s="3">
        <f>5530</f>
        <v>5530</v>
      </c>
      <c r="B5537" s="3" t="s">
        <v>5539</v>
      </c>
      <c r="C5537" s="3" t="s">
        <v>10</v>
      </c>
      <c r="D5537" s="3" t="s">
        <v>9</v>
      </c>
      <c r="E5537" s="3">
        <v>22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/>
      <c r="P5537" s="3"/>
      <c r="Q5537" s="3"/>
    </row>
    <row r="5538" spans="1:17" ht="15" x14ac:dyDescent="0.25">
      <c r="A5538" s="3">
        <f>5531</f>
        <v>5531</v>
      </c>
      <c r="B5538" s="3" t="s">
        <v>5540</v>
      </c>
      <c r="C5538" s="3" t="s">
        <v>10</v>
      </c>
      <c r="D5538" s="3" t="s">
        <v>9</v>
      </c>
      <c r="E5538" s="3">
        <v>22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/>
      <c r="P5538" s="3"/>
      <c r="Q5538" s="3"/>
    </row>
    <row r="5539" spans="1:17" ht="15" x14ac:dyDescent="0.25">
      <c r="A5539" s="3">
        <f>5532</f>
        <v>5532</v>
      </c>
      <c r="B5539" s="3" t="s">
        <v>5541</v>
      </c>
      <c r="C5539" s="3" t="s">
        <v>10</v>
      </c>
      <c r="D5539" s="3" t="s">
        <v>9</v>
      </c>
      <c r="E5539" s="3">
        <v>22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/>
      <c r="P5539" s="3"/>
      <c r="Q5539" s="3"/>
    </row>
    <row r="5540" spans="1:17" ht="15" x14ac:dyDescent="0.25">
      <c r="A5540" s="3">
        <f>5533</f>
        <v>5533</v>
      </c>
      <c r="B5540" s="3" t="s">
        <v>5542</v>
      </c>
      <c r="C5540" s="3" t="s">
        <v>10</v>
      </c>
      <c r="D5540" s="3" t="s">
        <v>9</v>
      </c>
      <c r="E5540" s="3">
        <v>22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/>
      <c r="P5540" s="3"/>
      <c r="Q5540" s="3"/>
    </row>
    <row r="5541" spans="1:17" ht="15" x14ac:dyDescent="0.25">
      <c r="A5541" s="3">
        <f>5534</f>
        <v>5534</v>
      </c>
      <c r="B5541" s="3" t="s">
        <v>5543</v>
      </c>
      <c r="C5541" s="3" t="s">
        <v>10</v>
      </c>
      <c r="D5541" s="3" t="s">
        <v>9</v>
      </c>
      <c r="E5541" s="3">
        <v>22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/>
      <c r="P5541" s="3"/>
      <c r="Q5541" s="3"/>
    </row>
    <row r="5542" spans="1:17" ht="15" x14ac:dyDescent="0.25">
      <c r="A5542" s="3">
        <f>5535</f>
        <v>5535</v>
      </c>
      <c r="B5542" s="3" t="s">
        <v>5544</v>
      </c>
      <c r="C5542" s="3" t="s">
        <v>10</v>
      </c>
      <c r="D5542" s="3" t="s">
        <v>9</v>
      </c>
      <c r="E5542" s="3">
        <v>22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/>
      <c r="P5542" s="3"/>
      <c r="Q5542" s="3"/>
    </row>
    <row r="5543" spans="1:17" ht="15" x14ac:dyDescent="0.25">
      <c r="A5543" s="3">
        <f>5536</f>
        <v>5536</v>
      </c>
      <c r="B5543" s="3" t="s">
        <v>5545</v>
      </c>
      <c r="C5543" s="3" t="s">
        <v>10</v>
      </c>
      <c r="D5543" s="3" t="s">
        <v>9</v>
      </c>
      <c r="E5543" s="3">
        <v>22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/>
      <c r="P5543" s="3"/>
      <c r="Q5543" s="3"/>
    </row>
    <row r="5544" spans="1:17" ht="15" x14ac:dyDescent="0.25">
      <c r="A5544" s="3">
        <f>5537</f>
        <v>5537</v>
      </c>
      <c r="B5544" s="3" t="s">
        <v>5546</v>
      </c>
      <c r="C5544" s="3" t="s">
        <v>10</v>
      </c>
      <c r="D5544" s="3" t="s">
        <v>9</v>
      </c>
      <c r="E5544" s="3">
        <v>22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/>
      <c r="P5544" s="3"/>
      <c r="Q5544" s="3"/>
    </row>
    <row r="5545" spans="1:17" ht="15" x14ac:dyDescent="0.25">
      <c r="A5545" s="3">
        <f>5538</f>
        <v>5538</v>
      </c>
      <c r="B5545" s="3" t="s">
        <v>5547</v>
      </c>
      <c r="C5545" s="3" t="s">
        <v>10</v>
      </c>
      <c r="D5545" s="3" t="s">
        <v>9</v>
      </c>
      <c r="E5545" s="3">
        <v>22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/>
      <c r="P5545" s="3"/>
      <c r="Q5545" s="3"/>
    </row>
    <row r="5546" spans="1:17" ht="15" x14ac:dyDescent="0.25">
      <c r="A5546" s="3">
        <f>5539</f>
        <v>5539</v>
      </c>
      <c r="B5546" s="3" t="s">
        <v>5548</v>
      </c>
      <c r="C5546" s="3" t="s">
        <v>10</v>
      </c>
      <c r="D5546" s="3" t="s">
        <v>9</v>
      </c>
      <c r="E5546" s="3">
        <v>22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/>
      <c r="P5546" s="3"/>
      <c r="Q5546" s="3"/>
    </row>
    <row r="5547" spans="1:17" ht="15" x14ac:dyDescent="0.25">
      <c r="A5547" s="3">
        <f>5540</f>
        <v>5540</v>
      </c>
      <c r="B5547" s="3" t="s">
        <v>5549</v>
      </c>
      <c r="C5547" s="3" t="s">
        <v>10</v>
      </c>
      <c r="D5547" s="3" t="s">
        <v>9</v>
      </c>
      <c r="E5547" s="3">
        <v>22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/>
      <c r="P5547" s="3"/>
      <c r="Q5547" s="3"/>
    </row>
    <row r="5548" spans="1:17" ht="15" x14ac:dyDescent="0.25">
      <c r="A5548" s="3">
        <f>5541</f>
        <v>5541</v>
      </c>
      <c r="B5548" s="3" t="s">
        <v>5550</v>
      </c>
      <c r="C5548" s="3" t="s">
        <v>10</v>
      </c>
      <c r="D5548" s="3" t="s">
        <v>9</v>
      </c>
      <c r="E5548" s="3">
        <v>22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/>
      <c r="P5548" s="3"/>
      <c r="Q5548" s="3"/>
    </row>
    <row r="5549" spans="1:17" ht="15" x14ac:dyDescent="0.25">
      <c r="A5549" s="3">
        <f>5542</f>
        <v>5542</v>
      </c>
      <c r="B5549" s="3" t="s">
        <v>5551</v>
      </c>
      <c r="C5549" s="3" t="s">
        <v>10</v>
      </c>
      <c r="D5549" s="3" t="s">
        <v>9</v>
      </c>
      <c r="E5549" s="3">
        <v>22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/>
      <c r="P5549" s="3"/>
      <c r="Q5549" s="3"/>
    </row>
    <row r="5550" spans="1:17" ht="15" x14ac:dyDescent="0.25">
      <c r="A5550" s="3">
        <f>5543</f>
        <v>5543</v>
      </c>
      <c r="B5550" s="3" t="s">
        <v>5552</v>
      </c>
      <c r="C5550" s="3" t="s">
        <v>10</v>
      </c>
      <c r="D5550" s="3" t="s">
        <v>9</v>
      </c>
      <c r="E5550" s="3">
        <v>22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/>
      <c r="P5550" s="3"/>
      <c r="Q5550" s="3"/>
    </row>
    <row r="5551" spans="1:17" ht="15" x14ac:dyDescent="0.25">
      <c r="A5551" s="3">
        <f>5544</f>
        <v>5544</v>
      </c>
      <c r="B5551" s="3" t="s">
        <v>5553</v>
      </c>
      <c r="C5551" s="3" t="s">
        <v>10</v>
      </c>
      <c r="D5551" s="3" t="s">
        <v>9</v>
      </c>
      <c r="E5551" s="3">
        <v>22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/>
      <c r="P5551" s="3"/>
      <c r="Q5551" s="3"/>
    </row>
    <row r="5552" spans="1:17" ht="15" x14ac:dyDescent="0.25">
      <c r="A5552" s="3">
        <f>5545</f>
        <v>5545</v>
      </c>
      <c r="B5552" s="3" t="s">
        <v>5554</v>
      </c>
      <c r="C5552" s="3" t="s">
        <v>10</v>
      </c>
      <c r="D5552" s="3" t="s">
        <v>9</v>
      </c>
      <c r="E5552" s="3">
        <v>22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/>
      <c r="P5552" s="3"/>
      <c r="Q5552" s="3"/>
    </row>
    <row r="5553" spans="1:17" ht="15" x14ac:dyDescent="0.25">
      <c r="A5553" s="3">
        <f>5546</f>
        <v>5546</v>
      </c>
      <c r="B5553" s="3" t="s">
        <v>5555</v>
      </c>
      <c r="C5553" s="3" t="s">
        <v>10</v>
      </c>
      <c r="D5553" s="3" t="s">
        <v>9</v>
      </c>
      <c r="E5553" s="3">
        <v>22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/>
      <c r="P5553" s="3"/>
      <c r="Q5553" s="3"/>
    </row>
    <row r="5554" spans="1:17" ht="15" x14ac:dyDescent="0.25">
      <c r="A5554" s="3">
        <f>5547</f>
        <v>5547</v>
      </c>
      <c r="B5554" s="3" t="s">
        <v>5556</v>
      </c>
      <c r="C5554" s="3" t="s">
        <v>10</v>
      </c>
      <c r="D5554" s="3" t="s">
        <v>9</v>
      </c>
      <c r="E5554" s="3">
        <v>22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/>
      <c r="P5554" s="3"/>
      <c r="Q5554" s="3"/>
    </row>
    <row r="5555" spans="1:17" ht="15" x14ac:dyDescent="0.25">
      <c r="A5555" s="3">
        <f>5548</f>
        <v>5548</v>
      </c>
      <c r="B5555" s="3" t="s">
        <v>5557</v>
      </c>
      <c r="C5555" s="3" t="s">
        <v>10</v>
      </c>
      <c r="D5555" s="3" t="s">
        <v>9</v>
      </c>
      <c r="E5555" s="3">
        <v>22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/>
      <c r="P5555" s="3"/>
      <c r="Q5555" s="3"/>
    </row>
    <row r="5556" spans="1:17" ht="15" x14ac:dyDescent="0.25">
      <c r="A5556" s="3">
        <f>5549</f>
        <v>5549</v>
      </c>
      <c r="B5556" s="3" t="s">
        <v>5558</v>
      </c>
      <c r="C5556" s="3" t="s">
        <v>10</v>
      </c>
      <c r="D5556" s="3" t="s">
        <v>9</v>
      </c>
      <c r="E5556" s="3">
        <v>22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/>
      <c r="P5556" s="3"/>
      <c r="Q5556" s="3"/>
    </row>
    <row r="5557" spans="1:17" ht="15" x14ac:dyDescent="0.25">
      <c r="A5557" s="3">
        <f>5550</f>
        <v>5550</v>
      </c>
      <c r="B5557" s="3" t="s">
        <v>5559</v>
      </c>
      <c r="C5557" s="3" t="s">
        <v>10</v>
      </c>
      <c r="D5557" s="3" t="s">
        <v>9</v>
      </c>
      <c r="E5557" s="3">
        <v>22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/>
      <c r="P5557" s="3"/>
      <c r="Q5557" s="3"/>
    </row>
    <row r="5558" spans="1:17" ht="15" x14ac:dyDescent="0.25">
      <c r="A5558" s="3">
        <f>5551</f>
        <v>5551</v>
      </c>
      <c r="B5558" s="3" t="s">
        <v>5560</v>
      </c>
      <c r="C5558" s="3" t="s">
        <v>10</v>
      </c>
      <c r="D5558" s="3" t="s">
        <v>9</v>
      </c>
      <c r="E5558" s="3">
        <v>22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/>
      <c r="P5558" s="3"/>
      <c r="Q5558" s="3"/>
    </row>
    <row r="5559" spans="1:17" ht="15" x14ac:dyDescent="0.25">
      <c r="A5559" s="3">
        <f>5552</f>
        <v>5552</v>
      </c>
      <c r="B5559" s="3" t="s">
        <v>5561</v>
      </c>
      <c r="C5559" s="3" t="s">
        <v>10</v>
      </c>
      <c r="D5559" s="3" t="s">
        <v>9</v>
      </c>
      <c r="E5559" s="3">
        <v>22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/>
      <c r="P5559" s="3"/>
      <c r="Q5559" s="3"/>
    </row>
    <row r="5560" spans="1:17" ht="15" x14ac:dyDescent="0.25">
      <c r="A5560" s="3">
        <f>5553</f>
        <v>5553</v>
      </c>
      <c r="B5560" s="3" t="s">
        <v>5562</v>
      </c>
      <c r="C5560" s="3" t="s">
        <v>10</v>
      </c>
      <c r="D5560" s="3" t="s">
        <v>9</v>
      </c>
      <c r="E5560" s="3">
        <v>22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/>
      <c r="P5560" s="3"/>
      <c r="Q5560" s="3"/>
    </row>
    <row r="5561" spans="1:17" ht="15" x14ac:dyDescent="0.25">
      <c r="A5561" s="3">
        <f>5554</f>
        <v>5554</v>
      </c>
      <c r="B5561" s="3" t="s">
        <v>5563</v>
      </c>
      <c r="C5561" s="3" t="s">
        <v>10</v>
      </c>
      <c r="D5561" s="3" t="s">
        <v>9</v>
      </c>
      <c r="E5561" s="3">
        <v>22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/>
      <c r="P5561" s="3"/>
      <c r="Q5561" s="3"/>
    </row>
    <row r="5562" spans="1:17" ht="15" x14ac:dyDescent="0.25">
      <c r="A5562" s="3">
        <f>5555</f>
        <v>5555</v>
      </c>
      <c r="B5562" s="3" t="s">
        <v>5564</v>
      </c>
      <c r="C5562" s="3" t="s">
        <v>10</v>
      </c>
      <c r="D5562" s="3" t="s">
        <v>9</v>
      </c>
      <c r="E5562" s="3">
        <v>22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/>
      <c r="P5562" s="3"/>
      <c r="Q5562" s="3"/>
    </row>
    <row r="5563" spans="1:17" ht="15" x14ac:dyDescent="0.25">
      <c r="A5563" s="3">
        <f>5556</f>
        <v>5556</v>
      </c>
      <c r="B5563" s="3" t="s">
        <v>5565</v>
      </c>
      <c r="C5563" s="3" t="s">
        <v>10</v>
      </c>
      <c r="D5563" s="3" t="s">
        <v>9</v>
      </c>
      <c r="E5563" s="3">
        <v>22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/>
      <c r="P5563" s="3"/>
      <c r="Q5563" s="3"/>
    </row>
    <row r="5564" spans="1:17" ht="15" x14ac:dyDescent="0.25">
      <c r="A5564" s="3">
        <f>5557</f>
        <v>5557</v>
      </c>
      <c r="B5564" s="3" t="s">
        <v>5566</v>
      </c>
      <c r="C5564" s="3" t="s">
        <v>10</v>
      </c>
      <c r="D5564" s="3" t="s">
        <v>9</v>
      </c>
      <c r="E5564" s="3">
        <v>22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/>
      <c r="P5564" s="3"/>
      <c r="Q5564" s="3"/>
    </row>
    <row r="5565" spans="1:17" ht="15" x14ac:dyDescent="0.25">
      <c r="A5565" s="3">
        <f>5558</f>
        <v>5558</v>
      </c>
      <c r="B5565" s="3" t="s">
        <v>5567</v>
      </c>
      <c r="C5565" s="3" t="s">
        <v>10</v>
      </c>
      <c r="D5565" s="3" t="s">
        <v>9</v>
      </c>
      <c r="E5565" s="3">
        <v>22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/>
      <c r="P5565" s="3"/>
      <c r="Q5565" s="3"/>
    </row>
    <row r="5566" spans="1:17" ht="15" x14ac:dyDescent="0.25">
      <c r="A5566" s="3">
        <f>5559</f>
        <v>5559</v>
      </c>
      <c r="B5566" s="3" t="s">
        <v>5568</v>
      </c>
      <c r="C5566" s="3" t="s">
        <v>10</v>
      </c>
      <c r="D5566" s="3" t="s">
        <v>9</v>
      </c>
      <c r="E5566" s="3">
        <v>22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/>
      <c r="P5566" s="3"/>
      <c r="Q5566" s="3"/>
    </row>
    <row r="5567" spans="1:17" ht="15" x14ac:dyDescent="0.25">
      <c r="A5567" s="3">
        <f>5560</f>
        <v>5560</v>
      </c>
      <c r="B5567" s="3" t="s">
        <v>5569</v>
      </c>
      <c r="C5567" s="3" t="s">
        <v>10</v>
      </c>
      <c r="D5567" s="3" t="s">
        <v>9</v>
      </c>
      <c r="E5567" s="3">
        <v>22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/>
      <c r="P5567" s="3"/>
      <c r="Q5567" s="3"/>
    </row>
    <row r="5568" spans="1:17" ht="15" x14ac:dyDescent="0.25">
      <c r="A5568" s="3">
        <f>5561</f>
        <v>5561</v>
      </c>
      <c r="B5568" s="3" t="s">
        <v>5570</v>
      </c>
      <c r="C5568" s="3" t="s">
        <v>10</v>
      </c>
      <c r="D5568" s="3" t="s">
        <v>9</v>
      </c>
      <c r="E5568" s="3">
        <v>22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/>
      <c r="P5568" s="3"/>
      <c r="Q5568" s="3"/>
    </row>
    <row r="5569" spans="1:17" ht="15" x14ac:dyDescent="0.25">
      <c r="A5569" s="3">
        <f>5562</f>
        <v>5562</v>
      </c>
      <c r="B5569" s="3" t="s">
        <v>5571</v>
      </c>
      <c r="C5569" s="3" t="s">
        <v>10</v>
      </c>
      <c r="D5569" s="3" t="s">
        <v>9</v>
      </c>
      <c r="E5569" s="3">
        <v>22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/>
      <c r="P5569" s="3"/>
      <c r="Q5569" s="3"/>
    </row>
    <row r="5570" spans="1:17" ht="15" x14ac:dyDescent="0.25">
      <c r="A5570" s="3">
        <f>5563</f>
        <v>5563</v>
      </c>
      <c r="B5570" s="3" t="s">
        <v>5572</v>
      </c>
      <c r="C5570" s="3" t="s">
        <v>10</v>
      </c>
      <c r="D5570" s="3" t="s">
        <v>9</v>
      </c>
      <c r="E5570" s="3">
        <v>22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/>
      <c r="P5570" s="3"/>
      <c r="Q5570" s="3"/>
    </row>
    <row r="5571" spans="1:17" ht="15" x14ac:dyDescent="0.25">
      <c r="A5571" s="3">
        <f>5564</f>
        <v>5564</v>
      </c>
      <c r="B5571" s="3" t="s">
        <v>5573</v>
      </c>
      <c r="C5571" s="3" t="s">
        <v>10</v>
      </c>
      <c r="D5571" s="3" t="s">
        <v>9</v>
      </c>
      <c r="E5571" s="3">
        <v>22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/>
      <c r="P5571" s="3"/>
      <c r="Q5571" s="3"/>
    </row>
    <row r="5572" spans="1:17" ht="15" x14ac:dyDescent="0.25">
      <c r="A5572" s="3">
        <f>5565</f>
        <v>5565</v>
      </c>
      <c r="B5572" s="3" t="s">
        <v>5574</v>
      </c>
      <c r="C5572" s="3" t="s">
        <v>10</v>
      </c>
      <c r="D5572" s="3" t="s">
        <v>9</v>
      </c>
      <c r="E5572" s="3">
        <v>22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/>
      <c r="P5572" s="3"/>
      <c r="Q5572" s="3"/>
    </row>
    <row r="5573" spans="1:17" ht="15" x14ac:dyDescent="0.25">
      <c r="A5573" s="3">
        <f>5566</f>
        <v>5566</v>
      </c>
      <c r="B5573" s="3" t="s">
        <v>5575</v>
      </c>
      <c r="C5573" s="3" t="s">
        <v>10</v>
      </c>
      <c r="D5573" s="3" t="s">
        <v>9</v>
      </c>
      <c r="E5573" s="3">
        <v>22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/>
      <c r="P5573" s="3"/>
      <c r="Q5573" s="3"/>
    </row>
    <row r="5574" spans="1:17" ht="15" x14ac:dyDescent="0.25">
      <c r="A5574" s="3">
        <f>5567</f>
        <v>5567</v>
      </c>
      <c r="B5574" s="3" t="s">
        <v>5576</v>
      </c>
      <c r="C5574" s="3" t="s">
        <v>10</v>
      </c>
      <c r="D5574" s="3" t="s">
        <v>9</v>
      </c>
      <c r="E5574" s="3">
        <v>22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/>
      <c r="P5574" s="3"/>
      <c r="Q5574" s="3"/>
    </row>
    <row r="5575" spans="1:17" ht="15" x14ac:dyDescent="0.25">
      <c r="A5575" s="3">
        <f>5568</f>
        <v>5568</v>
      </c>
      <c r="B5575" s="3" t="s">
        <v>5577</v>
      </c>
      <c r="C5575" s="3" t="s">
        <v>10</v>
      </c>
      <c r="D5575" s="3" t="s">
        <v>9</v>
      </c>
      <c r="E5575" s="3">
        <v>22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/>
      <c r="P5575" s="3"/>
      <c r="Q5575" s="3"/>
    </row>
    <row r="5576" spans="1:17" ht="15" x14ac:dyDescent="0.25">
      <c r="A5576" s="3">
        <f>5569</f>
        <v>5569</v>
      </c>
      <c r="B5576" s="3" t="s">
        <v>5578</v>
      </c>
      <c r="C5576" s="3" t="s">
        <v>10</v>
      </c>
      <c r="D5576" s="3" t="s">
        <v>9</v>
      </c>
      <c r="E5576" s="3">
        <v>22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/>
      <c r="P5576" s="3"/>
      <c r="Q5576" s="3"/>
    </row>
    <row r="5577" spans="1:17" ht="15" x14ac:dyDescent="0.25">
      <c r="A5577" s="3">
        <f>5570</f>
        <v>5570</v>
      </c>
      <c r="B5577" s="3" t="s">
        <v>5579</v>
      </c>
      <c r="C5577" s="3" t="s">
        <v>10</v>
      </c>
      <c r="D5577" s="3" t="s">
        <v>9</v>
      </c>
      <c r="E5577" s="3">
        <v>22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/>
      <c r="P5577" s="3"/>
      <c r="Q5577" s="3"/>
    </row>
    <row r="5578" spans="1:17" ht="15" x14ac:dyDescent="0.25">
      <c r="A5578" s="3">
        <f>5571</f>
        <v>5571</v>
      </c>
      <c r="B5578" s="3" t="s">
        <v>5580</v>
      </c>
      <c r="C5578" s="3" t="s">
        <v>10</v>
      </c>
      <c r="D5578" s="3" t="s">
        <v>9</v>
      </c>
      <c r="E5578" s="3">
        <v>22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/>
      <c r="P5578" s="3"/>
      <c r="Q5578" s="3"/>
    </row>
    <row r="5579" spans="1:17" ht="15" x14ac:dyDescent="0.25">
      <c r="A5579" s="3">
        <f>5572</f>
        <v>5572</v>
      </c>
      <c r="B5579" s="3" t="s">
        <v>5581</v>
      </c>
      <c r="C5579" s="3" t="s">
        <v>10</v>
      </c>
      <c r="D5579" s="3" t="s">
        <v>9</v>
      </c>
      <c r="E5579" s="3">
        <v>22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/>
      <c r="P5579" s="3"/>
      <c r="Q5579" s="3"/>
    </row>
    <row r="5580" spans="1:17" ht="15" x14ac:dyDescent="0.25">
      <c r="A5580" s="3">
        <f>5573</f>
        <v>5573</v>
      </c>
      <c r="B5580" s="3" t="s">
        <v>5582</v>
      </c>
      <c r="C5580" s="3" t="s">
        <v>10</v>
      </c>
      <c r="D5580" s="3" t="s">
        <v>9</v>
      </c>
      <c r="E5580" s="3">
        <v>22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/>
      <c r="P5580" s="3"/>
      <c r="Q5580" s="3"/>
    </row>
    <row r="5581" spans="1:17" ht="15" x14ac:dyDescent="0.25">
      <c r="A5581" s="3">
        <f>5574</f>
        <v>5574</v>
      </c>
      <c r="B5581" s="3" t="s">
        <v>5583</v>
      </c>
      <c r="C5581" s="3" t="s">
        <v>10</v>
      </c>
      <c r="D5581" s="3" t="s">
        <v>9</v>
      </c>
      <c r="E5581" s="3">
        <v>22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/>
      <c r="P5581" s="3"/>
      <c r="Q5581" s="3"/>
    </row>
    <row r="5582" spans="1:17" ht="15" x14ac:dyDescent="0.25">
      <c r="A5582" s="3">
        <f>5575</f>
        <v>5575</v>
      </c>
      <c r="B5582" s="3" t="s">
        <v>5584</v>
      </c>
      <c r="C5582" s="3" t="s">
        <v>10</v>
      </c>
      <c r="D5582" s="3" t="s">
        <v>9</v>
      </c>
      <c r="E5582" s="3">
        <v>22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/>
      <c r="P5582" s="3"/>
      <c r="Q5582" s="3"/>
    </row>
    <row r="5583" spans="1:17" ht="15" x14ac:dyDescent="0.25">
      <c r="A5583" s="3">
        <f>5576</f>
        <v>5576</v>
      </c>
      <c r="B5583" s="3" t="s">
        <v>5585</v>
      </c>
      <c r="C5583" s="3" t="s">
        <v>10</v>
      </c>
      <c r="D5583" s="3" t="s">
        <v>9</v>
      </c>
      <c r="E5583" s="3">
        <v>22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/>
      <c r="P5583" s="3"/>
      <c r="Q5583" s="3"/>
    </row>
    <row r="5584" spans="1:17" ht="15" x14ac:dyDescent="0.25">
      <c r="A5584" s="3">
        <f>5577</f>
        <v>5577</v>
      </c>
      <c r="B5584" s="3" t="s">
        <v>5586</v>
      </c>
      <c r="C5584" s="3" t="s">
        <v>10</v>
      </c>
      <c r="D5584" s="3" t="s">
        <v>9</v>
      </c>
      <c r="E5584" s="3">
        <v>22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/>
      <c r="P5584" s="3"/>
      <c r="Q5584" s="3"/>
    </row>
    <row r="5585" spans="1:17" ht="15" x14ac:dyDescent="0.25">
      <c r="A5585" s="3">
        <f>5578</f>
        <v>5578</v>
      </c>
      <c r="B5585" s="3" t="s">
        <v>5587</v>
      </c>
      <c r="C5585" s="3" t="s">
        <v>10</v>
      </c>
      <c r="D5585" s="3" t="s">
        <v>9</v>
      </c>
      <c r="E5585" s="3">
        <v>22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/>
      <c r="P5585" s="3"/>
      <c r="Q5585" s="3"/>
    </row>
    <row r="5586" spans="1:17" ht="15" x14ac:dyDescent="0.25">
      <c r="A5586" s="3">
        <f>5579</f>
        <v>5579</v>
      </c>
      <c r="B5586" s="3" t="s">
        <v>5588</v>
      </c>
      <c r="C5586" s="3" t="s">
        <v>9</v>
      </c>
      <c r="D5586" s="3" t="s">
        <v>10</v>
      </c>
      <c r="E5586" s="3">
        <v>22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/>
      <c r="P5586" s="3"/>
      <c r="Q5586" s="3"/>
    </row>
    <row r="5587" spans="1:17" ht="15" x14ac:dyDescent="0.25">
      <c r="A5587" s="3">
        <f>5580</f>
        <v>5580</v>
      </c>
      <c r="B5587" s="3" t="s">
        <v>5589</v>
      </c>
      <c r="C5587" s="3" t="s">
        <v>9</v>
      </c>
      <c r="D5587" s="3" t="s">
        <v>10</v>
      </c>
      <c r="E5587" s="3">
        <v>22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/>
      <c r="P5587" s="3"/>
      <c r="Q5587" s="3"/>
    </row>
    <row r="5588" spans="1:17" ht="15" x14ac:dyDescent="0.25">
      <c r="A5588" s="3">
        <f>5581</f>
        <v>5581</v>
      </c>
      <c r="B5588" s="3" t="s">
        <v>5590</v>
      </c>
      <c r="C5588" s="3" t="s">
        <v>9</v>
      </c>
      <c r="D5588" s="3" t="s">
        <v>10</v>
      </c>
      <c r="E5588" s="3">
        <v>22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/>
      <c r="P5588" s="3"/>
      <c r="Q5588" s="3"/>
    </row>
    <row r="5589" spans="1:17" ht="15" x14ac:dyDescent="0.25">
      <c r="A5589" s="3">
        <f>5582</f>
        <v>5582</v>
      </c>
      <c r="B5589" s="3" t="s">
        <v>5591</v>
      </c>
      <c r="C5589" s="3" t="s">
        <v>9</v>
      </c>
      <c r="D5589" s="3" t="s">
        <v>10</v>
      </c>
      <c r="E5589" s="3">
        <v>22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/>
      <c r="P5589" s="3"/>
      <c r="Q5589" s="3"/>
    </row>
    <row r="5590" spans="1:17" ht="15" x14ac:dyDescent="0.25">
      <c r="A5590" s="3">
        <f>5583</f>
        <v>5583</v>
      </c>
      <c r="B5590" s="3" t="s">
        <v>5592</v>
      </c>
      <c r="C5590" s="3" t="s">
        <v>9</v>
      </c>
      <c r="D5590" s="3" t="s">
        <v>10</v>
      </c>
      <c r="E5590" s="3">
        <v>22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/>
      <c r="P5590" s="3"/>
      <c r="Q5590" s="3"/>
    </row>
    <row r="5591" spans="1:17" ht="15" x14ac:dyDescent="0.25">
      <c r="A5591" s="3">
        <f>5584</f>
        <v>5584</v>
      </c>
      <c r="B5591" s="3" t="s">
        <v>5593</v>
      </c>
      <c r="C5591" s="3" t="s">
        <v>9</v>
      </c>
      <c r="D5591" s="3" t="s">
        <v>10</v>
      </c>
      <c r="E5591" s="3">
        <v>22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/>
      <c r="P5591" s="3"/>
      <c r="Q5591" s="3"/>
    </row>
    <row r="5592" spans="1:17" ht="15" x14ac:dyDescent="0.25">
      <c r="A5592" s="3">
        <f>5585</f>
        <v>5585</v>
      </c>
      <c r="B5592" s="3" t="s">
        <v>5594</v>
      </c>
      <c r="C5592" s="3" t="s">
        <v>9</v>
      </c>
      <c r="D5592" s="3" t="s">
        <v>10</v>
      </c>
      <c r="E5592" s="3">
        <v>22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/>
      <c r="P5592" s="3"/>
      <c r="Q5592" s="3"/>
    </row>
    <row r="5593" spans="1:17" ht="15" x14ac:dyDescent="0.25">
      <c r="A5593" s="3">
        <f>5586</f>
        <v>5586</v>
      </c>
      <c r="B5593" s="3" t="s">
        <v>5595</v>
      </c>
      <c r="C5593" s="3" t="s">
        <v>9</v>
      </c>
      <c r="D5593" s="3" t="s">
        <v>10</v>
      </c>
      <c r="E5593" s="3">
        <v>22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/>
      <c r="P5593" s="3"/>
      <c r="Q5593" s="3"/>
    </row>
    <row r="5594" spans="1:17" ht="15" x14ac:dyDescent="0.25">
      <c r="A5594" s="3">
        <f>5587</f>
        <v>5587</v>
      </c>
      <c r="B5594" s="3" t="s">
        <v>5596</v>
      </c>
      <c r="C5594" s="3" t="s">
        <v>9</v>
      </c>
      <c r="D5594" s="3" t="s">
        <v>10</v>
      </c>
      <c r="E5594" s="3">
        <v>22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/>
      <c r="P5594" s="3"/>
      <c r="Q5594" s="3"/>
    </row>
    <row r="5595" spans="1:17" ht="15" x14ac:dyDescent="0.25">
      <c r="A5595" s="3">
        <f>5588</f>
        <v>5588</v>
      </c>
      <c r="B5595" s="3" t="s">
        <v>5597</v>
      </c>
      <c r="C5595" s="3" t="s">
        <v>9</v>
      </c>
      <c r="D5595" s="3" t="s">
        <v>10</v>
      </c>
      <c r="E5595" s="3">
        <v>22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/>
      <c r="P5595" s="3"/>
      <c r="Q5595" s="3"/>
    </row>
    <row r="5596" spans="1:17" ht="15" x14ac:dyDescent="0.25">
      <c r="A5596" s="3">
        <f>5589</f>
        <v>5589</v>
      </c>
      <c r="B5596" s="3" t="s">
        <v>5598</v>
      </c>
      <c r="C5596" s="3" t="s">
        <v>9</v>
      </c>
      <c r="D5596" s="3" t="s">
        <v>10</v>
      </c>
      <c r="E5596" s="3">
        <v>22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/>
      <c r="P5596" s="3"/>
      <c r="Q5596" s="3"/>
    </row>
    <row r="5597" spans="1:17" ht="15" x14ac:dyDescent="0.25">
      <c r="A5597" s="3">
        <f>5590</f>
        <v>5590</v>
      </c>
      <c r="B5597" s="3" t="s">
        <v>5599</v>
      </c>
      <c r="C5597" s="3" t="s">
        <v>9</v>
      </c>
      <c r="D5597" s="3" t="s">
        <v>10</v>
      </c>
      <c r="E5597" s="3">
        <v>22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/>
      <c r="P5597" s="3"/>
      <c r="Q5597" s="3"/>
    </row>
    <row r="5598" spans="1:17" ht="15" x14ac:dyDescent="0.25">
      <c r="A5598" s="3">
        <f>5591</f>
        <v>5591</v>
      </c>
      <c r="B5598" s="3" t="s">
        <v>5600</v>
      </c>
      <c r="C5598" s="3" t="s">
        <v>9</v>
      </c>
      <c r="D5598" s="3" t="s">
        <v>10</v>
      </c>
      <c r="E5598" s="3">
        <v>22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/>
      <c r="P5598" s="3"/>
      <c r="Q5598" s="3"/>
    </row>
    <row r="5599" spans="1:17" ht="15" x14ac:dyDescent="0.25">
      <c r="A5599" s="3">
        <f>5592</f>
        <v>5592</v>
      </c>
      <c r="B5599" s="3" t="s">
        <v>5601</v>
      </c>
      <c r="C5599" s="3" t="s">
        <v>9</v>
      </c>
      <c r="D5599" s="3" t="s">
        <v>10</v>
      </c>
      <c r="E5599" s="3">
        <v>22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/>
      <c r="P5599" s="3"/>
      <c r="Q5599" s="3"/>
    </row>
    <row r="5600" spans="1:17" ht="15" x14ac:dyDescent="0.25">
      <c r="A5600" s="3">
        <f>5593</f>
        <v>5593</v>
      </c>
      <c r="B5600" s="3" t="s">
        <v>5602</v>
      </c>
      <c r="C5600" s="3" t="s">
        <v>9</v>
      </c>
      <c r="D5600" s="3" t="s">
        <v>10</v>
      </c>
      <c r="E5600" s="3">
        <v>22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/>
      <c r="P5600" s="3"/>
      <c r="Q5600" s="3"/>
    </row>
    <row r="5601" spans="1:17" ht="15" x14ac:dyDescent="0.25">
      <c r="A5601" s="3">
        <f>5594</f>
        <v>5594</v>
      </c>
      <c r="B5601" s="3" t="s">
        <v>5603</v>
      </c>
      <c r="C5601" s="3" t="s">
        <v>9</v>
      </c>
      <c r="D5601" s="3" t="s">
        <v>10</v>
      </c>
      <c r="E5601" s="3">
        <v>22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/>
      <c r="P5601" s="3"/>
      <c r="Q5601" s="3"/>
    </row>
    <row r="5602" spans="1:17" ht="15" x14ac:dyDescent="0.25">
      <c r="A5602" s="3">
        <f>5595</f>
        <v>5595</v>
      </c>
      <c r="B5602" s="3" t="s">
        <v>5604</v>
      </c>
      <c r="C5602" s="3" t="s">
        <v>9</v>
      </c>
      <c r="D5602" s="3" t="s">
        <v>10</v>
      </c>
      <c r="E5602" s="3">
        <v>22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/>
      <c r="P5602" s="3"/>
      <c r="Q5602" s="3"/>
    </row>
    <row r="5603" spans="1:17" ht="15" x14ac:dyDescent="0.25">
      <c r="A5603" s="3">
        <f>5596</f>
        <v>5596</v>
      </c>
      <c r="B5603" s="3" t="s">
        <v>5605</v>
      </c>
      <c r="C5603" s="3" t="s">
        <v>9</v>
      </c>
      <c r="D5603" s="3" t="s">
        <v>10</v>
      </c>
      <c r="E5603" s="3">
        <v>22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/>
      <c r="P5603" s="3"/>
      <c r="Q5603" s="3"/>
    </row>
    <row r="5604" spans="1:17" ht="15" x14ac:dyDescent="0.25">
      <c r="A5604" s="3">
        <f>5597</f>
        <v>5597</v>
      </c>
      <c r="B5604" s="3" t="s">
        <v>5606</v>
      </c>
      <c r="C5604" s="3" t="s">
        <v>9</v>
      </c>
      <c r="D5604" s="3" t="s">
        <v>10</v>
      </c>
      <c r="E5604" s="3">
        <v>22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/>
      <c r="P5604" s="3"/>
      <c r="Q5604" s="3"/>
    </row>
    <row r="5605" spans="1:17" ht="15" x14ac:dyDescent="0.25">
      <c r="A5605" s="3">
        <f>5598</f>
        <v>5598</v>
      </c>
      <c r="B5605" s="3" t="s">
        <v>5607</v>
      </c>
      <c r="C5605" s="3" t="s">
        <v>9</v>
      </c>
      <c r="D5605" s="3" t="s">
        <v>10</v>
      </c>
      <c r="E5605" s="3">
        <v>22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/>
      <c r="P5605" s="3"/>
      <c r="Q5605" s="3"/>
    </row>
    <row r="5606" spans="1:17" ht="15" x14ac:dyDescent="0.25">
      <c r="A5606" s="3">
        <f>5599</f>
        <v>5599</v>
      </c>
      <c r="B5606" s="3" t="s">
        <v>5608</v>
      </c>
      <c r="C5606" s="3" t="s">
        <v>9</v>
      </c>
      <c r="D5606" s="3" t="s">
        <v>10</v>
      </c>
      <c r="E5606" s="3">
        <v>22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/>
      <c r="P5606" s="3"/>
      <c r="Q5606" s="3"/>
    </row>
    <row r="5607" spans="1:17" ht="15" x14ac:dyDescent="0.25">
      <c r="A5607" s="3">
        <f>5600</f>
        <v>5600</v>
      </c>
      <c r="B5607" s="3" t="s">
        <v>5609</v>
      </c>
      <c r="C5607" s="3" t="s">
        <v>9</v>
      </c>
      <c r="D5607" s="3" t="s">
        <v>10</v>
      </c>
      <c r="E5607" s="3">
        <v>22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/>
      <c r="P5607" s="3"/>
      <c r="Q5607" s="3"/>
    </row>
    <row r="5608" spans="1:17" ht="15" x14ac:dyDescent="0.25">
      <c r="A5608" s="3">
        <f>5601</f>
        <v>5601</v>
      </c>
      <c r="B5608" s="3" t="s">
        <v>5610</v>
      </c>
      <c r="C5608" s="3" t="s">
        <v>9</v>
      </c>
      <c r="D5608" s="3" t="s">
        <v>10</v>
      </c>
      <c r="E5608" s="3">
        <v>22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/>
      <c r="P5608" s="3"/>
      <c r="Q5608" s="3"/>
    </row>
    <row r="5609" spans="1:17" ht="15" x14ac:dyDescent="0.25">
      <c r="A5609" s="3">
        <f>5602</f>
        <v>5602</v>
      </c>
      <c r="B5609" s="3" t="s">
        <v>5611</v>
      </c>
      <c r="C5609" s="3" t="s">
        <v>9</v>
      </c>
      <c r="D5609" s="3" t="s">
        <v>10</v>
      </c>
      <c r="E5609" s="3">
        <v>22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/>
      <c r="P5609" s="3"/>
      <c r="Q5609" s="3"/>
    </row>
    <row r="5610" spans="1:17" ht="15" x14ac:dyDescent="0.25">
      <c r="A5610" s="3">
        <f>5603</f>
        <v>5603</v>
      </c>
      <c r="B5610" s="3" t="s">
        <v>5612</v>
      </c>
      <c r="C5610" s="3" t="s">
        <v>9</v>
      </c>
      <c r="D5610" s="3" t="s">
        <v>10</v>
      </c>
      <c r="E5610" s="3">
        <v>22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/>
      <c r="P5610" s="3"/>
      <c r="Q5610" s="3"/>
    </row>
    <row r="5611" spans="1:17" ht="15" x14ac:dyDescent="0.25">
      <c r="A5611" s="3">
        <f>5604</f>
        <v>5604</v>
      </c>
      <c r="B5611" s="3" t="s">
        <v>5613</v>
      </c>
      <c r="C5611" s="3" t="s">
        <v>9</v>
      </c>
      <c r="D5611" s="3" t="s">
        <v>10</v>
      </c>
      <c r="E5611" s="3">
        <v>22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/>
      <c r="P5611" s="3"/>
      <c r="Q5611" s="3"/>
    </row>
    <row r="5612" spans="1:17" ht="15" x14ac:dyDescent="0.25">
      <c r="A5612" s="3">
        <f>5605</f>
        <v>5605</v>
      </c>
      <c r="B5612" s="3" t="s">
        <v>5614</v>
      </c>
      <c r="C5612" s="3" t="s">
        <v>9</v>
      </c>
      <c r="D5612" s="3" t="s">
        <v>10</v>
      </c>
      <c r="E5612" s="3">
        <v>22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/>
      <c r="P5612" s="3"/>
      <c r="Q5612" s="3"/>
    </row>
    <row r="5613" spans="1:17" ht="15" x14ac:dyDescent="0.25">
      <c r="A5613" s="3">
        <f>5606</f>
        <v>5606</v>
      </c>
      <c r="B5613" s="3" t="s">
        <v>5615</v>
      </c>
      <c r="C5613" s="3" t="s">
        <v>9</v>
      </c>
      <c r="D5613" s="3" t="s">
        <v>10</v>
      </c>
      <c r="E5613" s="3">
        <v>22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/>
      <c r="P5613" s="3"/>
      <c r="Q5613" s="3"/>
    </row>
    <row r="5614" spans="1:17" ht="15" x14ac:dyDescent="0.25">
      <c r="A5614" s="3">
        <f>5607</f>
        <v>5607</v>
      </c>
      <c r="B5614" s="3" t="s">
        <v>5616</v>
      </c>
      <c r="C5614" s="3" t="s">
        <v>9</v>
      </c>
      <c r="D5614" s="3" t="s">
        <v>10</v>
      </c>
      <c r="E5614" s="3">
        <v>22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/>
      <c r="P5614" s="3"/>
      <c r="Q5614" s="3"/>
    </row>
    <row r="5615" spans="1:17" ht="15" x14ac:dyDescent="0.25">
      <c r="A5615" s="3">
        <f>5608</f>
        <v>5608</v>
      </c>
      <c r="B5615" s="3" t="s">
        <v>5617</v>
      </c>
      <c r="C5615" s="3" t="s">
        <v>9</v>
      </c>
      <c r="D5615" s="3" t="s">
        <v>10</v>
      </c>
      <c r="E5615" s="3">
        <v>22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/>
      <c r="P5615" s="3"/>
      <c r="Q5615" s="3"/>
    </row>
    <row r="5616" spans="1:17" ht="15" x14ac:dyDescent="0.25">
      <c r="A5616" s="3">
        <f>5609</f>
        <v>5609</v>
      </c>
      <c r="B5616" s="3" t="s">
        <v>5618</v>
      </c>
      <c r="C5616" s="3" t="s">
        <v>9</v>
      </c>
      <c r="D5616" s="3" t="s">
        <v>10</v>
      </c>
      <c r="E5616" s="3">
        <v>22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/>
      <c r="P5616" s="3"/>
      <c r="Q5616" s="3"/>
    </row>
    <row r="5617" spans="1:17" ht="15" x14ac:dyDescent="0.25">
      <c r="A5617" s="3">
        <f>5610</f>
        <v>5610</v>
      </c>
      <c r="B5617" s="3" t="s">
        <v>5619</v>
      </c>
      <c r="C5617" s="3" t="s">
        <v>9</v>
      </c>
      <c r="D5617" s="3" t="s">
        <v>10</v>
      </c>
      <c r="E5617" s="3">
        <v>22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/>
      <c r="P5617" s="3"/>
      <c r="Q5617" s="3"/>
    </row>
    <row r="5618" spans="1:17" ht="15" x14ac:dyDescent="0.25">
      <c r="A5618" s="3">
        <f>5611</f>
        <v>5611</v>
      </c>
      <c r="B5618" s="3" t="s">
        <v>5620</v>
      </c>
      <c r="C5618" s="3" t="s">
        <v>9</v>
      </c>
      <c r="D5618" s="3" t="s">
        <v>10</v>
      </c>
      <c r="E5618" s="3">
        <v>22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/>
      <c r="P5618" s="3"/>
      <c r="Q5618" s="3"/>
    </row>
    <row r="5619" spans="1:17" ht="15" x14ac:dyDescent="0.25">
      <c r="A5619" s="3">
        <f>5612</f>
        <v>5612</v>
      </c>
      <c r="B5619" s="3" t="s">
        <v>5621</v>
      </c>
      <c r="C5619" s="3" t="s">
        <v>9</v>
      </c>
      <c r="D5619" s="3" t="s">
        <v>10</v>
      </c>
      <c r="E5619" s="3">
        <v>22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/>
      <c r="P5619" s="3"/>
      <c r="Q5619" s="3"/>
    </row>
    <row r="5620" spans="1:17" ht="15" x14ac:dyDescent="0.25">
      <c r="A5620" s="3">
        <f>5613</f>
        <v>5613</v>
      </c>
      <c r="B5620" s="3" t="s">
        <v>5622</v>
      </c>
      <c r="C5620" s="3" t="s">
        <v>9</v>
      </c>
      <c r="D5620" s="3" t="s">
        <v>10</v>
      </c>
      <c r="E5620" s="3">
        <v>22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/>
      <c r="P5620" s="3"/>
      <c r="Q5620" s="3"/>
    </row>
    <row r="5621" spans="1:17" ht="15" x14ac:dyDescent="0.25">
      <c r="A5621" s="3">
        <f>5614</f>
        <v>5614</v>
      </c>
      <c r="B5621" s="3" t="s">
        <v>5623</v>
      </c>
      <c r="C5621" s="3" t="s">
        <v>9</v>
      </c>
      <c r="D5621" s="3" t="s">
        <v>10</v>
      </c>
      <c r="E5621" s="3">
        <v>22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/>
      <c r="P5621" s="3"/>
      <c r="Q5621" s="3"/>
    </row>
    <row r="5622" spans="1:17" ht="15" x14ac:dyDescent="0.25">
      <c r="A5622" s="3">
        <f>5615</f>
        <v>5615</v>
      </c>
      <c r="B5622" s="3" t="s">
        <v>5624</v>
      </c>
      <c r="C5622" s="3" t="s">
        <v>9</v>
      </c>
      <c r="D5622" s="3" t="s">
        <v>10</v>
      </c>
      <c r="E5622" s="3">
        <v>22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/>
      <c r="P5622" s="3"/>
      <c r="Q5622" s="3"/>
    </row>
    <row r="5623" spans="1:17" ht="15" x14ac:dyDescent="0.25">
      <c r="A5623" s="3">
        <f>5616</f>
        <v>5616</v>
      </c>
      <c r="B5623" s="3" t="s">
        <v>5625</v>
      </c>
      <c r="C5623" s="3" t="s">
        <v>9</v>
      </c>
      <c r="D5623" s="3" t="s">
        <v>10</v>
      </c>
      <c r="E5623" s="3">
        <v>22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/>
      <c r="P5623" s="3"/>
      <c r="Q5623" s="3"/>
    </row>
    <row r="5624" spans="1:17" ht="15" x14ac:dyDescent="0.25">
      <c r="A5624" s="3">
        <f>5617</f>
        <v>5617</v>
      </c>
      <c r="B5624" s="3" t="s">
        <v>5626</v>
      </c>
      <c r="C5624" s="3" t="s">
        <v>9</v>
      </c>
      <c r="D5624" s="3" t="s">
        <v>10</v>
      </c>
      <c r="E5624" s="3">
        <v>22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/>
      <c r="P5624" s="3"/>
      <c r="Q5624" s="3"/>
    </row>
    <row r="5625" spans="1:17" ht="15" x14ac:dyDescent="0.25">
      <c r="A5625" s="3">
        <f>5618</f>
        <v>5618</v>
      </c>
      <c r="B5625" s="3" t="s">
        <v>5627</v>
      </c>
      <c r="C5625" s="3" t="s">
        <v>9</v>
      </c>
      <c r="D5625" s="3" t="s">
        <v>10</v>
      </c>
      <c r="E5625" s="3">
        <v>22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/>
      <c r="P5625" s="3"/>
      <c r="Q5625" s="3"/>
    </row>
    <row r="5626" spans="1:17" ht="15" x14ac:dyDescent="0.25">
      <c r="A5626" s="3">
        <f>5619</f>
        <v>5619</v>
      </c>
      <c r="B5626" s="3" t="s">
        <v>5628</v>
      </c>
      <c r="C5626" s="3" t="s">
        <v>9</v>
      </c>
      <c r="D5626" s="3" t="s">
        <v>10</v>
      </c>
      <c r="E5626" s="3">
        <v>22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/>
      <c r="P5626" s="3"/>
      <c r="Q5626" s="3"/>
    </row>
    <row r="5627" spans="1:17" ht="15" x14ac:dyDescent="0.25">
      <c r="A5627" s="3">
        <f>5620</f>
        <v>5620</v>
      </c>
      <c r="B5627" s="3" t="s">
        <v>5629</v>
      </c>
      <c r="C5627" s="3" t="s">
        <v>9</v>
      </c>
      <c r="D5627" s="3" t="s">
        <v>10</v>
      </c>
      <c r="E5627" s="3">
        <v>22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/>
      <c r="P5627" s="3"/>
      <c r="Q5627" s="3"/>
    </row>
    <row r="5628" spans="1:17" ht="15" x14ac:dyDescent="0.25">
      <c r="A5628" s="3">
        <f>5621</f>
        <v>5621</v>
      </c>
      <c r="B5628" s="3" t="s">
        <v>5630</v>
      </c>
      <c r="C5628" s="3" t="s">
        <v>9</v>
      </c>
      <c r="D5628" s="3" t="s">
        <v>10</v>
      </c>
      <c r="E5628" s="3">
        <v>22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/>
      <c r="P5628" s="3"/>
      <c r="Q5628" s="3"/>
    </row>
    <row r="5629" spans="1:17" ht="15" x14ac:dyDescent="0.25">
      <c r="A5629" s="3">
        <f>5622</f>
        <v>5622</v>
      </c>
      <c r="B5629" s="3" t="s">
        <v>5631</v>
      </c>
      <c r="C5629" s="3" t="s">
        <v>9</v>
      </c>
      <c r="D5629" s="3" t="s">
        <v>10</v>
      </c>
      <c r="E5629" s="3">
        <v>22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/>
      <c r="P5629" s="3"/>
      <c r="Q5629" s="3"/>
    </row>
    <row r="5630" spans="1:17" ht="15" x14ac:dyDescent="0.25">
      <c r="A5630" s="3">
        <f>5623</f>
        <v>5623</v>
      </c>
      <c r="B5630" s="3" t="s">
        <v>5632</v>
      </c>
      <c r="C5630" s="3" t="s">
        <v>9</v>
      </c>
      <c r="D5630" s="3" t="s">
        <v>10</v>
      </c>
      <c r="E5630" s="3">
        <v>22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/>
      <c r="P5630" s="3"/>
      <c r="Q5630" s="3"/>
    </row>
    <row r="5631" spans="1:17" ht="15" x14ac:dyDescent="0.25">
      <c r="A5631" s="3">
        <f>5624</f>
        <v>5624</v>
      </c>
      <c r="B5631" s="3" t="s">
        <v>5633</v>
      </c>
      <c r="C5631" s="3" t="s">
        <v>9</v>
      </c>
      <c r="D5631" s="3" t="s">
        <v>10</v>
      </c>
      <c r="E5631" s="3">
        <v>22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/>
      <c r="P5631" s="3"/>
      <c r="Q5631" s="3"/>
    </row>
    <row r="5632" spans="1:17" ht="15" x14ac:dyDescent="0.25">
      <c r="A5632" s="3">
        <f>5625</f>
        <v>5625</v>
      </c>
      <c r="B5632" s="3" t="s">
        <v>5634</v>
      </c>
      <c r="C5632" s="3" t="s">
        <v>9</v>
      </c>
      <c r="D5632" s="3" t="s">
        <v>10</v>
      </c>
      <c r="E5632" s="3">
        <v>22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/>
      <c r="P5632" s="3"/>
      <c r="Q5632" s="3"/>
    </row>
    <row r="5633" spans="1:17" ht="15" x14ac:dyDescent="0.25">
      <c r="A5633" s="3">
        <f>5626</f>
        <v>5626</v>
      </c>
      <c r="B5633" s="3" t="s">
        <v>5635</v>
      </c>
      <c r="C5633" s="3" t="s">
        <v>9</v>
      </c>
      <c r="D5633" s="3" t="s">
        <v>10</v>
      </c>
      <c r="E5633" s="3">
        <v>22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/>
      <c r="P5633" s="3"/>
      <c r="Q5633" s="3"/>
    </row>
    <row r="5634" spans="1:17" ht="15" x14ac:dyDescent="0.25">
      <c r="A5634" s="3">
        <f>5627</f>
        <v>5627</v>
      </c>
      <c r="B5634" s="3" t="s">
        <v>5636</v>
      </c>
      <c r="C5634" s="3" t="s">
        <v>9</v>
      </c>
      <c r="D5634" s="3" t="s">
        <v>10</v>
      </c>
      <c r="E5634" s="3">
        <v>22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/>
      <c r="P5634" s="3"/>
      <c r="Q5634" s="3"/>
    </row>
    <row r="5635" spans="1:17" ht="15" x14ac:dyDescent="0.25">
      <c r="A5635" s="3">
        <f>5628</f>
        <v>5628</v>
      </c>
      <c r="B5635" s="3" t="s">
        <v>5637</v>
      </c>
      <c r="C5635" s="3" t="s">
        <v>9</v>
      </c>
      <c r="D5635" s="3" t="s">
        <v>10</v>
      </c>
      <c r="E5635" s="3">
        <v>22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/>
      <c r="P5635" s="3"/>
      <c r="Q5635" s="3"/>
    </row>
    <row r="5636" spans="1:17" ht="15" x14ac:dyDescent="0.25">
      <c r="A5636" s="3">
        <f>5629</f>
        <v>5629</v>
      </c>
      <c r="B5636" s="3" t="s">
        <v>5638</v>
      </c>
      <c r="C5636" s="3" t="s">
        <v>9</v>
      </c>
      <c r="D5636" s="3" t="s">
        <v>10</v>
      </c>
      <c r="E5636" s="3">
        <v>22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/>
      <c r="P5636" s="3"/>
      <c r="Q5636" s="3"/>
    </row>
    <row r="5637" spans="1:17" ht="15" x14ac:dyDescent="0.25">
      <c r="A5637" s="3">
        <f>5630</f>
        <v>5630</v>
      </c>
      <c r="B5637" s="3" t="s">
        <v>5639</v>
      </c>
      <c r="C5637" s="3" t="s">
        <v>9</v>
      </c>
      <c r="D5637" s="3" t="s">
        <v>10</v>
      </c>
      <c r="E5637" s="3">
        <v>22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/>
      <c r="P5637" s="3"/>
      <c r="Q5637" s="3"/>
    </row>
    <row r="5638" spans="1:17" ht="15" x14ac:dyDescent="0.25">
      <c r="A5638" s="3">
        <f>5631</f>
        <v>5631</v>
      </c>
      <c r="B5638" s="3" t="s">
        <v>5640</v>
      </c>
      <c r="C5638" s="3" t="s">
        <v>9</v>
      </c>
      <c r="D5638" s="3" t="s">
        <v>10</v>
      </c>
      <c r="E5638" s="3">
        <v>22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/>
      <c r="P5638" s="3"/>
      <c r="Q5638" s="3"/>
    </row>
    <row r="5639" spans="1:17" ht="15" x14ac:dyDescent="0.25">
      <c r="A5639" s="3">
        <f>5632</f>
        <v>5632</v>
      </c>
      <c r="B5639" s="3" t="s">
        <v>5641</v>
      </c>
      <c r="C5639" s="3" t="s">
        <v>9</v>
      </c>
      <c r="D5639" s="3" t="s">
        <v>10</v>
      </c>
      <c r="E5639" s="3">
        <v>22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/>
      <c r="P5639" s="3"/>
      <c r="Q5639" s="3"/>
    </row>
    <row r="5640" spans="1:17" ht="15" x14ac:dyDescent="0.25">
      <c r="A5640" s="3">
        <f>5633</f>
        <v>5633</v>
      </c>
      <c r="B5640" s="3" t="s">
        <v>5642</v>
      </c>
      <c r="C5640" s="3" t="s">
        <v>9</v>
      </c>
      <c r="D5640" s="3" t="s">
        <v>10</v>
      </c>
      <c r="E5640" s="3">
        <v>22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/>
      <c r="P5640" s="3"/>
      <c r="Q5640" s="3"/>
    </row>
    <row r="5641" spans="1:17" ht="15" x14ac:dyDescent="0.25">
      <c r="A5641" s="3">
        <f>5634</f>
        <v>5634</v>
      </c>
      <c r="B5641" s="3" t="s">
        <v>5643</v>
      </c>
      <c r="C5641" s="3" t="s">
        <v>9</v>
      </c>
      <c r="D5641" s="3" t="s">
        <v>10</v>
      </c>
      <c r="E5641" s="3">
        <v>22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/>
      <c r="P5641" s="3"/>
      <c r="Q5641" s="3"/>
    </row>
    <row r="5642" spans="1:17" ht="15" x14ac:dyDescent="0.25">
      <c r="A5642" s="3">
        <f>5635</f>
        <v>5635</v>
      </c>
      <c r="B5642" s="3" t="s">
        <v>5644</v>
      </c>
      <c r="C5642" s="3" t="s">
        <v>9</v>
      </c>
      <c r="D5642" s="3" t="s">
        <v>10</v>
      </c>
      <c r="E5642" s="3">
        <v>22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/>
      <c r="P5642" s="3"/>
      <c r="Q5642" s="3"/>
    </row>
    <row r="5643" spans="1:17" ht="15" x14ac:dyDescent="0.25">
      <c r="A5643" s="3">
        <f>5636</f>
        <v>5636</v>
      </c>
      <c r="B5643" s="3" t="s">
        <v>5645</v>
      </c>
      <c r="C5643" s="3" t="s">
        <v>9</v>
      </c>
      <c r="D5643" s="3" t="s">
        <v>10</v>
      </c>
      <c r="E5643" s="3">
        <v>22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/>
      <c r="P5643" s="3"/>
      <c r="Q5643" s="3"/>
    </row>
    <row r="5644" spans="1:17" ht="15" x14ac:dyDescent="0.25">
      <c r="A5644" s="3">
        <f>5637</f>
        <v>5637</v>
      </c>
      <c r="B5644" s="3" t="s">
        <v>5646</v>
      </c>
      <c r="C5644" s="3" t="s">
        <v>9</v>
      </c>
      <c r="D5644" s="3" t="s">
        <v>10</v>
      </c>
      <c r="E5644" s="3">
        <v>22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/>
      <c r="P5644" s="3"/>
      <c r="Q5644" s="3"/>
    </row>
    <row r="5645" spans="1:17" ht="15" x14ac:dyDescent="0.25">
      <c r="A5645" s="3">
        <f>5638</f>
        <v>5638</v>
      </c>
      <c r="B5645" s="3" t="s">
        <v>5647</v>
      </c>
      <c r="C5645" s="3" t="s">
        <v>9</v>
      </c>
      <c r="D5645" s="3" t="s">
        <v>10</v>
      </c>
      <c r="E5645" s="3">
        <v>22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/>
      <c r="P5645" s="3"/>
      <c r="Q5645" s="3"/>
    </row>
    <row r="5646" spans="1:17" ht="15" x14ac:dyDescent="0.25">
      <c r="A5646" s="3">
        <f>5639</f>
        <v>5639</v>
      </c>
      <c r="B5646" s="3" t="s">
        <v>5648</v>
      </c>
      <c r="C5646" s="3" t="s">
        <v>9</v>
      </c>
      <c r="D5646" s="3" t="s">
        <v>10</v>
      </c>
      <c r="E5646" s="3">
        <v>22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/>
      <c r="P5646" s="3"/>
      <c r="Q5646" s="3"/>
    </row>
    <row r="5647" spans="1:17" ht="15" x14ac:dyDescent="0.25">
      <c r="A5647" s="3">
        <f>5640</f>
        <v>5640</v>
      </c>
      <c r="B5647" s="3" t="s">
        <v>5649</v>
      </c>
      <c r="C5647" s="3" t="s">
        <v>9</v>
      </c>
      <c r="D5647" s="3" t="s">
        <v>10</v>
      </c>
      <c r="E5647" s="3">
        <v>22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/>
      <c r="P5647" s="3"/>
      <c r="Q5647" s="3"/>
    </row>
    <row r="5648" spans="1:17" ht="15" x14ac:dyDescent="0.25">
      <c r="A5648" s="3">
        <f>5641</f>
        <v>5641</v>
      </c>
      <c r="B5648" s="3" t="s">
        <v>5650</v>
      </c>
      <c r="C5648" s="3" t="s">
        <v>9</v>
      </c>
      <c r="D5648" s="3" t="s">
        <v>10</v>
      </c>
      <c r="E5648" s="3">
        <v>22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/>
      <c r="P5648" s="3"/>
      <c r="Q5648" s="3"/>
    </row>
    <row r="5649" spans="1:17" ht="15" x14ac:dyDescent="0.25">
      <c r="A5649" s="3">
        <f>5642</f>
        <v>5642</v>
      </c>
      <c r="B5649" s="3" t="s">
        <v>5651</v>
      </c>
      <c r="C5649" s="3" t="s">
        <v>9</v>
      </c>
      <c r="D5649" s="3" t="s">
        <v>10</v>
      </c>
      <c r="E5649" s="3">
        <v>22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/>
      <c r="P5649" s="3"/>
      <c r="Q5649" s="3"/>
    </row>
    <row r="5650" spans="1:17" ht="15" x14ac:dyDescent="0.25">
      <c r="A5650" s="3">
        <f>5643</f>
        <v>5643</v>
      </c>
      <c r="B5650" s="3" t="s">
        <v>5652</v>
      </c>
      <c r="C5650" s="3" t="s">
        <v>9</v>
      </c>
      <c r="D5650" s="3" t="s">
        <v>10</v>
      </c>
      <c r="E5650" s="3">
        <v>22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/>
      <c r="P5650" s="3"/>
      <c r="Q5650" s="3"/>
    </row>
    <row r="5651" spans="1:17" ht="15" x14ac:dyDescent="0.25">
      <c r="A5651" s="3">
        <f>5644</f>
        <v>5644</v>
      </c>
      <c r="B5651" s="3" t="s">
        <v>5653</v>
      </c>
      <c r="C5651" s="3" t="s">
        <v>9</v>
      </c>
      <c r="D5651" s="3" t="s">
        <v>10</v>
      </c>
      <c r="E5651" s="3">
        <v>22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/>
      <c r="P5651" s="3"/>
      <c r="Q5651" s="3"/>
    </row>
    <row r="5652" spans="1:17" ht="15" x14ac:dyDescent="0.25">
      <c r="A5652" s="3">
        <f>5645</f>
        <v>5645</v>
      </c>
      <c r="B5652" s="3" t="s">
        <v>5654</v>
      </c>
      <c r="C5652" s="3" t="s">
        <v>9</v>
      </c>
      <c r="D5652" s="3" t="s">
        <v>10</v>
      </c>
      <c r="E5652" s="3">
        <v>22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/>
      <c r="P5652" s="3"/>
      <c r="Q5652" s="3"/>
    </row>
    <row r="5653" spans="1:17" ht="15" x14ac:dyDescent="0.25">
      <c r="A5653" s="3">
        <f>5646</f>
        <v>5646</v>
      </c>
      <c r="B5653" s="3" t="s">
        <v>5655</v>
      </c>
      <c r="C5653" s="3" t="s">
        <v>9</v>
      </c>
      <c r="D5653" s="3" t="s">
        <v>10</v>
      </c>
      <c r="E5653" s="3">
        <v>22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/>
      <c r="P5653" s="3"/>
      <c r="Q5653" s="3"/>
    </row>
    <row r="5654" spans="1:17" ht="15" x14ac:dyDescent="0.25">
      <c r="A5654" s="3">
        <f>5647</f>
        <v>5647</v>
      </c>
      <c r="B5654" s="3" t="s">
        <v>5656</v>
      </c>
      <c r="C5654" s="3" t="s">
        <v>9</v>
      </c>
      <c r="D5654" s="3" t="s">
        <v>10</v>
      </c>
      <c r="E5654" s="3">
        <v>22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/>
      <c r="P5654" s="3"/>
      <c r="Q5654" s="3"/>
    </row>
    <row r="5655" spans="1:17" ht="15" x14ac:dyDescent="0.25">
      <c r="A5655" s="3">
        <f>5648</f>
        <v>5648</v>
      </c>
      <c r="B5655" s="3" t="s">
        <v>5657</v>
      </c>
      <c r="C5655" s="3" t="s">
        <v>9</v>
      </c>
      <c r="D5655" s="3" t="s">
        <v>10</v>
      </c>
      <c r="E5655" s="3">
        <v>22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/>
      <c r="P5655" s="3"/>
      <c r="Q5655" s="3"/>
    </row>
    <row r="5656" spans="1:17" ht="15" x14ac:dyDescent="0.25">
      <c r="A5656" s="3">
        <f>5649</f>
        <v>5649</v>
      </c>
      <c r="B5656" s="3" t="s">
        <v>5658</v>
      </c>
      <c r="C5656" s="3" t="s">
        <v>9</v>
      </c>
      <c r="D5656" s="3" t="s">
        <v>10</v>
      </c>
      <c r="E5656" s="3">
        <v>22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/>
      <c r="P5656" s="3"/>
      <c r="Q5656" s="3"/>
    </row>
    <row r="5657" spans="1:17" ht="15" x14ac:dyDescent="0.25">
      <c r="A5657" s="3">
        <f>5650</f>
        <v>5650</v>
      </c>
      <c r="B5657" s="3" t="s">
        <v>5659</v>
      </c>
      <c r="C5657" s="3" t="s">
        <v>9</v>
      </c>
      <c r="D5657" s="3" t="s">
        <v>10</v>
      </c>
      <c r="E5657" s="3">
        <v>22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/>
      <c r="P5657" s="3"/>
      <c r="Q5657" s="3"/>
    </row>
    <row r="5658" spans="1:17" ht="15" x14ac:dyDescent="0.25">
      <c r="A5658" s="3">
        <f>5651</f>
        <v>5651</v>
      </c>
      <c r="B5658" s="3" t="s">
        <v>5660</v>
      </c>
      <c r="C5658" s="3" t="s">
        <v>9</v>
      </c>
      <c r="D5658" s="3" t="s">
        <v>10</v>
      </c>
      <c r="E5658" s="3">
        <v>22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/>
      <c r="P5658" s="3"/>
      <c r="Q5658" s="3"/>
    </row>
    <row r="5659" spans="1:17" ht="15" x14ac:dyDescent="0.25">
      <c r="A5659" s="3">
        <f>5652</f>
        <v>5652</v>
      </c>
      <c r="B5659" s="3" t="s">
        <v>5661</v>
      </c>
      <c r="C5659" s="3" t="s">
        <v>9</v>
      </c>
      <c r="D5659" s="3" t="s">
        <v>10</v>
      </c>
      <c r="E5659" s="3">
        <v>22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/>
      <c r="P5659" s="3"/>
      <c r="Q5659" s="3"/>
    </row>
    <row r="5660" spans="1:17" ht="15" x14ac:dyDescent="0.25">
      <c r="A5660" s="3">
        <f>5653</f>
        <v>5653</v>
      </c>
      <c r="B5660" s="3" t="s">
        <v>5662</v>
      </c>
      <c r="C5660" s="3" t="s">
        <v>9</v>
      </c>
      <c r="D5660" s="3" t="s">
        <v>10</v>
      </c>
      <c r="E5660" s="3">
        <v>22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/>
      <c r="P5660" s="3"/>
      <c r="Q5660" s="3"/>
    </row>
    <row r="5661" spans="1:17" ht="15" x14ac:dyDescent="0.25">
      <c r="A5661" s="3">
        <f>5654</f>
        <v>5654</v>
      </c>
      <c r="B5661" s="3" t="s">
        <v>5663</v>
      </c>
      <c r="C5661" s="3" t="s">
        <v>9</v>
      </c>
      <c r="D5661" s="3" t="s">
        <v>10</v>
      </c>
      <c r="E5661" s="3">
        <v>22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/>
      <c r="P5661" s="3"/>
      <c r="Q5661" s="3"/>
    </row>
    <row r="5662" spans="1:17" ht="15" x14ac:dyDescent="0.25">
      <c r="A5662" s="3">
        <f>5655</f>
        <v>5655</v>
      </c>
      <c r="B5662" s="3" t="s">
        <v>5664</v>
      </c>
      <c r="C5662" s="3" t="s">
        <v>9</v>
      </c>
      <c r="D5662" s="3" t="s">
        <v>10</v>
      </c>
      <c r="E5662" s="3">
        <v>22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/>
      <c r="P5662" s="3"/>
      <c r="Q5662" s="3"/>
    </row>
    <row r="5663" spans="1:17" ht="15" x14ac:dyDescent="0.25">
      <c r="A5663" s="3">
        <f>5656</f>
        <v>5656</v>
      </c>
      <c r="B5663" s="3" t="s">
        <v>5665</v>
      </c>
      <c r="C5663" s="3" t="s">
        <v>9</v>
      </c>
      <c r="D5663" s="3" t="s">
        <v>10</v>
      </c>
      <c r="E5663" s="3">
        <v>22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/>
      <c r="P5663" s="3"/>
      <c r="Q5663" s="3"/>
    </row>
    <row r="5664" spans="1:17" ht="15" x14ac:dyDescent="0.25">
      <c r="A5664" s="3">
        <f>5657</f>
        <v>5657</v>
      </c>
      <c r="B5664" s="3" t="s">
        <v>5666</v>
      </c>
      <c r="C5664" s="3" t="s">
        <v>9</v>
      </c>
      <c r="D5664" s="3" t="s">
        <v>10</v>
      </c>
      <c r="E5664" s="3">
        <v>22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/>
      <c r="P5664" s="3"/>
      <c r="Q5664" s="3"/>
    </row>
    <row r="5665" spans="1:17" ht="15" x14ac:dyDescent="0.25">
      <c r="A5665" s="3">
        <f>5658</f>
        <v>5658</v>
      </c>
      <c r="B5665" s="3" t="s">
        <v>5667</v>
      </c>
      <c r="C5665" s="3" t="s">
        <v>9</v>
      </c>
      <c r="D5665" s="3" t="s">
        <v>10</v>
      </c>
      <c r="E5665" s="3">
        <v>22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/>
      <c r="P5665" s="3"/>
      <c r="Q5665" s="3"/>
    </row>
    <row r="5666" spans="1:17" ht="15" x14ac:dyDescent="0.25">
      <c r="A5666" s="3">
        <f>5659</f>
        <v>5659</v>
      </c>
      <c r="B5666" s="3" t="s">
        <v>5668</v>
      </c>
      <c r="C5666" s="3" t="s">
        <v>9</v>
      </c>
      <c r="D5666" s="3" t="s">
        <v>10</v>
      </c>
      <c r="E5666" s="3">
        <v>22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/>
      <c r="P5666" s="3"/>
      <c r="Q5666" s="3"/>
    </row>
    <row r="5667" spans="1:17" ht="15" x14ac:dyDescent="0.25">
      <c r="A5667" s="3">
        <f>5660</f>
        <v>5660</v>
      </c>
      <c r="B5667" s="3" t="s">
        <v>5669</v>
      </c>
      <c r="C5667" s="3" t="s">
        <v>9</v>
      </c>
      <c r="D5667" s="3" t="s">
        <v>10</v>
      </c>
      <c r="E5667" s="3">
        <v>22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/>
      <c r="P5667" s="3"/>
      <c r="Q5667" s="3"/>
    </row>
    <row r="5668" spans="1:17" ht="15" x14ac:dyDescent="0.25">
      <c r="A5668" s="3">
        <f>5661</f>
        <v>5661</v>
      </c>
      <c r="B5668" s="3" t="s">
        <v>5670</v>
      </c>
      <c r="C5668" s="3" t="s">
        <v>9</v>
      </c>
      <c r="D5668" s="3" t="s">
        <v>10</v>
      </c>
      <c r="E5668" s="3">
        <v>22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/>
      <c r="P5668" s="3"/>
      <c r="Q5668" s="3"/>
    </row>
    <row r="5669" spans="1:17" ht="15" x14ac:dyDescent="0.25">
      <c r="A5669" s="3">
        <f>5662</f>
        <v>5662</v>
      </c>
      <c r="B5669" s="3" t="s">
        <v>5671</v>
      </c>
      <c r="C5669" s="3" t="s">
        <v>9</v>
      </c>
      <c r="D5669" s="3" t="s">
        <v>10</v>
      </c>
      <c r="E5669" s="3">
        <v>22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/>
      <c r="P5669" s="3"/>
      <c r="Q5669" s="3"/>
    </row>
    <row r="5670" spans="1:17" ht="15" x14ac:dyDescent="0.25">
      <c r="A5670" s="3">
        <f>5663</f>
        <v>5663</v>
      </c>
      <c r="B5670" s="3" t="s">
        <v>5672</v>
      </c>
      <c r="C5670" s="3" t="s">
        <v>9</v>
      </c>
      <c r="D5670" s="3" t="s">
        <v>10</v>
      </c>
      <c r="E5670" s="3">
        <v>22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/>
      <c r="P5670" s="3"/>
      <c r="Q5670" s="3"/>
    </row>
    <row r="5671" spans="1:17" ht="15" x14ac:dyDescent="0.25">
      <c r="A5671" s="3">
        <f>5664</f>
        <v>5664</v>
      </c>
      <c r="B5671" s="3" t="s">
        <v>5673</v>
      </c>
      <c r="C5671" s="3" t="s">
        <v>9</v>
      </c>
      <c r="D5671" s="3" t="s">
        <v>10</v>
      </c>
      <c r="E5671" s="3">
        <v>22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/>
      <c r="P5671" s="3"/>
      <c r="Q5671" s="3"/>
    </row>
    <row r="5672" spans="1:17" ht="15" x14ac:dyDescent="0.25">
      <c r="A5672" s="3">
        <f>5665</f>
        <v>5665</v>
      </c>
      <c r="B5672" s="3" t="s">
        <v>5674</v>
      </c>
      <c r="C5672" s="3" t="s">
        <v>9</v>
      </c>
      <c r="D5672" s="3" t="s">
        <v>10</v>
      </c>
      <c r="E5672" s="3">
        <v>22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/>
      <c r="P5672" s="3"/>
      <c r="Q5672" s="3"/>
    </row>
    <row r="5673" spans="1:17" ht="15" x14ac:dyDescent="0.25">
      <c r="A5673" s="3">
        <f>5666</f>
        <v>5666</v>
      </c>
      <c r="B5673" s="3" t="s">
        <v>5675</v>
      </c>
      <c r="C5673" s="3" t="s">
        <v>9</v>
      </c>
      <c r="D5673" s="3" t="s">
        <v>10</v>
      </c>
      <c r="E5673" s="3">
        <v>22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/>
      <c r="P5673" s="3"/>
      <c r="Q5673" s="3"/>
    </row>
    <row r="5674" spans="1:17" ht="15" x14ac:dyDescent="0.25">
      <c r="A5674" s="3">
        <f>5667</f>
        <v>5667</v>
      </c>
      <c r="B5674" s="3" t="s">
        <v>5676</v>
      </c>
      <c r="C5674" s="3" t="s">
        <v>9</v>
      </c>
      <c r="D5674" s="3" t="s">
        <v>10</v>
      </c>
      <c r="E5674" s="3">
        <v>22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/>
      <c r="P5674" s="3"/>
      <c r="Q5674" s="3"/>
    </row>
    <row r="5675" spans="1:17" ht="15" x14ac:dyDescent="0.25">
      <c r="A5675" s="3">
        <f>5668</f>
        <v>5668</v>
      </c>
      <c r="B5675" s="3" t="s">
        <v>5677</v>
      </c>
      <c r="C5675" s="3" t="s">
        <v>9</v>
      </c>
      <c r="D5675" s="3" t="s">
        <v>10</v>
      </c>
      <c r="E5675" s="3">
        <v>22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/>
      <c r="P5675" s="3"/>
      <c r="Q5675" s="3"/>
    </row>
    <row r="5676" spans="1:17" ht="15" x14ac:dyDescent="0.25">
      <c r="A5676" s="3">
        <f>5669</f>
        <v>5669</v>
      </c>
      <c r="B5676" s="3" t="s">
        <v>5678</v>
      </c>
      <c r="C5676" s="3" t="s">
        <v>9</v>
      </c>
      <c r="D5676" s="3" t="s">
        <v>10</v>
      </c>
      <c r="E5676" s="3">
        <v>22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/>
      <c r="P5676" s="3"/>
      <c r="Q5676" s="3"/>
    </row>
    <row r="5677" spans="1:17" ht="15" x14ac:dyDescent="0.25">
      <c r="A5677" s="3">
        <f>5670</f>
        <v>5670</v>
      </c>
      <c r="B5677" s="3" t="s">
        <v>5679</v>
      </c>
      <c r="C5677" s="3" t="s">
        <v>9</v>
      </c>
      <c r="D5677" s="3" t="s">
        <v>10</v>
      </c>
      <c r="E5677" s="3">
        <v>22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/>
      <c r="P5677" s="3"/>
      <c r="Q5677" s="3"/>
    </row>
    <row r="5678" spans="1:17" ht="15" x14ac:dyDescent="0.25">
      <c r="A5678" s="3">
        <f>5671</f>
        <v>5671</v>
      </c>
      <c r="B5678" s="3" t="s">
        <v>5680</v>
      </c>
      <c r="C5678" s="3" t="s">
        <v>9</v>
      </c>
      <c r="D5678" s="3" t="s">
        <v>10</v>
      </c>
      <c r="E5678" s="3">
        <v>22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/>
      <c r="P5678" s="3"/>
      <c r="Q5678" s="3"/>
    </row>
    <row r="5679" spans="1:17" ht="15" x14ac:dyDescent="0.25">
      <c r="A5679" s="3">
        <f>5672</f>
        <v>5672</v>
      </c>
      <c r="B5679" s="3" t="s">
        <v>5681</v>
      </c>
      <c r="C5679" s="3" t="s">
        <v>9</v>
      </c>
      <c r="D5679" s="3" t="s">
        <v>10</v>
      </c>
      <c r="E5679" s="3">
        <v>22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/>
      <c r="P5679" s="3"/>
      <c r="Q5679" s="3"/>
    </row>
    <row r="5680" spans="1:17" ht="15" x14ac:dyDescent="0.25">
      <c r="A5680" s="3">
        <f>5673</f>
        <v>5673</v>
      </c>
      <c r="B5680" s="3" t="s">
        <v>5682</v>
      </c>
      <c r="C5680" s="3" t="s">
        <v>9</v>
      </c>
      <c r="D5680" s="3" t="s">
        <v>10</v>
      </c>
      <c r="E5680" s="3">
        <v>22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/>
      <c r="P5680" s="3"/>
      <c r="Q5680" s="3"/>
    </row>
    <row r="5681" spans="1:17" ht="15" x14ac:dyDescent="0.25">
      <c r="A5681" s="3">
        <f>5674</f>
        <v>5674</v>
      </c>
      <c r="B5681" s="3" t="s">
        <v>5683</v>
      </c>
      <c r="C5681" s="3" t="s">
        <v>9</v>
      </c>
      <c r="D5681" s="3" t="s">
        <v>10</v>
      </c>
      <c r="E5681" s="3">
        <v>22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/>
      <c r="P5681" s="3"/>
      <c r="Q5681" s="3"/>
    </row>
    <row r="5682" spans="1:17" ht="15" x14ac:dyDescent="0.25">
      <c r="A5682" s="3">
        <f>5675</f>
        <v>5675</v>
      </c>
      <c r="B5682" s="3" t="s">
        <v>5684</v>
      </c>
      <c r="C5682" s="3" t="s">
        <v>9</v>
      </c>
      <c r="D5682" s="3" t="s">
        <v>10</v>
      </c>
      <c r="E5682" s="3">
        <v>22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/>
      <c r="P5682" s="3"/>
      <c r="Q5682" s="3"/>
    </row>
    <row r="5683" spans="1:17" ht="15" x14ac:dyDescent="0.25">
      <c r="A5683" s="3">
        <f>5676</f>
        <v>5676</v>
      </c>
      <c r="B5683" s="3" t="s">
        <v>5685</v>
      </c>
      <c r="C5683" s="3" t="s">
        <v>9</v>
      </c>
      <c r="D5683" s="3" t="s">
        <v>10</v>
      </c>
      <c r="E5683" s="3">
        <v>22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/>
      <c r="P5683" s="3"/>
      <c r="Q5683" s="3"/>
    </row>
    <row r="5684" spans="1:17" ht="15" x14ac:dyDescent="0.25">
      <c r="A5684" s="3">
        <f>5677</f>
        <v>5677</v>
      </c>
      <c r="B5684" s="3" t="s">
        <v>5686</v>
      </c>
      <c r="C5684" s="3" t="s">
        <v>9</v>
      </c>
      <c r="D5684" s="3" t="s">
        <v>10</v>
      </c>
      <c r="E5684" s="3">
        <v>22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/>
      <c r="P5684" s="3"/>
      <c r="Q5684" s="3"/>
    </row>
    <row r="5685" spans="1:17" ht="15" x14ac:dyDescent="0.25">
      <c r="A5685" s="3">
        <f>5678</f>
        <v>5678</v>
      </c>
      <c r="B5685" s="3" t="s">
        <v>5687</v>
      </c>
      <c r="C5685" s="3" t="s">
        <v>9</v>
      </c>
      <c r="D5685" s="3" t="s">
        <v>10</v>
      </c>
      <c r="E5685" s="3">
        <v>22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/>
      <c r="P5685" s="3"/>
      <c r="Q5685" s="3"/>
    </row>
    <row r="5686" spans="1:17" ht="15" x14ac:dyDescent="0.25">
      <c r="A5686" s="3">
        <f>5679</f>
        <v>5679</v>
      </c>
      <c r="B5686" s="3" t="s">
        <v>5688</v>
      </c>
      <c r="C5686" s="3" t="s">
        <v>9</v>
      </c>
      <c r="D5686" s="3" t="s">
        <v>10</v>
      </c>
      <c r="E5686" s="3">
        <v>22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/>
      <c r="P5686" s="3"/>
      <c r="Q5686" s="3"/>
    </row>
    <row r="5687" spans="1:17" ht="15" x14ac:dyDescent="0.25">
      <c r="A5687" s="3">
        <f>5680</f>
        <v>5680</v>
      </c>
      <c r="B5687" s="3" t="s">
        <v>5689</v>
      </c>
      <c r="C5687" s="3" t="s">
        <v>9</v>
      </c>
      <c r="D5687" s="3" t="s">
        <v>10</v>
      </c>
      <c r="E5687" s="3">
        <v>22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/>
      <c r="P5687" s="3"/>
      <c r="Q5687" s="3"/>
    </row>
    <row r="5688" spans="1:17" ht="15" x14ac:dyDescent="0.25">
      <c r="A5688" s="3">
        <f>5681</f>
        <v>5681</v>
      </c>
      <c r="B5688" s="3" t="s">
        <v>5690</v>
      </c>
      <c r="C5688" s="3" t="s">
        <v>9</v>
      </c>
      <c r="D5688" s="3" t="s">
        <v>10</v>
      </c>
      <c r="E5688" s="3">
        <v>22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/>
      <c r="P5688" s="3"/>
      <c r="Q5688" s="3"/>
    </row>
    <row r="5689" spans="1:17" ht="15" x14ac:dyDescent="0.25">
      <c r="A5689" s="3">
        <f>5682</f>
        <v>5682</v>
      </c>
      <c r="B5689" s="3" t="s">
        <v>5691</v>
      </c>
      <c r="C5689" s="3" t="s">
        <v>9</v>
      </c>
      <c r="D5689" s="3" t="s">
        <v>10</v>
      </c>
      <c r="E5689" s="3">
        <v>22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/>
      <c r="P5689" s="3"/>
      <c r="Q5689" s="3"/>
    </row>
    <row r="5690" spans="1:17" ht="15" x14ac:dyDescent="0.25">
      <c r="A5690" s="3">
        <f>5683</f>
        <v>5683</v>
      </c>
      <c r="B5690" s="3" t="s">
        <v>5692</v>
      </c>
      <c r="C5690" s="3" t="s">
        <v>9</v>
      </c>
      <c r="D5690" s="3" t="s">
        <v>10</v>
      </c>
      <c r="E5690" s="3">
        <v>22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/>
      <c r="P5690" s="3"/>
      <c r="Q5690" s="3"/>
    </row>
    <row r="5691" spans="1:17" ht="15" x14ac:dyDescent="0.25">
      <c r="A5691" s="3">
        <f>5684</f>
        <v>5684</v>
      </c>
      <c r="B5691" s="3" t="s">
        <v>5693</v>
      </c>
      <c r="C5691" s="3" t="s">
        <v>9</v>
      </c>
      <c r="D5691" s="3" t="s">
        <v>10</v>
      </c>
      <c r="E5691" s="3">
        <v>22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/>
      <c r="P5691" s="3"/>
      <c r="Q5691" s="3"/>
    </row>
    <row r="5692" spans="1:17" ht="15" x14ac:dyDescent="0.25">
      <c r="A5692" s="3">
        <f>5685</f>
        <v>5685</v>
      </c>
      <c r="B5692" s="3" t="s">
        <v>5694</v>
      </c>
      <c r="C5692" s="3" t="s">
        <v>9</v>
      </c>
      <c r="D5692" s="3" t="s">
        <v>10</v>
      </c>
      <c r="E5692" s="3">
        <v>22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/>
      <c r="P5692" s="3"/>
      <c r="Q5692" s="3"/>
    </row>
    <row r="5693" spans="1:17" ht="15" x14ac:dyDescent="0.25">
      <c r="A5693" s="3">
        <f>5686</f>
        <v>5686</v>
      </c>
      <c r="B5693" s="3" t="s">
        <v>5695</v>
      </c>
      <c r="C5693" s="3" t="s">
        <v>9</v>
      </c>
      <c r="D5693" s="3" t="s">
        <v>10</v>
      </c>
      <c r="E5693" s="3">
        <v>22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/>
      <c r="P5693" s="3"/>
      <c r="Q5693" s="3"/>
    </row>
    <row r="5694" spans="1:17" ht="15" x14ac:dyDescent="0.25">
      <c r="A5694" s="3">
        <f>5687</f>
        <v>5687</v>
      </c>
      <c r="B5694" s="3" t="s">
        <v>5696</v>
      </c>
      <c r="C5694" s="3" t="s">
        <v>9</v>
      </c>
      <c r="D5694" s="3" t="s">
        <v>10</v>
      </c>
      <c r="E5694" s="3">
        <v>22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/>
      <c r="P5694" s="3"/>
      <c r="Q5694" s="3"/>
    </row>
    <row r="5695" spans="1:17" ht="15" x14ac:dyDescent="0.25">
      <c r="A5695" s="3">
        <f>5688</f>
        <v>5688</v>
      </c>
      <c r="B5695" s="3" t="s">
        <v>5697</v>
      </c>
      <c r="C5695" s="3" t="s">
        <v>9</v>
      </c>
      <c r="D5695" s="3" t="s">
        <v>10</v>
      </c>
      <c r="E5695" s="3">
        <v>22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/>
      <c r="P5695" s="3"/>
      <c r="Q5695" s="3"/>
    </row>
    <row r="5696" spans="1:17" ht="15" x14ac:dyDescent="0.25">
      <c r="A5696" s="3">
        <f>5689</f>
        <v>5689</v>
      </c>
      <c r="B5696" s="3" t="s">
        <v>5698</v>
      </c>
      <c r="C5696" s="3" t="s">
        <v>9</v>
      </c>
      <c r="D5696" s="3" t="s">
        <v>10</v>
      </c>
      <c r="E5696" s="3">
        <v>22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/>
      <c r="P5696" s="3"/>
      <c r="Q5696" s="3"/>
    </row>
    <row r="5697" spans="1:17" ht="15" x14ac:dyDescent="0.25">
      <c r="A5697" s="3">
        <f>5690</f>
        <v>5690</v>
      </c>
      <c r="B5697" s="3" t="s">
        <v>5699</v>
      </c>
      <c r="C5697" s="3" t="s">
        <v>9</v>
      </c>
      <c r="D5697" s="3" t="s">
        <v>10</v>
      </c>
      <c r="E5697" s="3">
        <v>22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/>
      <c r="P5697" s="3"/>
      <c r="Q5697" s="3"/>
    </row>
    <row r="5698" spans="1:17" ht="15" x14ac:dyDescent="0.25">
      <c r="A5698" s="3">
        <f>5691</f>
        <v>5691</v>
      </c>
      <c r="B5698" s="3" t="s">
        <v>5700</v>
      </c>
      <c r="C5698" s="3" t="s">
        <v>9</v>
      </c>
      <c r="D5698" s="3" t="s">
        <v>10</v>
      </c>
      <c r="E5698" s="3">
        <v>22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/>
      <c r="P5698" s="3"/>
      <c r="Q5698" s="3"/>
    </row>
    <row r="5699" spans="1:17" ht="15" x14ac:dyDescent="0.25">
      <c r="A5699" s="3">
        <f>5692</f>
        <v>5692</v>
      </c>
      <c r="B5699" s="3" t="s">
        <v>5701</v>
      </c>
      <c r="C5699" s="3" t="s">
        <v>9</v>
      </c>
      <c r="D5699" s="3" t="s">
        <v>10</v>
      </c>
      <c r="E5699" s="3">
        <v>22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/>
      <c r="P5699" s="3"/>
      <c r="Q5699" s="3"/>
    </row>
    <row r="5700" spans="1:17" ht="15" x14ac:dyDescent="0.25">
      <c r="A5700" s="3">
        <f>5693</f>
        <v>5693</v>
      </c>
      <c r="B5700" s="3" t="s">
        <v>5702</v>
      </c>
      <c r="C5700" s="3" t="s">
        <v>9</v>
      </c>
      <c r="D5700" s="3" t="s">
        <v>10</v>
      </c>
      <c r="E5700" s="3">
        <v>22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/>
      <c r="P5700" s="3"/>
      <c r="Q5700" s="3"/>
    </row>
    <row r="5701" spans="1:17" ht="15" x14ac:dyDescent="0.25">
      <c r="A5701" s="3">
        <f>5694</f>
        <v>5694</v>
      </c>
      <c r="B5701" s="3" t="s">
        <v>5703</v>
      </c>
      <c r="C5701" s="3" t="s">
        <v>9</v>
      </c>
      <c r="D5701" s="3" t="s">
        <v>10</v>
      </c>
      <c r="E5701" s="3">
        <v>22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/>
      <c r="P5701" s="3"/>
      <c r="Q5701" s="3"/>
    </row>
    <row r="5702" spans="1:17" ht="15" x14ac:dyDescent="0.25">
      <c r="A5702" s="3">
        <f>5695</f>
        <v>5695</v>
      </c>
      <c r="B5702" s="3" t="s">
        <v>5704</v>
      </c>
      <c r="C5702" s="3" t="s">
        <v>9</v>
      </c>
      <c r="D5702" s="3" t="s">
        <v>10</v>
      </c>
      <c r="E5702" s="3">
        <v>22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/>
      <c r="P5702" s="3"/>
      <c r="Q5702" s="3"/>
    </row>
    <row r="5703" spans="1:17" ht="15" x14ac:dyDescent="0.25">
      <c r="A5703" s="3">
        <f>5696</f>
        <v>5696</v>
      </c>
      <c r="B5703" s="3" t="s">
        <v>5705</v>
      </c>
      <c r="C5703" s="3" t="s">
        <v>9</v>
      </c>
      <c r="D5703" s="3" t="s">
        <v>10</v>
      </c>
      <c r="E5703" s="3">
        <v>22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/>
      <c r="P5703" s="3"/>
      <c r="Q5703" s="3"/>
    </row>
    <row r="5704" spans="1:17" ht="15" x14ac:dyDescent="0.25">
      <c r="A5704" s="3">
        <f>5697</f>
        <v>5697</v>
      </c>
      <c r="B5704" s="3" t="s">
        <v>5706</v>
      </c>
      <c r="C5704" s="3" t="s">
        <v>9</v>
      </c>
      <c r="D5704" s="3" t="s">
        <v>10</v>
      </c>
      <c r="E5704" s="3">
        <v>22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/>
      <c r="P5704" s="3"/>
      <c r="Q5704" s="3"/>
    </row>
    <row r="5705" spans="1:17" ht="15" x14ac:dyDescent="0.25">
      <c r="A5705" s="3">
        <f>5698</f>
        <v>5698</v>
      </c>
      <c r="B5705" s="3" t="s">
        <v>5707</v>
      </c>
      <c r="C5705" s="3" t="s">
        <v>9</v>
      </c>
      <c r="D5705" s="3" t="s">
        <v>10</v>
      </c>
      <c r="E5705" s="3">
        <v>22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s="3"/>
      <c r="P5705" s="3"/>
      <c r="Q5705" s="3"/>
    </row>
    <row r="5706" spans="1:17" ht="15" x14ac:dyDescent="0.25">
      <c r="A5706" s="3">
        <f>5699</f>
        <v>5699</v>
      </c>
      <c r="B5706" s="3" t="s">
        <v>5708</v>
      </c>
      <c r="C5706" s="3" t="s">
        <v>9</v>
      </c>
      <c r="D5706" s="3" t="s">
        <v>10</v>
      </c>
      <c r="E5706" s="3">
        <v>22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/>
      <c r="P5706" s="3"/>
      <c r="Q5706" s="3"/>
    </row>
    <row r="5707" spans="1:17" ht="15" x14ac:dyDescent="0.25">
      <c r="A5707" s="3">
        <f>5700</f>
        <v>5700</v>
      </c>
      <c r="B5707" s="3" t="s">
        <v>5709</v>
      </c>
      <c r="C5707" s="3" t="s">
        <v>9</v>
      </c>
      <c r="D5707" s="3" t="s">
        <v>10</v>
      </c>
      <c r="E5707" s="3">
        <v>22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/>
      <c r="P5707" s="3"/>
      <c r="Q5707" s="3"/>
    </row>
    <row r="5708" spans="1:17" ht="15" x14ac:dyDescent="0.25">
      <c r="A5708" s="3">
        <f>5701</f>
        <v>5701</v>
      </c>
      <c r="B5708" s="3" t="s">
        <v>5710</v>
      </c>
      <c r="C5708" s="3" t="s">
        <v>9</v>
      </c>
      <c r="D5708" s="3" t="s">
        <v>10</v>
      </c>
      <c r="E5708" s="3">
        <v>22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/>
      <c r="P5708" s="3"/>
      <c r="Q5708" s="3"/>
    </row>
    <row r="5709" spans="1:17" ht="15" x14ac:dyDescent="0.25">
      <c r="A5709" s="3">
        <f>5702</f>
        <v>5702</v>
      </c>
      <c r="B5709" s="3" t="s">
        <v>5711</v>
      </c>
      <c r="C5709" s="3" t="s">
        <v>9</v>
      </c>
      <c r="D5709" s="3" t="s">
        <v>10</v>
      </c>
      <c r="E5709" s="3">
        <v>22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/>
      <c r="P5709" s="3"/>
      <c r="Q5709" s="3"/>
    </row>
    <row r="5710" spans="1:17" ht="15" x14ac:dyDescent="0.25">
      <c r="A5710" s="3">
        <f>5703</f>
        <v>5703</v>
      </c>
      <c r="B5710" s="3" t="s">
        <v>5712</v>
      </c>
      <c r="C5710" s="3" t="s">
        <v>9</v>
      </c>
      <c r="D5710" s="3" t="s">
        <v>10</v>
      </c>
      <c r="E5710" s="3">
        <v>22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/>
      <c r="P5710" s="3"/>
      <c r="Q5710" s="3"/>
    </row>
    <row r="5711" spans="1:17" ht="15" x14ac:dyDescent="0.25">
      <c r="A5711" s="3">
        <f>5704</f>
        <v>5704</v>
      </c>
      <c r="B5711" s="3" t="s">
        <v>5713</v>
      </c>
      <c r="C5711" s="3" t="s">
        <v>9</v>
      </c>
      <c r="D5711" s="3" t="s">
        <v>10</v>
      </c>
      <c r="E5711" s="3">
        <v>22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/>
      <c r="P5711" s="3"/>
      <c r="Q5711" s="3"/>
    </row>
    <row r="5712" spans="1:17" ht="15" x14ac:dyDescent="0.25">
      <c r="A5712" s="3">
        <f>5705</f>
        <v>5705</v>
      </c>
      <c r="B5712" s="3" t="s">
        <v>5714</v>
      </c>
      <c r="C5712" s="3" t="s">
        <v>9</v>
      </c>
      <c r="D5712" s="3" t="s">
        <v>10</v>
      </c>
      <c r="E5712" s="3">
        <v>22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/>
      <c r="P5712" s="3"/>
      <c r="Q5712" s="3"/>
    </row>
    <row r="5713" spans="1:17" ht="15" x14ac:dyDescent="0.25">
      <c r="A5713" s="3">
        <f>5706</f>
        <v>5706</v>
      </c>
      <c r="B5713" s="3" t="s">
        <v>5715</v>
      </c>
      <c r="C5713" s="3" t="s">
        <v>9</v>
      </c>
      <c r="D5713" s="3" t="s">
        <v>10</v>
      </c>
      <c r="E5713" s="3">
        <v>22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/>
      <c r="P5713" s="3"/>
      <c r="Q5713" s="3"/>
    </row>
    <row r="5714" spans="1:17" ht="15" x14ac:dyDescent="0.25">
      <c r="A5714" s="3">
        <f>5707</f>
        <v>5707</v>
      </c>
      <c r="B5714" s="3" t="s">
        <v>5716</v>
      </c>
      <c r="C5714" s="3" t="s">
        <v>9</v>
      </c>
      <c r="D5714" s="3" t="s">
        <v>10</v>
      </c>
      <c r="E5714" s="3">
        <v>22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/>
      <c r="P5714" s="3"/>
      <c r="Q5714" s="3"/>
    </row>
    <row r="5715" spans="1:17" ht="15" x14ac:dyDescent="0.25">
      <c r="A5715" s="3">
        <f>5708</f>
        <v>5708</v>
      </c>
      <c r="B5715" s="3" t="s">
        <v>5717</v>
      </c>
      <c r="C5715" s="3" t="s">
        <v>9</v>
      </c>
      <c r="D5715" s="3" t="s">
        <v>10</v>
      </c>
      <c r="E5715" s="3">
        <v>22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/>
      <c r="P5715" s="3"/>
      <c r="Q5715" s="3"/>
    </row>
    <row r="5716" spans="1:17" ht="15" x14ac:dyDescent="0.25">
      <c r="A5716" s="3">
        <f>5709</f>
        <v>5709</v>
      </c>
      <c r="B5716" s="3" t="s">
        <v>5718</v>
      </c>
      <c r="C5716" s="3" t="s">
        <v>9</v>
      </c>
      <c r="D5716" s="3" t="s">
        <v>10</v>
      </c>
      <c r="E5716" s="3">
        <v>22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/>
      <c r="P5716" s="3"/>
      <c r="Q5716" s="3"/>
    </row>
    <row r="5717" spans="1:17" ht="15" x14ac:dyDescent="0.25">
      <c r="A5717" s="3">
        <f>5710</f>
        <v>5710</v>
      </c>
      <c r="B5717" s="3" t="s">
        <v>5719</v>
      </c>
      <c r="C5717" s="3" t="s">
        <v>9</v>
      </c>
      <c r="D5717" s="3" t="s">
        <v>10</v>
      </c>
      <c r="E5717" s="3">
        <v>22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/>
      <c r="P5717" s="3"/>
      <c r="Q5717" s="3"/>
    </row>
    <row r="5718" spans="1:17" ht="15" x14ac:dyDescent="0.25">
      <c r="A5718" s="3">
        <f>5711</f>
        <v>5711</v>
      </c>
      <c r="B5718" s="3" t="s">
        <v>5720</v>
      </c>
      <c r="C5718" s="3" t="s">
        <v>9</v>
      </c>
      <c r="D5718" s="3" t="s">
        <v>10</v>
      </c>
      <c r="E5718" s="3">
        <v>22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/>
      <c r="P5718" s="3"/>
      <c r="Q5718" s="3"/>
    </row>
    <row r="5719" spans="1:17" ht="15" x14ac:dyDescent="0.25">
      <c r="A5719" s="3">
        <f>5712</f>
        <v>5712</v>
      </c>
      <c r="B5719" s="3" t="s">
        <v>5721</v>
      </c>
      <c r="C5719" s="3" t="s">
        <v>9</v>
      </c>
      <c r="D5719" s="3" t="s">
        <v>10</v>
      </c>
      <c r="E5719" s="3">
        <v>22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/>
      <c r="P5719" s="3"/>
      <c r="Q5719" s="3"/>
    </row>
    <row r="5720" spans="1:17" ht="15" x14ac:dyDescent="0.25">
      <c r="A5720" s="3">
        <f>5713</f>
        <v>5713</v>
      </c>
      <c r="B5720" s="3" t="s">
        <v>5722</v>
      </c>
      <c r="C5720" s="3" t="s">
        <v>9</v>
      </c>
      <c r="D5720" s="3" t="s">
        <v>10</v>
      </c>
      <c r="E5720" s="3">
        <v>22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/>
      <c r="P5720" s="3"/>
      <c r="Q5720" s="3"/>
    </row>
    <row r="5721" spans="1:17" ht="15" x14ac:dyDescent="0.25">
      <c r="A5721" s="3">
        <f>5714</f>
        <v>5714</v>
      </c>
      <c r="B5721" s="3" t="s">
        <v>5723</v>
      </c>
      <c r="C5721" s="3" t="s">
        <v>9</v>
      </c>
      <c r="D5721" s="3" t="s">
        <v>10</v>
      </c>
      <c r="E5721" s="3">
        <v>22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/>
      <c r="P5721" s="3"/>
      <c r="Q5721" s="3"/>
    </row>
    <row r="5722" spans="1:17" ht="15" x14ac:dyDescent="0.25">
      <c r="A5722" s="3">
        <f>5715</f>
        <v>5715</v>
      </c>
      <c r="B5722" s="3" t="s">
        <v>5724</v>
      </c>
      <c r="C5722" s="3" t="s">
        <v>9</v>
      </c>
      <c r="D5722" s="3" t="s">
        <v>10</v>
      </c>
      <c r="E5722" s="3">
        <v>22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/>
      <c r="P5722" s="3"/>
      <c r="Q5722" s="3"/>
    </row>
    <row r="5723" spans="1:17" ht="15" x14ac:dyDescent="0.25">
      <c r="A5723" s="3">
        <f>5716</f>
        <v>5716</v>
      </c>
      <c r="B5723" s="3" t="s">
        <v>5725</v>
      </c>
      <c r="C5723" s="3" t="s">
        <v>9</v>
      </c>
      <c r="D5723" s="3" t="s">
        <v>10</v>
      </c>
      <c r="E5723" s="3">
        <v>22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/>
      <c r="P5723" s="3"/>
      <c r="Q5723" s="3"/>
    </row>
    <row r="5724" spans="1:17" ht="15" x14ac:dyDescent="0.25">
      <c r="A5724" s="3">
        <f>5717</f>
        <v>5717</v>
      </c>
      <c r="B5724" s="3" t="s">
        <v>5726</v>
      </c>
      <c r="C5724" s="3" t="s">
        <v>9</v>
      </c>
      <c r="D5724" s="3" t="s">
        <v>10</v>
      </c>
      <c r="E5724" s="3">
        <v>22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/>
      <c r="P5724" s="3"/>
      <c r="Q5724" s="3"/>
    </row>
    <row r="5725" spans="1:17" ht="15" x14ac:dyDescent="0.25">
      <c r="A5725" s="3">
        <f>5718</f>
        <v>5718</v>
      </c>
      <c r="B5725" s="3" t="s">
        <v>5727</v>
      </c>
      <c r="C5725" s="3" t="s">
        <v>9</v>
      </c>
      <c r="D5725" s="3" t="s">
        <v>10</v>
      </c>
      <c r="E5725" s="3">
        <v>22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/>
      <c r="P5725" s="3"/>
      <c r="Q5725" s="3"/>
    </row>
    <row r="5726" spans="1:17" ht="15" x14ac:dyDescent="0.25">
      <c r="A5726" s="3">
        <f>5719</f>
        <v>5719</v>
      </c>
      <c r="B5726" s="3" t="s">
        <v>5728</v>
      </c>
      <c r="C5726" s="3" t="s">
        <v>9</v>
      </c>
      <c r="D5726" s="3" t="s">
        <v>10</v>
      </c>
      <c r="E5726" s="3">
        <v>22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/>
      <c r="P5726" s="3"/>
      <c r="Q5726" s="3"/>
    </row>
    <row r="5727" spans="1:17" ht="15" x14ac:dyDescent="0.25">
      <c r="A5727" s="3">
        <f>5720</f>
        <v>5720</v>
      </c>
      <c r="B5727" s="3" t="s">
        <v>5729</v>
      </c>
      <c r="C5727" s="3" t="s">
        <v>9</v>
      </c>
      <c r="D5727" s="3" t="s">
        <v>10</v>
      </c>
      <c r="E5727" s="3">
        <v>22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/>
      <c r="P5727" s="3"/>
      <c r="Q5727" s="3"/>
    </row>
    <row r="5728" spans="1:17" ht="15" x14ac:dyDescent="0.25">
      <c r="A5728" s="3">
        <f>5721</f>
        <v>5721</v>
      </c>
      <c r="B5728" s="3" t="s">
        <v>5730</v>
      </c>
      <c r="C5728" s="3" t="s">
        <v>9</v>
      </c>
      <c r="D5728" s="3" t="s">
        <v>10</v>
      </c>
      <c r="E5728" s="3">
        <v>22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/>
      <c r="P5728" s="3"/>
      <c r="Q5728" s="3"/>
    </row>
    <row r="5729" spans="1:17" ht="15" x14ac:dyDescent="0.25">
      <c r="A5729" s="3">
        <f>5722</f>
        <v>5722</v>
      </c>
      <c r="B5729" s="3" t="s">
        <v>5731</v>
      </c>
      <c r="C5729" s="3" t="s">
        <v>9</v>
      </c>
      <c r="D5729" s="3" t="s">
        <v>10</v>
      </c>
      <c r="E5729" s="3">
        <v>22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/>
      <c r="P5729" s="3"/>
      <c r="Q5729" s="3"/>
    </row>
    <row r="5730" spans="1:17" ht="15" x14ac:dyDescent="0.25">
      <c r="A5730" s="3">
        <f>5723</f>
        <v>5723</v>
      </c>
      <c r="B5730" s="3" t="s">
        <v>5732</v>
      </c>
      <c r="C5730" s="3" t="s">
        <v>9</v>
      </c>
      <c r="D5730" s="3" t="s">
        <v>10</v>
      </c>
      <c r="E5730" s="3">
        <v>22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/>
      <c r="P5730" s="3"/>
      <c r="Q5730" s="3"/>
    </row>
    <row r="5731" spans="1:17" ht="15" x14ac:dyDescent="0.25">
      <c r="A5731" s="3">
        <f>5724</f>
        <v>5724</v>
      </c>
      <c r="B5731" s="3" t="s">
        <v>5733</v>
      </c>
      <c r="C5731" s="3" t="s">
        <v>9</v>
      </c>
      <c r="D5731" s="3" t="s">
        <v>10</v>
      </c>
      <c r="E5731" s="3">
        <v>22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/>
      <c r="P5731" s="3"/>
      <c r="Q5731" s="3"/>
    </row>
    <row r="5732" spans="1:17" ht="15" x14ac:dyDescent="0.25">
      <c r="A5732" s="3">
        <f>5725</f>
        <v>5725</v>
      </c>
      <c r="B5732" s="3" t="s">
        <v>5734</v>
      </c>
      <c r="C5732" s="3" t="s">
        <v>9</v>
      </c>
      <c r="D5732" s="3" t="s">
        <v>10</v>
      </c>
      <c r="E5732" s="3">
        <v>22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/>
      <c r="P5732" s="3"/>
      <c r="Q5732" s="3"/>
    </row>
    <row r="5733" spans="1:17" ht="15" x14ac:dyDescent="0.25">
      <c r="A5733" s="3">
        <f>5726</f>
        <v>5726</v>
      </c>
      <c r="B5733" s="3" t="s">
        <v>5735</v>
      </c>
      <c r="C5733" s="3" t="s">
        <v>9</v>
      </c>
      <c r="D5733" s="3" t="s">
        <v>10</v>
      </c>
      <c r="E5733" s="3">
        <v>22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/>
      <c r="P5733" s="3"/>
      <c r="Q5733" s="3"/>
    </row>
    <row r="5734" spans="1:17" ht="15" x14ac:dyDescent="0.25">
      <c r="A5734" s="3">
        <f>5727</f>
        <v>5727</v>
      </c>
      <c r="B5734" s="3" t="s">
        <v>5736</v>
      </c>
      <c r="C5734" s="3" t="s">
        <v>9</v>
      </c>
      <c r="D5734" s="3" t="s">
        <v>10</v>
      </c>
      <c r="E5734" s="3">
        <v>22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/>
      <c r="P5734" s="3"/>
      <c r="Q5734" s="3"/>
    </row>
    <row r="5735" spans="1:17" ht="15" x14ac:dyDescent="0.25">
      <c r="A5735" s="3">
        <f>5728</f>
        <v>5728</v>
      </c>
      <c r="B5735" s="3" t="s">
        <v>5737</v>
      </c>
      <c r="C5735" s="3" t="s">
        <v>9</v>
      </c>
      <c r="D5735" s="3" t="s">
        <v>10</v>
      </c>
      <c r="E5735" s="3">
        <v>22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/>
      <c r="P5735" s="3"/>
      <c r="Q5735" s="3"/>
    </row>
    <row r="5736" spans="1:17" ht="15" x14ac:dyDescent="0.25">
      <c r="A5736" s="3">
        <f>5729</f>
        <v>5729</v>
      </c>
      <c r="B5736" s="3" t="s">
        <v>5738</v>
      </c>
      <c r="C5736" s="3" t="s">
        <v>9</v>
      </c>
      <c r="D5736" s="3" t="s">
        <v>10</v>
      </c>
      <c r="E5736" s="3">
        <v>22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/>
      <c r="P5736" s="3"/>
      <c r="Q5736" s="3"/>
    </row>
    <row r="5737" spans="1:17" ht="15" x14ac:dyDescent="0.25">
      <c r="A5737" s="3">
        <f>5730</f>
        <v>5730</v>
      </c>
      <c r="B5737" s="3" t="s">
        <v>5739</v>
      </c>
      <c r="C5737" s="3" t="s">
        <v>9</v>
      </c>
      <c r="D5737" s="3" t="s">
        <v>10</v>
      </c>
      <c r="E5737" s="3">
        <v>22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/>
      <c r="P5737" s="3"/>
      <c r="Q5737" s="3"/>
    </row>
    <row r="5738" spans="1:17" ht="15" x14ac:dyDescent="0.25">
      <c r="A5738" s="3">
        <f>5731</f>
        <v>5731</v>
      </c>
      <c r="B5738" s="3" t="s">
        <v>5740</v>
      </c>
      <c r="C5738" s="3" t="s">
        <v>9</v>
      </c>
      <c r="D5738" s="3" t="s">
        <v>10</v>
      </c>
      <c r="E5738" s="3">
        <v>22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/>
      <c r="P5738" s="3"/>
      <c r="Q5738" s="3"/>
    </row>
    <row r="5739" spans="1:17" ht="15" x14ac:dyDescent="0.25">
      <c r="A5739" s="3">
        <f>5732</f>
        <v>5732</v>
      </c>
      <c r="B5739" s="3" t="s">
        <v>5741</v>
      </c>
      <c r="C5739" s="3" t="s">
        <v>9</v>
      </c>
      <c r="D5739" s="3" t="s">
        <v>10</v>
      </c>
      <c r="E5739" s="3">
        <v>22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/>
      <c r="P5739" s="3"/>
      <c r="Q5739" s="3"/>
    </row>
    <row r="5740" spans="1:17" ht="15" x14ac:dyDescent="0.25">
      <c r="A5740" s="3">
        <f>5733</f>
        <v>5733</v>
      </c>
      <c r="B5740" s="3" t="s">
        <v>5742</v>
      </c>
      <c r="C5740" s="3" t="s">
        <v>9</v>
      </c>
      <c r="D5740" s="3" t="s">
        <v>10</v>
      </c>
      <c r="E5740" s="3">
        <v>22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/>
      <c r="P5740" s="3"/>
      <c r="Q5740" s="3"/>
    </row>
    <row r="5741" spans="1:17" ht="15" x14ac:dyDescent="0.25">
      <c r="A5741" s="3">
        <f>5734</f>
        <v>5734</v>
      </c>
      <c r="B5741" s="3" t="s">
        <v>5743</v>
      </c>
      <c r="C5741" s="3" t="s">
        <v>9</v>
      </c>
      <c r="D5741" s="3" t="s">
        <v>10</v>
      </c>
      <c r="E5741" s="3">
        <v>22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/>
      <c r="P5741" s="3"/>
      <c r="Q5741" s="3"/>
    </row>
    <row r="5742" spans="1:17" ht="15" x14ac:dyDescent="0.25">
      <c r="A5742" s="3">
        <f>5735</f>
        <v>5735</v>
      </c>
      <c r="B5742" s="3" t="s">
        <v>5744</v>
      </c>
      <c r="C5742" s="3" t="s">
        <v>9</v>
      </c>
      <c r="D5742" s="3" t="s">
        <v>10</v>
      </c>
      <c r="E5742" s="3">
        <v>22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/>
      <c r="P5742" s="3"/>
      <c r="Q5742" s="3"/>
    </row>
    <row r="5743" spans="1:17" ht="15" x14ac:dyDescent="0.25">
      <c r="A5743" s="3">
        <f>5736</f>
        <v>5736</v>
      </c>
      <c r="B5743" s="3" t="s">
        <v>5745</v>
      </c>
      <c r="C5743" s="3" t="s">
        <v>9</v>
      </c>
      <c r="D5743" s="3" t="s">
        <v>10</v>
      </c>
      <c r="E5743" s="3">
        <v>22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/>
      <c r="P5743" s="3"/>
      <c r="Q5743" s="3"/>
    </row>
    <row r="5744" spans="1:17" ht="15" x14ac:dyDescent="0.25">
      <c r="A5744" s="3">
        <f>5737</f>
        <v>5737</v>
      </c>
      <c r="B5744" s="3" t="s">
        <v>5746</v>
      </c>
      <c r="C5744" s="3" t="s">
        <v>9</v>
      </c>
      <c r="D5744" s="3" t="s">
        <v>10</v>
      </c>
      <c r="E5744" s="3">
        <v>22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/>
      <c r="P5744" s="3"/>
      <c r="Q5744" s="3"/>
    </row>
    <row r="5745" spans="1:17" ht="15" x14ac:dyDescent="0.25">
      <c r="A5745" s="3">
        <f>5738</f>
        <v>5738</v>
      </c>
      <c r="B5745" s="3" t="s">
        <v>5747</v>
      </c>
      <c r="C5745" s="3" t="s">
        <v>9</v>
      </c>
      <c r="D5745" s="3" t="s">
        <v>10</v>
      </c>
      <c r="E5745" s="3">
        <v>22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/>
      <c r="P5745" s="3"/>
      <c r="Q5745" s="3"/>
    </row>
    <row r="5746" spans="1:17" ht="15" x14ac:dyDescent="0.25">
      <c r="A5746" s="3">
        <f>5739</f>
        <v>5739</v>
      </c>
      <c r="B5746" s="3" t="s">
        <v>5748</v>
      </c>
      <c r="C5746" s="3" t="s">
        <v>9</v>
      </c>
      <c r="D5746" s="3" t="s">
        <v>10</v>
      </c>
      <c r="E5746" s="3">
        <v>22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/>
      <c r="P5746" s="3"/>
      <c r="Q5746" s="3"/>
    </row>
    <row r="5747" spans="1:17" ht="15" x14ac:dyDescent="0.25">
      <c r="A5747" s="3">
        <f>5740</f>
        <v>5740</v>
      </c>
      <c r="B5747" s="3" t="s">
        <v>5749</v>
      </c>
      <c r="C5747" s="3" t="s">
        <v>9</v>
      </c>
      <c r="D5747" s="3" t="s">
        <v>10</v>
      </c>
      <c r="E5747" s="3">
        <v>22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/>
      <c r="P5747" s="3"/>
      <c r="Q5747" s="3"/>
    </row>
    <row r="5748" spans="1:17" ht="15" x14ac:dyDescent="0.25">
      <c r="A5748" s="3">
        <f>5741</f>
        <v>5741</v>
      </c>
      <c r="B5748" s="3" t="s">
        <v>5750</v>
      </c>
      <c r="C5748" s="3" t="s">
        <v>9</v>
      </c>
      <c r="D5748" s="3" t="s">
        <v>10</v>
      </c>
      <c r="E5748" s="3">
        <v>22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/>
      <c r="P5748" s="3"/>
      <c r="Q5748" s="3"/>
    </row>
    <row r="5749" spans="1:17" ht="15" x14ac:dyDescent="0.25">
      <c r="A5749" s="3">
        <f>5742</f>
        <v>5742</v>
      </c>
      <c r="B5749" s="3" t="s">
        <v>5751</v>
      </c>
      <c r="C5749" s="3" t="s">
        <v>9</v>
      </c>
      <c r="D5749" s="3" t="s">
        <v>10</v>
      </c>
      <c r="E5749" s="3">
        <v>22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/>
      <c r="P5749" s="3"/>
      <c r="Q5749" s="3"/>
    </row>
    <row r="5750" spans="1:17" ht="15" x14ac:dyDescent="0.25">
      <c r="A5750" s="3">
        <f>5743</f>
        <v>5743</v>
      </c>
      <c r="B5750" s="3" t="s">
        <v>5752</v>
      </c>
      <c r="C5750" s="3" t="s">
        <v>9</v>
      </c>
      <c r="D5750" s="3" t="s">
        <v>10</v>
      </c>
      <c r="E5750" s="3">
        <v>22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/>
      <c r="P5750" s="3"/>
      <c r="Q5750" s="3"/>
    </row>
    <row r="5751" spans="1:17" ht="15" x14ac:dyDescent="0.25">
      <c r="A5751" s="3">
        <f>5744</f>
        <v>5744</v>
      </c>
      <c r="B5751" s="3" t="s">
        <v>5753</v>
      </c>
      <c r="C5751" s="3" t="s">
        <v>9</v>
      </c>
      <c r="D5751" s="3" t="s">
        <v>10</v>
      </c>
      <c r="E5751" s="3">
        <v>22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/>
      <c r="P5751" s="3"/>
      <c r="Q5751" s="3"/>
    </row>
    <row r="5752" spans="1:17" ht="15" x14ac:dyDescent="0.25">
      <c r="A5752" s="3">
        <f>5745</f>
        <v>5745</v>
      </c>
      <c r="B5752" s="3" t="s">
        <v>5754</v>
      </c>
      <c r="C5752" s="3" t="s">
        <v>9</v>
      </c>
      <c r="D5752" s="3" t="s">
        <v>10</v>
      </c>
      <c r="E5752" s="3">
        <v>22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/>
      <c r="P5752" s="3"/>
      <c r="Q5752" s="3"/>
    </row>
    <row r="5753" spans="1:17" ht="15" x14ac:dyDescent="0.25">
      <c r="A5753" s="3">
        <f>5746</f>
        <v>5746</v>
      </c>
      <c r="B5753" s="3" t="s">
        <v>5755</v>
      </c>
      <c r="C5753" s="3" t="s">
        <v>9</v>
      </c>
      <c r="D5753" s="3" t="s">
        <v>10</v>
      </c>
      <c r="E5753" s="3">
        <v>22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/>
      <c r="P5753" s="3"/>
      <c r="Q5753" s="3"/>
    </row>
    <row r="5754" spans="1:17" ht="15" x14ac:dyDescent="0.25">
      <c r="A5754" s="3">
        <f>5747</f>
        <v>5747</v>
      </c>
      <c r="B5754" s="3" t="s">
        <v>5756</v>
      </c>
      <c r="C5754" s="3" t="s">
        <v>9</v>
      </c>
      <c r="D5754" s="3" t="s">
        <v>10</v>
      </c>
      <c r="E5754" s="3">
        <v>22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/>
      <c r="P5754" s="3"/>
      <c r="Q5754" s="3"/>
    </row>
    <row r="5755" spans="1:17" ht="15" x14ac:dyDescent="0.25">
      <c r="A5755" s="3">
        <f>5748</f>
        <v>5748</v>
      </c>
      <c r="B5755" s="3" t="s">
        <v>5757</v>
      </c>
      <c r="C5755" s="3" t="s">
        <v>9</v>
      </c>
      <c r="D5755" s="3" t="s">
        <v>10</v>
      </c>
      <c r="E5755" s="3">
        <v>22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/>
      <c r="P5755" s="3"/>
      <c r="Q5755" s="3"/>
    </row>
    <row r="5756" spans="1:17" ht="15" x14ac:dyDescent="0.25">
      <c r="A5756" s="3">
        <f>5749</f>
        <v>5749</v>
      </c>
      <c r="B5756" s="3" t="s">
        <v>5758</v>
      </c>
      <c r="C5756" s="3" t="s">
        <v>9</v>
      </c>
      <c r="D5756" s="3" t="s">
        <v>10</v>
      </c>
      <c r="E5756" s="3">
        <v>22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/>
      <c r="P5756" s="3"/>
      <c r="Q5756" s="3"/>
    </row>
    <row r="5757" spans="1:17" ht="15" x14ac:dyDescent="0.25">
      <c r="A5757" s="3">
        <f>5750</f>
        <v>5750</v>
      </c>
      <c r="B5757" s="3" t="s">
        <v>5759</v>
      </c>
      <c r="C5757" s="3" t="s">
        <v>9</v>
      </c>
      <c r="D5757" s="3" t="s">
        <v>10</v>
      </c>
      <c r="E5757" s="3">
        <v>22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/>
      <c r="P5757" s="3"/>
      <c r="Q5757" s="3"/>
    </row>
    <row r="5758" spans="1:17" ht="15" x14ac:dyDescent="0.25">
      <c r="A5758" s="3">
        <f>5751</f>
        <v>5751</v>
      </c>
      <c r="B5758" s="3" t="s">
        <v>5760</v>
      </c>
      <c r="C5758" s="3" t="s">
        <v>9</v>
      </c>
      <c r="D5758" s="3" t="s">
        <v>10</v>
      </c>
      <c r="E5758" s="3">
        <v>22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/>
      <c r="P5758" s="3"/>
      <c r="Q5758" s="3"/>
    </row>
    <row r="5759" spans="1:17" ht="15" x14ac:dyDescent="0.25">
      <c r="A5759" s="3">
        <f>5752</f>
        <v>5752</v>
      </c>
      <c r="B5759" s="3" t="s">
        <v>5761</v>
      </c>
      <c r="C5759" s="3" t="s">
        <v>9</v>
      </c>
      <c r="D5759" s="3" t="s">
        <v>10</v>
      </c>
      <c r="E5759" s="3">
        <v>22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/>
      <c r="P5759" s="3"/>
      <c r="Q5759" s="3"/>
    </row>
    <row r="5760" spans="1:17" ht="15" x14ac:dyDescent="0.25">
      <c r="A5760" s="3">
        <f>5753</f>
        <v>5753</v>
      </c>
      <c r="B5760" s="3" t="s">
        <v>5762</v>
      </c>
      <c r="C5760" s="3" t="s">
        <v>9</v>
      </c>
      <c r="D5760" s="3" t="s">
        <v>10</v>
      </c>
      <c r="E5760" s="3">
        <v>22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/>
      <c r="P5760" s="3"/>
      <c r="Q5760" s="3"/>
    </row>
    <row r="5761" spans="1:17" ht="15" x14ac:dyDescent="0.25">
      <c r="A5761" s="3">
        <f>5754</f>
        <v>5754</v>
      </c>
      <c r="B5761" s="3" t="s">
        <v>5763</v>
      </c>
      <c r="C5761" s="3" t="s">
        <v>9</v>
      </c>
      <c r="D5761" s="3" t="s">
        <v>10</v>
      </c>
      <c r="E5761" s="3">
        <v>22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/>
      <c r="P5761" s="3"/>
      <c r="Q5761" s="3"/>
    </row>
    <row r="5762" spans="1:17" ht="15" x14ac:dyDescent="0.25">
      <c r="A5762" s="3">
        <f>5755</f>
        <v>5755</v>
      </c>
      <c r="B5762" s="3" t="s">
        <v>5764</v>
      </c>
      <c r="C5762" s="3" t="s">
        <v>9</v>
      </c>
      <c r="D5762" s="3" t="s">
        <v>10</v>
      </c>
      <c r="E5762" s="3">
        <v>22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/>
      <c r="P5762" s="3"/>
      <c r="Q5762" s="3"/>
    </row>
    <row r="5763" spans="1:17" ht="15" x14ac:dyDescent="0.25">
      <c r="A5763" s="3">
        <f>5756</f>
        <v>5756</v>
      </c>
      <c r="B5763" s="3" t="s">
        <v>5765</v>
      </c>
      <c r="C5763" s="3" t="s">
        <v>9</v>
      </c>
      <c r="D5763" s="3" t="s">
        <v>10</v>
      </c>
      <c r="E5763" s="3">
        <v>22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/>
      <c r="P5763" s="3"/>
      <c r="Q5763" s="3"/>
    </row>
    <row r="5764" spans="1:17" ht="15" x14ac:dyDescent="0.25">
      <c r="A5764" s="3">
        <f>5757</f>
        <v>5757</v>
      </c>
      <c r="B5764" s="3" t="s">
        <v>5766</v>
      </c>
      <c r="C5764" s="3" t="s">
        <v>9</v>
      </c>
      <c r="D5764" s="3" t="s">
        <v>10</v>
      </c>
      <c r="E5764" s="3">
        <v>22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/>
      <c r="P5764" s="3"/>
      <c r="Q5764" s="3"/>
    </row>
    <row r="5765" spans="1:17" ht="15" x14ac:dyDescent="0.25">
      <c r="A5765" s="3">
        <f>5758</f>
        <v>5758</v>
      </c>
      <c r="B5765" s="3" t="s">
        <v>5767</v>
      </c>
      <c r="C5765" s="3" t="s">
        <v>9</v>
      </c>
      <c r="D5765" s="3" t="s">
        <v>10</v>
      </c>
      <c r="E5765" s="3">
        <v>22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/>
      <c r="P5765" s="3"/>
      <c r="Q5765" s="3"/>
    </row>
    <row r="5766" spans="1:17" ht="15" x14ac:dyDescent="0.25">
      <c r="A5766" s="3">
        <f>5759</f>
        <v>5759</v>
      </c>
      <c r="B5766" s="3" t="s">
        <v>5768</v>
      </c>
      <c r="C5766" s="3" t="s">
        <v>9</v>
      </c>
      <c r="D5766" s="3" t="s">
        <v>10</v>
      </c>
      <c r="E5766" s="3">
        <v>22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/>
      <c r="P5766" s="3"/>
      <c r="Q5766" s="3"/>
    </row>
    <row r="5767" spans="1:17" ht="15" x14ac:dyDescent="0.25">
      <c r="A5767" s="3">
        <f>5760</f>
        <v>5760</v>
      </c>
      <c r="B5767" s="3" t="s">
        <v>5769</v>
      </c>
      <c r="C5767" s="3" t="s">
        <v>9</v>
      </c>
      <c r="D5767" s="3" t="s">
        <v>10</v>
      </c>
      <c r="E5767" s="3">
        <v>22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/>
      <c r="P5767" s="3"/>
      <c r="Q5767" s="3"/>
    </row>
    <row r="5768" spans="1:17" ht="15" x14ac:dyDescent="0.25">
      <c r="A5768" s="3">
        <f>5761</f>
        <v>5761</v>
      </c>
      <c r="B5768" s="3" t="s">
        <v>5770</v>
      </c>
      <c r="C5768" s="3" t="s">
        <v>9</v>
      </c>
      <c r="D5768" s="3" t="s">
        <v>10</v>
      </c>
      <c r="E5768" s="3">
        <v>22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/>
      <c r="P5768" s="3"/>
      <c r="Q5768" s="3"/>
    </row>
    <row r="5769" spans="1:17" ht="15" x14ac:dyDescent="0.25">
      <c r="A5769" s="3">
        <f>5762</f>
        <v>5762</v>
      </c>
      <c r="B5769" s="3" t="s">
        <v>5771</v>
      </c>
      <c r="C5769" s="3" t="s">
        <v>9</v>
      </c>
      <c r="D5769" s="3" t="s">
        <v>10</v>
      </c>
      <c r="E5769" s="3">
        <v>22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/>
      <c r="P5769" s="3"/>
      <c r="Q5769" s="3"/>
    </row>
    <row r="5770" spans="1:17" ht="15" x14ac:dyDescent="0.25">
      <c r="A5770" s="3">
        <f>5763</f>
        <v>5763</v>
      </c>
      <c r="B5770" s="3" t="s">
        <v>5772</v>
      </c>
      <c r="C5770" s="3" t="s">
        <v>9</v>
      </c>
      <c r="D5770" s="3" t="s">
        <v>10</v>
      </c>
      <c r="E5770" s="3">
        <v>22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/>
      <c r="P5770" s="3"/>
      <c r="Q5770" s="3"/>
    </row>
    <row r="5771" spans="1:17" ht="15" x14ac:dyDescent="0.25">
      <c r="A5771" s="3">
        <f>5764</f>
        <v>5764</v>
      </c>
      <c r="B5771" s="3" t="s">
        <v>5773</v>
      </c>
      <c r="C5771" s="3" t="s">
        <v>9</v>
      </c>
      <c r="D5771" s="3" t="s">
        <v>10</v>
      </c>
      <c r="E5771" s="3">
        <v>22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/>
      <c r="P5771" s="3"/>
      <c r="Q5771" s="3"/>
    </row>
    <row r="5772" spans="1:17" ht="15" x14ac:dyDescent="0.25">
      <c r="A5772" s="3">
        <f>5765</f>
        <v>5765</v>
      </c>
      <c r="B5772" s="3" t="s">
        <v>5774</v>
      </c>
      <c r="C5772" s="3" t="s">
        <v>9</v>
      </c>
      <c r="D5772" s="3" t="s">
        <v>10</v>
      </c>
      <c r="E5772" s="3">
        <v>22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/>
      <c r="P5772" s="3"/>
      <c r="Q5772" s="3"/>
    </row>
    <row r="5773" spans="1:17" ht="15" x14ac:dyDescent="0.25">
      <c r="A5773" s="3">
        <f>5766</f>
        <v>5766</v>
      </c>
      <c r="B5773" s="3" t="s">
        <v>5775</v>
      </c>
      <c r="C5773" s="3" t="s">
        <v>9</v>
      </c>
      <c r="D5773" s="3" t="s">
        <v>10</v>
      </c>
      <c r="E5773" s="3">
        <v>22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/>
      <c r="P5773" s="3"/>
      <c r="Q5773" s="3"/>
    </row>
    <row r="5774" spans="1:17" ht="15" x14ac:dyDescent="0.25">
      <c r="A5774" s="3">
        <f>5767</f>
        <v>5767</v>
      </c>
      <c r="B5774" s="3" t="s">
        <v>5776</v>
      </c>
      <c r="C5774" s="3" t="s">
        <v>9</v>
      </c>
      <c r="D5774" s="3" t="s">
        <v>10</v>
      </c>
      <c r="E5774" s="3">
        <v>22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/>
      <c r="P5774" s="3"/>
      <c r="Q5774" s="3"/>
    </row>
    <row r="5775" spans="1:17" ht="15" x14ac:dyDescent="0.25">
      <c r="A5775" s="3">
        <f>5768</f>
        <v>5768</v>
      </c>
      <c r="B5775" s="3" t="s">
        <v>5777</v>
      </c>
      <c r="C5775" s="3" t="s">
        <v>9</v>
      </c>
      <c r="D5775" s="3" t="s">
        <v>10</v>
      </c>
      <c r="E5775" s="3">
        <v>22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/>
      <c r="P5775" s="3"/>
      <c r="Q5775" s="3"/>
    </row>
    <row r="5776" spans="1:17" ht="15" x14ac:dyDescent="0.25">
      <c r="A5776" s="3">
        <f>5769</f>
        <v>5769</v>
      </c>
      <c r="B5776" s="3" t="s">
        <v>5778</v>
      </c>
      <c r="C5776" s="3" t="s">
        <v>9</v>
      </c>
      <c r="D5776" s="3" t="s">
        <v>10</v>
      </c>
      <c r="E5776" s="3">
        <v>22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/>
      <c r="P5776" s="3"/>
      <c r="Q5776" s="3"/>
    </row>
    <row r="5777" spans="1:17" ht="15" x14ac:dyDescent="0.25">
      <c r="A5777" s="3">
        <f>5770</f>
        <v>5770</v>
      </c>
      <c r="B5777" s="3" t="s">
        <v>5779</v>
      </c>
      <c r="C5777" s="3" t="s">
        <v>9</v>
      </c>
      <c r="D5777" s="3" t="s">
        <v>10</v>
      </c>
      <c r="E5777" s="3">
        <v>22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/>
      <c r="P5777" s="3"/>
      <c r="Q5777" s="3"/>
    </row>
    <row r="5778" spans="1:17" ht="15" x14ac:dyDescent="0.25">
      <c r="A5778" s="3">
        <f>5771</f>
        <v>5771</v>
      </c>
      <c r="B5778" s="3" t="s">
        <v>5780</v>
      </c>
      <c r="C5778" s="3" t="s">
        <v>9</v>
      </c>
      <c r="D5778" s="3" t="s">
        <v>10</v>
      </c>
      <c r="E5778" s="3">
        <v>22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/>
      <c r="P5778" s="3"/>
      <c r="Q5778" s="3"/>
    </row>
    <row r="5779" spans="1:17" ht="15" x14ac:dyDescent="0.25">
      <c r="A5779" s="3">
        <f>5772</f>
        <v>5772</v>
      </c>
      <c r="B5779" s="3" t="s">
        <v>5781</v>
      </c>
      <c r="C5779" s="3" t="s">
        <v>9</v>
      </c>
      <c r="D5779" s="3" t="s">
        <v>10</v>
      </c>
      <c r="E5779" s="3">
        <v>22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/>
      <c r="P5779" s="3"/>
      <c r="Q5779" s="3"/>
    </row>
    <row r="5780" spans="1:17" ht="15" x14ac:dyDescent="0.25">
      <c r="A5780" s="3">
        <f>5773</f>
        <v>5773</v>
      </c>
      <c r="B5780" s="3" t="s">
        <v>5782</v>
      </c>
      <c r="C5780" s="3" t="s">
        <v>9</v>
      </c>
      <c r="D5780" s="3" t="s">
        <v>10</v>
      </c>
      <c r="E5780" s="3">
        <v>22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/>
      <c r="P5780" s="3"/>
      <c r="Q5780" s="3"/>
    </row>
    <row r="5781" spans="1:17" ht="15" x14ac:dyDescent="0.25">
      <c r="A5781" s="3">
        <f>5774</f>
        <v>5774</v>
      </c>
      <c r="B5781" s="3" t="s">
        <v>5783</v>
      </c>
      <c r="C5781" s="3" t="s">
        <v>9</v>
      </c>
      <c r="D5781" s="3" t="s">
        <v>10</v>
      </c>
      <c r="E5781" s="3">
        <v>22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/>
      <c r="P5781" s="3"/>
      <c r="Q5781" s="3"/>
    </row>
    <row r="5782" spans="1:17" ht="15" x14ac:dyDescent="0.25">
      <c r="A5782" s="3">
        <f>5775</f>
        <v>5775</v>
      </c>
      <c r="B5782" s="3" t="s">
        <v>5784</v>
      </c>
      <c r="C5782" s="3" t="s">
        <v>9</v>
      </c>
      <c r="D5782" s="3" t="s">
        <v>10</v>
      </c>
      <c r="E5782" s="3">
        <v>22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/>
      <c r="P5782" s="3"/>
      <c r="Q5782" s="3"/>
    </row>
    <row r="5783" spans="1:17" ht="15" x14ac:dyDescent="0.25">
      <c r="A5783" s="3">
        <f>5776</f>
        <v>5776</v>
      </c>
      <c r="B5783" s="3" t="s">
        <v>5785</v>
      </c>
      <c r="C5783" s="3" t="s">
        <v>9</v>
      </c>
      <c r="D5783" s="3" t="s">
        <v>10</v>
      </c>
      <c r="E5783" s="3">
        <v>22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/>
      <c r="P5783" s="3"/>
      <c r="Q5783" s="3"/>
    </row>
    <row r="5784" spans="1:17" ht="15" x14ac:dyDescent="0.25">
      <c r="A5784" s="3">
        <f>5777</f>
        <v>5777</v>
      </c>
      <c r="B5784" s="3" t="s">
        <v>5786</v>
      </c>
      <c r="C5784" s="3" t="s">
        <v>9</v>
      </c>
      <c r="D5784" s="3" t="s">
        <v>10</v>
      </c>
      <c r="E5784" s="3">
        <v>22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/>
      <c r="P5784" s="3"/>
      <c r="Q5784" s="3"/>
    </row>
    <row r="5785" spans="1:17" ht="15" x14ac:dyDescent="0.25">
      <c r="A5785" s="3">
        <f>5778</f>
        <v>5778</v>
      </c>
      <c r="B5785" s="3" t="s">
        <v>5787</v>
      </c>
      <c r="C5785" s="3" t="s">
        <v>9</v>
      </c>
      <c r="D5785" s="3" t="s">
        <v>10</v>
      </c>
      <c r="E5785" s="3">
        <v>22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/>
      <c r="P5785" s="3"/>
      <c r="Q5785" s="3"/>
    </row>
    <row r="5786" spans="1:17" ht="15" x14ac:dyDescent="0.25">
      <c r="A5786" s="3">
        <f>5779</f>
        <v>5779</v>
      </c>
      <c r="B5786" s="3" t="s">
        <v>5788</v>
      </c>
      <c r="C5786" s="3" t="s">
        <v>9</v>
      </c>
      <c r="D5786" s="3" t="s">
        <v>10</v>
      </c>
      <c r="E5786" s="3">
        <v>22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/>
      <c r="P5786" s="3"/>
      <c r="Q5786" s="3"/>
    </row>
    <row r="5787" spans="1:17" ht="15" x14ac:dyDescent="0.25">
      <c r="A5787" s="3">
        <f>5780</f>
        <v>5780</v>
      </c>
      <c r="B5787" s="3" t="s">
        <v>5789</v>
      </c>
      <c r="C5787" s="3" t="s">
        <v>9</v>
      </c>
      <c r="D5787" s="3" t="s">
        <v>10</v>
      </c>
      <c r="E5787" s="3">
        <v>22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/>
      <c r="P5787" s="3"/>
      <c r="Q5787" s="3"/>
    </row>
    <row r="5788" spans="1:17" ht="15" x14ac:dyDescent="0.25">
      <c r="A5788" s="3">
        <f>5781</f>
        <v>5781</v>
      </c>
      <c r="B5788" s="3" t="s">
        <v>5790</v>
      </c>
      <c r="C5788" s="3" t="s">
        <v>9</v>
      </c>
      <c r="D5788" s="3" t="s">
        <v>10</v>
      </c>
      <c r="E5788" s="3">
        <v>22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/>
      <c r="P5788" s="3"/>
      <c r="Q5788" s="3"/>
    </row>
    <row r="5789" spans="1:17" ht="15" x14ac:dyDescent="0.25">
      <c r="A5789" s="3">
        <f>5782</f>
        <v>5782</v>
      </c>
      <c r="B5789" s="3" t="s">
        <v>5791</v>
      </c>
      <c r="C5789" s="3" t="s">
        <v>9</v>
      </c>
      <c r="D5789" s="3" t="s">
        <v>10</v>
      </c>
      <c r="E5789" s="3">
        <v>22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/>
      <c r="P5789" s="3"/>
      <c r="Q5789" s="3"/>
    </row>
    <row r="5790" spans="1:17" ht="15" x14ac:dyDescent="0.25">
      <c r="A5790" s="3">
        <f>5783</f>
        <v>5783</v>
      </c>
      <c r="B5790" s="3" t="s">
        <v>5792</v>
      </c>
      <c r="C5790" s="3" t="s">
        <v>9</v>
      </c>
      <c r="D5790" s="3" t="s">
        <v>10</v>
      </c>
      <c r="E5790" s="3">
        <v>22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/>
      <c r="P5790" s="3"/>
      <c r="Q5790" s="3"/>
    </row>
    <row r="5791" spans="1:17" ht="15" x14ac:dyDescent="0.25">
      <c r="A5791" s="3">
        <f>5784</f>
        <v>5784</v>
      </c>
      <c r="B5791" s="3" t="s">
        <v>5793</v>
      </c>
      <c r="C5791" s="3" t="s">
        <v>9</v>
      </c>
      <c r="D5791" s="3" t="s">
        <v>10</v>
      </c>
      <c r="E5791" s="3">
        <v>22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/>
      <c r="P5791" s="3"/>
      <c r="Q5791" s="3"/>
    </row>
    <row r="5792" spans="1:17" ht="15" x14ac:dyDescent="0.25">
      <c r="A5792" s="3">
        <f>5785</f>
        <v>5785</v>
      </c>
      <c r="B5792" s="3" t="s">
        <v>5794</v>
      </c>
      <c r="C5792" s="3" t="s">
        <v>9</v>
      </c>
      <c r="D5792" s="3" t="s">
        <v>10</v>
      </c>
      <c r="E5792" s="3">
        <v>22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/>
      <c r="P5792" s="3"/>
      <c r="Q5792" s="3"/>
    </row>
    <row r="5793" spans="1:17" ht="15" x14ac:dyDescent="0.25">
      <c r="A5793" s="3">
        <f>5786</f>
        <v>5786</v>
      </c>
      <c r="B5793" s="3" t="s">
        <v>5795</v>
      </c>
      <c r="C5793" s="3" t="s">
        <v>9</v>
      </c>
      <c r="D5793" s="3" t="s">
        <v>10</v>
      </c>
      <c r="E5793" s="3">
        <v>22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/>
      <c r="P5793" s="3"/>
      <c r="Q5793" s="3"/>
    </row>
    <row r="5794" spans="1:17" ht="15" x14ac:dyDescent="0.25">
      <c r="A5794" s="3">
        <f>5787</f>
        <v>5787</v>
      </c>
      <c r="B5794" s="3" t="s">
        <v>5796</v>
      </c>
      <c r="C5794" s="3" t="s">
        <v>9</v>
      </c>
      <c r="D5794" s="3" t="s">
        <v>10</v>
      </c>
      <c r="E5794" s="3">
        <v>22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/>
      <c r="P5794" s="3"/>
      <c r="Q5794" s="3"/>
    </row>
    <row r="5795" spans="1:17" ht="15" x14ac:dyDescent="0.25">
      <c r="A5795" s="3">
        <f>5788</f>
        <v>5788</v>
      </c>
      <c r="B5795" s="3" t="s">
        <v>5797</v>
      </c>
      <c r="C5795" s="3" t="s">
        <v>9</v>
      </c>
      <c r="D5795" s="3" t="s">
        <v>10</v>
      </c>
      <c r="E5795" s="3">
        <v>22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/>
      <c r="P5795" s="3"/>
      <c r="Q5795" s="3"/>
    </row>
    <row r="5796" spans="1:17" ht="15" x14ac:dyDescent="0.25">
      <c r="A5796" s="3">
        <f>5789</f>
        <v>5789</v>
      </c>
      <c r="B5796" s="3" t="s">
        <v>5798</v>
      </c>
      <c r="C5796" s="3" t="s">
        <v>9</v>
      </c>
      <c r="D5796" s="3" t="s">
        <v>10</v>
      </c>
      <c r="E5796" s="3">
        <v>22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/>
      <c r="P5796" s="3"/>
      <c r="Q5796" s="3"/>
    </row>
    <row r="5797" spans="1:17" ht="15" x14ac:dyDescent="0.25">
      <c r="A5797" s="3">
        <f>5790</f>
        <v>5790</v>
      </c>
      <c r="B5797" s="3" t="s">
        <v>5799</v>
      </c>
      <c r="C5797" s="3" t="s">
        <v>9</v>
      </c>
      <c r="D5797" s="3" t="s">
        <v>10</v>
      </c>
      <c r="E5797" s="3">
        <v>22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/>
      <c r="P5797" s="3"/>
      <c r="Q5797" s="3"/>
    </row>
    <row r="5798" spans="1:17" ht="15" x14ac:dyDescent="0.25">
      <c r="A5798" s="3">
        <f>5791</f>
        <v>5791</v>
      </c>
      <c r="B5798" s="3" t="s">
        <v>5800</v>
      </c>
      <c r="C5798" s="3" t="s">
        <v>9</v>
      </c>
      <c r="D5798" s="3" t="s">
        <v>10</v>
      </c>
      <c r="E5798" s="3">
        <v>22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/>
      <c r="P5798" s="3"/>
      <c r="Q5798" s="3"/>
    </row>
    <row r="5799" spans="1:17" ht="15" x14ac:dyDescent="0.25">
      <c r="A5799" s="3">
        <f>5792</f>
        <v>5792</v>
      </c>
      <c r="B5799" s="3" t="s">
        <v>5801</v>
      </c>
      <c r="C5799" s="3" t="s">
        <v>9</v>
      </c>
      <c r="D5799" s="3" t="s">
        <v>10</v>
      </c>
      <c r="E5799" s="3">
        <v>22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/>
      <c r="P5799" s="3"/>
      <c r="Q5799" s="3"/>
    </row>
    <row r="5800" spans="1:17" ht="15" x14ac:dyDescent="0.25">
      <c r="A5800" s="3">
        <f>5793</f>
        <v>5793</v>
      </c>
      <c r="B5800" s="3" t="s">
        <v>5802</v>
      </c>
      <c r="C5800" s="3" t="s">
        <v>9</v>
      </c>
      <c r="D5800" s="3" t="s">
        <v>10</v>
      </c>
      <c r="E5800" s="3">
        <v>22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/>
      <c r="P5800" s="3"/>
      <c r="Q5800" s="3"/>
    </row>
    <row r="5801" spans="1:17" ht="15" x14ac:dyDescent="0.25">
      <c r="A5801" s="3">
        <f>5794</f>
        <v>5794</v>
      </c>
      <c r="B5801" s="3" t="s">
        <v>5803</v>
      </c>
      <c r="C5801" s="3" t="s">
        <v>9</v>
      </c>
      <c r="D5801" s="3" t="s">
        <v>10</v>
      </c>
      <c r="E5801" s="3">
        <v>22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/>
      <c r="P5801" s="3"/>
      <c r="Q5801" s="3"/>
    </row>
    <row r="5802" spans="1:17" ht="15" x14ac:dyDescent="0.25">
      <c r="A5802" s="3">
        <f>5795</f>
        <v>5795</v>
      </c>
      <c r="B5802" s="3" t="s">
        <v>5804</v>
      </c>
      <c r="C5802" s="3" t="s">
        <v>9</v>
      </c>
      <c r="D5802" s="3" t="s">
        <v>10</v>
      </c>
      <c r="E5802" s="3">
        <v>22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/>
      <c r="P5802" s="3"/>
      <c r="Q5802" s="3"/>
    </row>
    <row r="5803" spans="1:17" ht="15" x14ac:dyDescent="0.25">
      <c r="A5803" s="3">
        <f>5796</f>
        <v>5796</v>
      </c>
      <c r="B5803" s="3" t="s">
        <v>5805</v>
      </c>
      <c r="C5803" s="3" t="s">
        <v>9</v>
      </c>
      <c r="D5803" s="3" t="s">
        <v>10</v>
      </c>
      <c r="E5803" s="3">
        <v>22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/>
      <c r="P5803" s="3"/>
      <c r="Q5803" s="3"/>
    </row>
    <row r="5804" spans="1:17" ht="15" x14ac:dyDescent="0.25">
      <c r="A5804" s="3">
        <f>5797</f>
        <v>5797</v>
      </c>
      <c r="B5804" s="3" t="s">
        <v>5806</v>
      </c>
      <c r="C5804" s="3" t="s">
        <v>9</v>
      </c>
      <c r="D5804" s="3" t="s">
        <v>10</v>
      </c>
      <c r="E5804" s="3">
        <v>22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/>
      <c r="P5804" s="3"/>
      <c r="Q5804" s="3"/>
    </row>
    <row r="5805" spans="1:17" ht="15" x14ac:dyDescent="0.25">
      <c r="A5805" s="3">
        <f>5798</f>
        <v>5798</v>
      </c>
      <c r="B5805" s="3" t="s">
        <v>5807</v>
      </c>
      <c r="C5805" s="3" t="s">
        <v>9</v>
      </c>
      <c r="D5805" s="3" t="s">
        <v>10</v>
      </c>
      <c r="E5805" s="3">
        <v>22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/>
      <c r="P5805" s="3"/>
      <c r="Q5805" s="3"/>
    </row>
    <row r="5806" spans="1:17" ht="15" x14ac:dyDescent="0.25">
      <c r="A5806" s="3">
        <f>5799</f>
        <v>5799</v>
      </c>
      <c r="B5806" s="3" t="s">
        <v>5808</v>
      </c>
      <c r="C5806" s="3" t="s">
        <v>9</v>
      </c>
      <c r="D5806" s="3" t="s">
        <v>10</v>
      </c>
      <c r="E5806" s="3">
        <v>22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/>
      <c r="P5806" s="3"/>
      <c r="Q5806" s="3"/>
    </row>
    <row r="5807" spans="1:17" ht="15" x14ac:dyDescent="0.25">
      <c r="A5807" s="3">
        <f>5800</f>
        <v>5800</v>
      </c>
      <c r="B5807" s="3" t="s">
        <v>5809</v>
      </c>
      <c r="C5807" s="3" t="s">
        <v>9</v>
      </c>
      <c r="D5807" s="3" t="s">
        <v>10</v>
      </c>
      <c r="E5807" s="3">
        <v>22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/>
      <c r="P5807" s="3"/>
      <c r="Q5807" s="3"/>
    </row>
    <row r="5808" spans="1:17" ht="15" x14ac:dyDescent="0.25">
      <c r="A5808" s="3">
        <f>5801</f>
        <v>5801</v>
      </c>
      <c r="B5808" s="3" t="s">
        <v>5810</v>
      </c>
      <c r="C5808" s="3" t="s">
        <v>9</v>
      </c>
      <c r="D5808" s="3" t="s">
        <v>10</v>
      </c>
      <c r="E5808" s="3">
        <v>22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/>
      <c r="P5808" s="3"/>
      <c r="Q5808" s="3"/>
    </row>
    <row r="5809" spans="1:17" ht="15" x14ac:dyDescent="0.25">
      <c r="A5809" s="3">
        <f>5802</f>
        <v>5802</v>
      </c>
      <c r="B5809" s="3" t="s">
        <v>5811</v>
      </c>
      <c r="C5809" s="3" t="s">
        <v>9</v>
      </c>
      <c r="D5809" s="3" t="s">
        <v>10</v>
      </c>
      <c r="E5809" s="3">
        <v>22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/>
      <c r="P5809" s="3"/>
      <c r="Q5809" s="3"/>
    </row>
    <row r="5810" spans="1:17" ht="15" x14ac:dyDescent="0.25">
      <c r="A5810" s="3">
        <f>5803</f>
        <v>5803</v>
      </c>
      <c r="B5810" s="3" t="s">
        <v>5812</v>
      </c>
      <c r="C5810" s="3" t="s">
        <v>9</v>
      </c>
      <c r="D5810" s="3" t="s">
        <v>10</v>
      </c>
      <c r="E5810" s="3">
        <v>22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/>
      <c r="P5810" s="3"/>
      <c r="Q5810" s="3"/>
    </row>
    <row r="5811" spans="1:17" ht="15" x14ac:dyDescent="0.25">
      <c r="A5811" s="3">
        <f>5804</f>
        <v>5804</v>
      </c>
      <c r="B5811" s="3" t="s">
        <v>5813</v>
      </c>
      <c r="C5811" s="3" t="s">
        <v>9</v>
      </c>
      <c r="D5811" s="3" t="s">
        <v>10</v>
      </c>
      <c r="E5811" s="3">
        <v>22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/>
      <c r="P5811" s="3"/>
      <c r="Q5811" s="3"/>
    </row>
    <row r="5812" spans="1:17" ht="15" x14ac:dyDescent="0.25">
      <c r="A5812" s="3">
        <f>5805</f>
        <v>5805</v>
      </c>
      <c r="B5812" s="3" t="s">
        <v>5814</v>
      </c>
      <c r="C5812" s="3" t="s">
        <v>9</v>
      </c>
      <c r="D5812" s="3" t="s">
        <v>10</v>
      </c>
      <c r="E5812" s="3">
        <v>22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/>
      <c r="P5812" s="3"/>
      <c r="Q5812" s="3"/>
    </row>
    <row r="5813" spans="1:17" ht="15" x14ac:dyDescent="0.25">
      <c r="A5813" s="3">
        <f>5806</f>
        <v>5806</v>
      </c>
      <c r="B5813" s="3" t="s">
        <v>5815</v>
      </c>
      <c r="C5813" s="3" t="s">
        <v>9</v>
      </c>
      <c r="D5813" s="3" t="s">
        <v>10</v>
      </c>
      <c r="E5813" s="3">
        <v>22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/>
      <c r="P5813" s="3"/>
      <c r="Q5813" s="3"/>
    </row>
    <row r="5814" spans="1:17" ht="15" x14ac:dyDescent="0.25">
      <c r="A5814" s="3">
        <f>5807</f>
        <v>5807</v>
      </c>
      <c r="B5814" s="3" t="s">
        <v>5816</v>
      </c>
      <c r="C5814" s="3" t="s">
        <v>9</v>
      </c>
      <c r="D5814" s="3" t="s">
        <v>10</v>
      </c>
      <c r="E5814" s="3">
        <v>22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/>
      <c r="P5814" s="3"/>
      <c r="Q5814" s="3"/>
    </row>
    <row r="5815" spans="1:17" ht="15" x14ac:dyDescent="0.25">
      <c r="A5815" s="3">
        <f>5808</f>
        <v>5808</v>
      </c>
      <c r="B5815" s="3" t="s">
        <v>5817</v>
      </c>
      <c r="C5815" s="3" t="s">
        <v>9</v>
      </c>
      <c r="D5815" s="3" t="s">
        <v>10</v>
      </c>
      <c r="E5815" s="3">
        <v>22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/>
      <c r="P5815" s="3"/>
      <c r="Q5815" s="3"/>
    </row>
    <row r="5816" spans="1:17" ht="15" x14ac:dyDescent="0.25">
      <c r="A5816" s="3">
        <f>5809</f>
        <v>5809</v>
      </c>
      <c r="B5816" s="3" t="s">
        <v>5818</v>
      </c>
      <c r="C5816" s="3" t="s">
        <v>9</v>
      </c>
      <c r="D5816" s="3" t="s">
        <v>10</v>
      </c>
      <c r="E5816" s="3">
        <v>22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/>
      <c r="P5816" s="3"/>
      <c r="Q5816" s="3"/>
    </row>
    <row r="5817" spans="1:17" ht="15" x14ac:dyDescent="0.25">
      <c r="A5817" s="3">
        <f>5810</f>
        <v>5810</v>
      </c>
      <c r="B5817" s="3" t="s">
        <v>5819</v>
      </c>
      <c r="C5817" s="3" t="s">
        <v>9</v>
      </c>
      <c r="D5817" s="3" t="s">
        <v>10</v>
      </c>
      <c r="E5817" s="3">
        <v>22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/>
      <c r="P5817" s="3"/>
      <c r="Q5817" s="3"/>
    </row>
    <row r="5818" spans="1:17" ht="15" x14ac:dyDescent="0.25">
      <c r="A5818" s="3">
        <f>5811</f>
        <v>5811</v>
      </c>
      <c r="B5818" s="3" t="s">
        <v>5820</v>
      </c>
      <c r="C5818" s="3" t="s">
        <v>9</v>
      </c>
      <c r="D5818" s="3" t="s">
        <v>10</v>
      </c>
      <c r="E5818" s="3">
        <v>22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/>
      <c r="P5818" s="3"/>
      <c r="Q5818" s="3"/>
    </row>
    <row r="5819" spans="1:17" ht="15" x14ac:dyDescent="0.25">
      <c r="A5819" s="3">
        <f>5812</f>
        <v>5812</v>
      </c>
      <c r="B5819" s="3" t="s">
        <v>5821</v>
      </c>
      <c r="C5819" s="3" t="s">
        <v>9</v>
      </c>
      <c r="D5819" s="3" t="s">
        <v>10</v>
      </c>
      <c r="E5819" s="3">
        <v>22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/>
      <c r="P5819" s="3"/>
      <c r="Q5819" s="3"/>
    </row>
    <row r="5820" spans="1:17" ht="15" x14ac:dyDescent="0.25">
      <c r="A5820" s="3">
        <f>5813</f>
        <v>5813</v>
      </c>
      <c r="B5820" s="3" t="s">
        <v>5822</v>
      </c>
      <c r="C5820" s="3" t="s">
        <v>9</v>
      </c>
      <c r="D5820" s="3" t="s">
        <v>10</v>
      </c>
      <c r="E5820" s="3">
        <v>22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/>
      <c r="P5820" s="3"/>
      <c r="Q5820" s="3"/>
    </row>
    <row r="5821" spans="1:17" ht="15" x14ac:dyDescent="0.25">
      <c r="A5821" s="3">
        <f>5814</f>
        <v>5814</v>
      </c>
      <c r="B5821" s="3" t="s">
        <v>5823</v>
      </c>
      <c r="C5821" s="3" t="s">
        <v>9</v>
      </c>
      <c r="D5821" s="3" t="s">
        <v>10</v>
      </c>
      <c r="E5821" s="3">
        <v>22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/>
      <c r="P5821" s="3"/>
      <c r="Q5821" s="3"/>
    </row>
    <row r="5822" spans="1:17" ht="15" x14ac:dyDescent="0.25">
      <c r="A5822" s="3">
        <f>5815</f>
        <v>5815</v>
      </c>
      <c r="B5822" s="3" t="s">
        <v>5824</v>
      </c>
      <c r="C5822" s="3" t="s">
        <v>9</v>
      </c>
      <c r="D5822" s="3" t="s">
        <v>10</v>
      </c>
      <c r="E5822" s="3">
        <v>22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/>
      <c r="P5822" s="3"/>
      <c r="Q5822" s="3"/>
    </row>
    <row r="5823" spans="1:17" ht="15" x14ac:dyDescent="0.25">
      <c r="A5823" s="3">
        <f>5816</f>
        <v>5816</v>
      </c>
      <c r="B5823" s="3" t="s">
        <v>5825</v>
      </c>
      <c r="C5823" s="3" t="s">
        <v>9</v>
      </c>
      <c r="D5823" s="3" t="s">
        <v>10</v>
      </c>
      <c r="E5823" s="3">
        <v>22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/>
      <c r="P5823" s="3"/>
      <c r="Q5823" s="3"/>
    </row>
    <row r="5824" spans="1:17" ht="15" x14ac:dyDescent="0.25">
      <c r="A5824" s="3">
        <f>5817</f>
        <v>5817</v>
      </c>
      <c r="B5824" s="3" t="s">
        <v>5826</v>
      </c>
      <c r="C5824" s="3" t="s">
        <v>9</v>
      </c>
      <c r="D5824" s="3" t="s">
        <v>10</v>
      </c>
      <c r="E5824" s="3">
        <v>22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/>
      <c r="P5824" s="3"/>
      <c r="Q5824" s="3"/>
    </row>
    <row r="5825" spans="1:17" ht="15" x14ac:dyDescent="0.25">
      <c r="A5825" s="3">
        <f>5818</f>
        <v>5818</v>
      </c>
      <c r="B5825" s="3" t="s">
        <v>5827</v>
      </c>
      <c r="C5825" s="3" t="s">
        <v>9</v>
      </c>
      <c r="D5825" s="3" t="s">
        <v>10</v>
      </c>
      <c r="E5825" s="3">
        <v>22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/>
      <c r="P5825" s="3"/>
      <c r="Q5825" s="3"/>
    </row>
    <row r="5826" spans="1:17" ht="15" x14ac:dyDescent="0.25">
      <c r="A5826" s="3">
        <f>5819</f>
        <v>5819</v>
      </c>
      <c r="B5826" s="3" t="s">
        <v>5828</v>
      </c>
      <c r="C5826" s="3" t="s">
        <v>9</v>
      </c>
      <c r="D5826" s="3" t="s">
        <v>10</v>
      </c>
      <c r="E5826" s="3">
        <v>22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/>
      <c r="P5826" s="3"/>
      <c r="Q5826" s="3"/>
    </row>
    <row r="5827" spans="1:17" ht="15" x14ac:dyDescent="0.25">
      <c r="A5827" s="3">
        <f>5820</f>
        <v>5820</v>
      </c>
      <c r="B5827" s="3" t="s">
        <v>5829</v>
      </c>
      <c r="C5827" s="3" t="s">
        <v>9</v>
      </c>
      <c r="D5827" s="3" t="s">
        <v>10</v>
      </c>
      <c r="E5827" s="3">
        <v>22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/>
      <c r="P5827" s="3"/>
      <c r="Q5827" s="3"/>
    </row>
    <row r="5828" spans="1:17" ht="15" x14ac:dyDescent="0.25">
      <c r="A5828" s="3">
        <f>5821</f>
        <v>5821</v>
      </c>
      <c r="B5828" s="3" t="s">
        <v>5830</v>
      </c>
      <c r="C5828" s="3" t="s">
        <v>9</v>
      </c>
      <c r="D5828" s="3" t="s">
        <v>10</v>
      </c>
      <c r="E5828" s="3">
        <v>22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/>
      <c r="P5828" s="3"/>
      <c r="Q5828" s="3"/>
    </row>
    <row r="5829" spans="1:17" ht="15" x14ac:dyDescent="0.25">
      <c r="A5829" s="3">
        <f>5822</f>
        <v>5822</v>
      </c>
      <c r="B5829" s="3" t="s">
        <v>5831</v>
      </c>
      <c r="C5829" s="3" t="s">
        <v>9</v>
      </c>
      <c r="D5829" s="3" t="s">
        <v>10</v>
      </c>
      <c r="E5829" s="3">
        <v>22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/>
      <c r="P5829" s="3"/>
      <c r="Q5829" s="3"/>
    </row>
    <row r="5830" spans="1:17" ht="15" x14ac:dyDescent="0.25">
      <c r="A5830" s="3">
        <f>5823</f>
        <v>5823</v>
      </c>
      <c r="B5830" s="3" t="s">
        <v>5832</v>
      </c>
      <c r="C5830" s="3" t="s">
        <v>9</v>
      </c>
      <c r="D5830" s="3" t="s">
        <v>10</v>
      </c>
      <c r="E5830" s="3">
        <v>22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/>
      <c r="P5830" s="3"/>
      <c r="Q5830" s="3"/>
    </row>
    <row r="5831" spans="1:17" ht="15" x14ac:dyDescent="0.25">
      <c r="A5831" s="3">
        <f>5824</f>
        <v>5824</v>
      </c>
      <c r="B5831" s="3" t="s">
        <v>5833</v>
      </c>
      <c r="C5831" s="3" t="s">
        <v>9</v>
      </c>
      <c r="D5831" s="3" t="s">
        <v>10</v>
      </c>
      <c r="E5831" s="3">
        <v>22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/>
      <c r="P5831" s="3"/>
      <c r="Q5831" s="3"/>
    </row>
    <row r="5832" spans="1:17" ht="15" x14ac:dyDescent="0.25">
      <c r="A5832" s="3">
        <f>5825</f>
        <v>5825</v>
      </c>
      <c r="B5832" s="3" t="s">
        <v>5834</v>
      </c>
      <c r="C5832" s="3" t="s">
        <v>9</v>
      </c>
      <c r="D5832" s="3" t="s">
        <v>10</v>
      </c>
      <c r="E5832" s="3">
        <v>22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/>
      <c r="P5832" s="3"/>
      <c r="Q5832" s="3"/>
    </row>
    <row r="5833" spans="1:17" ht="15" x14ac:dyDescent="0.25">
      <c r="A5833" s="3">
        <f>5826</f>
        <v>5826</v>
      </c>
      <c r="B5833" s="3" t="s">
        <v>5835</v>
      </c>
      <c r="C5833" s="3" t="s">
        <v>9</v>
      </c>
      <c r="D5833" s="3" t="s">
        <v>10</v>
      </c>
      <c r="E5833" s="3">
        <v>22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/>
      <c r="P5833" s="3"/>
      <c r="Q5833" s="3"/>
    </row>
    <row r="5834" spans="1:17" ht="15" x14ac:dyDescent="0.25">
      <c r="A5834" s="3">
        <f>5827</f>
        <v>5827</v>
      </c>
      <c r="B5834" s="3" t="s">
        <v>5836</v>
      </c>
      <c r="C5834" s="3" t="s">
        <v>9</v>
      </c>
      <c r="D5834" s="3" t="s">
        <v>10</v>
      </c>
      <c r="E5834" s="3">
        <v>22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/>
      <c r="P5834" s="3"/>
      <c r="Q5834" s="3"/>
    </row>
    <row r="5835" spans="1:17" ht="15" x14ac:dyDescent="0.25">
      <c r="A5835" s="3">
        <f>5828</f>
        <v>5828</v>
      </c>
      <c r="B5835" s="3" t="s">
        <v>5837</v>
      </c>
      <c r="C5835" s="3" t="s">
        <v>9</v>
      </c>
      <c r="D5835" s="3" t="s">
        <v>10</v>
      </c>
      <c r="E5835" s="3">
        <v>22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/>
      <c r="P5835" s="3"/>
      <c r="Q5835" s="3"/>
    </row>
    <row r="5836" spans="1:17" ht="15" x14ac:dyDescent="0.25">
      <c r="A5836" s="3">
        <f>5829</f>
        <v>5829</v>
      </c>
      <c r="B5836" s="3" t="s">
        <v>5838</v>
      </c>
      <c r="C5836" s="3" t="s">
        <v>9</v>
      </c>
      <c r="D5836" s="3" t="s">
        <v>10</v>
      </c>
      <c r="E5836" s="3">
        <v>22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/>
      <c r="P5836" s="3"/>
      <c r="Q5836" s="3"/>
    </row>
    <row r="5837" spans="1:17" ht="15" x14ac:dyDescent="0.25">
      <c r="A5837" s="3">
        <f>5830</f>
        <v>5830</v>
      </c>
      <c r="B5837" s="3" t="s">
        <v>5839</v>
      </c>
      <c r="C5837" s="3" t="s">
        <v>9</v>
      </c>
      <c r="D5837" s="3" t="s">
        <v>10</v>
      </c>
      <c r="E5837" s="3">
        <v>22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/>
      <c r="P5837" s="3"/>
      <c r="Q5837" s="3"/>
    </row>
    <row r="5838" spans="1:17" ht="15" x14ac:dyDescent="0.25">
      <c r="A5838" s="3">
        <f>5831</f>
        <v>5831</v>
      </c>
      <c r="B5838" s="3" t="s">
        <v>5840</v>
      </c>
      <c r="C5838" s="3" t="s">
        <v>9</v>
      </c>
      <c r="D5838" s="3" t="s">
        <v>10</v>
      </c>
      <c r="E5838" s="3">
        <v>22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/>
      <c r="P5838" s="3"/>
      <c r="Q5838" s="3"/>
    </row>
    <row r="5839" spans="1:17" ht="15" x14ac:dyDescent="0.25">
      <c r="A5839" s="3">
        <f>5832</f>
        <v>5832</v>
      </c>
      <c r="B5839" s="3" t="s">
        <v>5841</v>
      </c>
      <c r="C5839" s="3" t="s">
        <v>9</v>
      </c>
      <c r="D5839" s="3" t="s">
        <v>10</v>
      </c>
      <c r="E5839" s="3">
        <v>22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/>
      <c r="P5839" s="3"/>
      <c r="Q5839" s="3"/>
    </row>
    <row r="5840" spans="1:17" ht="15" x14ac:dyDescent="0.25">
      <c r="A5840" s="3">
        <f>5833</f>
        <v>5833</v>
      </c>
      <c r="B5840" s="3" t="s">
        <v>5842</v>
      </c>
      <c r="C5840" s="3" t="s">
        <v>9</v>
      </c>
      <c r="D5840" s="3" t="s">
        <v>10</v>
      </c>
      <c r="E5840" s="3">
        <v>22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/>
      <c r="P5840" s="3"/>
      <c r="Q5840" s="3"/>
    </row>
    <row r="5841" spans="1:17" ht="15" x14ac:dyDescent="0.25">
      <c r="A5841" s="3">
        <f>5834</f>
        <v>5834</v>
      </c>
      <c r="B5841" s="3" t="s">
        <v>5843</v>
      </c>
      <c r="C5841" s="3" t="s">
        <v>9</v>
      </c>
      <c r="D5841" s="3" t="s">
        <v>10</v>
      </c>
      <c r="E5841" s="3">
        <v>22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/>
      <c r="P5841" s="3"/>
      <c r="Q5841" s="3"/>
    </row>
    <row r="5842" spans="1:17" ht="15" x14ac:dyDescent="0.25">
      <c r="A5842" s="3">
        <f>5835</f>
        <v>5835</v>
      </c>
      <c r="B5842" s="3" t="s">
        <v>5844</v>
      </c>
      <c r="C5842" s="3" t="s">
        <v>9</v>
      </c>
      <c r="D5842" s="3" t="s">
        <v>10</v>
      </c>
      <c r="E5842" s="3">
        <v>22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/>
      <c r="P5842" s="3"/>
      <c r="Q5842" s="3"/>
    </row>
    <row r="5843" spans="1:17" ht="15" x14ac:dyDescent="0.25">
      <c r="A5843" s="3">
        <f>5836</f>
        <v>5836</v>
      </c>
      <c r="B5843" s="3" t="s">
        <v>5845</v>
      </c>
      <c r="C5843" s="3" t="s">
        <v>9</v>
      </c>
      <c r="D5843" s="3" t="s">
        <v>10</v>
      </c>
      <c r="E5843" s="3">
        <v>22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/>
      <c r="P5843" s="3"/>
      <c r="Q5843" s="3"/>
    </row>
    <row r="5844" spans="1:17" ht="15" x14ac:dyDescent="0.25">
      <c r="A5844" s="3">
        <f>5837</f>
        <v>5837</v>
      </c>
      <c r="B5844" s="3" t="s">
        <v>5846</v>
      </c>
      <c r="C5844" s="3" t="s">
        <v>9</v>
      </c>
      <c r="D5844" s="3" t="s">
        <v>10</v>
      </c>
      <c r="E5844" s="3">
        <v>22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/>
      <c r="P5844" s="3"/>
      <c r="Q5844" s="3"/>
    </row>
    <row r="5845" spans="1:17" ht="15" x14ac:dyDescent="0.25">
      <c r="A5845" s="3">
        <f>5838</f>
        <v>5838</v>
      </c>
      <c r="B5845" s="3" t="s">
        <v>5847</v>
      </c>
      <c r="C5845" s="3" t="s">
        <v>9</v>
      </c>
      <c r="D5845" s="3" t="s">
        <v>10</v>
      </c>
      <c r="E5845" s="3">
        <v>22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/>
      <c r="P5845" s="3"/>
      <c r="Q5845" s="3"/>
    </row>
    <row r="5846" spans="1:17" ht="15" x14ac:dyDescent="0.25">
      <c r="A5846" s="3">
        <f>5839</f>
        <v>5839</v>
      </c>
      <c r="B5846" s="3" t="s">
        <v>5848</v>
      </c>
      <c r="C5846" s="3" t="s">
        <v>9</v>
      </c>
      <c r="D5846" s="3" t="s">
        <v>10</v>
      </c>
      <c r="E5846" s="3">
        <v>22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/>
      <c r="P5846" s="3"/>
      <c r="Q5846" s="3"/>
    </row>
    <row r="5847" spans="1:17" ht="15" x14ac:dyDescent="0.25">
      <c r="A5847" s="3">
        <f>5840</f>
        <v>5840</v>
      </c>
      <c r="B5847" s="3" t="s">
        <v>5849</v>
      </c>
      <c r="C5847" s="3" t="s">
        <v>9</v>
      </c>
      <c r="D5847" s="3" t="s">
        <v>10</v>
      </c>
      <c r="E5847" s="3">
        <v>22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/>
      <c r="P5847" s="3"/>
      <c r="Q5847" s="3"/>
    </row>
    <row r="5848" spans="1:17" ht="15" x14ac:dyDescent="0.25">
      <c r="A5848" s="3">
        <f>5841</f>
        <v>5841</v>
      </c>
      <c r="B5848" s="3" t="s">
        <v>5850</v>
      </c>
      <c r="C5848" s="3" t="s">
        <v>9</v>
      </c>
      <c r="D5848" s="3" t="s">
        <v>10</v>
      </c>
      <c r="E5848" s="3">
        <v>22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/>
      <c r="P5848" s="3"/>
      <c r="Q5848" s="3"/>
    </row>
    <row r="5849" spans="1:17" ht="15" x14ac:dyDescent="0.25">
      <c r="A5849" s="3">
        <f>5842</f>
        <v>5842</v>
      </c>
      <c r="B5849" s="3" t="s">
        <v>5851</v>
      </c>
      <c r="C5849" s="3" t="s">
        <v>9</v>
      </c>
      <c r="D5849" s="3" t="s">
        <v>10</v>
      </c>
      <c r="E5849" s="3">
        <v>22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/>
      <c r="P5849" s="3"/>
      <c r="Q5849" s="3"/>
    </row>
    <row r="5850" spans="1:17" ht="15" x14ac:dyDescent="0.25">
      <c r="A5850" s="3">
        <f>5843</f>
        <v>5843</v>
      </c>
      <c r="B5850" s="3" t="s">
        <v>5852</v>
      </c>
      <c r="C5850" s="3" t="s">
        <v>9</v>
      </c>
      <c r="D5850" s="3" t="s">
        <v>10</v>
      </c>
      <c r="E5850" s="3">
        <v>22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/>
      <c r="P5850" s="3"/>
      <c r="Q5850" s="3"/>
    </row>
    <row r="5851" spans="1:17" ht="15" x14ac:dyDescent="0.25">
      <c r="A5851" s="3">
        <f>5844</f>
        <v>5844</v>
      </c>
      <c r="B5851" s="3" t="s">
        <v>5853</v>
      </c>
      <c r="C5851" s="3" t="s">
        <v>9</v>
      </c>
      <c r="D5851" s="3" t="s">
        <v>10</v>
      </c>
      <c r="E5851" s="3">
        <v>22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/>
      <c r="P5851" s="3"/>
      <c r="Q5851" s="3"/>
    </row>
    <row r="5852" spans="1:17" ht="15" x14ac:dyDescent="0.25">
      <c r="A5852" s="3">
        <f>5845</f>
        <v>5845</v>
      </c>
      <c r="B5852" s="3" t="s">
        <v>5854</v>
      </c>
      <c r="C5852" s="3" t="s">
        <v>9</v>
      </c>
      <c r="D5852" s="3" t="s">
        <v>10</v>
      </c>
      <c r="E5852" s="3">
        <v>22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/>
      <c r="P5852" s="3"/>
      <c r="Q5852" s="3"/>
    </row>
    <row r="5853" spans="1:17" ht="15" x14ac:dyDescent="0.25">
      <c r="A5853" s="3">
        <f>5846</f>
        <v>5846</v>
      </c>
      <c r="B5853" s="3" t="s">
        <v>5855</v>
      </c>
      <c r="C5853" s="3" t="s">
        <v>9</v>
      </c>
      <c r="D5853" s="3" t="s">
        <v>10</v>
      </c>
      <c r="E5853" s="3">
        <v>22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/>
      <c r="P5853" s="3"/>
      <c r="Q5853" s="3"/>
    </row>
    <row r="5854" spans="1:17" ht="15" x14ac:dyDescent="0.25">
      <c r="A5854" s="3">
        <f>5847</f>
        <v>5847</v>
      </c>
      <c r="B5854" s="3" t="s">
        <v>5856</v>
      </c>
      <c r="C5854" s="3" t="s">
        <v>9</v>
      </c>
      <c r="D5854" s="3" t="s">
        <v>10</v>
      </c>
      <c r="E5854" s="3">
        <v>22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/>
      <c r="P5854" s="3"/>
      <c r="Q5854" s="3"/>
    </row>
    <row r="5855" spans="1:17" ht="15" x14ac:dyDescent="0.25">
      <c r="A5855" s="3">
        <f>5848</f>
        <v>5848</v>
      </c>
      <c r="B5855" s="3" t="s">
        <v>5857</v>
      </c>
      <c r="C5855" s="3" t="s">
        <v>9</v>
      </c>
      <c r="D5855" s="3" t="s">
        <v>10</v>
      </c>
      <c r="E5855" s="3">
        <v>22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/>
      <c r="P5855" s="3"/>
      <c r="Q5855" s="3"/>
    </row>
    <row r="5856" spans="1:17" ht="15" x14ac:dyDescent="0.25">
      <c r="A5856" s="3">
        <f>5849</f>
        <v>5849</v>
      </c>
      <c r="B5856" s="3" t="s">
        <v>5858</v>
      </c>
      <c r="C5856" s="3" t="s">
        <v>9</v>
      </c>
      <c r="D5856" s="3" t="s">
        <v>10</v>
      </c>
      <c r="E5856" s="3">
        <v>22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/>
      <c r="P5856" s="3"/>
      <c r="Q5856" s="3"/>
    </row>
    <row r="5857" spans="1:17" ht="15" x14ac:dyDescent="0.25">
      <c r="A5857" s="3">
        <f>5850</f>
        <v>5850</v>
      </c>
      <c r="B5857" s="3" t="s">
        <v>5859</v>
      </c>
      <c r="C5857" s="3" t="s">
        <v>9</v>
      </c>
      <c r="D5857" s="3" t="s">
        <v>10</v>
      </c>
      <c r="E5857" s="3">
        <v>22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/>
      <c r="P5857" s="3"/>
      <c r="Q5857" s="3"/>
    </row>
    <row r="5858" spans="1:17" ht="15" x14ac:dyDescent="0.25">
      <c r="A5858" s="3">
        <f>5851</f>
        <v>5851</v>
      </c>
      <c r="B5858" s="3" t="s">
        <v>5860</v>
      </c>
      <c r="C5858" s="3" t="s">
        <v>9</v>
      </c>
      <c r="D5858" s="3" t="s">
        <v>10</v>
      </c>
      <c r="E5858" s="3">
        <v>22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/>
      <c r="P5858" s="3"/>
      <c r="Q5858" s="3"/>
    </row>
    <row r="5859" spans="1:17" ht="15" x14ac:dyDescent="0.25">
      <c r="A5859" s="3">
        <f>5852</f>
        <v>5852</v>
      </c>
      <c r="B5859" s="3" t="s">
        <v>5861</v>
      </c>
      <c r="C5859" s="3" t="s">
        <v>9</v>
      </c>
      <c r="D5859" s="3" t="s">
        <v>10</v>
      </c>
      <c r="E5859" s="3">
        <v>22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/>
      <c r="P5859" s="3"/>
      <c r="Q5859" s="3"/>
    </row>
    <row r="5860" spans="1:17" ht="15" x14ac:dyDescent="0.25">
      <c r="A5860" s="3">
        <f>5853</f>
        <v>5853</v>
      </c>
      <c r="B5860" s="3" t="s">
        <v>5862</v>
      </c>
      <c r="C5860" s="3" t="s">
        <v>9</v>
      </c>
      <c r="D5860" s="3" t="s">
        <v>10</v>
      </c>
      <c r="E5860" s="3">
        <v>22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/>
      <c r="P5860" s="3"/>
      <c r="Q5860" s="3"/>
    </row>
    <row r="5861" spans="1:17" ht="15" x14ac:dyDescent="0.25">
      <c r="A5861" s="3">
        <f>5854</f>
        <v>5854</v>
      </c>
      <c r="B5861" s="3" t="s">
        <v>5863</v>
      </c>
      <c r="C5861" s="3" t="s">
        <v>9</v>
      </c>
      <c r="D5861" s="3" t="s">
        <v>10</v>
      </c>
      <c r="E5861" s="3">
        <v>22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/>
      <c r="P5861" s="3"/>
      <c r="Q5861" s="3"/>
    </row>
    <row r="5862" spans="1:17" ht="15" x14ac:dyDescent="0.25">
      <c r="A5862" s="3">
        <f>5855</f>
        <v>5855</v>
      </c>
      <c r="B5862" s="3" t="s">
        <v>5864</v>
      </c>
      <c r="C5862" s="3" t="s">
        <v>9</v>
      </c>
      <c r="D5862" s="3" t="s">
        <v>10</v>
      </c>
      <c r="E5862" s="3">
        <v>22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/>
      <c r="P5862" s="3"/>
      <c r="Q5862" s="3"/>
    </row>
    <row r="5863" spans="1:17" ht="15" x14ac:dyDescent="0.25">
      <c r="A5863" s="3">
        <f>5856</f>
        <v>5856</v>
      </c>
      <c r="B5863" s="3" t="s">
        <v>5865</v>
      </c>
      <c r="C5863" s="3" t="s">
        <v>9</v>
      </c>
      <c r="D5863" s="3" t="s">
        <v>10</v>
      </c>
      <c r="E5863" s="3">
        <v>22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/>
      <c r="P5863" s="3"/>
      <c r="Q5863" s="3"/>
    </row>
    <row r="5864" spans="1:17" ht="15" x14ac:dyDescent="0.25">
      <c r="A5864" s="3">
        <f>5857</f>
        <v>5857</v>
      </c>
      <c r="B5864" s="3" t="s">
        <v>5866</v>
      </c>
      <c r="C5864" s="3" t="s">
        <v>9</v>
      </c>
      <c r="D5864" s="3" t="s">
        <v>10</v>
      </c>
      <c r="E5864" s="3">
        <v>22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/>
      <c r="P5864" s="3"/>
      <c r="Q5864" s="3"/>
    </row>
    <row r="5865" spans="1:17" ht="15" x14ac:dyDescent="0.25">
      <c r="A5865" s="3">
        <f>5858</f>
        <v>5858</v>
      </c>
      <c r="B5865" s="3" t="s">
        <v>5867</v>
      </c>
      <c r="C5865" s="3" t="s">
        <v>9</v>
      </c>
      <c r="D5865" s="3" t="s">
        <v>10</v>
      </c>
      <c r="E5865" s="3">
        <v>22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/>
      <c r="P5865" s="3"/>
      <c r="Q5865" s="3"/>
    </row>
    <row r="5866" spans="1:17" ht="15" x14ac:dyDescent="0.25">
      <c r="A5866" s="3">
        <f>5859</f>
        <v>5859</v>
      </c>
      <c r="B5866" s="3" t="s">
        <v>5868</v>
      </c>
      <c r="C5866" s="3" t="s">
        <v>9</v>
      </c>
      <c r="D5866" s="3" t="s">
        <v>10</v>
      </c>
      <c r="E5866" s="3">
        <v>22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/>
      <c r="P5866" s="3"/>
      <c r="Q5866" s="3"/>
    </row>
    <row r="5867" spans="1:17" ht="15" x14ac:dyDescent="0.25">
      <c r="A5867" s="3">
        <f>5860</f>
        <v>5860</v>
      </c>
      <c r="B5867" s="3" t="s">
        <v>5869</v>
      </c>
      <c r="C5867" s="3" t="s">
        <v>9</v>
      </c>
      <c r="D5867" s="3" t="s">
        <v>10</v>
      </c>
      <c r="E5867" s="3">
        <v>22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/>
      <c r="P5867" s="3"/>
      <c r="Q5867" s="3"/>
    </row>
    <row r="5868" spans="1:17" ht="15" x14ac:dyDescent="0.25">
      <c r="A5868" s="3">
        <f>5861</f>
        <v>5861</v>
      </c>
      <c r="B5868" s="3" t="s">
        <v>5870</v>
      </c>
      <c r="C5868" s="3" t="s">
        <v>9</v>
      </c>
      <c r="D5868" s="3" t="s">
        <v>10</v>
      </c>
      <c r="E5868" s="3">
        <v>22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/>
      <c r="P5868" s="3"/>
      <c r="Q5868" s="3"/>
    </row>
    <row r="5869" spans="1:17" ht="15" x14ac:dyDescent="0.25">
      <c r="A5869" s="3">
        <f>5862</f>
        <v>5862</v>
      </c>
      <c r="B5869" s="3" t="s">
        <v>5871</v>
      </c>
      <c r="C5869" s="3" t="s">
        <v>9</v>
      </c>
      <c r="D5869" s="3" t="s">
        <v>10</v>
      </c>
      <c r="E5869" s="3">
        <v>22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/>
      <c r="P5869" s="3"/>
      <c r="Q5869" s="3"/>
    </row>
    <row r="5870" spans="1:17" ht="15" x14ac:dyDescent="0.25">
      <c r="A5870" s="3">
        <f>5863</f>
        <v>5863</v>
      </c>
      <c r="B5870" s="3" t="s">
        <v>5872</v>
      </c>
      <c r="C5870" s="3" t="s">
        <v>9</v>
      </c>
      <c r="D5870" s="3" t="s">
        <v>10</v>
      </c>
      <c r="E5870" s="3">
        <v>22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/>
      <c r="P5870" s="3"/>
      <c r="Q5870" s="3"/>
    </row>
    <row r="5871" spans="1:17" ht="15" x14ac:dyDescent="0.25">
      <c r="A5871" s="3">
        <f>5864</f>
        <v>5864</v>
      </c>
      <c r="B5871" s="3" t="s">
        <v>5873</v>
      </c>
      <c r="C5871" s="3" t="s">
        <v>9</v>
      </c>
      <c r="D5871" s="3" t="s">
        <v>10</v>
      </c>
      <c r="E5871" s="3">
        <v>22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/>
      <c r="P5871" s="3"/>
      <c r="Q5871" s="3"/>
    </row>
    <row r="5872" spans="1:17" ht="15" x14ac:dyDescent="0.25">
      <c r="A5872" s="3">
        <f>5865</f>
        <v>5865</v>
      </c>
      <c r="B5872" s="3" t="s">
        <v>5874</v>
      </c>
      <c r="C5872" s="3" t="s">
        <v>9</v>
      </c>
      <c r="D5872" s="3" t="s">
        <v>10</v>
      </c>
      <c r="E5872" s="3">
        <v>22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/>
      <c r="P5872" s="3"/>
      <c r="Q5872" s="3"/>
    </row>
    <row r="5873" spans="1:17" ht="15" x14ac:dyDescent="0.25">
      <c r="A5873" s="3">
        <f>5866</f>
        <v>5866</v>
      </c>
      <c r="B5873" s="3" t="s">
        <v>5875</v>
      </c>
      <c r="C5873" s="3" t="s">
        <v>9</v>
      </c>
      <c r="D5873" s="3" t="s">
        <v>10</v>
      </c>
      <c r="E5873" s="3">
        <v>22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/>
      <c r="P5873" s="3"/>
      <c r="Q5873" s="3"/>
    </row>
    <row r="5874" spans="1:17" ht="15" x14ac:dyDescent="0.25">
      <c r="A5874" s="3">
        <f>5867</f>
        <v>5867</v>
      </c>
      <c r="B5874" s="3" t="s">
        <v>5876</v>
      </c>
      <c r="C5874" s="3" t="s">
        <v>9</v>
      </c>
      <c r="D5874" s="3" t="s">
        <v>10</v>
      </c>
      <c r="E5874" s="3">
        <v>22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/>
      <c r="P5874" s="3"/>
      <c r="Q5874" s="3"/>
    </row>
    <row r="5875" spans="1:17" ht="15" x14ac:dyDescent="0.25">
      <c r="A5875" s="3">
        <f>5868</f>
        <v>5868</v>
      </c>
      <c r="B5875" s="3" t="s">
        <v>5877</v>
      </c>
      <c r="C5875" s="3" t="s">
        <v>9</v>
      </c>
      <c r="D5875" s="3" t="s">
        <v>10</v>
      </c>
      <c r="E5875" s="3">
        <v>22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/>
      <c r="P5875" s="3"/>
      <c r="Q5875" s="3"/>
    </row>
    <row r="5876" spans="1:17" ht="15" x14ac:dyDescent="0.25">
      <c r="A5876" s="3">
        <f>5869</f>
        <v>5869</v>
      </c>
      <c r="B5876" s="3" t="s">
        <v>5878</v>
      </c>
      <c r="C5876" s="3" t="s">
        <v>9</v>
      </c>
      <c r="D5876" s="3" t="s">
        <v>10</v>
      </c>
      <c r="E5876" s="3">
        <v>22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/>
      <c r="P5876" s="3"/>
      <c r="Q5876" s="3"/>
    </row>
    <row r="5877" spans="1:17" ht="15" x14ac:dyDescent="0.25">
      <c r="A5877" s="3">
        <f>5870</f>
        <v>5870</v>
      </c>
      <c r="B5877" s="3" t="s">
        <v>5879</v>
      </c>
      <c r="C5877" s="3" t="s">
        <v>9</v>
      </c>
      <c r="D5877" s="3" t="s">
        <v>10</v>
      </c>
      <c r="E5877" s="3">
        <v>22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/>
      <c r="P5877" s="3"/>
      <c r="Q5877" s="3"/>
    </row>
    <row r="5878" spans="1:17" ht="15" x14ac:dyDescent="0.25">
      <c r="A5878" s="3">
        <f>5871</f>
        <v>5871</v>
      </c>
      <c r="B5878" s="3" t="s">
        <v>5880</v>
      </c>
      <c r="C5878" s="3" t="s">
        <v>9</v>
      </c>
      <c r="D5878" s="3" t="s">
        <v>10</v>
      </c>
      <c r="E5878" s="3">
        <v>22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/>
      <c r="P5878" s="3"/>
      <c r="Q5878" s="3"/>
    </row>
    <row r="5879" spans="1:17" ht="15" x14ac:dyDescent="0.25">
      <c r="A5879" s="3">
        <f>5872</f>
        <v>5872</v>
      </c>
      <c r="B5879" s="3" t="s">
        <v>5881</v>
      </c>
      <c r="C5879" s="3" t="s">
        <v>9</v>
      </c>
      <c r="D5879" s="3" t="s">
        <v>10</v>
      </c>
      <c r="E5879" s="3">
        <v>22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/>
      <c r="P5879" s="3"/>
      <c r="Q5879" s="3"/>
    </row>
    <row r="5880" spans="1:17" ht="15" x14ac:dyDescent="0.25">
      <c r="A5880" s="3">
        <f>5873</f>
        <v>5873</v>
      </c>
      <c r="B5880" s="3" t="s">
        <v>5882</v>
      </c>
      <c r="C5880" s="3" t="s">
        <v>9</v>
      </c>
      <c r="D5880" s="3" t="s">
        <v>10</v>
      </c>
      <c r="E5880" s="3">
        <v>22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/>
      <c r="P5880" s="3"/>
      <c r="Q5880" s="3"/>
    </row>
    <row r="5881" spans="1:17" ht="15" x14ac:dyDescent="0.25">
      <c r="A5881" s="3">
        <f>5874</f>
        <v>5874</v>
      </c>
      <c r="B5881" s="3" t="s">
        <v>5883</v>
      </c>
      <c r="C5881" s="3" t="s">
        <v>9</v>
      </c>
      <c r="D5881" s="3" t="s">
        <v>10</v>
      </c>
      <c r="E5881" s="3">
        <v>22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/>
      <c r="P5881" s="3"/>
      <c r="Q5881" s="3"/>
    </row>
    <row r="5882" spans="1:17" ht="15" x14ac:dyDescent="0.25">
      <c r="A5882" s="3">
        <f>5875</f>
        <v>5875</v>
      </c>
      <c r="B5882" s="3" t="s">
        <v>5884</v>
      </c>
      <c r="C5882" s="3" t="s">
        <v>9</v>
      </c>
      <c r="D5882" s="3" t="s">
        <v>10</v>
      </c>
      <c r="E5882" s="3">
        <v>22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/>
      <c r="P5882" s="3"/>
      <c r="Q5882" s="3"/>
    </row>
    <row r="5883" spans="1:17" ht="15" x14ac:dyDescent="0.25">
      <c r="A5883" s="3">
        <f>5876</f>
        <v>5876</v>
      </c>
      <c r="B5883" s="3" t="s">
        <v>5885</v>
      </c>
      <c r="C5883" s="3" t="s">
        <v>9</v>
      </c>
      <c r="D5883" s="3" t="s">
        <v>10</v>
      </c>
      <c r="E5883" s="3">
        <v>22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/>
      <c r="P5883" s="3"/>
      <c r="Q5883" s="3"/>
    </row>
    <row r="5884" spans="1:17" ht="15" x14ac:dyDescent="0.25">
      <c r="A5884" s="3">
        <f>5877</f>
        <v>5877</v>
      </c>
      <c r="B5884" s="3" t="s">
        <v>5886</v>
      </c>
      <c r="C5884" s="3" t="s">
        <v>9</v>
      </c>
      <c r="D5884" s="3" t="s">
        <v>10</v>
      </c>
      <c r="E5884" s="3">
        <v>22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/>
      <c r="P5884" s="3"/>
      <c r="Q5884" s="3"/>
    </row>
    <row r="5885" spans="1:17" ht="15" x14ac:dyDescent="0.25">
      <c r="A5885" s="3">
        <f>5878</f>
        <v>5878</v>
      </c>
      <c r="B5885" s="3" t="s">
        <v>5887</v>
      </c>
      <c r="C5885" s="3" t="s">
        <v>9</v>
      </c>
      <c r="D5885" s="3" t="s">
        <v>10</v>
      </c>
      <c r="E5885" s="3">
        <v>22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/>
      <c r="P5885" s="3"/>
      <c r="Q5885" s="3"/>
    </row>
    <row r="5886" spans="1:17" ht="15" x14ac:dyDescent="0.25">
      <c r="A5886" s="3">
        <f>5879</f>
        <v>5879</v>
      </c>
      <c r="B5886" s="3" t="s">
        <v>5888</v>
      </c>
      <c r="C5886" s="3" t="s">
        <v>9</v>
      </c>
      <c r="D5886" s="3" t="s">
        <v>10</v>
      </c>
      <c r="E5886" s="3">
        <v>22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/>
      <c r="P5886" s="3"/>
      <c r="Q5886" s="3"/>
    </row>
    <row r="5887" spans="1:17" ht="15" x14ac:dyDescent="0.25">
      <c r="A5887" s="3">
        <f>5880</f>
        <v>5880</v>
      </c>
      <c r="B5887" s="3" t="s">
        <v>5889</v>
      </c>
      <c r="C5887" s="3" t="s">
        <v>9</v>
      </c>
      <c r="D5887" s="3" t="s">
        <v>10</v>
      </c>
      <c r="E5887" s="3">
        <v>22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/>
      <c r="P5887" s="3"/>
      <c r="Q5887" s="3"/>
    </row>
    <row r="5888" spans="1:17" ht="15" x14ac:dyDescent="0.25">
      <c r="A5888" s="3">
        <f>5881</f>
        <v>5881</v>
      </c>
      <c r="B5888" s="3" t="s">
        <v>5890</v>
      </c>
      <c r="C5888" s="3" t="s">
        <v>9</v>
      </c>
      <c r="D5888" s="3" t="s">
        <v>10</v>
      </c>
      <c r="E5888" s="3">
        <v>22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/>
      <c r="P5888" s="3"/>
      <c r="Q5888" s="3"/>
    </row>
    <row r="5889" spans="1:17" ht="15" x14ac:dyDescent="0.25">
      <c r="A5889" s="3">
        <f>5882</f>
        <v>5882</v>
      </c>
      <c r="B5889" s="3" t="s">
        <v>5891</v>
      </c>
      <c r="C5889" s="3" t="s">
        <v>9</v>
      </c>
      <c r="D5889" s="3" t="s">
        <v>10</v>
      </c>
      <c r="E5889" s="3">
        <v>22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/>
      <c r="P5889" s="3"/>
      <c r="Q5889" s="3"/>
    </row>
    <row r="5890" spans="1:17" ht="15" x14ac:dyDescent="0.25">
      <c r="A5890" s="3">
        <f>5883</f>
        <v>5883</v>
      </c>
      <c r="B5890" s="3" t="s">
        <v>5892</v>
      </c>
      <c r="C5890" s="3" t="s">
        <v>9</v>
      </c>
      <c r="D5890" s="3" t="s">
        <v>10</v>
      </c>
      <c r="E5890" s="3">
        <v>22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/>
      <c r="P5890" s="3"/>
      <c r="Q5890" s="3"/>
    </row>
    <row r="5891" spans="1:17" ht="15" x14ac:dyDescent="0.25">
      <c r="A5891" s="3">
        <f>5884</f>
        <v>5884</v>
      </c>
      <c r="B5891" s="3" t="s">
        <v>5893</v>
      </c>
      <c r="C5891" s="3" t="s">
        <v>9</v>
      </c>
      <c r="D5891" s="3" t="s">
        <v>10</v>
      </c>
      <c r="E5891" s="3">
        <v>22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/>
      <c r="P5891" s="3"/>
      <c r="Q5891" s="3"/>
    </row>
    <row r="5892" spans="1:17" ht="15" x14ac:dyDescent="0.25">
      <c r="A5892" s="3">
        <f>5885</f>
        <v>5885</v>
      </c>
      <c r="B5892" s="3" t="s">
        <v>5894</v>
      </c>
      <c r="C5892" s="3" t="s">
        <v>9</v>
      </c>
      <c r="D5892" s="3" t="s">
        <v>10</v>
      </c>
      <c r="E5892" s="3">
        <v>22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/>
      <c r="P5892" s="3"/>
      <c r="Q5892" s="3"/>
    </row>
    <row r="5893" spans="1:17" ht="15" x14ac:dyDescent="0.25">
      <c r="A5893" s="3">
        <f>5886</f>
        <v>5886</v>
      </c>
      <c r="B5893" s="3" t="s">
        <v>5895</v>
      </c>
      <c r="C5893" s="3" t="s">
        <v>9</v>
      </c>
      <c r="D5893" s="3" t="s">
        <v>10</v>
      </c>
      <c r="E5893" s="3">
        <v>22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/>
      <c r="P5893" s="3"/>
      <c r="Q5893" s="3"/>
    </row>
    <row r="5894" spans="1:17" ht="15" x14ac:dyDescent="0.25">
      <c r="A5894" s="3">
        <f>5887</f>
        <v>5887</v>
      </c>
      <c r="B5894" s="3" t="s">
        <v>5896</v>
      </c>
      <c r="C5894" s="3" t="s">
        <v>9</v>
      </c>
      <c r="D5894" s="3" t="s">
        <v>10</v>
      </c>
      <c r="E5894" s="3">
        <v>22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/>
      <c r="P5894" s="3"/>
      <c r="Q5894" s="3"/>
    </row>
    <row r="5895" spans="1:17" ht="15" x14ac:dyDescent="0.25">
      <c r="A5895" s="3">
        <f>5888</f>
        <v>5888</v>
      </c>
      <c r="B5895" s="3" t="s">
        <v>5897</v>
      </c>
      <c r="C5895" s="3" t="s">
        <v>9</v>
      </c>
      <c r="D5895" s="3" t="s">
        <v>10</v>
      </c>
      <c r="E5895" s="3">
        <v>22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/>
      <c r="P5895" s="3"/>
      <c r="Q5895" s="3"/>
    </row>
    <row r="5896" spans="1:17" ht="15" x14ac:dyDescent="0.25">
      <c r="A5896" s="3">
        <f>5889</f>
        <v>5889</v>
      </c>
      <c r="B5896" s="3" t="s">
        <v>5898</v>
      </c>
      <c r="C5896" s="3" t="s">
        <v>9</v>
      </c>
      <c r="D5896" s="3" t="s">
        <v>10</v>
      </c>
      <c r="E5896" s="3">
        <v>22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/>
      <c r="P5896" s="3"/>
      <c r="Q5896" s="3"/>
    </row>
    <row r="5897" spans="1:17" ht="15" x14ac:dyDescent="0.25">
      <c r="A5897" s="3">
        <f>5890</f>
        <v>5890</v>
      </c>
      <c r="B5897" s="3" t="s">
        <v>5899</v>
      </c>
      <c r="C5897" s="3" t="s">
        <v>9</v>
      </c>
      <c r="D5897" s="3" t="s">
        <v>10</v>
      </c>
      <c r="E5897" s="3">
        <v>22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/>
      <c r="P5897" s="3"/>
      <c r="Q5897" s="3"/>
    </row>
    <row r="5898" spans="1:17" ht="15" x14ac:dyDescent="0.25">
      <c r="A5898" s="3">
        <f>5891</f>
        <v>5891</v>
      </c>
      <c r="B5898" s="3" t="s">
        <v>5900</v>
      </c>
      <c r="C5898" s="3" t="s">
        <v>9</v>
      </c>
      <c r="D5898" s="3" t="s">
        <v>10</v>
      </c>
      <c r="E5898" s="3">
        <v>22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/>
      <c r="P5898" s="3"/>
      <c r="Q5898" s="3"/>
    </row>
    <row r="5899" spans="1:17" ht="15" x14ac:dyDescent="0.25">
      <c r="A5899" s="3">
        <f>5892</f>
        <v>5892</v>
      </c>
      <c r="B5899" s="3" t="s">
        <v>5901</v>
      </c>
      <c r="C5899" s="3" t="s">
        <v>9</v>
      </c>
      <c r="D5899" s="3" t="s">
        <v>10</v>
      </c>
      <c r="E5899" s="3">
        <v>22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/>
      <c r="P5899" s="3"/>
      <c r="Q5899" s="3"/>
    </row>
    <row r="5900" spans="1:17" ht="15" x14ac:dyDescent="0.25">
      <c r="A5900" s="3">
        <f>5893</f>
        <v>5893</v>
      </c>
      <c r="B5900" s="3" t="s">
        <v>5902</v>
      </c>
      <c r="C5900" s="3" t="s">
        <v>9</v>
      </c>
      <c r="D5900" s="3" t="s">
        <v>10</v>
      </c>
      <c r="E5900" s="3">
        <v>22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/>
      <c r="P5900" s="3"/>
      <c r="Q5900" s="3"/>
    </row>
    <row r="5901" spans="1:17" ht="15" x14ac:dyDescent="0.25">
      <c r="A5901" s="3">
        <f>5894</f>
        <v>5894</v>
      </c>
      <c r="B5901" s="3" t="s">
        <v>5903</v>
      </c>
      <c r="C5901" s="3" t="s">
        <v>9</v>
      </c>
      <c r="D5901" s="3" t="s">
        <v>10</v>
      </c>
      <c r="E5901" s="3">
        <v>22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/>
      <c r="P5901" s="3"/>
      <c r="Q5901" s="3"/>
    </row>
    <row r="5902" spans="1:17" ht="15" x14ac:dyDescent="0.25">
      <c r="A5902" s="3">
        <f>5895</f>
        <v>5895</v>
      </c>
      <c r="B5902" s="3" t="s">
        <v>5904</v>
      </c>
      <c r="C5902" s="3" t="s">
        <v>9</v>
      </c>
      <c r="D5902" s="3" t="s">
        <v>10</v>
      </c>
      <c r="E5902" s="3">
        <v>22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/>
      <c r="P5902" s="3"/>
      <c r="Q5902" s="3"/>
    </row>
    <row r="5903" spans="1:17" ht="15" x14ac:dyDescent="0.25">
      <c r="A5903" s="3">
        <f>5896</f>
        <v>5896</v>
      </c>
      <c r="B5903" s="3" t="s">
        <v>5905</v>
      </c>
      <c r="C5903" s="3" t="s">
        <v>9</v>
      </c>
      <c r="D5903" s="3" t="s">
        <v>10</v>
      </c>
      <c r="E5903" s="3">
        <v>22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/>
      <c r="P5903" s="3"/>
      <c r="Q5903" s="3"/>
    </row>
    <row r="5904" spans="1:17" ht="15" x14ac:dyDescent="0.25">
      <c r="A5904" s="3">
        <f>5897</f>
        <v>5897</v>
      </c>
      <c r="B5904" s="3" t="s">
        <v>5906</v>
      </c>
      <c r="C5904" s="3" t="s">
        <v>9</v>
      </c>
      <c r="D5904" s="3" t="s">
        <v>10</v>
      </c>
      <c r="E5904" s="3">
        <v>22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/>
      <c r="P5904" s="3"/>
      <c r="Q5904" s="3"/>
    </row>
    <row r="5905" spans="1:17" ht="15" x14ac:dyDescent="0.25">
      <c r="A5905" s="3">
        <f>5898</f>
        <v>5898</v>
      </c>
      <c r="B5905" s="3" t="s">
        <v>5907</v>
      </c>
      <c r="C5905" s="3" t="s">
        <v>9</v>
      </c>
      <c r="D5905" s="3" t="s">
        <v>10</v>
      </c>
      <c r="E5905" s="3">
        <v>22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/>
      <c r="P5905" s="3"/>
      <c r="Q5905" s="3"/>
    </row>
    <row r="5906" spans="1:17" ht="15" x14ac:dyDescent="0.25">
      <c r="A5906" s="3">
        <f>5899</f>
        <v>5899</v>
      </c>
      <c r="B5906" s="3" t="s">
        <v>5908</v>
      </c>
      <c r="C5906" s="3" t="s">
        <v>9</v>
      </c>
      <c r="D5906" s="3" t="s">
        <v>10</v>
      </c>
      <c r="E5906" s="3">
        <v>22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/>
      <c r="P5906" s="3"/>
      <c r="Q5906" s="3"/>
    </row>
    <row r="5907" spans="1:17" ht="15" x14ac:dyDescent="0.25">
      <c r="A5907" s="3">
        <f>5900</f>
        <v>5900</v>
      </c>
      <c r="B5907" s="3" t="s">
        <v>5909</v>
      </c>
      <c r="C5907" s="3" t="s">
        <v>9</v>
      </c>
      <c r="D5907" s="3" t="s">
        <v>10</v>
      </c>
      <c r="E5907" s="3">
        <v>22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/>
      <c r="P5907" s="3"/>
      <c r="Q5907" s="3"/>
    </row>
    <row r="5908" spans="1:17" ht="15" x14ac:dyDescent="0.25">
      <c r="A5908" s="3">
        <f>5901</f>
        <v>5901</v>
      </c>
      <c r="B5908" s="3" t="s">
        <v>5910</v>
      </c>
      <c r="C5908" s="3" t="s">
        <v>9</v>
      </c>
      <c r="D5908" s="3" t="s">
        <v>10</v>
      </c>
      <c r="E5908" s="3">
        <v>22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/>
      <c r="P5908" s="3"/>
      <c r="Q5908" s="3"/>
    </row>
    <row r="5909" spans="1:17" ht="15" x14ac:dyDescent="0.25">
      <c r="A5909" s="3">
        <f>5902</f>
        <v>5902</v>
      </c>
      <c r="B5909" s="3" t="s">
        <v>5911</v>
      </c>
      <c r="C5909" s="3" t="s">
        <v>9</v>
      </c>
      <c r="D5909" s="3" t="s">
        <v>10</v>
      </c>
      <c r="E5909" s="3">
        <v>22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/>
      <c r="P5909" s="3"/>
      <c r="Q5909" s="3"/>
    </row>
    <row r="5910" spans="1:17" ht="15" x14ac:dyDescent="0.25">
      <c r="A5910" s="3">
        <f>5903</f>
        <v>5903</v>
      </c>
      <c r="B5910" s="3" t="s">
        <v>5912</v>
      </c>
      <c r="C5910" s="3" t="s">
        <v>9</v>
      </c>
      <c r="D5910" s="3" t="s">
        <v>10</v>
      </c>
      <c r="E5910" s="3">
        <v>22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/>
      <c r="P5910" s="3"/>
      <c r="Q5910" s="3"/>
    </row>
    <row r="5911" spans="1:17" ht="15" x14ac:dyDescent="0.25">
      <c r="A5911" s="3">
        <f>5904</f>
        <v>5904</v>
      </c>
      <c r="B5911" s="3" t="s">
        <v>5913</v>
      </c>
      <c r="C5911" s="3" t="s">
        <v>9</v>
      </c>
      <c r="D5911" s="3" t="s">
        <v>10</v>
      </c>
      <c r="E5911" s="3">
        <v>22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/>
      <c r="P5911" s="3"/>
      <c r="Q5911" s="3"/>
    </row>
    <row r="5912" spans="1:17" ht="15" x14ac:dyDescent="0.25">
      <c r="A5912" s="3">
        <f>5905</f>
        <v>5905</v>
      </c>
      <c r="B5912" s="3" t="s">
        <v>5914</v>
      </c>
      <c r="C5912" s="3" t="s">
        <v>9</v>
      </c>
      <c r="D5912" s="3" t="s">
        <v>10</v>
      </c>
      <c r="E5912" s="3">
        <v>22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/>
      <c r="P5912" s="3"/>
      <c r="Q5912" s="3"/>
    </row>
    <row r="5913" spans="1:17" ht="15" x14ac:dyDescent="0.25">
      <c r="A5913" s="3">
        <f>5906</f>
        <v>5906</v>
      </c>
      <c r="B5913" s="3" t="s">
        <v>5915</v>
      </c>
      <c r="C5913" s="3" t="s">
        <v>9</v>
      </c>
      <c r="D5913" s="3" t="s">
        <v>10</v>
      </c>
      <c r="E5913" s="3">
        <v>22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/>
      <c r="P5913" s="3"/>
      <c r="Q5913" s="3"/>
    </row>
    <row r="5914" spans="1:17" ht="15" x14ac:dyDescent="0.25">
      <c r="A5914" s="3">
        <f>5907</f>
        <v>5907</v>
      </c>
      <c r="B5914" s="3" t="s">
        <v>5916</v>
      </c>
      <c r="C5914" s="3" t="s">
        <v>9</v>
      </c>
      <c r="D5914" s="3" t="s">
        <v>10</v>
      </c>
      <c r="E5914" s="3">
        <v>22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/>
      <c r="P5914" s="3"/>
      <c r="Q5914" s="3"/>
    </row>
    <row r="5915" spans="1:17" ht="15" x14ac:dyDescent="0.25">
      <c r="A5915" s="3">
        <f>5908</f>
        <v>5908</v>
      </c>
      <c r="B5915" s="3" t="s">
        <v>5917</v>
      </c>
      <c r="C5915" s="3" t="s">
        <v>9</v>
      </c>
      <c r="D5915" s="3" t="s">
        <v>10</v>
      </c>
      <c r="E5915" s="3">
        <v>22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/>
      <c r="P5915" s="3"/>
      <c r="Q5915" s="3"/>
    </row>
    <row r="5916" spans="1:17" ht="15" x14ac:dyDescent="0.25">
      <c r="A5916" s="3">
        <f>5909</f>
        <v>5909</v>
      </c>
      <c r="B5916" s="3" t="s">
        <v>5918</v>
      </c>
      <c r="C5916" s="3" t="s">
        <v>9</v>
      </c>
      <c r="D5916" s="3" t="s">
        <v>10</v>
      </c>
      <c r="E5916" s="3">
        <v>22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/>
      <c r="P5916" s="3"/>
      <c r="Q5916" s="3"/>
    </row>
    <row r="5917" spans="1:17" ht="15" x14ac:dyDescent="0.25">
      <c r="A5917" s="3">
        <f>5910</f>
        <v>5910</v>
      </c>
      <c r="B5917" s="3" t="s">
        <v>5919</v>
      </c>
      <c r="C5917" s="3" t="s">
        <v>9</v>
      </c>
      <c r="D5917" s="3" t="s">
        <v>10</v>
      </c>
      <c r="E5917" s="3">
        <v>22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/>
      <c r="P5917" s="3"/>
      <c r="Q5917" s="3"/>
    </row>
    <row r="5918" spans="1:17" ht="15" x14ac:dyDescent="0.25">
      <c r="A5918" s="3">
        <f>5911</f>
        <v>5911</v>
      </c>
      <c r="B5918" s="3" t="s">
        <v>5920</v>
      </c>
      <c r="C5918" s="3" t="s">
        <v>9</v>
      </c>
      <c r="D5918" s="3" t="s">
        <v>10</v>
      </c>
      <c r="E5918" s="3">
        <v>22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/>
      <c r="P5918" s="3"/>
      <c r="Q5918" s="3"/>
    </row>
    <row r="5919" spans="1:17" ht="15" x14ac:dyDescent="0.25">
      <c r="A5919" s="3">
        <f>5912</f>
        <v>5912</v>
      </c>
      <c r="B5919" s="3" t="s">
        <v>5921</v>
      </c>
      <c r="C5919" s="3" t="s">
        <v>9</v>
      </c>
      <c r="D5919" s="3" t="s">
        <v>10</v>
      </c>
      <c r="E5919" s="3">
        <v>22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/>
      <c r="P5919" s="3"/>
      <c r="Q5919" s="3"/>
    </row>
    <row r="5920" spans="1:17" ht="15" x14ac:dyDescent="0.25">
      <c r="A5920" s="3">
        <f>5913</f>
        <v>5913</v>
      </c>
      <c r="B5920" s="3" t="s">
        <v>5922</v>
      </c>
      <c r="C5920" s="3" t="s">
        <v>9</v>
      </c>
      <c r="D5920" s="3" t="s">
        <v>10</v>
      </c>
      <c r="E5920" s="3">
        <v>22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/>
      <c r="P5920" s="3"/>
      <c r="Q5920" s="3"/>
    </row>
    <row r="5921" spans="1:17" ht="15" x14ac:dyDescent="0.25">
      <c r="A5921" s="3">
        <f>5914</f>
        <v>5914</v>
      </c>
      <c r="B5921" s="3" t="s">
        <v>5923</v>
      </c>
      <c r="C5921" s="3" t="s">
        <v>9</v>
      </c>
      <c r="D5921" s="3" t="s">
        <v>10</v>
      </c>
      <c r="E5921" s="3">
        <v>22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/>
      <c r="P5921" s="3"/>
      <c r="Q5921" s="3"/>
    </row>
    <row r="5922" spans="1:17" ht="15" x14ac:dyDescent="0.25">
      <c r="A5922" s="3">
        <f>5915</f>
        <v>5915</v>
      </c>
      <c r="B5922" s="3" t="s">
        <v>5924</v>
      </c>
      <c r="C5922" s="3" t="s">
        <v>9</v>
      </c>
      <c r="D5922" s="3" t="s">
        <v>10</v>
      </c>
      <c r="E5922" s="3">
        <v>22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/>
      <c r="P5922" s="3"/>
      <c r="Q5922" s="3"/>
    </row>
    <row r="5923" spans="1:17" ht="15" x14ac:dyDescent="0.25">
      <c r="A5923" s="3">
        <f>5916</f>
        <v>5916</v>
      </c>
      <c r="B5923" s="3" t="s">
        <v>5925</v>
      </c>
      <c r="C5923" s="3" t="s">
        <v>9</v>
      </c>
      <c r="D5923" s="3" t="s">
        <v>10</v>
      </c>
      <c r="E5923" s="3">
        <v>22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/>
      <c r="P5923" s="3"/>
      <c r="Q5923" s="3"/>
    </row>
    <row r="5924" spans="1:17" ht="15" x14ac:dyDescent="0.25">
      <c r="A5924" s="3">
        <f>5917</f>
        <v>5917</v>
      </c>
      <c r="B5924" s="3" t="s">
        <v>5926</v>
      </c>
      <c r="C5924" s="3" t="s">
        <v>9</v>
      </c>
      <c r="D5924" s="3" t="s">
        <v>10</v>
      </c>
      <c r="E5924" s="3">
        <v>22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/>
      <c r="P5924" s="3"/>
      <c r="Q5924" s="3"/>
    </row>
    <row r="5925" spans="1:17" ht="15" x14ac:dyDescent="0.25">
      <c r="A5925" s="3">
        <f>5918</f>
        <v>5918</v>
      </c>
      <c r="B5925" s="3" t="s">
        <v>5927</v>
      </c>
      <c r="C5925" s="3" t="s">
        <v>9</v>
      </c>
      <c r="D5925" s="3" t="s">
        <v>10</v>
      </c>
      <c r="E5925" s="3">
        <v>22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/>
      <c r="P5925" s="3"/>
      <c r="Q5925" s="3"/>
    </row>
    <row r="5926" spans="1:17" ht="15" x14ac:dyDescent="0.25">
      <c r="A5926" s="3">
        <f>5919</f>
        <v>5919</v>
      </c>
      <c r="B5926" s="3" t="s">
        <v>5928</v>
      </c>
      <c r="C5926" s="3" t="s">
        <v>9</v>
      </c>
      <c r="D5926" s="3" t="s">
        <v>10</v>
      </c>
      <c r="E5926" s="3">
        <v>22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/>
      <c r="P5926" s="3"/>
      <c r="Q5926" s="3"/>
    </row>
    <row r="5927" spans="1:17" ht="15" x14ac:dyDescent="0.25">
      <c r="A5927" s="3">
        <f>5920</f>
        <v>5920</v>
      </c>
      <c r="B5927" s="3" t="s">
        <v>5929</v>
      </c>
      <c r="C5927" s="3" t="s">
        <v>9</v>
      </c>
      <c r="D5927" s="3" t="s">
        <v>10</v>
      </c>
      <c r="E5927" s="3">
        <v>22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/>
      <c r="P5927" s="3"/>
      <c r="Q5927" s="3"/>
    </row>
    <row r="5928" spans="1:17" ht="15" x14ac:dyDescent="0.25">
      <c r="A5928" s="3">
        <f>5921</f>
        <v>5921</v>
      </c>
      <c r="B5928" s="3" t="s">
        <v>5930</v>
      </c>
      <c r="C5928" s="3" t="s">
        <v>9</v>
      </c>
      <c r="D5928" s="3" t="s">
        <v>10</v>
      </c>
      <c r="E5928" s="3">
        <v>22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/>
      <c r="P5928" s="3"/>
      <c r="Q5928" s="3"/>
    </row>
    <row r="5929" spans="1:17" ht="15" x14ac:dyDescent="0.25">
      <c r="A5929" s="3">
        <f>5922</f>
        <v>5922</v>
      </c>
      <c r="B5929" s="3" t="s">
        <v>5931</v>
      </c>
      <c r="C5929" s="3" t="s">
        <v>9</v>
      </c>
      <c r="D5929" s="3" t="s">
        <v>10</v>
      </c>
      <c r="E5929" s="3">
        <v>22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/>
      <c r="P5929" s="3"/>
      <c r="Q5929" s="3"/>
    </row>
    <row r="5930" spans="1:17" ht="15" x14ac:dyDescent="0.25">
      <c r="A5930" s="3">
        <f>5923</f>
        <v>5923</v>
      </c>
      <c r="B5930" s="3" t="s">
        <v>5932</v>
      </c>
      <c r="C5930" s="3" t="s">
        <v>9</v>
      </c>
      <c r="D5930" s="3" t="s">
        <v>10</v>
      </c>
      <c r="E5930" s="3">
        <v>22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/>
      <c r="P5930" s="3"/>
      <c r="Q5930" s="3"/>
    </row>
    <row r="5931" spans="1:17" ht="15" x14ac:dyDescent="0.25">
      <c r="A5931" s="3">
        <f>5924</f>
        <v>5924</v>
      </c>
      <c r="B5931" s="3" t="s">
        <v>5933</v>
      </c>
      <c r="C5931" s="3" t="s">
        <v>9</v>
      </c>
      <c r="D5931" s="3" t="s">
        <v>10</v>
      </c>
      <c r="E5931" s="3">
        <v>22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/>
      <c r="P5931" s="3"/>
      <c r="Q5931" s="3"/>
    </row>
    <row r="5932" spans="1:17" ht="15" x14ac:dyDescent="0.25">
      <c r="A5932" s="3">
        <f>5925</f>
        <v>5925</v>
      </c>
      <c r="B5932" s="3" t="s">
        <v>5934</v>
      </c>
      <c r="C5932" s="3" t="s">
        <v>9</v>
      </c>
      <c r="D5932" s="3" t="s">
        <v>10</v>
      </c>
      <c r="E5932" s="3">
        <v>22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/>
      <c r="P5932" s="3"/>
      <c r="Q5932" s="3"/>
    </row>
    <row r="5933" spans="1:17" ht="15" x14ac:dyDescent="0.25">
      <c r="A5933" s="3">
        <f>5926</f>
        <v>5926</v>
      </c>
      <c r="B5933" s="3" t="s">
        <v>5935</v>
      </c>
      <c r="C5933" s="3" t="s">
        <v>9</v>
      </c>
      <c r="D5933" s="3" t="s">
        <v>10</v>
      </c>
      <c r="E5933" s="3">
        <v>22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/>
      <c r="P5933" s="3"/>
      <c r="Q5933" s="3"/>
    </row>
    <row r="5934" spans="1:17" ht="15" x14ac:dyDescent="0.25">
      <c r="A5934" s="3">
        <f>5927</f>
        <v>5927</v>
      </c>
      <c r="B5934" s="3" t="s">
        <v>5936</v>
      </c>
      <c r="C5934" s="3" t="s">
        <v>9</v>
      </c>
      <c r="D5934" s="3" t="s">
        <v>10</v>
      </c>
      <c r="E5934" s="3">
        <v>22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/>
      <c r="P5934" s="3"/>
      <c r="Q5934" s="3"/>
    </row>
    <row r="5935" spans="1:17" ht="15" x14ac:dyDescent="0.25">
      <c r="A5935" s="3">
        <f>5928</f>
        <v>5928</v>
      </c>
      <c r="B5935" s="3" t="s">
        <v>5937</v>
      </c>
      <c r="C5935" s="3" t="s">
        <v>9</v>
      </c>
      <c r="D5935" s="3" t="s">
        <v>10</v>
      </c>
      <c r="E5935" s="3">
        <v>22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/>
      <c r="P5935" s="3"/>
      <c r="Q5935" s="3"/>
    </row>
    <row r="5936" spans="1:17" ht="15" x14ac:dyDescent="0.25">
      <c r="A5936" s="3">
        <f>5929</f>
        <v>5929</v>
      </c>
      <c r="B5936" s="3" t="s">
        <v>5938</v>
      </c>
      <c r="C5936" s="3" t="s">
        <v>9</v>
      </c>
      <c r="D5936" s="3" t="s">
        <v>10</v>
      </c>
      <c r="E5936" s="3">
        <v>22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/>
      <c r="P5936" s="3"/>
      <c r="Q5936" s="3"/>
    </row>
    <row r="5937" spans="1:17" ht="15" x14ac:dyDescent="0.25">
      <c r="A5937" s="3">
        <f>5930</f>
        <v>5930</v>
      </c>
      <c r="B5937" s="3" t="s">
        <v>5939</v>
      </c>
      <c r="C5937" s="3" t="s">
        <v>9</v>
      </c>
      <c r="D5937" s="3" t="s">
        <v>10</v>
      </c>
      <c r="E5937" s="3">
        <v>22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/>
      <c r="P5937" s="3"/>
      <c r="Q5937" s="3"/>
    </row>
    <row r="5938" spans="1:17" ht="15" x14ac:dyDescent="0.25">
      <c r="A5938" s="3">
        <f>5931</f>
        <v>5931</v>
      </c>
      <c r="B5938" s="3" t="s">
        <v>5940</v>
      </c>
      <c r="C5938" s="3" t="s">
        <v>9</v>
      </c>
      <c r="D5938" s="3" t="s">
        <v>10</v>
      </c>
      <c r="E5938" s="3">
        <v>22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/>
      <c r="P5938" s="3"/>
      <c r="Q5938" s="3"/>
    </row>
    <row r="5939" spans="1:17" ht="15" x14ac:dyDescent="0.25">
      <c r="A5939" s="3">
        <f>5932</f>
        <v>5932</v>
      </c>
      <c r="B5939" s="3" t="s">
        <v>5941</v>
      </c>
      <c r="C5939" s="3" t="s">
        <v>9</v>
      </c>
      <c r="D5939" s="3" t="s">
        <v>10</v>
      </c>
      <c r="E5939" s="3">
        <v>22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/>
      <c r="P5939" s="3"/>
      <c r="Q5939" s="3"/>
    </row>
    <row r="5940" spans="1:17" ht="15" x14ac:dyDescent="0.25">
      <c r="A5940" s="3">
        <f>5933</f>
        <v>5933</v>
      </c>
      <c r="B5940" s="3" t="s">
        <v>5942</v>
      </c>
      <c r="C5940" s="3" t="s">
        <v>9</v>
      </c>
      <c r="D5940" s="3" t="s">
        <v>10</v>
      </c>
      <c r="E5940" s="3">
        <v>22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/>
      <c r="P5940" s="3"/>
      <c r="Q5940" s="3"/>
    </row>
    <row r="5941" spans="1:17" ht="15" x14ac:dyDescent="0.25">
      <c r="A5941" s="3">
        <f>5934</f>
        <v>5934</v>
      </c>
      <c r="B5941" s="3" t="s">
        <v>5943</v>
      </c>
      <c r="C5941" s="3" t="s">
        <v>9</v>
      </c>
      <c r="D5941" s="3" t="s">
        <v>10</v>
      </c>
      <c r="E5941" s="3">
        <v>22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/>
      <c r="P5941" s="3"/>
      <c r="Q5941" s="3"/>
    </row>
    <row r="5942" spans="1:17" ht="15" x14ac:dyDescent="0.25">
      <c r="A5942" s="3">
        <f>5935</f>
        <v>5935</v>
      </c>
      <c r="B5942" s="3" t="s">
        <v>5944</v>
      </c>
      <c r="C5942" s="3" t="s">
        <v>9</v>
      </c>
      <c r="D5942" s="3" t="s">
        <v>10</v>
      </c>
      <c r="E5942" s="3">
        <v>22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/>
      <c r="P5942" s="3"/>
      <c r="Q5942" s="3"/>
    </row>
    <row r="5943" spans="1:17" ht="15" x14ac:dyDescent="0.25">
      <c r="A5943" s="3">
        <f>5936</f>
        <v>5936</v>
      </c>
      <c r="B5943" s="3" t="s">
        <v>5945</v>
      </c>
      <c r="C5943" s="3" t="s">
        <v>9</v>
      </c>
      <c r="D5943" s="3" t="s">
        <v>10</v>
      </c>
      <c r="E5943" s="3">
        <v>22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/>
      <c r="P5943" s="3"/>
      <c r="Q5943" s="3"/>
    </row>
    <row r="5944" spans="1:17" ht="15" x14ac:dyDescent="0.25">
      <c r="A5944" s="3">
        <f>5937</f>
        <v>5937</v>
      </c>
      <c r="B5944" s="3" t="s">
        <v>5946</v>
      </c>
      <c r="C5944" s="3" t="s">
        <v>9</v>
      </c>
      <c r="D5944" s="3" t="s">
        <v>10</v>
      </c>
      <c r="E5944" s="3">
        <v>22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/>
      <c r="P5944" s="3"/>
      <c r="Q5944" s="3"/>
    </row>
    <row r="5945" spans="1:17" ht="15" x14ac:dyDescent="0.25">
      <c r="A5945" s="3">
        <f>5938</f>
        <v>5938</v>
      </c>
      <c r="B5945" s="3" t="s">
        <v>5947</v>
      </c>
      <c r="C5945" s="3" t="s">
        <v>9</v>
      </c>
      <c r="D5945" s="3" t="s">
        <v>10</v>
      </c>
      <c r="E5945" s="3">
        <v>22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/>
      <c r="P5945" s="3"/>
      <c r="Q5945" s="3"/>
    </row>
    <row r="5946" spans="1:17" ht="15" x14ac:dyDescent="0.25">
      <c r="A5946" s="3">
        <f>5939</f>
        <v>5939</v>
      </c>
      <c r="B5946" s="3" t="s">
        <v>5948</v>
      </c>
      <c r="C5946" s="3" t="s">
        <v>9</v>
      </c>
      <c r="D5946" s="3" t="s">
        <v>10</v>
      </c>
      <c r="E5946" s="3">
        <v>22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/>
      <c r="P5946" s="3"/>
      <c r="Q5946" s="3"/>
    </row>
    <row r="5947" spans="1:17" ht="15" x14ac:dyDescent="0.25">
      <c r="A5947" s="3">
        <f>5940</f>
        <v>5940</v>
      </c>
      <c r="B5947" s="3" t="s">
        <v>5949</v>
      </c>
      <c r="C5947" s="3" t="s">
        <v>9</v>
      </c>
      <c r="D5947" s="3" t="s">
        <v>10</v>
      </c>
      <c r="E5947" s="3">
        <v>22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/>
      <c r="P5947" s="3"/>
      <c r="Q5947" s="3"/>
    </row>
    <row r="5948" spans="1:17" ht="15" x14ac:dyDescent="0.25">
      <c r="A5948" s="3">
        <f>5941</f>
        <v>5941</v>
      </c>
      <c r="B5948" s="3" t="s">
        <v>5950</v>
      </c>
      <c r="C5948" s="3" t="s">
        <v>9</v>
      </c>
      <c r="D5948" s="3" t="s">
        <v>10</v>
      </c>
      <c r="E5948" s="3">
        <v>22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/>
      <c r="P5948" s="3"/>
      <c r="Q5948" s="3"/>
    </row>
    <row r="5949" spans="1:17" ht="15" x14ac:dyDescent="0.25">
      <c r="A5949" s="3">
        <f>5942</f>
        <v>5942</v>
      </c>
      <c r="B5949" s="3" t="s">
        <v>5951</v>
      </c>
      <c r="C5949" s="3" t="s">
        <v>9</v>
      </c>
      <c r="D5949" s="3" t="s">
        <v>10</v>
      </c>
      <c r="E5949" s="3">
        <v>22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/>
      <c r="P5949" s="3"/>
      <c r="Q5949" s="3"/>
    </row>
    <row r="5950" spans="1:17" ht="15" x14ac:dyDescent="0.25">
      <c r="A5950" s="3">
        <f>5943</f>
        <v>5943</v>
      </c>
      <c r="B5950" s="3" t="s">
        <v>5952</v>
      </c>
      <c r="C5950" s="3" t="s">
        <v>9</v>
      </c>
      <c r="D5950" s="3" t="s">
        <v>10</v>
      </c>
      <c r="E5950" s="3">
        <v>22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/>
      <c r="P5950" s="3"/>
      <c r="Q5950" s="3"/>
    </row>
    <row r="5951" spans="1:17" ht="15" x14ac:dyDescent="0.25">
      <c r="A5951" s="3">
        <f>5944</f>
        <v>5944</v>
      </c>
      <c r="B5951" s="3" t="s">
        <v>5953</v>
      </c>
      <c r="C5951" s="3" t="s">
        <v>9</v>
      </c>
      <c r="D5951" s="3" t="s">
        <v>10</v>
      </c>
      <c r="E5951" s="3">
        <v>22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/>
      <c r="P5951" s="3"/>
      <c r="Q5951" s="3"/>
    </row>
    <row r="5952" spans="1:17" ht="15" x14ac:dyDescent="0.25">
      <c r="A5952" s="3">
        <f>5945</f>
        <v>5945</v>
      </c>
      <c r="B5952" s="3" t="s">
        <v>5954</v>
      </c>
      <c r="C5952" s="3" t="s">
        <v>9</v>
      </c>
      <c r="D5952" s="3" t="s">
        <v>10</v>
      </c>
      <c r="E5952" s="3">
        <v>22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/>
      <c r="P5952" s="3"/>
      <c r="Q5952" s="3"/>
    </row>
    <row r="5953" spans="1:17" ht="15" x14ac:dyDescent="0.25">
      <c r="A5953" s="3">
        <f>5946</f>
        <v>5946</v>
      </c>
      <c r="B5953" s="3" t="s">
        <v>5955</v>
      </c>
      <c r="C5953" s="3" t="s">
        <v>9</v>
      </c>
      <c r="D5953" s="3" t="s">
        <v>10</v>
      </c>
      <c r="E5953" s="3">
        <v>22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/>
      <c r="P5953" s="3"/>
      <c r="Q5953" s="3"/>
    </row>
    <row r="5954" spans="1:17" ht="15" x14ac:dyDescent="0.25">
      <c r="A5954" s="3">
        <f>5947</f>
        <v>5947</v>
      </c>
      <c r="B5954" s="3" t="s">
        <v>5956</v>
      </c>
      <c r="C5954" s="3" t="s">
        <v>9</v>
      </c>
      <c r="D5954" s="3" t="s">
        <v>10</v>
      </c>
      <c r="E5954" s="3">
        <v>22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/>
      <c r="P5954" s="3"/>
      <c r="Q5954" s="3"/>
    </row>
    <row r="5955" spans="1:17" ht="15" x14ac:dyDescent="0.25">
      <c r="A5955" s="3">
        <f>5948</f>
        <v>5948</v>
      </c>
      <c r="B5955" s="3" t="s">
        <v>5957</v>
      </c>
      <c r="C5955" s="3" t="s">
        <v>9</v>
      </c>
      <c r="D5955" s="3" t="s">
        <v>10</v>
      </c>
      <c r="E5955" s="3">
        <v>22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/>
      <c r="P5955" s="3"/>
      <c r="Q5955" s="3"/>
    </row>
    <row r="5956" spans="1:17" ht="15" x14ac:dyDescent="0.25">
      <c r="A5956" s="3">
        <f>5949</f>
        <v>5949</v>
      </c>
      <c r="B5956" s="3" t="s">
        <v>5958</v>
      </c>
      <c r="C5956" s="3" t="s">
        <v>9</v>
      </c>
      <c r="D5956" s="3" t="s">
        <v>10</v>
      </c>
      <c r="E5956" s="3">
        <v>22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/>
      <c r="P5956" s="3"/>
      <c r="Q5956" s="3"/>
    </row>
    <row r="5957" spans="1:17" ht="15" x14ac:dyDescent="0.25">
      <c r="A5957" s="3">
        <f>5950</f>
        <v>5950</v>
      </c>
      <c r="B5957" s="3" t="s">
        <v>5959</v>
      </c>
      <c r="C5957" s="3" t="s">
        <v>9</v>
      </c>
      <c r="D5957" s="3" t="s">
        <v>10</v>
      </c>
      <c r="E5957" s="3">
        <v>22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/>
      <c r="P5957" s="3"/>
      <c r="Q5957" s="3"/>
    </row>
    <row r="5958" spans="1:17" ht="15" x14ac:dyDescent="0.25">
      <c r="A5958" s="3">
        <f>5951</f>
        <v>5951</v>
      </c>
      <c r="B5958" s="3" t="s">
        <v>5960</v>
      </c>
      <c r="C5958" s="3" t="s">
        <v>9</v>
      </c>
      <c r="D5958" s="3" t="s">
        <v>10</v>
      </c>
      <c r="E5958" s="3">
        <v>22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/>
      <c r="P5958" s="3"/>
      <c r="Q5958" s="3"/>
    </row>
    <row r="5959" spans="1:17" ht="15" x14ac:dyDescent="0.25">
      <c r="A5959" s="3">
        <f>5952</f>
        <v>5952</v>
      </c>
      <c r="B5959" s="3" t="s">
        <v>5961</v>
      </c>
      <c r="C5959" s="3" t="s">
        <v>9</v>
      </c>
      <c r="D5959" s="3" t="s">
        <v>10</v>
      </c>
      <c r="E5959" s="3">
        <v>22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/>
      <c r="P5959" s="3"/>
      <c r="Q5959" s="3"/>
    </row>
    <row r="5960" spans="1:17" ht="15" x14ac:dyDescent="0.25">
      <c r="A5960" s="3">
        <f>5953</f>
        <v>5953</v>
      </c>
      <c r="B5960" s="3" t="s">
        <v>5962</v>
      </c>
      <c r="C5960" s="3" t="s">
        <v>9</v>
      </c>
      <c r="D5960" s="3" t="s">
        <v>10</v>
      </c>
      <c r="E5960" s="3">
        <v>22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/>
      <c r="P5960" s="3"/>
      <c r="Q5960" s="3"/>
    </row>
    <row r="5961" spans="1:17" ht="15" x14ac:dyDescent="0.25">
      <c r="A5961" s="3">
        <f>5954</f>
        <v>5954</v>
      </c>
      <c r="B5961" s="3" t="s">
        <v>5963</v>
      </c>
      <c r="C5961" s="3" t="s">
        <v>9</v>
      </c>
      <c r="D5961" s="3" t="s">
        <v>10</v>
      </c>
      <c r="E5961" s="3">
        <v>22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/>
      <c r="P5961" s="3"/>
      <c r="Q5961" s="3"/>
    </row>
    <row r="5962" spans="1:17" ht="15" x14ac:dyDescent="0.25">
      <c r="A5962" s="3">
        <f>5955</f>
        <v>5955</v>
      </c>
      <c r="B5962" s="3" t="s">
        <v>5964</v>
      </c>
      <c r="C5962" s="3" t="s">
        <v>9</v>
      </c>
      <c r="D5962" s="3" t="s">
        <v>10</v>
      </c>
      <c r="E5962" s="3">
        <v>22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/>
      <c r="P5962" s="3"/>
      <c r="Q5962" s="3"/>
    </row>
    <row r="5963" spans="1:17" ht="15" x14ac:dyDescent="0.25">
      <c r="A5963" s="3">
        <f>5956</f>
        <v>5956</v>
      </c>
      <c r="B5963" s="3" t="s">
        <v>5965</v>
      </c>
      <c r="C5963" s="3" t="s">
        <v>9</v>
      </c>
      <c r="D5963" s="3" t="s">
        <v>10</v>
      </c>
      <c r="E5963" s="3">
        <v>22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/>
      <c r="P5963" s="3"/>
      <c r="Q5963" s="3"/>
    </row>
    <row r="5964" spans="1:17" ht="15" x14ac:dyDescent="0.25">
      <c r="A5964" s="3">
        <f>5957</f>
        <v>5957</v>
      </c>
      <c r="B5964" s="3" t="s">
        <v>5966</v>
      </c>
      <c r="C5964" s="3" t="s">
        <v>9</v>
      </c>
      <c r="D5964" s="3" t="s">
        <v>10</v>
      </c>
      <c r="E5964" s="3">
        <v>22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/>
      <c r="P5964" s="3"/>
      <c r="Q5964" s="3"/>
    </row>
    <row r="5965" spans="1:17" ht="15" x14ac:dyDescent="0.25">
      <c r="A5965" s="3">
        <f>5958</f>
        <v>5958</v>
      </c>
      <c r="B5965" s="3" t="s">
        <v>5967</v>
      </c>
      <c r="C5965" s="3" t="s">
        <v>9</v>
      </c>
      <c r="D5965" s="3" t="s">
        <v>10</v>
      </c>
      <c r="E5965" s="3">
        <v>22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/>
      <c r="P5965" s="3"/>
      <c r="Q5965" s="3"/>
    </row>
    <row r="5966" spans="1:17" ht="15" x14ac:dyDescent="0.25">
      <c r="A5966" s="3">
        <f>5959</f>
        <v>5959</v>
      </c>
      <c r="B5966" s="3" t="s">
        <v>5968</v>
      </c>
      <c r="C5966" s="3" t="s">
        <v>9</v>
      </c>
      <c r="D5966" s="3" t="s">
        <v>10</v>
      </c>
      <c r="E5966" s="3">
        <v>22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/>
      <c r="P5966" s="3"/>
      <c r="Q5966" s="3"/>
    </row>
    <row r="5967" spans="1:17" ht="15" x14ac:dyDescent="0.25">
      <c r="A5967" s="3">
        <f>5960</f>
        <v>5960</v>
      </c>
      <c r="B5967" s="3" t="s">
        <v>5969</v>
      </c>
      <c r="C5967" s="3" t="s">
        <v>9</v>
      </c>
      <c r="D5967" s="3" t="s">
        <v>10</v>
      </c>
      <c r="E5967" s="3">
        <v>22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/>
      <c r="P5967" s="3"/>
      <c r="Q5967" s="3"/>
    </row>
    <row r="5968" spans="1:17" ht="15" x14ac:dyDescent="0.25">
      <c r="A5968" s="3">
        <f>5961</f>
        <v>5961</v>
      </c>
      <c r="B5968" s="3" t="s">
        <v>5970</v>
      </c>
      <c r="C5968" s="3" t="s">
        <v>9</v>
      </c>
      <c r="D5968" s="3" t="s">
        <v>10</v>
      </c>
      <c r="E5968" s="3">
        <v>22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/>
      <c r="P5968" s="3"/>
      <c r="Q5968" s="3"/>
    </row>
    <row r="5969" spans="1:17" ht="15" x14ac:dyDescent="0.25">
      <c r="A5969" s="3">
        <f>5962</f>
        <v>5962</v>
      </c>
      <c r="B5969" s="3" t="s">
        <v>5971</v>
      </c>
      <c r="C5969" s="3" t="s">
        <v>9</v>
      </c>
      <c r="D5969" s="3" t="s">
        <v>10</v>
      </c>
      <c r="E5969" s="3">
        <v>22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/>
      <c r="P5969" s="3"/>
      <c r="Q5969" s="3"/>
    </row>
    <row r="5970" spans="1:17" ht="15" x14ac:dyDescent="0.25">
      <c r="A5970" s="3">
        <f>5963</f>
        <v>5963</v>
      </c>
      <c r="B5970" s="3" t="s">
        <v>5972</v>
      </c>
      <c r="C5970" s="3" t="s">
        <v>9</v>
      </c>
      <c r="D5970" s="3" t="s">
        <v>10</v>
      </c>
      <c r="E5970" s="3">
        <v>22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/>
      <c r="P5970" s="3"/>
      <c r="Q5970" s="3"/>
    </row>
    <row r="5971" spans="1:17" ht="15" x14ac:dyDescent="0.25">
      <c r="A5971" s="3">
        <f>5964</f>
        <v>5964</v>
      </c>
      <c r="B5971" s="3" t="s">
        <v>5973</v>
      </c>
      <c r="C5971" s="3" t="s">
        <v>9</v>
      </c>
      <c r="D5971" s="3" t="s">
        <v>10</v>
      </c>
      <c r="E5971" s="3">
        <v>22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/>
      <c r="P5971" s="3"/>
      <c r="Q5971" s="3"/>
    </row>
    <row r="5972" spans="1:17" ht="15" x14ac:dyDescent="0.25">
      <c r="A5972" s="3">
        <f>5965</f>
        <v>5965</v>
      </c>
      <c r="B5972" s="3" t="s">
        <v>5974</v>
      </c>
      <c r="C5972" s="3" t="s">
        <v>9</v>
      </c>
      <c r="D5972" s="3" t="s">
        <v>10</v>
      </c>
      <c r="E5972" s="3">
        <v>22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/>
      <c r="P5972" s="3"/>
      <c r="Q5972" s="3"/>
    </row>
    <row r="5973" spans="1:17" ht="15" x14ac:dyDescent="0.25">
      <c r="A5973" s="3">
        <f>5966</f>
        <v>5966</v>
      </c>
      <c r="B5973" s="3" t="s">
        <v>5975</v>
      </c>
      <c r="C5973" s="3" t="s">
        <v>9</v>
      </c>
      <c r="D5973" s="3" t="s">
        <v>10</v>
      </c>
      <c r="E5973" s="3">
        <v>22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/>
      <c r="P5973" s="3"/>
      <c r="Q5973" s="3"/>
    </row>
    <row r="5974" spans="1:17" ht="15" x14ac:dyDescent="0.25">
      <c r="A5974" s="3">
        <f>5967</f>
        <v>5967</v>
      </c>
      <c r="B5974" s="3" t="s">
        <v>5976</v>
      </c>
      <c r="C5974" s="3" t="s">
        <v>9</v>
      </c>
      <c r="D5974" s="3" t="s">
        <v>10</v>
      </c>
      <c r="E5974" s="3">
        <v>22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/>
      <c r="P5974" s="3"/>
      <c r="Q5974" s="3"/>
    </row>
    <row r="5975" spans="1:17" ht="15" x14ac:dyDescent="0.25">
      <c r="A5975" s="3">
        <f>5968</f>
        <v>5968</v>
      </c>
      <c r="B5975" s="3" t="s">
        <v>5977</v>
      </c>
      <c r="C5975" s="3" t="s">
        <v>9</v>
      </c>
      <c r="D5975" s="3" t="s">
        <v>10</v>
      </c>
      <c r="E5975" s="3">
        <v>22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/>
      <c r="P5975" s="3"/>
      <c r="Q5975" s="3"/>
    </row>
    <row r="5976" spans="1:17" ht="15" x14ac:dyDescent="0.25">
      <c r="A5976" s="3">
        <f>5969</f>
        <v>5969</v>
      </c>
      <c r="B5976" s="3" t="s">
        <v>5978</v>
      </c>
      <c r="C5976" s="3" t="s">
        <v>9</v>
      </c>
      <c r="D5976" s="3" t="s">
        <v>10</v>
      </c>
      <c r="E5976" s="3">
        <v>22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/>
      <c r="P5976" s="3"/>
      <c r="Q5976" s="3"/>
    </row>
    <row r="5977" spans="1:17" ht="15" x14ac:dyDescent="0.25">
      <c r="A5977" s="3">
        <f>5970</f>
        <v>5970</v>
      </c>
      <c r="B5977" s="3" t="s">
        <v>5979</v>
      </c>
      <c r="C5977" s="3" t="s">
        <v>9</v>
      </c>
      <c r="D5977" s="3" t="s">
        <v>10</v>
      </c>
      <c r="E5977" s="3">
        <v>22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/>
      <c r="P5977" s="3"/>
      <c r="Q5977" s="3"/>
    </row>
    <row r="5978" spans="1:17" ht="15" x14ac:dyDescent="0.25">
      <c r="A5978" s="3">
        <f>5971</f>
        <v>5971</v>
      </c>
      <c r="B5978" s="3" t="s">
        <v>5980</v>
      </c>
      <c r="C5978" s="3" t="s">
        <v>9</v>
      </c>
      <c r="D5978" s="3" t="s">
        <v>10</v>
      </c>
      <c r="E5978" s="3">
        <v>22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/>
      <c r="P5978" s="3"/>
      <c r="Q5978" s="3"/>
    </row>
    <row r="5979" spans="1:17" ht="15" x14ac:dyDescent="0.25">
      <c r="A5979" s="3">
        <f>5972</f>
        <v>5972</v>
      </c>
      <c r="B5979" s="3" t="s">
        <v>5981</v>
      </c>
      <c r="C5979" s="3" t="s">
        <v>9</v>
      </c>
      <c r="D5979" s="3" t="s">
        <v>10</v>
      </c>
      <c r="E5979" s="3">
        <v>22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/>
      <c r="P5979" s="3"/>
      <c r="Q5979" s="3"/>
    </row>
    <row r="5980" spans="1:17" ht="15" x14ac:dyDescent="0.25">
      <c r="A5980" s="3">
        <f>5973</f>
        <v>5973</v>
      </c>
      <c r="B5980" s="3" t="s">
        <v>5982</v>
      </c>
      <c r="C5980" s="3" t="s">
        <v>9</v>
      </c>
      <c r="D5980" s="3" t="s">
        <v>10</v>
      </c>
      <c r="E5980" s="3">
        <v>22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/>
      <c r="P5980" s="3"/>
      <c r="Q5980" s="3"/>
    </row>
    <row r="5981" spans="1:17" ht="15" x14ac:dyDescent="0.25">
      <c r="A5981" s="3">
        <f>5974</f>
        <v>5974</v>
      </c>
      <c r="B5981" s="3" t="s">
        <v>5983</v>
      </c>
      <c r="C5981" s="3" t="s">
        <v>9</v>
      </c>
      <c r="D5981" s="3" t="s">
        <v>10</v>
      </c>
      <c r="E5981" s="3">
        <v>22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/>
      <c r="P5981" s="3"/>
      <c r="Q5981" s="3"/>
    </row>
    <row r="5982" spans="1:17" ht="15" x14ac:dyDescent="0.25">
      <c r="A5982" s="3">
        <f>5975</f>
        <v>5975</v>
      </c>
      <c r="B5982" s="3" t="s">
        <v>5984</v>
      </c>
      <c r="C5982" s="3" t="s">
        <v>9</v>
      </c>
      <c r="D5982" s="3" t="s">
        <v>10</v>
      </c>
      <c r="E5982" s="3">
        <v>22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/>
      <c r="P5982" s="3"/>
      <c r="Q5982" s="3"/>
    </row>
    <row r="5983" spans="1:17" ht="15" x14ac:dyDescent="0.25">
      <c r="A5983" s="3">
        <f>5976</f>
        <v>5976</v>
      </c>
      <c r="B5983" s="3" t="s">
        <v>5985</v>
      </c>
      <c r="C5983" s="3" t="s">
        <v>9</v>
      </c>
      <c r="D5983" s="3" t="s">
        <v>10</v>
      </c>
      <c r="E5983" s="3">
        <v>22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/>
      <c r="P5983" s="3"/>
      <c r="Q5983" s="3"/>
    </row>
    <row r="5984" spans="1:17" ht="15" x14ac:dyDescent="0.25">
      <c r="A5984" s="3">
        <f>5977</f>
        <v>5977</v>
      </c>
      <c r="B5984" s="3" t="s">
        <v>5986</v>
      </c>
      <c r="C5984" s="3" t="s">
        <v>9</v>
      </c>
      <c r="D5984" s="3" t="s">
        <v>10</v>
      </c>
      <c r="E5984" s="3">
        <v>22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/>
      <c r="P5984" s="3"/>
      <c r="Q5984" s="3"/>
    </row>
    <row r="5985" spans="1:17" ht="15" x14ac:dyDescent="0.25">
      <c r="A5985" s="3">
        <f>5978</f>
        <v>5978</v>
      </c>
      <c r="B5985" s="3" t="s">
        <v>5987</v>
      </c>
      <c r="C5985" s="3" t="s">
        <v>9</v>
      </c>
      <c r="D5985" s="3" t="s">
        <v>10</v>
      </c>
      <c r="E5985" s="3">
        <v>22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/>
      <c r="P5985" s="3"/>
      <c r="Q5985" s="3"/>
    </row>
    <row r="5986" spans="1:17" ht="15" x14ac:dyDescent="0.25">
      <c r="A5986" s="3">
        <f>5979</f>
        <v>5979</v>
      </c>
      <c r="B5986" s="3" t="s">
        <v>5988</v>
      </c>
      <c r="C5986" s="3" t="s">
        <v>9</v>
      </c>
      <c r="D5986" s="3" t="s">
        <v>10</v>
      </c>
      <c r="E5986" s="3">
        <v>22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/>
      <c r="P5986" s="3"/>
      <c r="Q5986" s="3"/>
    </row>
    <row r="5987" spans="1:17" ht="15" x14ac:dyDescent="0.25">
      <c r="A5987" s="3">
        <f>5980</f>
        <v>5980</v>
      </c>
      <c r="B5987" s="3" t="s">
        <v>5989</v>
      </c>
      <c r="C5987" s="3" t="s">
        <v>9</v>
      </c>
      <c r="D5987" s="3" t="s">
        <v>10</v>
      </c>
      <c r="E5987" s="3">
        <v>22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/>
      <c r="P5987" s="3"/>
      <c r="Q5987" s="3"/>
    </row>
    <row r="5988" spans="1:17" ht="15" x14ac:dyDescent="0.25">
      <c r="A5988" s="3">
        <f>5981</f>
        <v>5981</v>
      </c>
      <c r="B5988" s="3" t="s">
        <v>5990</v>
      </c>
      <c r="C5988" s="3" t="s">
        <v>9</v>
      </c>
      <c r="D5988" s="3" t="s">
        <v>10</v>
      </c>
      <c r="E5988" s="3">
        <v>22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/>
      <c r="P5988" s="3"/>
      <c r="Q5988" s="3"/>
    </row>
    <row r="5989" spans="1:17" ht="15" x14ac:dyDescent="0.25">
      <c r="A5989" s="3">
        <f>5982</f>
        <v>5982</v>
      </c>
      <c r="B5989" s="3" t="s">
        <v>5991</v>
      </c>
      <c r="C5989" s="3" t="s">
        <v>9</v>
      </c>
      <c r="D5989" s="3" t="s">
        <v>10</v>
      </c>
      <c r="E5989" s="3">
        <v>22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/>
      <c r="P5989" s="3"/>
      <c r="Q5989" s="3"/>
    </row>
    <row r="5990" spans="1:17" ht="15" x14ac:dyDescent="0.25">
      <c r="A5990" s="3">
        <f>5983</f>
        <v>5983</v>
      </c>
      <c r="B5990" s="3" t="s">
        <v>5992</v>
      </c>
      <c r="C5990" s="3" t="s">
        <v>9</v>
      </c>
      <c r="D5990" s="3" t="s">
        <v>10</v>
      </c>
      <c r="E5990" s="3">
        <v>22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/>
      <c r="P5990" s="3"/>
      <c r="Q5990" s="3"/>
    </row>
    <row r="5991" spans="1:17" ht="15" x14ac:dyDescent="0.25">
      <c r="A5991" s="3">
        <f>5984</f>
        <v>5984</v>
      </c>
      <c r="B5991" s="3" t="s">
        <v>5993</v>
      </c>
      <c r="C5991" s="3" t="s">
        <v>9</v>
      </c>
      <c r="D5991" s="3" t="s">
        <v>10</v>
      </c>
      <c r="E5991" s="3">
        <v>22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/>
      <c r="P5991" s="3"/>
      <c r="Q5991" s="3"/>
    </row>
    <row r="5992" spans="1:17" ht="15" x14ac:dyDescent="0.25">
      <c r="A5992" s="3">
        <f>5985</f>
        <v>5985</v>
      </c>
      <c r="B5992" s="3" t="s">
        <v>5994</v>
      </c>
      <c r="C5992" s="3" t="s">
        <v>9</v>
      </c>
      <c r="D5992" s="3" t="s">
        <v>10</v>
      </c>
      <c r="E5992" s="3">
        <v>22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/>
      <c r="P5992" s="3"/>
      <c r="Q5992" s="3"/>
    </row>
    <row r="5993" spans="1:17" ht="15" x14ac:dyDescent="0.25">
      <c r="A5993" s="3">
        <f>5986</f>
        <v>5986</v>
      </c>
      <c r="B5993" s="3" t="s">
        <v>5995</v>
      </c>
      <c r="C5993" s="3" t="s">
        <v>9</v>
      </c>
      <c r="D5993" s="3" t="s">
        <v>10</v>
      </c>
      <c r="E5993" s="3">
        <v>22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/>
      <c r="P5993" s="3"/>
      <c r="Q5993" s="3"/>
    </row>
    <row r="5994" spans="1:17" ht="15" x14ac:dyDescent="0.25">
      <c r="A5994" s="3">
        <f>5987</f>
        <v>5987</v>
      </c>
      <c r="B5994" s="3" t="s">
        <v>5996</v>
      </c>
      <c r="C5994" s="3" t="s">
        <v>9</v>
      </c>
      <c r="D5994" s="3" t="s">
        <v>10</v>
      </c>
      <c r="E5994" s="3">
        <v>22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/>
      <c r="P5994" s="3"/>
      <c r="Q5994" s="3"/>
    </row>
    <row r="5995" spans="1:17" ht="15" x14ac:dyDescent="0.25">
      <c r="A5995" s="3">
        <f>5988</f>
        <v>5988</v>
      </c>
      <c r="B5995" s="3" t="s">
        <v>5997</v>
      </c>
      <c r="C5995" s="3" t="s">
        <v>9</v>
      </c>
      <c r="D5995" s="3" t="s">
        <v>10</v>
      </c>
      <c r="E5995" s="3">
        <v>22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/>
      <c r="P5995" s="3"/>
      <c r="Q5995" s="3"/>
    </row>
    <row r="5996" spans="1:17" ht="15" x14ac:dyDescent="0.25">
      <c r="A5996" s="3">
        <f>5989</f>
        <v>5989</v>
      </c>
      <c r="B5996" s="3" t="s">
        <v>5998</v>
      </c>
      <c r="C5996" s="3" t="s">
        <v>9</v>
      </c>
      <c r="D5996" s="3" t="s">
        <v>10</v>
      </c>
      <c r="E5996" s="3">
        <v>22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/>
      <c r="P5996" s="3"/>
      <c r="Q5996" s="3"/>
    </row>
    <row r="5997" spans="1:17" ht="15" x14ac:dyDescent="0.25">
      <c r="A5997" s="3">
        <f>5990</f>
        <v>5990</v>
      </c>
      <c r="B5997" s="3" t="s">
        <v>5999</v>
      </c>
      <c r="C5997" s="3" t="s">
        <v>9</v>
      </c>
      <c r="D5997" s="3" t="s">
        <v>10</v>
      </c>
      <c r="E5997" s="3">
        <v>22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/>
      <c r="P5997" s="3"/>
      <c r="Q5997" s="3"/>
    </row>
    <row r="5998" spans="1:17" ht="15" x14ac:dyDescent="0.25">
      <c r="A5998" s="3">
        <f>5991</f>
        <v>5991</v>
      </c>
      <c r="B5998" s="3" t="s">
        <v>6000</v>
      </c>
      <c r="C5998" s="3" t="s">
        <v>9</v>
      </c>
      <c r="D5998" s="3" t="s">
        <v>10</v>
      </c>
      <c r="E5998" s="3">
        <v>22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/>
      <c r="P5998" s="3"/>
      <c r="Q5998" s="3"/>
    </row>
    <row r="5999" spans="1:17" ht="15" x14ac:dyDescent="0.25">
      <c r="A5999" s="3">
        <f>5992</f>
        <v>5992</v>
      </c>
      <c r="B5999" s="3" t="s">
        <v>6001</v>
      </c>
      <c r="C5999" s="3" t="s">
        <v>9</v>
      </c>
      <c r="D5999" s="3" t="s">
        <v>10</v>
      </c>
      <c r="E5999" s="3">
        <v>22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/>
      <c r="P5999" s="3"/>
      <c r="Q5999" s="3"/>
    </row>
    <row r="6000" spans="1:17" ht="15" x14ac:dyDescent="0.25">
      <c r="A6000" s="3">
        <f>5993</f>
        <v>5993</v>
      </c>
      <c r="B6000" s="3" t="s">
        <v>6002</v>
      </c>
      <c r="C6000" s="3" t="s">
        <v>9</v>
      </c>
      <c r="D6000" s="3" t="s">
        <v>10</v>
      </c>
      <c r="E6000" s="3">
        <v>22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/>
      <c r="P6000" s="3"/>
      <c r="Q6000" s="3"/>
    </row>
    <row r="6001" spans="1:17" ht="15" x14ac:dyDescent="0.25">
      <c r="A6001" s="3">
        <f>5994</f>
        <v>5994</v>
      </c>
      <c r="B6001" s="3" t="s">
        <v>6003</v>
      </c>
      <c r="C6001" s="3" t="s">
        <v>9</v>
      </c>
      <c r="D6001" s="3" t="s">
        <v>10</v>
      </c>
      <c r="E6001" s="3">
        <v>22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/>
      <c r="P6001" s="3"/>
      <c r="Q6001" s="3"/>
    </row>
    <row r="6002" spans="1:17" ht="15" x14ac:dyDescent="0.25">
      <c r="A6002" s="3">
        <f>5995</f>
        <v>5995</v>
      </c>
      <c r="B6002" s="3" t="s">
        <v>6004</v>
      </c>
      <c r="C6002" s="3" t="s">
        <v>9</v>
      </c>
      <c r="D6002" s="3" t="s">
        <v>10</v>
      </c>
      <c r="E6002" s="3">
        <v>22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/>
      <c r="P6002" s="3"/>
      <c r="Q6002" s="3"/>
    </row>
    <row r="6003" spans="1:17" ht="15" x14ac:dyDescent="0.25">
      <c r="A6003" s="3">
        <f>5996</f>
        <v>5996</v>
      </c>
      <c r="B6003" s="3" t="s">
        <v>6005</v>
      </c>
      <c r="C6003" s="3" t="s">
        <v>9</v>
      </c>
      <c r="D6003" s="3" t="s">
        <v>10</v>
      </c>
      <c r="E6003" s="3">
        <v>22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/>
      <c r="P6003" s="3"/>
      <c r="Q6003" s="3"/>
    </row>
    <row r="6004" spans="1:17" ht="15" x14ac:dyDescent="0.25">
      <c r="A6004" s="3">
        <f>5997</f>
        <v>5997</v>
      </c>
      <c r="B6004" s="3" t="s">
        <v>6006</v>
      </c>
      <c r="C6004" s="3" t="s">
        <v>9</v>
      </c>
      <c r="D6004" s="3" t="s">
        <v>10</v>
      </c>
      <c r="E6004" s="3">
        <v>22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/>
      <c r="P6004" s="3"/>
      <c r="Q6004" s="3"/>
    </row>
    <row r="6005" spans="1:17" ht="15" x14ac:dyDescent="0.25">
      <c r="A6005" s="3">
        <f>5998</f>
        <v>5998</v>
      </c>
      <c r="B6005" s="3" t="s">
        <v>6007</v>
      </c>
      <c r="C6005" s="3" t="s">
        <v>9</v>
      </c>
      <c r="D6005" s="3" t="s">
        <v>10</v>
      </c>
      <c r="E6005" s="3">
        <v>22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/>
      <c r="P6005" s="3"/>
      <c r="Q6005" s="3"/>
    </row>
    <row r="6006" spans="1:17" ht="15" x14ac:dyDescent="0.25">
      <c r="A6006" s="3">
        <f>5999</f>
        <v>5999</v>
      </c>
      <c r="B6006" s="3" t="s">
        <v>6008</v>
      </c>
      <c r="C6006" s="3" t="s">
        <v>9</v>
      </c>
      <c r="D6006" s="3" t="s">
        <v>10</v>
      </c>
      <c r="E6006" s="3">
        <v>22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/>
      <c r="P6006" s="3"/>
      <c r="Q6006" s="3"/>
    </row>
    <row r="6007" spans="1:17" ht="15" x14ac:dyDescent="0.25">
      <c r="A6007" s="3">
        <f>6000</f>
        <v>6000</v>
      </c>
      <c r="B6007" s="3" t="s">
        <v>6009</v>
      </c>
      <c r="C6007" s="3" t="s">
        <v>9</v>
      </c>
      <c r="D6007" s="3" t="s">
        <v>10</v>
      </c>
      <c r="E6007" s="3">
        <v>22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/>
      <c r="P6007" s="3"/>
      <c r="Q6007" s="3"/>
    </row>
    <row r="6008" spans="1:17" ht="15" x14ac:dyDescent="0.25">
      <c r="A6008" s="3">
        <f>6001</f>
        <v>6001</v>
      </c>
      <c r="B6008" s="3" t="s">
        <v>6010</v>
      </c>
      <c r="C6008" s="3" t="s">
        <v>9</v>
      </c>
      <c r="D6008" s="3" t="s">
        <v>10</v>
      </c>
      <c r="E6008" s="3">
        <v>22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/>
      <c r="P6008" s="3"/>
      <c r="Q6008" s="3"/>
    </row>
    <row r="6009" spans="1:17" ht="15" x14ac:dyDescent="0.25">
      <c r="A6009" s="3">
        <f>6002</f>
        <v>6002</v>
      </c>
      <c r="B6009" s="3" t="s">
        <v>6011</v>
      </c>
      <c r="C6009" s="3" t="s">
        <v>9</v>
      </c>
      <c r="D6009" s="3" t="s">
        <v>10</v>
      </c>
      <c r="E6009" s="3">
        <v>22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/>
      <c r="P6009" s="3"/>
      <c r="Q6009" s="3"/>
    </row>
    <row r="6010" spans="1:17" ht="15" x14ac:dyDescent="0.25">
      <c r="A6010" s="3">
        <f>6003</f>
        <v>6003</v>
      </c>
      <c r="B6010" s="3" t="s">
        <v>6012</v>
      </c>
      <c r="C6010" s="3" t="s">
        <v>9</v>
      </c>
      <c r="D6010" s="3" t="s">
        <v>10</v>
      </c>
      <c r="E6010" s="3">
        <v>22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/>
      <c r="P6010" s="3"/>
      <c r="Q6010" s="3"/>
    </row>
    <row r="6011" spans="1:17" ht="15" x14ac:dyDescent="0.25">
      <c r="A6011" s="3">
        <f>6004</f>
        <v>6004</v>
      </c>
      <c r="B6011" s="3" t="s">
        <v>6013</v>
      </c>
      <c r="C6011" s="3" t="s">
        <v>9</v>
      </c>
      <c r="D6011" s="3" t="s">
        <v>10</v>
      </c>
      <c r="E6011" s="3">
        <v>22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/>
      <c r="P6011" s="3"/>
      <c r="Q6011" s="3"/>
    </row>
    <row r="6012" spans="1:17" ht="15" x14ac:dyDescent="0.25">
      <c r="A6012" s="3">
        <f>6005</f>
        <v>6005</v>
      </c>
      <c r="B6012" s="3" t="s">
        <v>6014</v>
      </c>
      <c r="C6012" s="3" t="s">
        <v>9</v>
      </c>
      <c r="D6012" s="3" t="s">
        <v>10</v>
      </c>
      <c r="E6012" s="3">
        <v>22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/>
      <c r="P6012" s="3"/>
      <c r="Q6012" s="3"/>
    </row>
    <row r="6013" spans="1:17" ht="15" x14ac:dyDescent="0.25">
      <c r="A6013" s="3">
        <f>6006</f>
        <v>6006</v>
      </c>
      <c r="B6013" s="3" t="s">
        <v>6015</v>
      </c>
      <c r="C6013" s="3" t="s">
        <v>9</v>
      </c>
      <c r="D6013" s="3" t="s">
        <v>10</v>
      </c>
      <c r="E6013" s="3">
        <v>22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/>
      <c r="P6013" s="3"/>
      <c r="Q6013" s="3"/>
    </row>
    <row r="6014" spans="1:17" ht="15" x14ac:dyDescent="0.25">
      <c r="A6014" s="3">
        <f>6007</f>
        <v>6007</v>
      </c>
      <c r="B6014" s="3" t="s">
        <v>6016</v>
      </c>
      <c r="C6014" s="3" t="s">
        <v>9</v>
      </c>
      <c r="D6014" s="3" t="s">
        <v>10</v>
      </c>
      <c r="E6014" s="3">
        <v>22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/>
      <c r="P6014" s="3"/>
      <c r="Q6014" s="3"/>
    </row>
    <row r="6015" spans="1:17" ht="15" x14ac:dyDescent="0.25">
      <c r="A6015" s="3">
        <f>6008</f>
        <v>6008</v>
      </c>
      <c r="B6015" s="3" t="s">
        <v>6017</v>
      </c>
      <c r="C6015" s="3" t="s">
        <v>9</v>
      </c>
      <c r="D6015" s="3" t="s">
        <v>10</v>
      </c>
      <c r="E6015" s="3">
        <v>22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/>
      <c r="P6015" s="3"/>
      <c r="Q6015" s="3"/>
    </row>
    <row r="6016" spans="1:17" ht="15" x14ac:dyDescent="0.25">
      <c r="A6016" s="3">
        <f>6009</f>
        <v>6009</v>
      </c>
      <c r="B6016" s="3" t="s">
        <v>6018</v>
      </c>
      <c r="C6016" s="3" t="s">
        <v>9</v>
      </c>
      <c r="D6016" s="3" t="s">
        <v>10</v>
      </c>
      <c r="E6016" s="3">
        <v>22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/>
      <c r="P6016" s="3"/>
      <c r="Q6016" s="3"/>
    </row>
    <row r="6017" spans="1:17" ht="15" x14ac:dyDescent="0.25">
      <c r="A6017" s="3">
        <f>6010</f>
        <v>6010</v>
      </c>
      <c r="B6017" s="3" t="s">
        <v>6019</v>
      </c>
      <c r="C6017" s="3" t="s">
        <v>9</v>
      </c>
      <c r="D6017" s="3" t="s">
        <v>10</v>
      </c>
      <c r="E6017" s="3">
        <v>22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/>
      <c r="P6017" s="3"/>
      <c r="Q6017" s="3"/>
    </row>
    <row r="6018" spans="1:17" ht="15" x14ac:dyDescent="0.25">
      <c r="A6018" s="3">
        <f>6011</f>
        <v>6011</v>
      </c>
      <c r="B6018" s="3" t="s">
        <v>6020</v>
      </c>
      <c r="C6018" s="3" t="s">
        <v>9</v>
      </c>
      <c r="D6018" s="3" t="s">
        <v>10</v>
      </c>
      <c r="E6018" s="3">
        <v>22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/>
      <c r="P6018" s="3"/>
      <c r="Q6018" s="3"/>
    </row>
    <row r="6019" spans="1:17" ht="15" x14ac:dyDescent="0.25">
      <c r="A6019" s="3">
        <f>6012</f>
        <v>6012</v>
      </c>
      <c r="B6019" s="3" t="s">
        <v>6021</v>
      </c>
      <c r="C6019" s="3" t="s">
        <v>9</v>
      </c>
      <c r="D6019" s="3" t="s">
        <v>10</v>
      </c>
      <c r="E6019" s="3">
        <v>22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/>
      <c r="P6019" s="3"/>
      <c r="Q6019" s="3"/>
    </row>
    <row r="6020" spans="1:17" ht="15" x14ac:dyDescent="0.25">
      <c r="A6020" s="3">
        <f>6013</f>
        <v>6013</v>
      </c>
      <c r="B6020" s="3" t="s">
        <v>6022</v>
      </c>
      <c r="C6020" s="3" t="s">
        <v>9</v>
      </c>
      <c r="D6020" s="3" t="s">
        <v>10</v>
      </c>
      <c r="E6020" s="3">
        <v>22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/>
      <c r="P6020" s="3"/>
      <c r="Q6020" s="3"/>
    </row>
    <row r="6021" spans="1:17" ht="15" x14ac:dyDescent="0.25">
      <c r="A6021" s="3">
        <f>6014</f>
        <v>6014</v>
      </c>
      <c r="B6021" s="3" t="s">
        <v>6023</v>
      </c>
      <c r="C6021" s="3" t="s">
        <v>9</v>
      </c>
      <c r="D6021" s="3" t="s">
        <v>10</v>
      </c>
      <c r="E6021" s="3">
        <v>22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/>
      <c r="P6021" s="3"/>
      <c r="Q6021" s="3"/>
    </row>
    <row r="6022" spans="1:17" ht="15" x14ac:dyDescent="0.25">
      <c r="A6022" s="3">
        <f>6015</f>
        <v>6015</v>
      </c>
      <c r="B6022" s="3" t="s">
        <v>6024</v>
      </c>
      <c r="C6022" s="3" t="s">
        <v>9</v>
      </c>
      <c r="D6022" s="3" t="s">
        <v>10</v>
      </c>
      <c r="E6022" s="3">
        <v>22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/>
      <c r="P6022" s="3"/>
      <c r="Q6022" s="3"/>
    </row>
    <row r="6023" spans="1:17" ht="15" x14ac:dyDescent="0.25">
      <c r="A6023" s="3">
        <f>6016</f>
        <v>6016</v>
      </c>
      <c r="B6023" s="3" t="s">
        <v>6025</v>
      </c>
      <c r="C6023" s="3" t="s">
        <v>9</v>
      </c>
      <c r="D6023" s="3" t="s">
        <v>10</v>
      </c>
      <c r="E6023" s="3">
        <v>22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/>
      <c r="P6023" s="3"/>
      <c r="Q6023" s="3"/>
    </row>
    <row r="6024" spans="1:17" ht="15" x14ac:dyDescent="0.25">
      <c r="A6024" s="3">
        <f>6017</f>
        <v>6017</v>
      </c>
      <c r="B6024" s="3" t="s">
        <v>6026</v>
      </c>
      <c r="C6024" s="3" t="s">
        <v>9</v>
      </c>
      <c r="D6024" s="3" t="s">
        <v>10</v>
      </c>
      <c r="E6024" s="3">
        <v>22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/>
      <c r="P6024" s="3"/>
      <c r="Q6024" s="3"/>
    </row>
    <row r="6025" spans="1:17" ht="15" x14ac:dyDescent="0.25">
      <c r="A6025" s="3">
        <f>6018</f>
        <v>6018</v>
      </c>
      <c r="B6025" s="3" t="s">
        <v>6027</v>
      </c>
      <c r="C6025" s="3" t="s">
        <v>9</v>
      </c>
      <c r="D6025" s="3" t="s">
        <v>10</v>
      </c>
      <c r="E6025" s="3">
        <v>22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/>
      <c r="P6025" s="3"/>
      <c r="Q6025" s="3"/>
    </row>
    <row r="6026" spans="1:17" ht="15" x14ac:dyDescent="0.25">
      <c r="A6026" s="3">
        <f>6019</f>
        <v>6019</v>
      </c>
      <c r="B6026" s="3" t="s">
        <v>6028</v>
      </c>
      <c r="C6026" s="3" t="s">
        <v>9</v>
      </c>
      <c r="D6026" s="3" t="s">
        <v>10</v>
      </c>
      <c r="E6026" s="3">
        <v>22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/>
      <c r="P6026" s="3"/>
      <c r="Q6026" s="3"/>
    </row>
    <row r="6027" spans="1:17" ht="15" x14ac:dyDescent="0.25">
      <c r="A6027" s="3">
        <f>6020</f>
        <v>6020</v>
      </c>
      <c r="B6027" s="3" t="s">
        <v>6029</v>
      </c>
      <c r="C6027" s="3" t="s">
        <v>9</v>
      </c>
      <c r="D6027" s="3" t="s">
        <v>10</v>
      </c>
      <c r="E6027" s="3">
        <v>22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/>
      <c r="P6027" s="3"/>
      <c r="Q6027" s="3"/>
    </row>
    <row r="6028" spans="1:17" ht="15" x14ac:dyDescent="0.25">
      <c r="A6028" s="3">
        <f>6021</f>
        <v>6021</v>
      </c>
      <c r="B6028" s="3" t="s">
        <v>6030</v>
      </c>
      <c r="C6028" s="3" t="s">
        <v>9</v>
      </c>
      <c r="D6028" s="3" t="s">
        <v>10</v>
      </c>
      <c r="E6028" s="3">
        <v>22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/>
      <c r="P6028" s="3"/>
      <c r="Q6028" s="3"/>
    </row>
    <row r="6029" spans="1:17" ht="15" x14ac:dyDescent="0.25">
      <c r="A6029" s="3">
        <f>6022</f>
        <v>6022</v>
      </c>
      <c r="B6029" s="3" t="s">
        <v>6031</v>
      </c>
      <c r="C6029" s="3" t="s">
        <v>9</v>
      </c>
      <c r="D6029" s="3" t="s">
        <v>10</v>
      </c>
      <c r="E6029" s="3">
        <v>22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/>
      <c r="P6029" s="3"/>
      <c r="Q6029" s="3"/>
    </row>
    <row r="6030" spans="1:17" ht="15" x14ac:dyDescent="0.25">
      <c r="A6030" s="3">
        <f>6023</f>
        <v>6023</v>
      </c>
      <c r="B6030" s="3" t="s">
        <v>6032</v>
      </c>
      <c r="C6030" s="3" t="s">
        <v>9</v>
      </c>
      <c r="D6030" s="3" t="s">
        <v>10</v>
      </c>
      <c r="E6030" s="3">
        <v>22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/>
      <c r="P6030" s="3"/>
      <c r="Q6030" s="3"/>
    </row>
    <row r="6031" spans="1:17" ht="15" x14ac:dyDescent="0.25">
      <c r="A6031" s="3">
        <f>6024</f>
        <v>6024</v>
      </c>
      <c r="B6031" s="3" t="s">
        <v>6033</v>
      </c>
      <c r="C6031" s="3" t="s">
        <v>9</v>
      </c>
      <c r="D6031" s="3" t="s">
        <v>10</v>
      </c>
      <c r="E6031" s="3">
        <v>22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/>
      <c r="P6031" s="3"/>
      <c r="Q6031" s="3"/>
    </row>
    <row r="6032" spans="1:17" ht="15" x14ac:dyDescent="0.25">
      <c r="A6032" s="3">
        <f>6025</f>
        <v>6025</v>
      </c>
      <c r="B6032" s="3" t="s">
        <v>6034</v>
      </c>
      <c r="C6032" s="3" t="s">
        <v>9</v>
      </c>
      <c r="D6032" s="3" t="s">
        <v>10</v>
      </c>
      <c r="E6032" s="3">
        <v>22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/>
      <c r="P6032" s="3"/>
      <c r="Q6032" s="3"/>
    </row>
    <row r="6033" spans="1:17" ht="15" x14ac:dyDescent="0.25">
      <c r="A6033" s="3">
        <f>6026</f>
        <v>6026</v>
      </c>
      <c r="B6033" s="3" t="s">
        <v>6035</v>
      </c>
      <c r="C6033" s="3" t="s">
        <v>9</v>
      </c>
      <c r="D6033" s="3" t="s">
        <v>10</v>
      </c>
      <c r="E6033" s="3">
        <v>22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/>
      <c r="P6033" s="3"/>
      <c r="Q6033" s="3"/>
    </row>
    <row r="6034" spans="1:17" ht="15" x14ac:dyDescent="0.25">
      <c r="A6034" s="3">
        <f>6027</f>
        <v>6027</v>
      </c>
      <c r="B6034" s="3" t="s">
        <v>6036</v>
      </c>
      <c r="C6034" s="3" t="s">
        <v>9</v>
      </c>
      <c r="D6034" s="3" t="s">
        <v>10</v>
      </c>
      <c r="E6034" s="3">
        <v>22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/>
      <c r="P6034" s="3"/>
      <c r="Q6034" s="3"/>
    </row>
    <row r="6035" spans="1:17" ht="15" x14ac:dyDescent="0.25">
      <c r="A6035" s="3">
        <f>6028</f>
        <v>6028</v>
      </c>
      <c r="B6035" s="3" t="s">
        <v>6037</v>
      </c>
      <c r="C6035" s="3" t="s">
        <v>9</v>
      </c>
      <c r="D6035" s="3" t="s">
        <v>10</v>
      </c>
      <c r="E6035" s="3">
        <v>22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/>
      <c r="P6035" s="3"/>
      <c r="Q6035" s="3"/>
    </row>
    <row r="6036" spans="1:17" ht="15" x14ac:dyDescent="0.25">
      <c r="A6036" s="3">
        <f>6029</f>
        <v>6029</v>
      </c>
      <c r="B6036" s="3" t="s">
        <v>6038</v>
      </c>
      <c r="C6036" s="3" t="s">
        <v>9</v>
      </c>
      <c r="D6036" s="3" t="s">
        <v>10</v>
      </c>
      <c r="E6036" s="3">
        <v>22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/>
      <c r="P6036" s="3"/>
      <c r="Q6036" s="3"/>
    </row>
    <row r="6037" spans="1:17" ht="15" x14ac:dyDescent="0.25">
      <c r="A6037" s="3">
        <f>6030</f>
        <v>6030</v>
      </c>
      <c r="B6037" s="3" t="s">
        <v>6039</v>
      </c>
      <c r="C6037" s="3" t="s">
        <v>9</v>
      </c>
      <c r="D6037" s="3" t="s">
        <v>10</v>
      </c>
      <c r="E6037" s="3">
        <v>22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/>
      <c r="P6037" s="3"/>
      <c r="Q6037" s="3"/>
    </row>
    <row r="6038" spans="1:17" ht="15" x14ac:dyDescent="0.25">
      <c r="A6038" s="3">
        <f>6031</f>
        <v>6031</v>
      </c>
      <c r="B6038" s="3" t="s">
        <v>6040</v>
      </c>
      <c r="C6038" s="3" t="s">
        <v>9</v>
      </c>
      <c r="D6038" s="3" t="s">
        <v>10</v>
      </c>
      <c r="E6038" s="3">
        <v>22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/>
      <c r="P6038" s="3"/>
      <c r="Q6038" s="3"/>
    </row>
    <row r="6039" spans="1:17" ht="15" x14ac:dyDescent="0.25">
      <c r="A6039" s="3">
        <f>6032</f>
        <v>6032</v>
      </c>
      <c r="B6039" s="3" t="s">
        <v>6041</v>
      </c>
      <c r="C6039" s="3" t="s">
        <v>9</v>
      </c>
      <c r="D6039" s="3" t="s">
        <v>10</v>
      </c>
      <c r="E6039" s="3">
        <v>22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/>
      <c r="P6039" s="3"/>
      <c r="Q6039" s="3"/>
    </row>
    <row r="6040" spans="1:17" ht="15" x14ac:dyDescent="0.25">
      <c r="A6040" s="3">
        <f>6033</f>
        <v>6033</v>
      </c>
      <c r="B6040" s="3" t="s">
        <v>6042</v>
      </c>
      <c r="C6040" s="3" t="s">
        <v>9</v>
      </c>
      <c r="D6040" s="3" t="s">
        <v>10</v>
      </c>
      <c r="E6040" s="3">
        <v>22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/>
      <c r="P6040" s="3"/>
      <c r="Q6040" s="3"/>
    </row>
    <row r="6041" spans="1:17" ht="15" x14ac:dyDescent="0.25">
      <c r="A6041" s="3">
        <f>6034</f>
        <v>6034</v>
      </c>
      <c r="B6041" s="3" t="s">
        <v>6043</v>
      </c>
      <c r="C6041" s="3" t="s">
        <v>9</v>
      </c>
      <c r="D6041" s="3" t="s">
        <v>10</v>
      </c>
      <c r="E6041" s="3">
        <v>22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/>
      <c r="P6041" s="3"/>
      <c r="Q6041" s="3"/>
    </row>
    <row r="6042" spans="1:17" ht="15" x14ac:dyDescent="0.25">
      <c r="A6042" s="3">
        <f>6035</f>
        <v>6035</v>
      </c>
      <c r="B6042" s="3" t="s">
        <v>6044</v>
      </c>
      <c r="C6042" s="3" t="s">
        <v>9</v>
      </c>
      <c r="D6042" s="3" t="s">
        <v>10</v>
      </c>
      <c r="E6042" s="3">
        <v>22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/>
      <c r="P6042" s="3"/>
      <c r="Q6042" s="3"/>
    </row>
    <row r="6043" spans="1:17" ht="15" x14ac:dyDescent="0.25">
      <c r="A6043" s="3">
        <f>6036</f>
        <v>6036</v>
      </c>
      <c r="B6043" s="3" t="s">
        <v>6045</v>
      </c>
      <c r="C6043" s="3" t="s">
        <v>9</v>
      </c>
      <c r="D6043" s="3" t="s">
        <v>10</v>
      </c>
      <c r="E6043" s="3">
        <v>22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/>
      <c r="P6043" s="3"/>
      <c r="Q6043" s="3"/>
    </row>
    <row r="6044" spans="1:17" ht="15" x14ac:dyDescent="0.25">
      <c r="A6044" s="3">
        <f>6037</f>
        <v>6037</v>
      </c>
      <c r="B6044" s="3" t="s">
        <v>6046</v>
      </c>
      <c r="C6044" s="3" t="s">
        <v>9</v>
      </c>
      <c r="D6044" s="3" t="s">
        <v>10</v>
      </c>
      <c r="E6044" s="3">
        <v>22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/>
      <c r="P6044" s="3"/>
      <c r="Q6044" s="3"/>
    </row>
    <row r="6045" spans="1:17" ht="15" x14ac:dyDescent="0.25">
      <c r="A6045" s="3">
        <f>6038</f>
        <v>6038</v>
      </c>
      <c r="B6045" s="3" t="s">
        <v>6047</v>
      </c>
      <c r="C6045" s="3" t="s">
        <v>9</v>
      </c>
      <c r="D6045" s="3" t="s">
        <v>10</v>
      </c>
      <c r="E6045" s="3">
        <v>22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/>
      <c r="P6045" s="3"/>
      <c r="Q6045" s="3"/>
    </row>
    <row r="6046" spans="1:17" ht="15" x14ac:dyDescent="0.25">
      <c r="A6046" s="3">
        <f>6039</f>
        <v>6039</v>
      </c>
      <c r="B6046" s="3" t="s">
        <v>6048</v>
      </c>
      <c r="C6046" s="3" t="s">
        <v>9</v>
      </c>
      <c r="D6046" s="3" t="s">
        <v>10</v>
      </c>
      <c r="E6046" s="3">
        <v>22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/>
      <c r="P6046" s="3"/>
      <c r="Q6046" s="3"/>
    </row>
    <row r="6047" spans="1:17" ht="15" x14ac:dyDescent="0.25">
      <c r="A6047" s="3">
        <f>6040</f>
        <v>6040</v>
      </c>
      <c r="B6047" s="3" t="s">
        <v>6049</v>
      </c>
      <c r="C6047" s="3" t="s">
        <v>9</v>
      </c>
      <c r="D6047" s="3" t="s">
        <v>10</v>
      </c>
      <c r="E6047" s="3">
        <v>22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/>
      <c r="P6047" s="3"/>
      <c r="Q6047" s="3"/>
    </row>
    <row r="6048" spans="1:17" ht="15" x14ac:dyDescent="0.25">
      <c r="A6048" s="3">
        <f>6041</f>
        <v>6041</v>
      </c>
      <c r="B6048" s="3" t="s">
        <v>6050</v>
      </c>
      <c r="C6048" s="3" t="s">
        <v>9</v>
      </c>
      <c r="D6048" s="3" t="s">
        <v>10</v>
      </c>
      <c r="E6048" s="3">
        <v>22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/>
      <c r="P6048" s="3"/>
      <c r="Q6048" s="3"/>
    </row>
    <row r="6049" spans="1:17" ht="15" x14ac:dyDescent="0.25">
      <c r="A6049" s="3">
        <f>6042</f>
        <v>6042</v>
      </c>
      <c r="B6049" s="3" t="s">
        <v>6051</v>
      </c>
      <c r="C6049" s="3" t="s">
        <v>9</v>
      </c>
      <c r="D6049" s="3" t="s">
        <v>10</v>
      </c>
      <c r="E6049" s="3">
        <v>22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/>
      <c r="P6049" s="3"/>
      <c r="Q6049" s="3"/>
    </row>
    <row r="6050" spans="1:17" ht="15" x14ac:dyDescent="0.25">
      <c r="A6050" s="3">
        <f>6043</f>
        <v>6043</v>
      </c>
      <c r="B6050" s="3" t="s">
        <v>6052</v>
      </c>
      <c r="C6050" s="3" t="s">
        <v>9</v>
      </c>
      <c r="D6050" s="3" t="s">
        <v>10</v>
      </c>
      <c r="E6050" s="3">
        <v>22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/>
      <c r="P6050" s="3"/>
      <c r="Q6050" s="3"/>
    </row>
    <row r="6051" spans="1:17" ht="15" x14ac:dyDescent="0.25">
      <c r="A6051" s="3">
        <f>6044</f>
        <v>6044</v>
      </c>
      <c r="B6051" s="3" t="s">
        <v>6053</v>
      </c>
      <c r="C6051" s="3" t="s">
        <v>9</v>
      </c>
      <c r="D6051" s="3" t="s">
        <v>10</v>
      </c>
      <c r="E6051" s="3">
        <v>22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/>
      <c r="P6051" s="3"/>
      <c r="Q6051" s="3"/>
    </row>
    <row r="6052" spans="1:17" ht="15" x14ac:dyDescent="0.25">
      <c r="A6052" s="3">
        <f>6045</f>
        <v>6045</v>
      </c>
      <c r="B6052" s="3" t="s">
        <v>6054</v>
      </c>
      <c r="C6052" s="3" t="s">
        <v>9</v>
      </c>
      <c r="D6052" s="3" t="s">
        <v>10</v>
      </c>
      <c r="E6052" s="3">
        <v>22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/>
      <c r="P6052" s="3"/>
      <c r="Q6052" s="3"/>
    </row>
    <row r="6053" spans="1:17" ht="15" x14ac:dyDescent="0.25">
      <c r="A6053" s="3">
        <f>6046</f>
        <v>6046</v>
      </c>
      <c r="B6053" s="3" t="s">
        <v>6055</v>
      </c>
      <c r="C6053" s="3" t="s">
        <v>9</v>
      </c>
      <c r="D6053" s="3" t="s">
        <v>10</v>
      </c>
      <c r="E6053" s="3">
        <v>22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/>
      <c r="P6053" s="3"/>
      <c r="Q6053" s="3"/>
    </row>
    <row r="6054" spans="1:17" ht="15" x14ac:dyDescent="0.25">
      <c r="A6054" s="3">
        <f>6047</f>
        <v>6047</v>
      </c>
      <c r="B6054" s="3" t="s">
        <v>6056</v>
      </c>
      <c r="C6054" s="3" t="s">
        <v>9</v>
      </c>
      <c r="D6054" s="3" t="s">
        <v>10</v>
      </c>
      <c r="E6054" s="3">
        <v>22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/>
      <c r="P6054" s="3"/>
      <c r="Q6054" s="3"/>
    </row>
    <row r="6055" spans="1:17" ht="15" x14ac:dyDescent="0.25">
      <c r="A6055" s="3">
        <f>6048</f>
        <v>6048</v>
      </c>
      <c r="B6055" s="3" t="s">
        <v>6057</v>
      </c>
      <c r="C6055" s="3" t="s">
        <v>9</v>
      </c>
      <c r="D6055" s="3" t="s">
        <v>10</v>
      </c>
      <c r="E6055" s="3">
        <v>22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/>
      <c r="P6055" s="3"/>
      <c r="Q6055" s="3"/>
    </row>
    <row r="6056" spans="1:17" ht="15" x14ac:dyDescent="0.25">
      <c r="A6056" s="3">
        <f>6049</f>
        <v>6049</v>
      </c>
      <c r="B6056" s="3" t="s">
        <v>6058</v>
      </c>
      <c r="C6056" s="3" t="s">
        <v>9</v>
      </c>
      <c r="D6056" s="3" t="s">
        <v>10</v>
      </c>
      <c r="E6056" s="3">
        <v>22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/>
      <c r="P6056" s="3"/>
      <c r="Q6056" s="3"/>
    </row>
    <row r="6057" spans="1:17" ht="15" x14ac:dyDescent="0.25">
      <c r="A6057" s="3">
        <f>6050</f>
        <v>6050</v>
      </c>
      <c r="B6057" s="3" t="s">
        <v>6059</v>
      </c>
      <c r="C6057" s="3" t="s">
        <v>9</v>
      </c>
      <c r="D6057" s="3" t="s">
        <v>10</v>
      </c>
      <c r="E6057" s="3">
        <v>22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/>
      <c r="P6057" s="3"/>
      <c r="Q6057" s="3"/>
    </row>
    <row r="6058" spans="1:17" ht="15" x14ac:dyDescent="0.25">
      <c r="A6058" s="3">
        <f>6051</f>
        <v>6051</v>
      </c>
      <c r="B6058" s="3" t="s">
        <v>6060</v>
      </c>
      <c r="C6058" s="3" t="s">
        <v>9</v>
      </c>
      <c r="D6058" s="3" t="s">
        <v>10</v>
      </c>
      <c r="E6058" s="3">
        <v>22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/>
      <c r="P6058" s="3"/>
      <c r="Q6058" s="3"/>
    </row>
    <row r="6059" spans="1:17" ht="15" x14ac:dyDescent="0.25">
      <c r="A6059" s="3">
        <f>6052</f>
        <v>6052</v>
      </c>
      <c r="B6059" s="3" t="s">
        <v>6061</v>
      </c>
      <c r="C6059" s="3" t="s">
        <v>9</v>
      </c>
      <c r="D6059" s="3" t="s">
        <v>10</v>
      </c>
      <c r="E6059" s="3">
        <v>22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/>
      <c r="P6059" s="3"/>
      <c r="Q6059" s="3"/>
    </row>
    <row r="6060" spans="1:17" ht="15" x14ac:dyDescent="0.25">
      <c r="A6060" s="3">
        <f>6053</f>
        <v>6053</v>
      </c>
      <c r="B6060" s="3" t="s">
        <v>6062</v>
      </c>
      <c r="C6060" s="3" t="s">
        <v>9</v>
      </c>
      <c r="D6060" s="3" t="s">
        <v>10</v>
      </c>
      <c r="E6060" s="3">
        <v>22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/>
      <c r="P6060" s="3"/>
      <c r="Q6060" s="3"/>
    </row>
    <row r="6061" spans="1:17" ht="15" x14ac:dyDescent="0.25">
      <c r="A6061" s="3">
        <f>6054</f>
        <v>6054</v>
      </c>
      <c r="B6061" s="3" t="s">
        <v>6063</v>
      </c>
      <c r="C6061" s="3" t="s">
        <v>9</v>
      </c>
      <c r="D6061" s="3" t="s">
        <v>10</v>
      </c>
      <c r="E6061" s="3">
        <v>22</v>
      </c>
      <c r="F6061" s="3">
        <v>0</v>
      </c>
      <c r="G6061" s="3">
        <v>0</v>
      </c>
      <c r="H6061" s="3">
        <v>20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/>
      <c r="P6061" s="3"/>
      <c r="Q6061" s="3"/>
    </row>
    <row r="6062" spans="1:17" ht="15" x14ac:dyDescent="0.25">
      <c r="A6062" s="3">
        <f>6055</f>
        <v>6055</v>
      </c>
      <c r="B6062" s="3" t="s">
        <v>6064</v>
      </c>
      <c r="C6062" s="3" t="s">
        <v>9</v>
      </c>
      <c r="D6062" s="3" t="s">
        <v>10</v>
      </c>
      <c r="E6062" s="3">
        <v>22</v>
      </c>
      <c r="F6062" s="3">
        <v>0</v>
      </c>
      <c r="G6062" s="3">
        <v>1</v>
      </c>
      <c r="H6062" s="3">
        <v>20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/>
      <c r="P6062" s="3"/>
      <c r="Q6062" s="3"/>
    </row>
    <row r="6063" spans="1:17" ht="15" x14ac:dyDescent="0.25">
      <c r="A6063" s="3">
        <f>6056</f>
        <v>6056</v>
      </c>
      <c r="B6063" s="3" t="s">
        <v>6065</v>
      </c>
      <c r="C6063" s="3" t="s">
        <v>9</v>
      </c>
      <c r="D6063" s="3" t="s">
        <v>10</v>
      </c>
      <c r="E6063" s="3">
        <v>22</v>
      </c>
      <c r="F6063" s="3">
        <v>0</v>
      </c>
      <c r="G6063" s="3">
        <v>1</v>
      </c>
      <c r="H6063" s="3">
        <v>20</v>
      </c>
      <c r="I6063" s="3">
        <v>0</v>
      </c>
      <c r="J6063" s="3">
        <v>1</v>
      </c>
      <c r="K6063" s="3">
        <v>0</v>
      </c>
      <c r="L6063" s="3">
        <v>1</v>
      </c>
      <c r="M6063" s="3">
        <v>20</v>
      </c>
      <c r="N6063" s="3">
        <v>0</v>
      </c>
      <c r="O6063" s="3"/>
      <c r="P6063" s="3"/>
      <c r="Q6063" s="3"/>
    </row>
    <row r="6064" spans="1:17" ht="15" x14ac:dyDescent="0.25">
      <c r="A6064" s="3">
        <f>6057</f>
        <v>6057</v>
      </c>
      <c r="B6064" s="3" t="s">
        <v>6066</v>
      </c>
      <c r="C6064" s="3" t="s">
        <v>9</v>
      </c>
      <c r="D6064" s="3" t="s">
        <v>10</v>
      </c>
      <c r="E6064" s="3">
        <v>22</v>
      </c>
      <c r="F6064" s="3">
        <v>0</v>
      </c>
      <c r="G6064" s="3">
        <v>1</v>
      </c>
      <c r="H6064" s="3">
        <v>20</v>
      </c>
      <c r="I6064" s="3">
        <v>0</v>
      </c>
      <c r="J6064" s="3">
        <v>1</v>
      </c>
      <c r="K6064" s="3">
        <v>0</v>
      </c>
      <c r="L6064" s="3">
        <v>1</v>
      </c>
      <c r="M6064" s="3">
        <v>20</v>
      </c>
      <c r="N6064" s="3">
        <v>0</v>
      </c>
      <c r="O6064" s="3"/>
      <c r="P6064" s="3"/>
      <c r="Q6064" s="3"/>
    </row>
    <row r="6065" spans="1:17" ht="15" x14ac:dyDescent="0.25">
      <c r="A6065" s="3">
        <f>6058</f>
        <v>6058</v>
      </c>
      <c r="B6065" s="3" t="s">
        <v>6067</v>
      </c>
      <c r="C6065" s="3" t="s">
        <v>9</v>
      </c>
      <c r="D6065" s="3" t="s">
        <v>10</v>
      </c>
      <c r="E6065" s="3">
        <v>22</v>
      </c>
      <c r="F6065" s="3">
        <v>0</v>
      </c>
      <c r="G6065" s="3">
        <v>1</v>
      </c>
      <c r="H6065" s="3">
        <v>20</v>
      </c>
      <c r="I6065" s="3">
        <v>0</v>
      </c>
      <c r="J6065" s="3">
        <v>1</v>
      </c>
      <c r="K6065" s="3">
        <v>0</v>
      </c>
      <c r="L6065" s="3">
        <v>1</v>
      </c>
      <c r="M6065" s="3">
        <v>20</v>
      </c>
      <c r="N6065" s="3">
        <v>0</v>
      </c>
      <c r="O6065" s="3"/>
      <c r="P6065" s="3"/>
      <c r="Q6065" s="3"/>
    </row>
    <row r="6066" spans="1:17" ht="15" x14ac:dyDescent="0.25">
      <c r="A6066" s="3">
        <f>6059</f>
        <v>6059</v>
      </c>
      <c r="B6066" s="3" t="s">
        <v>6068</v>
      </c>
      <c r="C6066" s="3" t="s">
        <v>9</v>
      </c>
      <c r="D6066" s="3" t="s">
        <v>10</v>
      </c>
      <c r="E6066" s="3">
        <v>22</v>
      </c>
      <c r="F6066" s="3">
        <v>0</v>
      </c>
      <c r="G6066" s="3">
        <v>1</v>
      </c>
      <c r="H6066" s="3">
        <v>20</v>
      </c>
      <c r="I6066" s="3">
        <v>0</v>
      </c>
      <c r="J6066" s="3">
        <v>1</v>
      </c>
      <c r="K6066" s="3">
        <v>0</v>
      </c>
      <c r="L6066" s="3">
        <v>1</v>
      </c>
      <c r="M6066" s="3">
        <v>20</v>
      </c>
      <c r="N6066" s="3">
        <v>0</v>
      </c>
      <c r="O6066" s="3"/>
      <c r="P6066" s="3"/>
      <c r="Q6066" s="3"/>
    </row>
    <row r="6067" spans="1:17" ht="15" x14ac:dyDescent="0.25">
      <c r="A6067" s="3">
        <f>6060</f>
        <v>6060</v>
      </c>
      <c r="B6067" s="3" t="s">
        <v>6069</v>
      </c>
      <c r="C6067" s="3" t="s">
        <v>9</v>
      </c>
      <c r="D6067" s="3" t="s">
        <v>10</v>
      </c>
      <c r="E6067" s="3">
        <v>22</v>
      </c>
      <c r="F6067" s="3">
        <v>0</v>
      </c>
      <c r="G6067" s="3">
        <v>1</v>
      </c>
      <c r="H6067" s="3">
        <v>20</v>
      </c>
      <c r="I6067" s="3">
        <v>0</v>
      </c>
      <c r="J6067" s="3">
        <v>1</v>
      </c>
      <c r="K6067" s="3">
        <v>0</v>
      </c>
      <c r="L6067" s="3">
        <v>1</v>
      </c>
      <c r="M6067" s="3">
        <v>20</v>
      </c>
      <c r="N6067" s="3">
        <v>0</v>
      </c>
      <c r="O6067" s="3"/>
      <c r="P6067" s="3"/>
      <c r="Q6067" s="3"/>
    </row>
    <row r="6068" spans="1:17" ht="15" x14ac:dyDescent="0.25">
      <c r="A6068" s="3">
        <f>6061</f>
        <v>6061</v>
      </c>
      <c r="B6068" s="3" t="s">
        <v>6070</v>
      </c>
      <c r="C6068" s="3" t="s">
        <v>9</v>
      </c>
      <c r="D6068" s="3" t="s">
        <v>10</v>
      </c>
      <c r="E6068" s="3">
        <v>22</v>
      </c>
      <c r="F6068" s="3">
        <v>0</v>
      </c>
      <c r="G6068" s="3">
        <v>1</v>
      </c>
      <c r="H6068" s="3">
        <v>20</v>
      </c>
      <c r="I6068" s="3">
        <v>0</v>
      </c>
      <c r="J6068" s="3">
        <v>1</v>
      </c>
      <c r="K6068" s="3">
        <v>0</v>
      </c>
      <c r="L6068" s="3">
        <v>1</v>
      </c>
      <c r="M6068" s="3">
        <v>20</v>
      </c>
      <c r="N6068" s="3">
        <v>0</v>
      </c>
      <c r="O6068" s="3"/>
      <c r="P6068" s="3"/>
      <c r="Q6068" s="3"/>
    </row>
    <row r="6069" spans="1:17" ht="15" x14ac:dyDescent="0.25">
      <c r="A6069" s="3">
        <f>6062</f>
        <v>6062</v>
      </c>
      <c r="B6069" s="3" t="s">
        <v>6071</v>
      </c>
      <c r="C6069" s="3" t="s">
        <v>9</v>
      </c>
      <c r="D6069" s="3" t="s">
        <v>10</v>
      </c>
      <c r="E6069" s="3">
        <v>22</v>
      </c>
      <c r="F6069" s="3">
        <v>0</v>
      </c>
      <c r="G6069" s="3">
        <v>1</v>
      </c>
      <c r="H6069" s="3">
        <v>20</v>
      </c>
      <c r="I6069" s="3">
        <v>0</v>
      </c>
      <c r="J6069" s="3">
        <v>1</v>
      </c>
      <c r="K6069" s="3">
        <v>0</v>
      </c>
      <c r="L6069" s="3">
        <v>1</v>
      </c>
      <c r="M6069" s="3">
        <v>20</v>
      </c>
      <c r="N6069" s="3">
        <v>0</v>
      </c>
      <c r="O6069" s="3"/>
      <c r="P6069" s="3"/>
      <c r="Q6069" s="3"/>
    </row>
    <row r="6070" spans="1:17" ht="15" x14ac:dyDescent="0.25">
      <c r="A6070" s="3">
        <f>6063</f>
        <v>6063</v>
      </c>
      <c r="B6070" s="3" t="s">
        <v>6072</v>
      </c>
      <c r="C6070" s="3" t="s">
        <v>9</v>
      </c>
      <c r="D6070" s="3" t="s">
        <v>10</v>
      </c>
      <c r="E6070" s="3">
        <v>22</v>
      </c>
      <c r="F6070" s="3">
        <v>0</v>
      </c>
      <c r="G6070" s="3">
        <v>1</v>
      </c>
      <c r="H6070" s="3">
        <v>20</v>
      </c>
      <c r="I6070" s="3">
        <v>0</v>
      </c>
      <c r="J6070" s="3">
        <v>1</v>
      </c>
      <c r="K6070" s="3">
        <v>0</v>
      </c>
      <c r="L6070" s="3">
        <v>1</v>
      </c>
      <c r="M6070" s="3">
        <v>20</v>
      </c>
      <c r="N6070" s="3">
        <v>0</v>
      </c>
      <c r="O6070" s="3"/>
      <c r="P6070" s="3"/>
      <c r="Q6070" s="3"/>
    </row>
    <row r="6071" spans="1:17" ht="15" x14ac:dyDescent="0.25">
      <c r="A6071" s="3">
        <f>6064</f>
        <v>6064</v>
      </c>
      <c r="B6071" s="3" t="s">
        <v>6073</v>
      </c>
      <c r="C6071" s="3" t="s">
        <v>9</v>
      </c>
      <c r="D6071" s="3" t="s">
        <v>10</v>
      </c>
      <c r="E6071" s="3">
        <v>22</v>
      </c>
      <c r="F6071" s="3">
        <v>0</v>
      </c>
      <c r="G6071" s="3">
        <v>1</v>
      </c>
      <c r="H6071" s="3">
        <v>20</v>
      </c>
      <c r="I6071" s="3">
        <v>0</v>
      </c>
      <c r="J6071" s="3">
        <v>1</v>
      </c>
      <c r="K6071" s="3">
        <v>0</v>
      </c>
      <c r="L6071" s="3">
        <v>1</v>
      </c>
      <c r="M6071" s="3">
        <v>20</v>
      </c>
      <c r="N6071" s="3">
        <v>0</v>
      </c>
      <c r="O6071" s="3"/>
      <c r="P6071" s="3"/>
      <c r="Q6071" s="3"/>
    </row>
    <row r="6072" spans="1:17" ht="15" x14ac:dyDescent="0.25">
      <c r="A6072" s="3">
        <f>6065</f>
        <v>6065</v>
      </c>
      <c r="B6072" s="3" t="s">
        <v>6074</v>
      </c>
      <c r="C6072" s="3" t="s">
        <v>9</v>
      </c>
      <c r="D6072" s="3" t="s">
        <v>10</v>
      </c>
      <c r="E6072" s="3">
        <v>22</v>
      </c>
      <c r="F6072" s="3">
        <v>0</v>
      </c>
      <c r="G6072" s="3">
        <v>1</v>
      </c>
      <c r="H6072" s="3">
        <v>20</v>
      </c>
      <c r="I6072" s="3">
        <v>23</v>
      </c>
      <c r="J6072" s="3">
        <v>1</v>
      </c>
      <c r="K6072" s="3">
        <v>21</v>
      </c>
      <c r="L6072" s="3">
        <v>1</v>
      </c>
      <c r="M6072" s="3">
        <v>20</v>
      </c>
      <c r="N6072" s="3">
        <v>0</v>
      </c>
      <c r="O6072" s="3"/>
      <c r="P6072" s="3"/>
      <c r="Q6072" s="3"/>
    </row>
    <row r="6073" spans="1:17" ht="15" x14ac:dyDescent="0.25">
      <c r="A6073" s="3">
        <f>6066</f>
        <v>6066</v>
      </c>
      <c r="B6073" s="3" t="s">
        <v>6075</v>
      </c>
      <c r="C6073" s="3" t="s">
        <v>9</v>
      </c>
      <c r="D6073" s="3" t="s">
        <v>10</v>
      </c>
      <c r="E6073" s="3">
        <v>22</v>
      </c>
      <c r="F6073" s="3">
        <v>0</v>
      </c>
      <c r="G6073" s="3">
        <v>1</v>
      </c>
      <c r="H6073" s="3">
        <v>20</v>
      </c>
      <c r="I6073" s="3">
        <v>23</v>
      </c>
      <c r="J6073" s="3">
        <v>1</v>
      </c>
      <c r="K6073" s="3">
        <v>21</v>
      </c>
      <c r="L6073" s="3">
        <v>1</v>
      </c>
      <c r="M6073" s="3">
        <v>20</v>
      </c>
      <c r="N6073" s="3">
        <v>22</v>
      </c>
      <c r="O6073" s="3"/>
      <c r="P6073" s="3"/>
      <c r="Q6073" s="3"/>
    </row>
    <row r="6074" spans="1:17" ht="15" x14ac:dyDescent="0.25">
      <c r="A6074" s="3">
        <f>6067</f>
        <v>6067</v>
      </c>
      <c r="B6074" s="3" t="s">
        <v>6076</v>
      </c>
      <c r="C6074" s="3" t="s">
        <v>9</v>
      </c>
      <c r="D6074" s="3" t="s">
        <v>10</v>
      </c>
      <c r="E6074" s="3">
        <v>22</v>
      </c>
      <c r="F6074" s="3">
        <v>0</v>
      </c>
      <c r="G6074" s="3">
        <v>1</v>
      </c>
      <c r="H6074" s="3">
        <v>20</v>
      </c>
      <c r="I6074" s="3">
        <v>23</v>
      </c>
      <c r="J6074" s="3">
        <v>1</v>
      </c>
      <c r="K6074" s="3">
        <v>21</v>
      </c>
      <c r="L6074" s="3">
        <v>1</v>
      </c>
      <c r="M6074" s="3">
        <v>20</v>
      </c>
      <c r="N6074" s="3">
        <v>22</v>
      </c>
      <c r="O6074" s="3"/>
      <c r="P6074" s="3"/>
      <c r="Q6074" s="3"/>
    </row>
    <row r="6075" spans="1:17" ht="15" x14ac:dyDescent="0.25">
      <c r="A6075" s="3">
        <f>6068</f>
        <v>6068</v>
      </c>
      <c r="B6075" s="3" t="s">
        <v>6077</v>
      </c>
      <c r="C6075" s="3" t="s">
        <v>9</v>
      </c>
      <c r="D6075" s="3" t="s">
        <v>10</v>
      </c>
      <c r="E6075" s="3">
        <v>22</v>
      </c>
      <c r="F6075" s="3">
        <v>0</v>
      </c>
      <c r="G6075" s="3">
        <v>1</v>
      </c>
      <c r="H6075" s="3">
        <v>20</v>
      </c>
      <c r="I6075" s="3">
        <v>21</v>
      </c>
      <c r="J6075" s="3">
        <v>1</v>
      </c>
      <c r="K6075" s="3">
        <v>24</v>
      </c>
      <c r="L6075" s="3">
        <v>1</v>
      </c>
      <c r="M6075" s="3">
        <v>20</v>
      </c>
      <c r="N6075" s="3">
        <v>22</v>
      </c>
      <c r="O6075" s="3"/>
      <c r="P6075" s="3"/>
      <c r="Q6075" s="3"/>
    </row>
    <row r="6076" spans="1:17" ht="15" x14ac:dyDescent="0.25">
      <c r="A6076" s="3">
        <f>6069</f>
        <v>6069</v>
      </c>
      <c r="B6076" s="3" t="s">
        <v>6078</v>
      </c>
      <c r="C6076" s="3" t="s">
        <v>9</v>
      </c>
      <c r="D6076" s="3" t="s">
        <v>10</v>
      </c>
      <c r="E6076" s="3">
        <v>22</v>
      </c>
      <c r="F6076" s="3">
        <v>0</v>
      </c>
      <c r="G6076" s="3">
        <v>1</v>
      </c>
      <c r="H6076" s="3">
        <v>20</v>
      </c>
      <c r="I6076" s="3">
        <v>26</v>
      </c>
      <c r="J6076" s="3">
        <v>1</v>
      </c>
      <c r="K6076" s="3">
        <v>20</v>
      </c>
      <c r="L6076" s="3">
        <v>1</v>
      </c>
      <c r="M6076" s="3">
        <v>20</v>
      </c>
      <c r="N6076" s="3">
        <v>23</v>
      </c>
      <c r="O6076" s="3"/>
      <c r="P6076" s="3"/>
      <c r="Q6076" s="3"/>
    </row>
    <row r="6077" spans="1:17" ht="15" x14ac:dyDescent="0.25">
      <c r="A6077" s="3">
        <f>6070</f>
        <v>6070</v>
      </c>
      <c r="B6077" s="3" t="s">
        <v>6079</v>
      </c>
      <c r="C6077" s="3" t="s">
        <v>9</v>
      </c>
      <c r="D6077" s="3" t="s">
        <v>10</v>
      </c>
      <c r="E6077" s="3">
        <v>22</v>
      </c>
      <c r="F6077" s="3">
        <v>0</v>
      </c>
      <c r="G6077" s="3">
        <v>1</v>
      </c>
      <c r="H6077" s="3">
        <v>20</v>
      </c>
      <c r="I6077" s="3">
        <v>22</v>
      </c>
      <c r="J6077" s="3">
        <v>1</v>
      </c>
      <c r="K6077" s="3">
        <v>24</v>
      </c>
      <c r="L6077" s="3">
        <v>1</v>
      </c>
      <c r="M6077" s="3">
        <v>20</v>
      </c>
      <c r="N6077" s="3">
        <v>20</v>
      </c>
      <c r="O6077" s="3"/>
      <c r="P6077" s="3"/>
      <c r="Q6077" s="3"/>
    </row>
    <row r="6078" spans="1:17" ht="15" x14ac:dyDescent="0.25">
      <c r="A6078" s="3">
        <f>6071</f>
        <v>6071</v>
      </c>
      <c r="B6078" s="3" t="s">
        <v>6080</v>
      </c>
      <c r="C6078" s="3" t="s">
        <v>9</v>
      </c>
      <c r="D6078" s="3" t="s">
        <v>10</v>
      </c>
      <c r="E6078" s="3">
        <v>22</v>
      </c>
      <c r="F6078" s="3">
        <v>0</v>
      </c>
      <c r="G6078" s="3">
        <v>1</v>
      </c>
      <c r="H6078" s="3">
        <v>20</v>
      </c>
      <c r="I6078" s="3">
        <v>22</v>
      </c>
      <c r="J6078" s="3">
        <v>1</v>
      </c>
      <c r="K6078" s="3">
        <v>24</v>
      </c>
      <c r="L6078" s="3">
        <v>1</v>
      </c>
      <c r="M6078" s="3">
        <v>20</v>
      </c>
      <c r="N6078" s="3">
        <v>20</v>
      </c>
      <c r="O6078" s="3"/>
      <c r="P6078" s="3"/>
      <c r="Q6078" s="3"/>
    </row>
    <row r="6079" spans="1:17" ht="15" x14ac:dyDescent="0.25">
      <c r="A6079" s="3">
        <f>6072</f>
        <v>6072</v>
      </c>
      <c r="B6079" s="3" t="s">
        <v>6081</v>
      </c>
      <c r="C6079" s="3" t="s">
        <v>9</v>
      </c>
      <c r="D6079" s="3" t="s">
        <v>10</v>
      </c>
      <c r="E6079" s="3">
        <v>22</v>
      </c>
      <c r="F6079" s="3">
        <v>0</v>
      </c>
      <c r="G6079" s="3">
        <v>1</v>
      </c>
      <c r="H6079" s="3">
        <v>20</v>
      </c>
      <c r="I6079" s="3">
        <v>22</v>
      </c>
      <c r="J6079" s="3">
        <v>1</v>
      </c>
      <c r="K6079" s="3">
        <v>24</v>
      </c>
      <c r="L6079" s="3">
        <v>1</v>
      </c>
      <c r="M6079" s="3">
        <v>20</v>
      </c>
      <c r="N6079" s="3">
        <v>20</v>
      </c>
      <c r="O6079" s="3"/>
      <c r="P6079" s="3"/>
      <c r="Q6079" s="3"/>
    </row>
    <row r="6080" spans="1:17" ht="15" x14ac:dyDescent="0.25">
      <c r="A6080" s="3">
        <f>6073</f>
        <v>6073</v>
      </c>
      <c r="B6080" s="3" t="s">
        <v>6082</v>
      </c>
      <c r="C6080" s="3" t="s">
        <v>9</v>
      </c>
      <c r="D6080" s="3" t="s">
        <v>10</v>
      </c>
      <c r="E6080" s="3">
        <v>22</v>
      </c>
      <c r="F6080" s="3">
        <v>0</v>
      </c>
      <c r="G6080" s="3">
        <v>1</v>
      </c>
      <c r="H6080" s="3">
        <v>20</v>
      </c>
      <c r="I6080" s="3">
        <v>22</v>
      </c>
      <c r="J6080" s="3">
        <v>1</v>
      </c>
      <c r="K6080" s="3">
        <v>24</v>
      </c>
      <c r="L6080" s="3">
        <v>1</v>
      </c>
      <c r="M6080" s="3">
        <v>20</v>
      </c>
      <c r="N6080" s="3">
        <v>20</v>
      </c>
      <c r="O6080" s="3"/>
      <c r="P6080" s="3"/>
      <c r="Q6080" s="3"/>
    </row>
    <row r="6081" spans="1:17" ht="15" x14ac:dyDescent="0.25">
      <c r="A6081" s="3">
        <f>6074</f>
        <v>6074</v>
      </c>
      <c r="B6081" s="3" t="s">
        <v>6083</v>
      </c>
      <c r="C6081" s="3" t="s">
        <v>9</v>
      </c>
      <c r="D6081" s="3" t="s">
        <v>10</v>
      </c>
      <c r="E6081" s="3">
        <v>22</v>
      </c>
      <c r="F6081" s="3">
        <v>0</v>
      </c>
      <c r="G6081" s="3">
        <v>1</v>
      </c>
      <c r="H6081" s="3">
        <v>20</v>
      </c>
      <c r="I6081" s="3">
        <v>22</v>
      </c>
      <c r="J6081" s="3">
        <v>1</v>
      </c>
      <c r="K6081" s="3">
        <v>24</v>
      </c>
      <c r="L6081" s="3">
        <v>1</v>
      </c>
      <c r="M6081" s="3">
        <v>20</v>
      </c>
      <c r="N6081" s="3">
        <v>20</v>
      </c>
      <c r="O6081" s="3"/>
      <c r="P6081" s="3"/>
      <c r="Q6081" s="3"/>
    </row>
    <row r="6082" spans="1:17" ht="15" x14ac:dyDescent="0.25">
      <c r="A6082" s="3">
        <f>6075</f>
        <v>6075</v>
      </c>
      <c r="B6082" s="3" t="s">
        <v>6084</v>
      </c>
      <c r="C6082" s="3" t="s">
        <v>9</v>
      </c>
      <c r="D6082" s="3" t="s">
        <v>10</v>
      </c>
      <c r="E6082" s="3">
        <v>22</v>
      </c>
      <c r="F6082" s="3">
        <v>0</v>
      </c>
      <c r="G6082" s="3">
        <v>1</v>
      </c>
      <c r="H6082" s="3">
        <v>20</v>
      </c>
      <c r="I6082" s="3">
        <v>22</v>
      </c>
      <c r="J6082" s="3">
        <v>1</v>
      </c>
      <c r="K6082" s="3">
        <v>24</v>
      </c>
      <c r="L6082" s="3">
        <v>1</v>
      </c>
      <c r="M6082" s="3">
        <v>20</v>
      </c>
      <c r="N6082" s="3">
        <v>20</v>
      </c>
      <c r="O6082" s="3"/>
      <c r="P6082" s="3"/>
      <c r="Q6082" s="3"/>
    </row>
    <row r="6083" spans="1:17" ht="15" x14ac:dyDescent="0.25">
      <c r="A6083" s="3">
        <f>6076</f>
        <v>6076</v>
      </c>
      <c r="B6083" s="3" t="s">
        <v>6085</v>
      </c>
      <c r="C6083" s="3" t="s">
        <v>9</v>
      </c>
      <c r="D6083" s="3" t="s">
        <v>10</v>
      </c>
      <c r="E6083" s="3">
        <v>22</v>
      </c>
      <c r="F6083" s="3">
        <v>0</v>
      </c>
      <c r="G6083" s="3">
        <v>1</v>
      </c>
      <c r="H6083" s="3">
        <v>20</v>
      </c>
      <c r="I6083" s="3">
        <v>22</v>
      </c>
      <c r="J6083" s="3">
        <v>1</v>
      </c>
      <c r="K6083" s="3">
        <v>24</v>
      </c>
      <c r="L6083" s="3">
        <v>1</v>
      </c>
      <c r="M6083" s="3">
        <v>20</v>
      </c>
      <c r="N6083" s="3">
        <v>20</v>
      </c>
      <c r="O6083" s="3"/>
      <c r="P6083" s="3"/>
      <c r="Q6083" s="3"/>
    </row>
    <row r="6084" spans="1:17" ht="15" x14ac:dyDescent="0.25">
      <c r="A6084" s="3">
        <f>6077</f>
        <v>6077</v>
      </c>
      <c r="B6084" s="3" t="s">
        <v>6086</v>
      </c>
      <c r="C6084" s="3" t="s">
        <v>9</v>
      </c>
      <c r="D6084" s="3" t="s">
        <v>10</v>
      </c>
      <c r="E6084" s="3">
        <v>22</v>
      </c>
      <c r="F6084" s="3">
        <v>0</v>
      </c>
      <c r="G6084" s="3">
        <v>1</v>
      </c>
      <c r="H6084" s="3">
        <v>20</v>
      </c>
      <c r="I6084" s="3">
        <v>22</v>
      </c>
      <c r="J6084" s="3">
        <v>1</v>
      </c>
      <c r="K6084" s="3">
        <v>24</v>
      </c>
      <c r="L6084" s="3">
        <v>1</v>
      </c>
      <c r="M6084" s="3">
        <v>20</v>
      </c>
      <c r="N6084" s="3">
        <v>20</v>
      </c>
      <c r="O6084" s="3"/>
      <c r="P6084" s="3"/>
      <c r="Q6084" s="3"/>
    </row>
    <row r="6085" spans="1:17" ht="15" x14ac:dyDescent="0.25">
      <c r="A6085" s="3">
        <f>6078</f>
        <v>6078</v>
      </c>
      <c r="B6085" s="3" t="s">
        <v>6087</v>
      </c>
      <c r="C6085" s="3" t="s">
        <v>9</v>
      </c>
      <c r="D6085" s="3" t="s">
        <v>10</v>
      </c>
      <c r="E6085" s="3">
        <v>22</v>
      </c>
      <c r="F6085" s="3">
        <v>0</v>
      </c>
      <c r="G6085" s="3">
        <v>1</v>
      </c>
      <c r="H6085" s="3">
        <v>20</v>
      </c>
      <c r="I6085" s="3">
        <v>23</v>
      </c>
      <c r="J6085" s="3">
        <v>1</v>
      </c>
      <c r="K6085" s="3">
        <v>24</v>
      </c>
      <c r="L6085" s="3">
        <v>1</v>
      </c>
      <c r="M6085" s="3">
        <v>20</v>
      </c>
      <c r="N6085" s="3">
        <v>20</v>
      </c>
      <c r="O6085" s="3"/>
      <c r="P6085" s="3"/>
      <c r="Q6085" s="3"/>
    </row>
    <row r="6086" spans="1:17" ht="15" x14ac:dyDescent="0.25">
      <c r="A6086" s="3">
        <f>6079</f>
        <v>6079</v>
      </c>
      <c r="B6086" s="3" t="s">
        <v>6088</v>
      </c>
      <c r="C6086" s="3" t="s">
        <v>9</v>
      </c>
      <c r="D6086" s="3" t="s">
        <v>10</v>
      </c>
      <c r="E6086" s="3">
        <v>22</v>
      </c>
      <c r="F6086" s="3">
        <v>0</v>
      </c>
      <c r="G6086" s="3">
        <v>1</v>
      </c>
      <c r="H6086" s="3">
        <v>20</v>
      </c>
      <c r="I6086" s="3">
        <v>20</v>
      </c>
      <c r="J6086" s="3">
        <v>1</v>
      </c>
      <c r="K6086" s="3">
        <v>21</v>
      </c>
      <c r="L6086" s="3">
        <v>1</v>
      </c>
      <c r="M6086" s="3">
        <v>20</v>
      </c>
      <c r="N6086" s="3">
        <v>24</v>
      </c>
      <c r="O6086" s="3"/>
      <c r="P6086" s="3"/>
      <c r="Q6086" s="3"/>
    </row>
    <row r="6087" spans="1:17" ht="15" x14ac:dyDescent="0.25">
      <c r="A6087" s="3">
        <f>6080</f>
        <v>6080</v>
      </c>
      <c r="B6087" s="3" t="s">
        <v>6089</v>
      </c>
      <c r="C6087" s="3" t="s">
        <v>9</v>
      </c>
      <c r="D6087" s="3" t="s">
        <v>10</v>
      </c>
      <c r="E6087" s="3">
        <v>22</v>
      </c>
      <c r="F6087" s="3">
        <v>0</v>
      </c>
      <c r="G6087" s="3">
        <v>1</v>
      </c>
      <c r="H6087" s="3">
        <v>20</v>
      </c>
      <c r="I6087" s="3">
        <v>23</v>
      </c>
      <c r="J6087" s="3">
        <v>1</v>
      </c>
      <c r="K6087" s="3">
        <v>25</v>
      </c>
      <c r="L6087" s="3">
        <v>1</v>
      </c>
      <c r="M6087" s="3">
        <v>20</v>
      </c>
      <c r="N6087" s="3">
        <v>21</v>
      </c>
      <c r="O6087" s="3"/>
      <c r="P6087" s="3"/>
      <c r="Q6087" s="3"/>
    </row>
    <row r="6088" spans="1:17" ht="15" x14ac:dyDescent="0.25">
      <c r="A6088" s="3">
        <f>6081</f>
        <v>6081</v>
      </c>
      <c r="B6088" s="3" t="s">
        <v>6090</v>
      </c>
      <c r="C6088" s="3" t="s">
        <v>9</v>
      </c>
      <c r="D6088" s="3" t="s">
        <v>10</v>
      </c>
      <c r="E6088" s="3">
        <v>22</v>
      </c>
      <c r="F6088" s="3">
        <v>0</v>
      </c>
      <c r="G6088" s="3">
        <v>1</v>
      </c>
      <c r="H6088" s="3">
        <v>20</v>
      </c>
      <c r="I6088" s="3">
        <v>21</v>
      </c>
      <c r="J6088" s="3">
        <v>1</v>
      </c>
      <c r="K6088" s="3">
        <v>20</v>
      </c>
      <c r="L6088" s="3">
        <v>1</v>
      </c>
      <c r="M6088" s="3">
        <v>20</v>
      </c>
      <c r="N6088" s="3">
        <v>21</v>
      </c>
      <c r="O6088" s="3"/>
      <c r="P6088" s="3"/>
      <c r="Q6088" s="3"/>
    </row>
    <row r="6089" spans="1:17" ht="15" x14ac:dyDescent="0.25">
      <c r="A6089" s="3">
        <f>6082</f>
        <v>6082</v>
      </c>
      <c r="B6089" s="3" t="s">
        <v>6091</v>
      </c>
      <c r="C6089" s="3" t="s">
        <v>9</v>
      </c>
      <c r="D6089" s="3" t="s">
        <v>10</v>
      </c>
      <c r="E6089" s="3">
        <v>22</v>
      </c>
      <c r="F6089" s="3">
        <v>0</v>
      </c>
      <c r="G6089" s="3">
        <v>1</v>
      </c>
      <c r="H6089" s="3">
        <v>20</v>
      </c>
      <c r="I6089" s="3">
        <v>24</v>
      </c>
      <c r="J6089" s="3">
        <v>1</v>
      </c>
      <c r="K6089" s="3">
        <v>20</v>
      </c>
      <c r="L6089" s="3">
        <v>1</v>
      </c>
      <c r="M6089" s="3">
        <v>20</v>
      </c>
      <c r="N6089" s="3">
        <v>23</v>
      </c>
      <c r="O6089" s="3"/>
      <c r="P6089" s="3"/>
      <c r="Q6089" s="3"/>
    </row>
    <row r="6090" spans="1:17" ht="15" x14ac:dyDescent="0.25">
      <c r="A6090" s="3">
        <f>6083</f>
        <v>6083</v>
      </c>
      <c r="B6090" s="3" t="s">
        <v>6092</v>
      </c>
      <c r="C6090" s="3" t="s">
        <v>9</v>
      </c>
      <c r="D6090" s="3" t="s">
        <v>10</v>
      </c>
      <c r="E6090" s="3">
        <v>22</v>
      </c>
      <c r="F6090" s="3">
        <v>0</v>
      </c>
      <c r="G6090" s="3">
        <v>1</v>
      </c>
      <c r="H6090" s="3">
        <v>20</v>
      </c>
      <c r="I6090" s="3">
        <v>24</v>
      </c>
      <c r="J6090" s="3">
        <v>1</v>
      </c>
      <c r="K6090" s="3">
        <v>23</v>
      </c>
      <c r="L6090" s="3">
        <v>1</v>
      </c>
      <c r="M6090" s="3">
        <v>20</v>
      </c>
      <c r="N6090" s="3">
        <v>25</v>
      </c>
      <c r="O6090" s="3"/>
      <c r="P6090" s="3"/>
      <c r="Q6090" s="3"/>
    </row>
    <row r="6091" spans="1:17" ht="15" x14ac:dyDescent="0.25">
      <c r="A6091" s="3">
        <f>6084</f>
        <v>6084</v>
      </c>
      <c r="B6091" s="3" t="s">
        <v>6093</v>
      </c>
      <c r="C6091" s="3" t="s">
        <v>9</v>
      </c>
      <c r="D6091" s="3" t="s">
        <v>10</v>
      </c>
      <c r="E6091" s="3">
        <v>22</v>
      </c>
      <c r="F6091" s="3">
        <v>0</v>
      </c>
      <c r="G6091" s="3">
        <v>1</v>
      </c>
      <c r="H6091" s="3">
        <v>20</v>
      </c>
      <c r="I6091" s="3">
        <v>21</v>
      </c>
      <c r="J6091" s="3">
        <v>1</v>
      </c>
      <c r="K6091" s="3">
        <v>20</v>
      </c>
      <c r="L6091" s="3">
        <v>1</v>
      </c>
      <c r="M6091" s="3">
        <v>20</v>
      </c>
      <c r="N6091" s="3">
        <v>23</v>
      </c>
      <c r="O6091" s="3"/>
      <c r="P6091" s="3"/>
      <c r="Q6091" s="3"/>
    </row>
    <row r="6092" spans="1:17" ht="15" x14ac:dyDescent="0.25">
      <c r="A6092" s="3">
        <f>6085</f>
        <v>6085</v>
      </c>
      <c r="B6092" s="3" t="s">
        <v>6094</v>
      </c>
      <c r="C6092" s="3" t="s">
        <v>9</v>
      </c>
      <c r="D6092" s="3" t="s">
        <v>10</v>
      </c>
      <c r="E6092" s="3">
        <v>22</v>
      </c>
      <c r="F6092" s="3">
        <v>0</v>
      </c>
      <c r="G6092" s="3">
        <v>1</v>
      </c>
      <c r="H6092" s="3">
        <v>20</v>
      </c>
      <c r="I6092" s="3">
        <v>24</v>
      </c>
      <c r="J6092" s="3">
        <v>1</v>
      </c>
      <c r="K6092" s="3">
        <v>23</v>
      </c>
      <c r="L6092" s="3">
        <v>1</v>
      </c>
      <c r="M6092" s="3">
        <v>20</v>
      </c>
      <c r="N6092" s="3">
        <v>23</v>
      </c>
      <c r="O6092" s="3"/>
      <c r="P6092" s="3"/>
      <c r="Q6092" s="3"/>
    </row>
    <row r="6093" spans="1:17" ht="15" x14ac:dyDescent="0.25">
      <c r="A6093" s="3">
        <f>6086</f>
        <v>6086</v>
      </c>
      <c r="B6093" s="3" t="s">
        <v>6095</v>
      </c>
      <c r="C6093" s="3" t="s">
        <v>9</v>
      </c>
      <c r="D6093" s="3" t="s">
        <v>10</v>
      </c>
      <c r="E6093" s="3">
        <v>22</v>
      </c>
      <c r="F6093" s="3">
        <v>0</v>
      </c>
      <c r="G6093" s="3">
        <v>1</v>
      </c>
      <c r="H6093" s="3">
        <v>20</v>
      </c>
      <c r="I6093" s="3">
        <v>21</v>
      </c>
      <c r="J6093" s="3">
        <v>1</v>
      </c>
      <c r="K6093" s="3">
        <v>25</v>
      </c>
      <c r="L6093" s="3">
        <v>1</v>
      </c>
      <c r="M6093" s="3">
        <v>20</v>
      </c>
      <c r="N6093" s="3">
        <v>24</v>
      </c>
      <c r="O6093" s="3"/>
      <c r="P6093" s="3"/>
      <c r="Q6093" s="3"/>
    </row>
    <row r="6094" spans="1:17" ht="15" x14ac:dyDescent="0.25">
      <c r="A6094" s="3">
        <f>6087</f>
        <v>6087</v>
      </c>
      <c r="B6094" s="3" t="s">
        <v>6096</v>
      </c>
      <c r="C6094" s="3" t="s">
        <v>9</v>
      </c>
      <c r="D6094" s="3" t="s">
        <v>10</v>
      </c>
      <c r="E6094" s="3">
        <v>22</v>
      </c>
      <c r="F6094" s="3">
        <v>0</v>
      </c>
      <c r="G6094" s="3">
        <v>1</v>
      </c>
      <c r="H6094" s="3">
        <v>20</v>
      </c>
      <c r="I6094" s="3">
        <v>21</v>
      </c>
      <c r="J6094" s="3">
        <v>1</v>
      </c>
      <c r="K6094" s="3">
        <v>25</v>
      </c>
      <c r="L6094" s="3">
        <v>1</v>
      </c>
      <c r="M6094" s="3">
        <v>20</v>
      </c>
      <c r="N6094" s="3">
        <v>24</v>
      </c>
      <c r="O6094" s="3"/>
      <c r="P6094" s="3"/>
      <c r="Q6094" s="3"/>
    </row>
    <row r="6095" spans="1:17" ht="15" x14ac:dyDescent="0.25">
      <c r="A6095" s="3">
        <f>6088</f>
        <v>6088</v>
      </c>
      <c r="B6095" s="3" t="s">
        <v>6097</v>
      </c>
      <c r="C6095" s="3" t="s">
        <v>9</v>
      </c>
      <c r="D6095" s="3" t="s">
        <v>10</v>
      </c>
      <c r="E6095" s="3">
        <v>22</v>
      </c>
      <c r="F6095" s="3">
        <v>0</v>
      </c>
      <c r="G6095" s="3">
        <v>1</v>
      </c>
      <c r="H6095" s="3">
        <v>20</v>
      </c>
      <c r="I6095" s="3">
        <v>21</v>
      </c>
      <c r="J6095" s="3">
        <v>1</v>
      </c>
      <c r="K6095" s="3">
        <v>25</v>
      </c>
      <c r="L6095" s="3">
        <v>1</v>
      </c>
      <c r="M6095" s="3">
        <v>20</v>
      </c>
      <c r="N6095" s="3">
        <v>24</v>
      </c>
      <c r="O6095" s="3"/>
      <c r="P6095" s="3"/>
      <c r="Q6095" s="3"/>
    </row>
    <row r="6096" spans="1:17" ht="15" x14ac:dyDescent="0.25">
      <c r="A6096" s="3">
        <f>6089</f>
        <v>6089</v>
      </c>
      <c r="B6096" s="3" t="s">
        <v>6098</v>
      </c>
      <c r="C6096" s="3" t="s">
        <v>9</v>
      </c>
      <c r="D6096" s="3" t="s">
        <v>10</v>
      </c>
      <c r="E6096" s="3">
        <v>22</v>
      </c>
      <c r="F6096" s="3">
        <v>0</v>
      </c>
      <c r="G6096" s="3">
        <v>1</v>
      </c>
      <c r="H6096" s="3">
        <v>20</v>
      </c>
      <c r="I6096" s="3">
        <v>21</v>
      </c>
      <c r="J6096" s="3">
        <v>1</v>
      </c>
      <c r="K6096" s="3">
        <v>25</v>
      </c>
      <c r="L6096" s="3">
        <v>1</v>
      </c>
      <c r="M6096" s="3">
        <v>20</v>
      </c>
      <c r="N6096" s="3">
        <v>24</v>
      </c>
      <c r="O6096" s="3"/>
      <c r="P6096" s="3"/>
      <c r="Q6096" s="3"/>
    </row>
    <row r="6097" spans="1:17" ht="15" x14ac:dyDescent="0.25">
      <c r="A6097" s="3">
        <f>6090</f>
        <v>6090</v>
      </c>
      <c r="B6097" s="3" t="s">
        <v>6099</v>
      </c>
      <c r="C6097" s="3" t="s">
        <v>9</v>
      </c>
      <c r="D6097" s="3" t="s">
        <v>10</v>
      </c>
      <c r="E6097" s="3">
        <v>22</v>
      </c>
      <c r="F6097" s="3">
        <v>0</v>
      </c>
      <c r="G6097" s="3">
        <v>1</v>
      </c>
      <c r="H6097" s="3">
        <v>20</v>
      </c>
      <c r="I6097" s="3">
        <v>21</v>
      </c>
      <c r="J6097" s="3">
        <v>1</v>
      </c>
      <c r="K6097" s="3">
        <v>25</v>
      </c>
      <c r="L6097" s="3">
        <v>1</v>
      </c>
      <c r="M6097" s="3">
        <v>20</v>
      </c>
      <c r="N6097" s="3">
        <v>24</v>
      </c>
      <c r="O6097" s="3"/>
      <c r="P6097" s="3"/>
      <c r="Q6097" s="3"/>
    </row>
    <row r="6098" spans="1:17" ht="15" x14ac:dyDescent="0.25">
      <c r="A6098" s="3">
        <f>6091</f>
        <v>6091</v>
      </c>
      <c r="B6098" s="3" t="s">
        <v>6100</v>
      </c>
      <c r="C6098" s="3" t="s">
        <v>9</v>
      </c>
      <c r="D6098" s="3" t="s">
        <v>10</v>
      </c>
      <c r="E6098" s="3">
        <v>22</v>
      </c>
      <c r="F6098" s="3">
        <v>0</v>
      </c>
      <c r="G6098" s="3">
        <v>1</v>
      </c>
      <c r="H6098" s="3">
        <v>20</v>
      </c>
      <c r="I6098" s="3">
        <v>21</v>
      </c>
      <c r="J6098" s="3">
        <v>1</v>
      </c>
      <c r="K6098" s="3">
        <v>25</v>
      </c>
      <c r="L6098" s="3">
        <v>1</v>
      </c>
      <c r="M6098" s="3">
        <v>20</v>
      </c>
      <c r="N6098" s="3">
        <v>24</v>
      </c>
      <c r="O6098" s="3"/>
      <c r="P6098" s="3"/>
      <c r="Q6098" s="3"/>
    </row>
    <row r="6099" spans="1:17" ht="15" x14ac:dyDescent="0.25">
      <c r="A6099" s="3">
        <f>6092</f>
        <v>6092</v>
      </c>
      <c r="B6099" s="3" t="s">
        <v>6101</v>
      </c>
      <c r="C6099" s="3" t="s">
        <v>9</v>
      </c>
      <c r="D6099" s="3" t="s">
        <v>10</v>
      </c>
      <c r="E6099" s="3">
        <v>22</v>
      </c>
      <c r="F6099" s="3">
        <v>0</v>
      </c>
      <c r="G6099" s="3">
        <v>1</v>
      </c>
      <c r="H6099" s="3">
        <v>20</v>
      </c>
      <c r="I6099" s="3">
        <v>21</v>
      </c>
      <c r="J6099" s="3">
        <v>1</v>
      </c>
      <c r="K6099" s="3">
        <v>25</v>
      </c>
      <c r="L6099" s="3">
        <v>1</v>
      </c>
      <c r="M6099" s="3">
        <v>20</v>
      </c>
      <c r="N6099" s="3">
        <v>24</v>
      </c>
      <c r="O6099" s="3"/>
      <c r="P6099" s="3"/>
      <c r="Q6099" s="3"/>
    </row>
    <row r="6100" spans="1:17" ht="15" x14ac:dyDescent="0.25">
      <c r="A6100" s="3">
        <f>6093</f>
        <v>6093</v>
      </c>
      <c r="B6100" s="3" t="s">
        <v>6102</v>
      </c>
      <c r="C6100" s="3" t="s">
        <v>9</v>
      </c>
      <c r="D6100" s="3" t="s">
        <v>10</v>
      </c>
      <c r="E6100" s="3">
        <v>22</v>
      </c>
      <c r="F6100" s="3">
        <v>0</v>
      </c>
      <c r="G6100" s="3">
        <v>1</v>
      </c>
      <c r="H6100" s="3">
        <v>20</v>
      </c>
      <c r="I6100" s="3">
        <v>21</v>
      </c>
      <c r="J6100" s="3">
        <v>1</v>
      </c>
      <c r="K6100" s="3">
        <v>25</v>
      </c>
      <c r="L6100" s="3">
        <v>1</v>
      </c>
      <c r="M6100" s="3">
        <v>20</v>
      </c>
      <c r="N6100" s="3">
        <v>24</v>
      </c>
      <c r="O6100" s="3"/>
      <c r="P6100" s="3"/>
      <c r="Q6100" s="3"/>
    </row>
    <row r="6101" spans="1:17" ht="15" x14ac:dyDescent="0.25">
      <c r="A6101" s="3">
        <f>6094</f>
        <v>6094</v>
      </c>
      <c r="B6101" s="3" t="s">
        <v>6103</v>
      </c>
      <c r="C6101" s="3" t="s">
        <v>9</v>
      </c>
      <c r="D6101" s="3" t="s">
        <v>10</v>
      </c>
      <c r="E6101" s="3">
        <v>22</v>
      </c>
      <c r="F6101" s="3">
        <v>0</v>
      </c>
      <c r="G6101" s="3">
        <v>1</v>
      </c>
      <c r="H6101" s="3">
        <v>20</v>
      </c>
      <c r="I6101" s="3">
        <v>21</v>
      </c>
      <c r="J6101" s="3">
        <v>1</v>
      </c>
      <c r="K6101" s="3">
        <v>25</v>
      </c>
      <c r="L6101" s="3">
        <v>1</v>
      </c>
      <c r="M6101" s="3">
        <v>20</v>
      </c>
      <c r="N6101" s="3">
        <v>24</v>
      </c>
      <c r="O6101" s="3"/>
      <c r="P6101" s="3"/>
      <c r="Q6101" s="3"/>
    </row>
    <row r="6102" spans="1:17" ht="15" x14ac:dyDescent="0.25">
      <c r="A6102" s="3">
        <f>6095</f>
        <v>6095</v>
      </c>
      <c r="B6102" s="3" t="s">
        <v>6104</v>
      </c>
      <c r="C6102" s="3" t="s">
        <v>9</v>
      </c>
      <c r="D6102" s="3" t="s">
        <v>10</v>
      </c>
      <c r="E6102" s="3">
        <v>22</v>
      </c>
      <c r="F6102" s="3">
        <v>0</v>
      </c>
      <c r="G6102" s="3">
        <v>1</v>
      </c>
      <c r="H6102" s="3">
        <v>20</v>
      </c>
      <c r="I6102" s="3">
        <v>21</v>
      </c>
      <c r="J6102" s="3">
        <v>1</v>
      </c>
      <c r="K6102" s="3">
        <v>25</v>
      </c>
      <c r="L6102" s="3">
        <v>1</v>
      </c>
      <c r="M6102" s="3">
        <v>20</v>
      </c>
      <c r="N6102" s="3">
        <v>24</v>
      </c>
      <c r="O6102" s="3"/>
      <c r="P6102" s="3"/>
      <c r="Q6102" s="3"/>
    </row>
    <row r="6103" spans="1:17" ht="15" x14ac:dyDescent="0.25">
      <c r="A6103" s="3">
        <f>6096</f>
        <v>6096</v>
      </c>
      <c r="B6103" s="3" t="s">
        <v>6105</v>
      </c>
      <c r="C6103" s="3" t="s">
        <v>9</v>
      </c>
      <c r="D6103" s="3" t="s">
        <v>10</v>
      </c>
      <c r="E6103" s="3">
        <v>22</v>
      </c>
      <c r="F6103" s="3">
        <v>0</v>
      </c>
      <c r="G6103" s="3">
        <v>1</v>
      </c>
      <c r="H6103" s="3">
        <v>20</v>
      </c>
      <c r="I6103" s="3">
        <v>21</v>
      </c>
      <c r="J6103" s="3">
        <v>1</v>
      </c>
      <c r="K6103" s="3">
        <v>25</v>
      </c>
      <c r="L6103" s="3">
        <v>1</v>
      </c>
      <c r="M6103" s="3">
        <v>20</v>
      </c>
      <c r="N6103" s="3">
        <v>24</v>
      </c>
      <c r="O6103" s="3"/>
      <c r="P6103" s="3"/>
      <c r="Q6103" s="3"/>
    </row>
    <row r="6104" spans="1:17" ht="15" x14ac:dyDescent="0.25">
      <c r="A6104" s="3">
        <f>6097</f>
        <v>6097</v>
      </c>
      <c r="B6104" s="3" t="s">
        <v>6106</v>
      </c>
      <c r="C6104" s="3" t="s">
        <v>9</v>
      </c>
      <c r="D6104" s="3" t="s">
        <v>10</v>
      </c>
      <c r="E6104" s="3">
        <v>22</v>
      </c>
      <c r="F6104" s="3">
        <v>0</v>
      </c>
      <c r="G6104" s="3">
        <v>1</v>
      </c>
      <c r="H6104" s="3">
        <v>20</v>
      </c>
      <c r="I6104" s="3">
        <v>21</v>
      </c>
      <c r="J6104" s="3">
        <v>1</v>
      </c>
      <c r="K6104" s="3">
        <v>25</v>
      </c>
      <c r="L6104" s="3">
        <v>1</v>
      </c>
      <c r="M6104" s="3">
        <v>20</v>
      </c>
      <c r="N6104" s="3">
        <v>24</v>
      </c>
      <c r="O6104" s="3"/>
      <c r="P6104" s="3"/>
      <c r="Q6104" s="3"/>
    </row>
    <row r="6105" spans="1:17" ht="15" x14ac:dyDescent="0.25">
      <c r="A6105" s="3">
        <f>6098</f>
        <v>6098</v>
      </c>
      <c r="B6105" s="3" t="s">
        <v>6107</v>
      </c>
      <c r="C6105" s="3" t="s">
        <v>9</v>
      </c>
      <c r="D6105" s="3" t="s">
        <v>10</v>
      </c>
      <c r="E6105" s="3">
        <v>22</v>
      </c>
      <c r="F6105" s="3">
        <v>0</v>
      </c>
      <c r="G6105" s="3">
        <v>1</v>
      </c>
      <c r="H6105" s="3">
        <v>20</v>
      </c>
      <c r="I6105" s="3">
        <v>21</v>
      </c>
      <c r="J6105" s="3">
        <v>1</v>
      </c>
      <c r="K6105" s="3">
        <v>25</v>
      </c>
      <c r="L6105" s="3">
        <v>1</v>
      </c>
      <c r="M6105" s="3">
        <v>20</v>
      </c>
      <c r="N6105" s="3">
        <v>24</v>
      </c>
      <c r="O6105" s="3"/>
      <c r="P6105" s="3"/>
      <c r="Q6105" s="3"/>
    </row>
    <row r="6106" spans="1:17" ht="15" x14ac:dyDescent="0.25">
      <c r="A6106" s="3">
        <f>6099</f>
        <v>6099</v>
      </c>
      <c r="B6106" s="3" t="s">
        <v>6108</v>
      </c>
      <c r="C6106" s="3" t="s">
        <v>9</v>
      </c>
      <c r="D6106" s="3" t="s">
        <v>10</v>
      </c>
      <c r="E6106" s="3">
        <v>22</v>
      </c>
      <c r="F6106" s="3">
        <v>0</v>
      </c>
      <c r="G6106" s="3">
        <v>1</v>
      </c>
      <c r="H6106" s="3">
        <v>20</v>
      </c>
      <c r="I6106" s="3">
        <v>21</v>
      </c>
      <c r="J6106" s="3">
        <v>1</v>
      </c>
      <c r="K6106" s="3">
        <v>25</v>
      </c>
      <c r="L6106" s="3">
        <v>1</v>
      </c>
      <c r="M6106" s="3">
        <v>20</v>
      </c>
      <c r="N6106" s="3">
        <v>24</v>
      </c>
      <c r="O6106" s="3"/>
      <c r="P6106" s="3"/>
      <c r="Q6106" s="3"/>
    </row>
    <row r="6107" spans="1:17" ht="15" x14ac:dyDescent="0.25">
      <c r="A6107" s="3">
        <f>6100</f>
        <v>6100</v>
      </c>
      <c r="B6107" s="3" t="s">
        <v>6109</v>
      </c>
      <c r="C6107" s="3" t="s">
        <v>9</v>
      </c>
      <c r="D6107" s="3" t="s">
        <v>10</v>
      </c>
      <c r="E6107" s="3">
        <v>22</v>
      </c>
      <c r="F6107" s="3">
        <v>0</v>
      </c>
      <c r="G6107" s="3">
        <v>1</v>
      </c>
      <c r="H6107" s="3">
        <v>20</v>
      </c>
      <c r="I6107" s="3">
        <v>21</v>
      </c>
      <c r="J6107" s="3">
        <v>1</v>
      </c>
      <c r="K6107" s="3">
        <v>25</v>
      </c>
      <c r="L6107" s="3">
        <v>1</v>
      </c>
      <c r="M6107" s="3">
        <v>20</v>
      </c>
      <c r="N6107" s="3">
        <v>24</v>
      </c>
      <c r="O6107" s="3"/>
      <c r="P6107" s="3"/>
      <c r="Q6107" s="3"/>
    </row>
    <row r="6108" spans="1:17" ht="15" x14ac:dyDescent="0.25">
      <c r="A6108" s="3">
        <f>6101</f>
        <v>6101</v>
      </c>
      <c r="B6108" s="3" t="s">
        <v>6110</v>
      </c>
      <c r="C6108" s="3" t="s">
        <v>9</v>
      </c>
      <c r="D6108" s="3" t="s">
        <v>10</v>
      </c>
      <c r="E6108" s="3">
        <v>22</v>
      </c>
      <c r="F6108" s="3">
        <v>0</v>
      </c>
      <c r="G6108" s="3">
        <v>1</v>
      </c>
      <c r="H6108" s="3">
        <v>20</v>
      </c>
      <c r="I6108" s="3">
        <v>21</v>
      </c>
      <c r="J6108" s="3">
        <v>1</v>
      </c>
      <c r="K6108" s="3">
        <v>25</v>
      </c>
      <c r="L6108" s="3">
        <v>1</v>
      </c>
      <c r="M6108" s="3">
        <v>20</v>
      </c>
      <c r="N6108" s="3">
        <v>24</v>
      </c>
      <c r="O6108" s="3"/>
      <c r="P6108" s="3"/>
      <c r="Q6108" s="3"/>
    </row>
    <row r="6109" spans="1:17" ht="15" x14ac:dyDescent="0.25">
      <c r="A6109" s="3">
        <f>6102</f>
        <v>6102</v>
      </c>
      <c r="B6109" s="3" t="s">
        <v>6111</v>
      </c>
      <c r="C6109" s="3" t="s">
        <v>9</v>
      </c>
      <c r="D6109" s="3" t="s">
        <v>10</v>
      </c>
      <c r="E6109" s="3">
        <v>22</v>
      </c>
      <c r="F6109" s="3">
        <v>0</v>
      </c>
      <c r="G6109" s="3">
        <v>1</v>
      </c>
      <c r="H6109" s="3">
        <v>20</v>
      </c>
      <c r="I6109" s="3">
        <v>21</v>
      </c>
      <c r="J6109" s="3">
        <v>1</v>
      </c>
      <c r="K6109" s="3">
        <v>25</v>
      </c>
      <c r="L6109" s="3">
        <v>1</v>
      </c>
      <c r="M6109" s="3">
        <v>20</v>
      </c>
      <c r="N6109" s="3">
        <v>24</v>
      </c>
      <c r="O6109" s="3"/>
      <c r="P6109" s="3"/>
      <c r="Q6109" s="3"/>
    </row>
    <row r="6110" spans="1:17" ht="15" x14ac:dyDescent="0.25">
      <c r="A6110" s="3">
        <f>6103</f>
        <v>6103</v>
      </c>
      <c r="B6110" s="3" t="s">
        <v>6112</v>
      </c>
      <c r="C6110" s="3" t="s">
        <v>9</v>
      </c>
      <c r="D6110" s="3" t="s">
        <v>10</v>
      </c>
      <c r="E6110" s="3">
        <v>22</v>
      </c>
      <c r="F6110" s="3">
        <v>0</v>
      </c>
      <c r="G6110" s="3">
        <v>1</v>
      </c>
      <c r="H6110" s="3">
        <v>20</v>
      </c>
      <c r="I6110" s="3">
        <v>21</v>
      </c>
      <c r="J6110" s="3">
        <v>1</v>
      </c>
      <c r="K6110" s="3">
        <v>25</v>
      </c>
      <c r="L6110" s="3">
        <v>1</v>
      </c>
      <c r="M6110" s="3">
        <v>20</v>
      </c>
      <c r="N6110" s="3">
        <v>24</v>
      </c>
      <c r="O6110" s="3"/>
      <c r="P6110" s="3"/>
      <c r="Q6110" s="3"/>
    </row>
    <row r="6111" spans="1:17" ht="15" x14ac:dyDescent="0.25">
      <c r="A6111" s="3">
        <f>6104</f>
        <v>6104</v>
      </c>
      <c r="B6111" s="3" t="s">
        <v>6113</v>
      </c>
      <c r="C6111" s="3" t="s">
        <v>9</v>
      </c>
      <c r="D6111" s="3" t="s">
        <v>10</v>
      </c>
      <c r="E6111" s="3">
        <v>22</v>
      </c>
      <c r="F6111" s="3">
        <v>0</v>
      </c>
      <c r="G6111" s="3">
        <v>1</v>
      </c>
      <c r="H6111" s="3">
        <v>20</v>
      </c>
      <c r="I6111" s="3">
        <v>21</v>
      </c>
      <c r="J6111" s="3">
        <v>1</v>
      </c>
      <c r="K6111" s="3">
        <v>25</v>
      </c>
      <c r="L6111" s="3">
        <v>1</v>
      </c>
      <c r="M6111" s="3">
        <v>20</v>
      </c>
      <c r="N6111" s="3">
        <v>24</v>
      </c>
      <c r="O6111" s="3"/>
      <c r="P6111" s="3"/>
      <c r="Q6111" s="3"/>
    </row>
    <row r="6112" spans="1:17" ht="15" x14ac:dyDescent="0.25">
      <c r="A6112" s="3">
        <f>6105</f>
        <v>6105</v>
      </c>
      <c r="B6112" s="3" t="s">
        <v>6114</v>
      </c>
      <c r="C6112" s="3" t="s">
        <v>9</v>
      </c>
      <c r="D6112" s="3" t="s">
        <v>10</v>
      </c>
      <c r="E6112" s="3">
        <v>22</v>
      </c>
      <c r="F6112" s="3">
        <v>0</v>
      </c>
      <c r="G6112" s="3">
        <v>1</v>
      </c>
      <c r="H6112" s="3">
        <v>20</v>
      </c>
      <c r="I6112" s="3">
        <v>21</v>
      </c>
      <c r="J6112" s="3">
        <v>1</v>
      </c>
      <c r="K6112" s="3">
        <v>25</v>
      </c>
      <c r="L6112" s="3">
        <v>1</v>
      </c>
      <c r="M6112" s="3">
        <v>20</v>
      </c>
      <c r="N6112" s="3">
        <v>24</v>
      </c>
      <c r="O6112" s="3"/>
      <c r="P6112" s="3"/>
      <c r="Q6112" s="3"/>
    </row>
    <row r="6113" spans="1:17" ht="15" x14ac:dyDescent="0.25">
      <c r="A6113" s="3">
        <f>6106</f>
        <v>6106</v>
      </c>
      <c r="B6113" s="3" t="s">
        <v>6115</v>
      </c>
      <c r="C6113" s="3" t="s">
        <v>9</v>
      </c>
      <c r="D6113" s="3" t="s">
        <v>10</v>
      </c>
      <c r="E6113" s="3">
        <v>22</v>
      </c>
      <c r="F6113" s="3">
        <v>0</v>
      </c>
      <c r="G6113" s="3">
        <v>1</v>
      </c>
      <c r="H6113" s="3">
        <v>20</v>
      </c>
      <c r="I6113" s="3">
        <v>24</v>
      </c>
      <c r="J6113" s="3">
        <v>1</v>
      </c>
      <c r="K6113" s="3">
        <v>23</v>
      </c>
      <c r="L6113" s="3">
        <v>1</v>
      </c>
      <c r="M6113" s="3">
        <v>20</v>
      </c>
      <c r="N6113" s="3">
        <v>21</v>
      </c>
      <c r="O6113" s="3"/>
      <c r="P6113" s="3"/>
      <c r="Q6113" s="3"/>
    </row>
    <row r="6114" spans="1:17" ht="15" x14ac:dyDescent="0.25">
      <c r="A6114" s="3">
        <f>6107</f>
        <v>6107</v>
      </c>
      <c r="B6114" s="3" t="s">
        <v>6116</v>
      </c>
      <c r="C6114" s="3" t="s">
        <v>9</v>
      </c>
      <c r="D6114" s="3" t="s">
        <v>10</v>
      </c>
      <c r="E6114" s="3">
        <v>22</v>
      </c>
      <c r="F6114" s="3">
        <v>0</v>
      </c>
      <c r="G6114" s="3">
        <v>1</v>
      </c>
      <c r="H6114" s="3">
        <v>20</v>
      </c>
      <c r="I6114" s="3">
        <v>24</v>
      </c>
      <c r="J6114" s="3">
        <v>1</v>
      </c>
      <c r="K6114" s="3">
        <v>23</v>
      </c>
      <c r="L6114" s="3">
        <v>1</v>
      </c>
      <c r="M6114" s="3">
        <v>20</v>
      </c>
      <c r="N6114" s="3">
        <v>21</v>
      </c>
      <c r="O6114" s="3"/>
      <c r="P6114" s="3"/>
      <c r="Q6114" s="3"/>
    </row>
    <row r="6115" spans="1:17" ht="15" x14ac:dyDescent="0.25">
      <c r="A6115" s="3">
        <f>6108</f>
        <v>6108</v>
      </c>
      <c r="B6115" s="3" t="s">
        <v>6117</v>
      </c>
      <c r="C6115" s="3" t="s">
        <v>9</v>
      </c>
      <c r="D6115" s="3" t="s">
        <v>10</v>
      </c>
      <c r="E6115" s="3">
        <v>22</v>
      </c>
      <c r="F6115" s="3">
        <v>0</v>
      </c>
      <c r="G6115" s="3">
        <v>1</v>
      </c>
      <c r="H6115" s="3">
        <v>20</v>
      </c>
      <c r="I6115" s="3">
        <v>21</v>
      </c>
      <c r="J6115" s="3">
        <v>1</v>
      </c>
      <c r="K6115" s="3">
        <v>24</v>
      </c>
      <c r="L6115" s="3">
        <v>1</v>
      </c>
      <c r="M6115" s="3">
        <v>20</v>
      </c>
      <c r="N6115" s="3">
        <v>21</v>
      </c>
      <c r="O6115" s="3"/>
      <c r="P6115" s="3"/>
      <c r="Q6115" s="3"/>
    </row>
    <row r="6116" spans="1:17" ht="15" x14ac:dyDescent="0.25">
      <c r="A6116" s="3">
        <f>6109</f>
        <v>6109</v>
      </c>
      <c r="B6116" s="3" t="s">
        <v>6118</v>
      </c>
      <c r="C6116" s="3" t="s">
        <v>9</v>
      </c>
      <c r="D6116" s="3" t="s">
        <v>10</v>
      </c>
      <c r="E6116" s="3">
        <v>22</v>
      </c>
      <c r="F6116" s="3">
        <v>0</v>
      </c>
      <c r="G6116" s="3">
        <v>1</v>
      </c>
      <c r="H6116" s="3">
        <v>20</v>
      </c>
      <c r="I6116" s="3">
        <v>21</v>
      </c>
      <c r="J6116" s="3">
        <v>1</v>
      </c>
      <c r="K6116" s="3">
        <v>24</v>
      </c>
      <c r="L6116" s="3">
        <v>1</v>
      </c>
      <c r="M6116" s="3">
        <v>20</v>
      </c>
      <c r="N6116" s="3">
        <v>20</v>
      </c>
      <c r="O6116" s="3"/>
      <c r="P6116" s="3"/>
      <c r="Q6116" s="3"/>
    </row>
    <row r="6117" spans="1:17" ht="15" x14ac:dyDescent="0.25">
      <c r="A6117" s="3">
        <f>6110</f>
        <v>6110</v>
      </c>
      <c r="B6117" s="3" t="s">
        <v>6119</v>
      </c>
      <c r="C6117" s="3" t="s">
        <v>9</v>
      </c>
      <c r="D6117" s="3" t="s">
        <v>10</v>
      </c>
      <c r="E6117" s="3">
        <v>22</v>
      </c>
      <c r="F6117" s="3">
        <v>0</v>
      </c>
      <c r="G6117" s="3">
        <v>1</v>
      </c>
      <c r="H6117" s="3">
        <v>20</v>
      </c>
      <c r="I6117" s="3">
        <v>21</v>
      </c>
      <c r="J6117" s="3">
        <v>1</v>
      </c>
      <c r="K6117" s="3">
        <v>24</v>
      </c>
      <c r="L6117" s="3">
        <v>1</v>
      </c>
      <c r="M6117" s="3">
        <v>20</v>
      </c>
      <c r="N6117" s="3">
        <v>20</v>
      </c>
      <c r="O6117" s="3"/>
      <c r="P6117" s="3"/>
      <c r="Q6117" s="3"/>
    </row>
    <row r="6118" spans="1:17" ht="15" x14ac:dyDescent="0.25">
      <c r="A6118" s="3">
        <f>6111</f>
        <v>6111</v>
      </c>
      <c r="B6118" s="3" t="s">
        <v>6120</v>
      </c>
      <c r="C6118" s="3" t="s">
        <v>9</v>
      </c>
      <c r="D6118" s="3" t="s">
        <v>10</v>
      </c>
      <c r="E6118" s="3">
        <v>22</v>
      </c>
      <c r="F6118" s="3">
        <v>0</v>
      </c>
      <c r="G6118" s="3">
        <v>1</v>
      </c>
      <c r="H6118" s="3">
        <v>20</v>
      </c>
      <c r="I6118" s="3">
        <v>21</v>
      </c>
      <c r="J6118" s="3">
        <v>1</v>
      </c>
      <c r="K6118" s="3">
        <v>24</v>
      </c>
      <c r="L6118" s="3">
        <v>1</v>
      </c>
      <c r="M6118" s="3">
        <v>20</v>
      </c>
      <c r="N6118" s="3">
        <v>20</v>
      </c>
      <c r="O6118" s="3"/>
      <c r="P6118" s="3"/>
      <c r="Q6118" s="3"/>
    </row>
    <row r="6119" spans="1:17" ht="15" x14ac:dyDescent="0.25">
      <c r="A6119" s="3">
        <f>6112</f>
        <v>6112</v>
      </c>
      <c r="B6119" s="3" t="s">
        <v>6121</v>
      </c>
      <c r="C6119" s="3" t="s">
        <v>9</v>
      </c>
      <c r="D6119" s="3" t="s">
        <v>10</v>
      </c>
      <c r="E6119" s="3">
        <v>22</v>
      </c>
      <c r="F6119" s="3">
        <v>0</v>
      </c>
      <c r="G6119" s="3">
        <v>1</v>
      </c>
      <c r="H6119" s="3">
        <v>20</v>
      </c>
      <c r="I6119" s="3">
        <v>21</v>
      </c>
      <c r="J6119" s="3">
        <v>1</v>
      </c>
      <c r="K6119" s="3">
        <v>24</v>
      </c>
      <c r="L6119" s="3">
        <v>1</v>
      </c>
      <c r="M6119" s="3">
        <v>20</v>
      </c>
      <c r="N6119" s="3">
        <v>20</v>
      </c>
      <c r="O6119" s="3"/>
      <c r="P6119" s="3"/>
      <c r="Q6119" s="3"/>
    </row>
    <row r="6120" spans="1:17" ht="15" x14ac:dyDescent="0.25">
      <c r="A6120" s="3">
        <f>6113</f>
        <v>6113</v>
      </c>
      <c r="B6120" s="3" t="s">
        <v>6122</v>
      </c>
      <c r="C6120" s="3" t="s">
        <v>9</v>
      </c>
      <c r="D6120" s="3" t="s">
        <v>10</v>
      </c>
      <c r="E6120" s="3">
        <v>22</v>
      </c>
      <c r="F6120" s="3">
        <v>0</v>
      </c>
      <c r="G6120" s="3">
        <v>1</v>
      </c>
      <c r="H6120" s="3">
        <v>20</v>
      </c>
      <c r="I6120" s="3">
        <v>21</v>
      </c>
      <c r="J6120" s="3">
        <v>1</v>
      </c>
      <c r="K6120" s="3">
        <v>24</v>
      </c>
      <c r="L6120" s="3">
        <v>1</v>
      </c>
      <c r="M6120" s="3">
        <v>20</v>
      </c>
      <c r="N6120" s="3">
        <v>20</v>
      </c>
      <c r="O6120" s="3"/>
      <c r="P6120" s="3"/>
      <c r="Q6120" s="3"/>
    </row>
    <row r="6121" spans="1:17" ht="15" x14ac:dyDescent="0.25">
      <c r="A6121" s="3">
        <f>6114</f>
        <v>6114</v>
      </c>
      <c r="B6121" s="3" t="s">
        <v>6123</v>
      </c>
      <c r="C6121" s="3" t="s">
        <v>9</v>
      </c>
      <c r="D6121" s="3" t="s">
        <v>10</v>
      </c>
      <c r="E6121" s="3">
        <v>22</v>
      </c>
      <c r="F6121" s="3">
        <v>0</v>
      </c>
      <c r="G6121" s="3">
        <v>1</v>
      </c>
      <c r="H6121" s="3">
        <v>20</v>
      </c>
      <c r="I6121" s="3">
        <v>21</v>
      </c>
      <c r="J6121" s="3">
        <v>1</v>
      </c>
      <c r="K6121" s="3">
        <v>24</v>
      </c>
      <c r="L6121" s="3">
        <v>1</v>
      </c>
      <c r="M6121" s="3">
        <v>20</v>
      </c>
      <c r="N6121" s="3">
        <v>20</v>
      </c>
      <c r="O6121" s="3"/>
      <c r="P6121" s="3"/>
      <c r="Q6121" s="3"/>
    </row>
    <row r="6122" spans="1:17" ht="15" x14ac:dyDescent="0.25">
      <c r="A6122" s="3">
        <f>6115</f>
        <v>6115</v>
      </c>
      <c r="B6122" s="3" t="s">
        <v>6124</v>
      </c>
      <c r="C6122" s="3" t="s">
        <v>9</v>
      </c>
      <c r="D6122" s="3" t="s">
        <v>10</v>
      </c>
      <c r="E6122" s="3">
        <v>22</v>
      </c>
      <c r="F6122" s="3">
        <v>0</v>
      </c>
      <c r="G6122" s="3">
        <v>1</v>
      </c>
      <c r="H6122" s="3">
        <v>20</v>
      </c>
      <c r="I6122" s="3">
        <v>21</v>
      </c>
      <c r="J6122" s="3">
        <v>1</v>
      </c>
      <c r="K6122" s="3">
        <v>24</v>
      </c>
      <c r="L6122" s="3">
        <v>1</v>
      </c>
      <c r="M6122" s="3">
        <v>20</v>
      </c>
      <c r="N6122" s="3">
        <v>20</v>
      </c>
      <c r="O6122" s="3"/>
      <c r="P6122" s="3"/>
      <c r="Q6122" s="3"/>
    </row>
    <row r="6123" spans="1:17" ht="15" x14ac:dyDescent="0.25">
      <c r="A6123" s="3">
        <f>6116</f>
        <v>6116</v>
      </c>
      <c r="B6123" s="3" t="s">
        <v>6125</v>
      </c>
      <c r="C6123" s="3" t="s">
        <v>9</v>
      </c>
      <c r="D6123" s="3" t="s">
        <v>10</v>
      </c>
      <c r="E6123" s="3">
        <v>22</v>
      </c>
      <c r="F6123" s="3">
        <v>0</v>
      </c>
      <c r="G6123" s="3">
        <v>1</v>
      </c>
      <c r="H6123" s="3">
        <v>20</v>
      </c>
      <c r="I6123" s="3">
        <v>21</v>
      </c>
      <c r="J6123" s="3">
        <v>1</v>
      </c>
      <c r="K6123" s="3">
        <v>24</v>
      </c>
      <c r="L6123" s="3">
        <v>1</v>
      </c>
      <c r="M6123" s="3">
        <v>20</v>
      </c>
      <c r="N6123" s="3">
        <v>20</v>
      </c>
      <c r="O6123" s="3"/>
      <c r="P6123" s="3"/>
      <c r="Q6123" s="3"/>
    </row>
    <row r="6124" spans="1:17" ht="15" x14ac:dyDescent="0.25">
      <c r="A6124" s="3">
        <f>6117</f>
        <v>6117</v>
      </c>
      <c r="B6124" s="3" t="s">
        <v>6126</v>
      </c>
      <c r="C6124" s="3" t="s">
        <v>9</v>
      </c>
      <c r="D6124" s="3" t="s">
        <v>10</v>
      </c>
      <c r="E6124" s="3">
        <v>22</v>
      </c>
      <c r="F6124" s="3">
        <v>0</v>
      </c>
      <c r="G6124" s="3">
        <v>1</v>
      </c>
      <c r="H6124" s="3">
        <v>20</v>
      </c>
      <c r="I6124" s="3">
        <v>21</v>
      </c>
      <c r="J6124" s="3">
        <v>1</v>
      </c>
      <c r="K6124" s="3">
        <v>24</v>
      </c>
      <c r="L6124" s="3">
        <v>1</v>
      </c>
      <c r="M6124" s="3">
        <v>20</v>
      </c>
      <c r="N6124" s="3">
        <v>20</v>
      </c>
      <c r="O6124" s="3"/>
      <c r="P6124" s="3"/>
      <c r="Q6124" s="3"/>
    </row>
    <row r="6125" spans="1:17" ht="15" x14ac:dyDescent="0.25">
      <c r="A6125" s="3">
        <f>6118</f>
        <v>6118</v>
      </c>
      <c r="B6125" s="3" t="s">
        <v>6127</v>
      </c>
      <c r="C6125" s="3" t="s">
        <v>9</v>
      </c>
      <c r="D6125" s="3" t="s">
        <v>10</v>
      </c>
      <c r="E6125" s="3">
        <v>22</v>
      </c>
      <c r="F6125" s="3">
        <v>0</v>
      </c>
      <c r="G6125" s="3">
        <v>1</v>
      </c>
      <c r="H6125" s="3">
        <v>20</v>
      </c>
      <c r="I6125" s="3">
        <v>21</v>
      </c>
      <c r="J6125" s="3">
        <v>1</v>
      </c>
      <c r="K6125" s="3">
        <v>24</v>
      </c>
      <c r="L6125" s="3">
        <v>1</v>
      </c>
      <c r="M6125" s="3">
        <v>20</v>
      </c>
      <c r="N6125" s="3">
        <v>20</v>
      </c>
      <c r="O6125" s="3"/>
      <c r="P6125" s="3"/>
      <c r="Q6125" s="3"/>
    </row>
    <row r="6126" spans="1:17" ht="15" x14ac:dyDescent="0.25">
      <c r="A6126" s="3">
        <f>6119</f>
        <v>6119</v>
      </c>
      <c r="B6126" s="3" t="s">
        <v>6128</v>
      </c>
      <c r="C6126" s="3" t="s">
        <v>9</v>
      </c>
      <c r="D6126" s="3" t="s">
        <v>10</v>
      </c>
      <c r="E6126" s="3">
        <v>22</v>
      </c>
      <c r="F6126" s="3">
        <v>0</v>
      </c>
      <c r="G6126" s="3">
        <v>1</v>
      </c>
      <c r="H6126" s="3">
        <v>20</v>
      </c>
      <c r="I6126" s="3">
        <v>24</v>
      </c>
      <c r="J6126" s="3">
        <v>1</v>
      </c>
      <c r="K6126" s="3">
        <v>21</v>
      </c>
      <c r="L6126" s="3">
        <v>1</v>
      </c>
      <c r="M6126" s="3">
        <v>20</v>
      </c>
      <c r="N6126" s="3">
        <v>23</v>
      </c>
      <c r="O6126" s="3"/>
      <c r="P6126" s="3"/>
      <c r="Q6126" s="3"/>
    </row>
    <row r="6127" spans="1:17" ht="15" x14ac:dyDescent="0.25">
      <c r="A6127" s="3">
        <f>6120</f>
        <v>6120</v>
      </c>
      <c r="B6127" s="3" t="s">
        <v>6129</v>
      </c>
      <c r="C6127" s="3" t="s">
        <v>9</v>
      </c>
      <c r="D6127" s="3" t="s">
        <v>10</v>
      </c>
      <c r="E6127" s="3">
        <v>22</v>
      </c>
      <c r="F6127" s="3">
        <v>0</v>
      </c>
      <c r="G6127" s="3">
        <v>1</v>
      </c>
      <c r="H6127" s="3">
        <v>20</v>
      </c>
      <c r="I6127" s="3">
        <v>24</v>
      </c>
      <c r="J6127" s="3">
        <v>1</v>
      </c>
      <c r="K6127" s="3">
        <v>21</v>
      </c>
      <c r="L6127" s="3">
        <v>1</v>
      </c>
      <c r="M6127" s="3">
        <v>20</v>
      </c>
      <c r="N6127" s="3">
        <v>23</v>
      </c>
      <c r="O6127" s="3"/>
      <c r="P6127" s="3"/>
      <c r="Q6127" s="3"/>
    </row>
    <row r="6128" spans="1:17" ht="15" x14ac:dyDescent="0.25">
      <c r="A6128" s="3">
        <f>6121</f>
        <v>6121</v>
      </c>
      <c r="B6128" s="3" t="s">
        <v>6130</v>
      </c>
      <c r="C6128" s="3" t="s">
        <v>9</v>
      </c>
      <c r="D6128" s="3" t="s">
        <v>10</v>
      </c>
      <c r="E6128" s="3">
        <v>22</v>
      </c>
      <c r="F6128" s="3">
        <v>0</v>
      </c>
      <c r="G6128" s="3">
        <v>1</v>
      </c>
      <c r="H6128" s="3">
        <v>20</v>
      </c>
      <c r="I6128" s="3">
        <v>21</v>
      </c>
      <c r="J6128" s="3">
        <v>1</v>
      </c>
      <c r="K6128" s="3">
        <v>23</v>
      </c>
      <c r="L6128" s="3">
        <v>1</v>
      </c>
      <c r="M6128" s="3">
        <v>20</v>
      </c>
      <c r="N6128" s="3">
        <v>20</v>
      </c>
      <c r="O6128" s="3"/>
      <c r="P6128" s="3"/>
      <c r="Q6128" s="3"/>
    </row>
    <row r="6129" spans="1:17" ht="15" x14ac:dyDescent="0.25">
      <c r="A6129" s="3">
        <f>6122</f>
        <v>6122</v>
      </c>
      <c r="B6129" s="3" t="s">
        <v>6131</v>
      </c>
      <c r="C6129" s="3" t="s">
        <v>9</v>
      </c>
      <c r="D6129" s="3" t="s">
        <v>10</v>
      </c>
      <c r="E6129" s="3">
        <v>22</v>
      </c>
      <c r="F6129" s="3">
        <v>0</v>
      </c>
      <c r="G6129" s="3">
        <v>1</v>
      </c>
      <c r="H6129" s="3">
        <v>20</v>
      </c>
      <c r="I6129" s="3">
        <v>21</v>
      </c>
      <c r="J6129" s="3">
        <v>1</v>
      </c>
      <c r="K6129" s="3">
        <v>23</v>
      </c>
      <c r="L6129" s="3">
        <v>1</v>
      </c>
      <c r="M6129" s="3">
        <v>20</v>
      </c>
      <c r="N6129" s="3">
        <v>20</v>
      </c>
      <c r="O6129" s="3"/>
      <c r="P6129" s="3"/>
      <c r="Q6129" s="3"/>
    </row>
    <row r="6130" spans="1:17" ht="15" x14ac:dyDescent="0.25">
      <c r="A6130" s="3">
        <f>6123</f>
        <v>6123</v>
      </c>
      <c r="B6130" s="3" t="s">
        <v>6132</v>
      </c>
      <c r="C6130" s="3" t="s">
        <v>9</v>
      </c>
      <c r="D6130" s="3" t="s">
        <v>10</v>
      </c>
      <c r="E6130" s="3">
        <v>22</v>
      </c>
      <c r="F6130" s="3">
        <v>0</v>
      </c>
      <c r="G6130" s="3">
        <v>1</v>
      </c>
      <c r="H6130" s="3">
        <v>20</v>
      </c>
      <c r="I6130" s="3">
        <v>21</v>
      </c>
      <c r="J6130" s="3">
        <v>1</v>
      </c>
      <c r="K6130" s="3">
        <v>23</v>
      </c>
      <c r="L6130" s="3">
        <v>1</v>
      </c>
      <c r="M6130" s="3">
        <v>20</v>
      </c>
      <c r="N6130" s="3">
        <v>20</v>
      </c>
      <c r="O6130" s="3"/>
      <c r="P6130" s="3"/>
      <c r="Q6130" s="3"/>
    </row>
    <row r="6131" spans="1:17" ht="15" x14ac:dyDescent="0.25">
      <c r="A6131" s="3">
        <f>6124</f>
        <v>6124</v>
      </c>
      <c r="B6131" s="3" t="s">
        <v>6133</v>
      </c>
      <c r="C6131" s="3" t="s">
        <v>9</v>
      </c>
      <c r="D6131" s="3" t="s">
        <v>10</v>
      </c>
      <c r="E6131" s="3">
        <v>22</v>
      </c>
      <c r="F6131" s="3">
        <v>0</v>
      </c>
      <c r="G6131" s="3">
        <v>1</v>
      </c>
      <c r="H6131" s="3">
        <v>20</v>
      </c>
      <c r="I6131" s="3">
        <v>21</v>
      </c>
      <c r="J6131" s="3">
        <v>1</v>
      </c>
      <c r="K6131" s="3">
        <v>23</v>
      </c>
      <c r="L6131" s="3">
        <v>1</v>
      </c>
      <c r="M6131" s="3">
        <v>20</v>
      </c>
      <c r="N6131" s="3">
        <v>20</v>
      </c>
      <c r="O6131" s="3"/>
      <c r="P6131" s="3"/>
      <c r="Q6131" s="3"/>
    </row>
    <row r="6132" spans="1:17" ht="15" x14ac:dyDescent="0.25">
      <c r="A6132" s="3">
        <f>6125</f>
        <v>6125</v>
      </c>
      <c r="B6132" s="3" t="s">
        <v>6134</v>
      </c>
      <c r="C6132" s="3" t="s">
        <v>9</v>
      </c>
      <c r="D6132" s="3" t="s">
        <v>10</v>
      </c>
      <c r="E6132" s="3">
        <v>22</v>
      </c>
      <c r="F6132" s="3">
        <v>0</v>
      </c>
      <c r="G6132" s="3">
        <v>1</v>
      </c>
      <c r="H6132" s="3">
        <v>20</v>
      </c>
      <c r="I6132" s="3">
        <v>24</v>
      </c>
      <c r="J6132" s="3">
        <v>1</v>
      </c>
      <c r="K6132" s="3">
        <v>22</v>
      </c>
      <c r="L6132" s="3">
        <v>1</v>
      </c>
      <c r="M6132" s="3">
        <v>20</v>
      </c>
      <c r="N6132" s="3">
        <v>23</v>
      </c>
      <c r="O6132" s="3"/>
      <c r="P6132" s="3"/>
      <c r="Q6132" s="3"/>
    </row>
    <row r="6133" spans="1:17" ht="15" x14ac:dyDescent="0.25">
      <c r="A6133" s="3">
        <f>6126</f>
        <v>6126</v>
      </c>
      <c r="B6133" s="3" t="s">
        <v>6135</v>
      </c>
      <c r="C6133" s="3" t="s">
        <v>9</v>
      </c>
      <c r="D6133" s="3" t="s">
        <v>10</v>
      </c>
      <c r="E6133" s="3">
        <v>22</v>
      </c>
      <c r="F6133" s="3">
        <v>0</v>
      </c>
      <c r="G6133" s="3">
        <v>1</v>
      </c>
      <c r="H6133" s="3">
        <v>20</v>
      </c>
      <c r="I6133" s="3">
        <v>24</v>
      </c>
      <c r="J6133" s="3">
        <v>1</v>
      </c>
      <c r="K6133" s="3">
        <v>22</v>
      </c>
      <c r="L6133" s="3">
        <v>1</v>
      </c>
      <c r="M6133" s="3">
        <v>20</v>
      </c>
      <c r="N6133" s="3">
        <v>23</v>
      </c>
      <c r="O6133" s="3"/>
      <c r="P6133" s="3"/>
      <c r="Q6133" s="3"/>
    </row>
    <row r="6134" spans="1:17" ht="15" x14ac:dyDescent="0.25">
      <c r="A6134" s="3">
        <f>6127</f>
        <v>6127</v>
      </c>
      <c r="B6134" s="3" t="s">
        <v>6136</v>
      </c>
      <c r="C6134" s="3" t="s">
        <v>9</v>
      </c>
      <c r="D6134" s="3" t="s">
        <v>10</v>
      </c>
      <c r="E6134" s="3">
        <v>22</v>
      </c>
      <c r="F6134" s="3">
        <v>0</v>
      </c>
      <c r="G6134" s="3">
        <v>1</v>
      </c>
      <c r="H6134" s="3">
        <v>20</v>
      </c>
      <c r="I6134" s="3">
        <v>24</v>
      </c>
      <c r="J6134" s="3">
        <v>1</v>
      </c>
      <c r="K6134" s="3">
        <v>22</v>
      </c>
      <c r="L6134" s="3">
        <v>1</v>
      </c>
      <c r="M6134" s="3">
        <v>20</v>
      </c>
      <c r="N6134" s="3">
        <v>23</v>
      </c>
      <c r="O6134" s="3"/>
      <c r="P6134" s="3"/>
      <c r="Q6134" s="3"/>
    </row>
    <row r="6135" spans="1:17" ht="15" x14ac:dyDescent="0.25">
      <c r="A6135" s="3">
        <f>6128</f>
        <v>6128</v>
      </c>
      <c r="B6135" s="3" t="s">
        <v>6137</v>
      </c>
      <c r="C6135" s="3" t="s">
        <v>9</v>
      </c>
      <c r="D6135" s="3" t="s">
        <v>10</v>
      </c>
      <c r="E6135" s="3">
        <v>22</v>
      </c>
      <c r="F6135" s="3">
        <v>0</v>
      </c>
      <c r="G6135" s="3">
        <v>1</v>
      </c>
      <c r="H6135" s="3">
        <v>20</v>
      </c>
      <c r="I6135" s="3">
        <v>24</v>
      </c>
      <c r="J6135" s="3">
        <v>1</v>
      </c>
      <c r="K6135" s="3">
        <v>22</v>
      </c>
      <c r="L6135" s="3">
        <v>1</v>
      </c>
      <c r="M6135" s="3">
        <v>20</v>
      </c>
      <c r="N6135" s="3">
        <v>23</v>
      </c>
      <c r="O6135" s="3"/>
      <c r="P6135" s="3"/>
      <c r="Q6135" s="3"/>
    </row>
    <row r="6136" spans="1:17" ht="15" x14ac:dyDescent="0.25">
      <c r="A6136" s="3">
        <f>6129</f>
        <v>6129</v>
      </c>
      <c r="B6136" s="3" t="s">
        <v>6138</v>
      </c>
      <c r="C6136" s="3" t="s">
        <v>9</v>
      </c>
      <c r="D6136" s="3" t="s">
        <v>10</v>
      </c>
      <c r="E6136" s="3">
        <v>22</v>
      </c>
      <c r="F6136" s="3">
        <v>0</v>
      </c>
      <c r="G6136" s="3">
        <v>1</v>
      </c>
      <c r="H6136" s="3">
        <v>20</v>
      </c>
      <c r="I6136" s="3">
        <v>21</v>
      </c>
      <c r="J6136" s="3">
        <v>1</v>
      </c>
      <c r="K6136" s="3">
        <v>25</v>
      </c>
      <c r="L6136" s="3">
        <v>1</v>
      </c>
      <c r="M6136" s="3">
        <v>20</v>
      </c>
      <c r="N6136" s="3">
        <v>20</v>
      </c>
      <c r="O6136" s="3"/>
      <c r="P6136" s="3"/>
      <c r="Q6136" s="3"/>
    </row>
    <row r="6137" spans="1:17" ht="15" x14ac:dyDescent="0.25">
      <c r="A6137" s="3">
        <f>6130</f>
        <v>6130</v>
      </c>
      <c r="B6137" s="3" t="s">
        <v>6139</v>
      </c>
      <c r="C6137" s="3" t="s">
        <v>9</v>
      </c>
      <c r="D6137" s="3" t="s">
        <v>10</v>
      </c>
      <c r="E6137" s="3">
        <v>22</v>
      </c>
      <c r="F6137" s="3">
        <v>0</v>
      </c>
      <c r="G6137" s="3">
        <v>1</v>
      </c>
      <c r="H6137" s="3">
        <v>20</v>
      </c>
      <c r="I6137" s="3">
        <v>21</v>
      </c>
      <c r="J6137" s="3">
        <v>1</v>
      </c>
      <c r="K6137" s="3">
        <v>25</v>
      </c>
      <c r="L6137" s="3">
        <v>1</v>
      </c>
      <c r="M6137" s="3">
        <v>20</v>
      </c>
      <c r="N6137" s="3">
        <v>20</v>
      </c>
      <c r="O6137" s="3"/>
      <c r="P6137" s="3"/>
      <c r="Q6137" s="3"/>
    </row>
    <row r="6138" spans="1:17" ht="15" x14ac:dyDescent="0.25">
      <c r="A6138" s="3">
        <f>6131</f>
        <v>6131</v>
      </c>
      <c r="B6138" s="3" t="s">
        <v>6140</v>
      </c>
      <c r="C6138" s="3" t="s">
        <v>9</v>
      </c>
      <c r="D6138" s="3" t="s">
        <v>10</v>
      </c>
      <c r="E6138" s="3">
        <v>22</v>
      </c>
      <c r="F6138" s="3">
        <v>0</v>
      </c>
      <c r="G6138" s="3">
        <v>1</v>
      </c>
      <c r="H6138" s="3">
        <v>20</v>
      </c>
      <c r="I6138" s="3">
        <v>24</v>
      </c>
      <c r="J6138" s="3">
        <v>1</v>
      </c>
      <c r="K6138" s="3">
        <v>21</v>
      </c>
      <c r="L6138" s="3">
        <v>1</v>
      </c>
      <c r="M6138" s="3">
        <v>20</v>
      </c>
      <c r="N6138" s="3">
        <v>23</v>
      </c>
      <c r="O6138" s="3"/>
      <c r="P6138" s="3"/>
      <c r="Q6138" s="3"/>
    </row>
    <row r="6139" spans="1:17" ht="15" x14ac:dyDescent="0.25">
      <c r="A6139" s="3">
        <f>6132</f>
        <v>6132</v>
      </c>
      <c r="B6139" s="3" t="s">
        <v>6141</v>
      </c>
      <c r="C6139" s="3" t="s">
        <v>9</v>
      </c>
      <c r="D6139" s="3" t="s">
        <v>10</v>
      </c>
      <c r="E6139" s="3">
        <v>22</v>
      </c>
      <c r="F6139" s="3">
        <v>0</v>
      </c>
      <c r="G6139" s="3">
        <v>1</v>
      </c>
      <c r="H6139" s="3">
        <v>20</v>
      </c>
      <c r="I6139" s="3">
        <v>24</v>
      </c>
      <c r="J6139" s="3">
        <v>1</v>
      </c>
      <c r="K6139" s="3">
        <v>21</v>
      </c>
      <c r="L6139" s="3">
        <v>1</v>
      </c>
      <c r="M6139" s="3">
        <v>20</v>
      </c>
      <c r="N6139" s="3">
        <v>23</v>
      </c>
      <c r="O6139" s="3"/>
      <c r="P6139" s="3"/>
      <c r="Q6139" s="3"/>
    </row>
    <row r="6140" spans="1:17" ht="15" x14ac:dyDescent="0.25">
      <c r="A6140" s="3">
        <f>6133</f>
        <v>6133</v>
      </c>
      <c r="B6140" s="3" t="s">
        <v>6142</v>
      </c>
      <c r="C6140" s="3" t="s">
        <v>9</v>
      </c>
      <c r="D6140" s="3" t="s">
        <v>10</v>
      </c>
      <c r="E6140" s="3">
        <v>22</v>
      </c>
      <c r="F6140" s="3">
        <v>0</v>
      </c>
      <c r="G6140" s="3">
        <v>1</v>
      </c>
      <c r="H6140" s="3">
        <v>20</v>
      </c>
      <c r="I6140" s="3">
        <v>20</v>
      </c>
      <c r="J6140" s="3">
        <v>1</v>
      </c>
      <c r="K6140" s="3">
        <v>25</v>
      </c>
      <c r="L6140" s="3">
        <v>1</v>
      </c>
      <c r="M6140" s="3">
        <v>20</v>
      </c>
      <c r="N6140" s="3">
        <v>24</v>
      </c>
      <c r="O6140" s="3"/>
      <c r="P6140" s="3"/>
      <c r="Q6140" s="3"/>
    </row>
    <row r="6141" spans="1:17" ht="15" x14ac:dyDescent="0.25">
      <c r="A6141" s="3">
        <f>6134</f>
        <v>6134</v>
      </c>
      <c r="B6141" s="3" t="s">
        <v>6143</v>
      </c>
      <c r="C6141" s="3" t="s">
        <v>9</v>
      </c>
      <c r="D6141" s="3" t="s">
        <v>10</v>
      </c>
      <c r="E6141" s="3">
        <v>22</v>
      </c>
      <c r="F6141" s="3">
        <v>0</v>
      </c>
      <c r="G6141" s="3">
        <v>1</v>
      </c>
      <c r="H6141" s="3">
        <v>20</v>
      </c>
      <c r="I6141" s="3">
        <v>20</v>
      </c>
      <c r="J6141" s="3">
        <v>1</v>
      </c>
      <c r="K6141" s="3">
        <v>25</v>
      </c>
      <c r="L6141" s="3">
        <v>1</v>
      </c>
      <c r="M6141" s="3">
        <v>20</v>
      </c>
      <c r="N6141" s="3">
        <v>24</v>
      </c>
      <c r="O6141" s="3"/>
      <c r="P6141" s="3"/>
      <c r="Q6141" s="3"/>
    </row>
    <row r="6142" spans="1:17" ht="15" x14ac:dyDescent="0.25">
      <c r="A6142" s="3">
        <f>6135</f>
        <v>6135</v>
      </c>
      <c r="B6142" s="3" t="s">
        <v>6144</v>
      </c>
      <c r="C6142" s="3" t="s">
        <v>9</v>
      </c>
      <c r="D6142" s="3" t="s">
        <v>10</v>
      </c>
      <c r="E6142" s="3">
        <v>22</v>
      </c>
      <c r="F6142" s="3">
        <v>0</v>
      </c>
      <c r="G6142" s="3">
        <v>1</v>
      </c>
      <c r="H6142" s="3">
        <v>20</v>
      </c>
      <c r="I6142" s="3">
        <v>20</v>
      </c>
      <c r="J6142" s="3">
        <v>1</v>
      </c>
      <c r="K6142" s="3">
        <v>25</v>
      </c>
      <c r="L6142" s="3">
        <v>1</v>
      </c>
      <c r="M6142" s="3">
        <v>20</v>
      </c>
      <c r="N6142" s="3">
        <v>24</v>
      </c>
      <c r="O6142" s="3"/>
      <c r="P6142" s="3"/>
      <c r="Q6142" s="3"/>
    </row>
    <row r="6143" spans="1:17" ht="15" x14ac:dyDescent="0.25">
      <c r="A6143" s="3">
        <f>6136</f>
        <v>6136</v>
      </c>
      <c r="B6143" s="3" t="s">
        <v>6145</v>
      </c>
      <c r="C6143" s="3" t="s">
        <v>9</v>
      </c>
      <c r="D6143" s="3" t="s">
        <v>10</v>
      </c>
      <c r="E6143" s="3">
        <v>22</v>
      </c>
      <c r="F6143" s="3">
        <v>0</v>
      </c>
      <c r="G6143" s="3">
        <v>1</v>
      </c>
      <c r="H6143" s="3">
        <v>20</v>
      </c>
      <c r="I6143" s="3">
        <v>20</v>
      </c>
      <c r="J6143" s="3">
        <v>1</v>
      </c>
      <c r="K6143" s="3">
        <v>25</v>
      </c>
      <c r="L6143" s="3">
        <v>1</v>
      </c>
      <c r="M6143" s="3">
        <v>20</v>
      </c>
      <c r="N6143" s="3">
        <v>24</v>
      </c>
      <c r="O6143" s="3"/>
      <c r="P6143" s="3"/>
      <c r="Q6143" s="3"/>
    </row>
    <row r="6144" spans="1:17" ht="15" x14ac:dyDescent="0.25">
      <c r="A6144" s="3">
        <f>6137</f>
        <v>6137</v>
      </c>
      <c r="B6144" s="3" t="s">
        <v>6146</v>
      </c>
      <c r="C6144" s="3" t="s">
        <v>9</v>
      </c>
      <c r="D6144" s="3" t="s">
        <v>10</v>
      </c>
      <c r="E6144" s="3">
        <v>22</v>
      </c>
      <c r="F6144" s="3">
        <v>0</v>
      </c>
      <c r="G6144" s="3">
        <v>1</v>
      </c>
      <c r="H6144" s="3">
        <v>20</v>
      </c>
      <c r="I6144" s="3">
        <v>24</v>
      </c>
      <c r="J6144" s="3">
        <v>1</v>
      </c>
      <c r="K6144" s="3">
        <v>23</v>
      </c>
      <c r="L6144" s="3">
        <v>1</v>
      </c>
      <c r="M6144" s="3">
        <v>20</v>
      </c>
      <c r="N6144" s="3">
        <v>21</v>
      </c>
      <c r="O6144" s="3"/>
      <c r="P6144" s="3"/>
      <c r="Q6144" s="3"/>
    </row>
    <row r="6145" spans="1:17" ht="15" x14ac:dyDescent="0.25">
      <c r="A6145" s="3">
        <f>6138</f>
        <v>6138</v>
      </c>
      <c r="B6145" s="3" t="s">
        <v>6147</v>
      </c>
      <c r="C6145" s="3" t="s">
        <v>9</v>
      </c>
      <c r="D6145" s="3" t="s">
        <v>10</v>
      </c>
      <c r="E6145" s="3">
        <v>22</v>
      </c>
      <c r="F6145" s="3">
        <v>0</v>
      </c>
      <c r="G6145" s="3">
        <v>1</v>
      </c>
      <c r="H6145" s="3">
        <v>20</v>
      </c>
      <c r="I6145" s="3">
        <v>24</v>
      </c>
      <c r="J6145" s="3">
        <v>1</v>
      </c>
      <c r="K6145" s="3">
        <v>23</v>
      </c>
      <c r="L6145" s="3">
        <v>1</v>
      </c>
      <c r="M6145" s="3">
        <v>20</v>
      </c>
      <c r="N6145" s="3">
        <v>21</v>
      </c>
      <c r="O6145" s="3"/>
      <c r="P6145" s="3"/>
      <c r="Q6145" s="3"/>
    </row>
    <row r="6146" spans="1:17" ht="15" x14ac:dyDescent="0.25">
      <c r="A6146" s="3">
        <f>6139</f>
        <v>6139</v>
      </c>
      <c r="B6146" s="3" t="s">
        <v>6148</v>
      </c>
      <c r="C6146" s="3" t="s">
        <v>9</v>
      </c>
      <c r="D6146" s="3" t="s">
        <v>10</v>
      </c>
      <c r="E6146" s="3">
        <v>22</v>
      </c>
      <c r="F6146" s="3">
        <v>0</v>
      </c>
      <c r="G6146" s="3">
        <v>1</v>
      </c>
      <c r="H6146" s="3">
        <v>20</v>
      </c>
      <c r="I6146" s="3">
        <v>20</v>
      </c>
      <c r="J6146" s="3">
        <v>1</v>
      </c>
      <c r="K6146" s="3">
        <v>21</v>
      </c>
      <c r="L6146" s="3">
        <v>1</v>
      </c>
      <c r="M6146" s="3">
        <v>20</v>
      </c>
      <c r="N6146" s="3">
        <v>24</v>
      </c>
      <c r="O6146" s="3"/>
      <c r="P6146" s="3"/>
      <c r="Q6146" s="3"/>
    </row>
    <row r="6147" spans="1:17" ht="15" x14ac:dyDescent="0.25">
      <c r="A6147" s="3">
        <f>6140</f>
        <v>6140</v>
      </c>
      <c r="B6147" s="3" t="s">
        <v>6149</v>
      </c>
      <c r="C6147" s="3" t="s">
        <v>9</v>
      </c>
      <c r="D6147" s="3" t="s">
        <v>10</v>
      </c>
      <c r="E6147" s="3">
        <v>22</v>
      </c>
      <c r="F6147" s="3">
        <v>0</v>
      </c>
      <c r="G6147" s="3">
        <v>1</v>
      </c>
      <c r="H6147" s="3">
        <v>20</v>
      </c>
      <c r="I6147" s="3">
        <v>23</v>
      </c>
      <c r="J6147" s="3">
        <v>1</v>
      </c>
      <c r="K6147" s="3">
        <v>21</v>
      </c>
      <c r="L6147" s="3">
        <v>1</v>
      </c>
      <c r="M6147" s="3">
        <v>20</v>
      </c>
      <c r="N6147" s="3">
        <v>24</v>
      </c>
      <c r="O6147" s="3"/>
      <c r="P6147" s="3"/>
      <c r="Q6147" s="3"/>
    </row>
    <row r="6148" spans="1:17" ht="15" x14ac:dyDescent="0.25">
      <c r="A6148" s="3">
        <f>6141</f>
        <v>6141</v>
      </c>
      <c r="B6148" s="3" t="s">
        <v>6150</v>
      </c>
      <c r="C6148" s="3" t="s">
        <v>9</v>
      </c>
      <c r="D6148" s="3" t="s">
        <v>10</v>
      </c>
      <c r="E6148" s="3">
        <v>22</v>
      </c>
      <c r="F6148" s="3">
        <v>0</v>
      </c>
      <c r="G6148" s="3">
        <v>1</v>
      </c>
      <c r="H6148" s="3">
        <v>20</v>
      </c>
      <c r="I6148" s="3">
        <v>23</v>
      </c>
      <c r="J6148" s="3">
        <v>1</v>
      </c>
      <c r="K6148" s="3">
        <v>24</v>
      </c>
      <c r="L6148" s="3">
        <v>1</v>
      </c>
      <c r="M6148" s="3">
        <v>20</v>
      </c>
      <c r="N6148" s="3">
        <v>21</v>
      </c>
      <c r="O6148" s="3"/>
      <c r="P6148" s="3"/>
      <c r="Q6148" s="3"/>
    </row>
    <row r="6149" spans="1:17" ht="15" x14ac:dyDescent="0.25">
      <c r="A6149" s="3">
        <f>6142</f>
        <v>6142</v>
      </c>
      <c r="B6149" s="3" t="s">
        <v>6151</v>
      </c>
      <c r="C6149" s="3" t="s">
        <v>9</v>
      </c>
      <c r="D6149" s="3" t="s">
        <v>10</v>
      </c>
      <c r="E6149" s="3">
        <v>22</v>
      </c>
      <c r="F6149" s="3">
        <v>0</v>
      </c>
      <c r="G6149" s="3">
        <v>1</v>
      </c>
      <c r="H6149" s="3">
        <v>20</v>
      </c>
      <c r="I6149" s="3">
        <v>23</v>
      </c>
      <c r="J6149" s="3">
        <v>1</v>
      </c>
      <c r="K6149" s="3">
        <v>24</v>
      </c>
      <c r="L6149" s="3">
        <v>1</v>
      </c>
      <c r="M6149" s="3">
        <v>20</v>
      </c>
      <c r="N6149" s="3">
        <v>21</v>
      </c>
      <c r="O6149" s="3"/>
      <c r="P6149" s="3"/>
      <c r="Q6149" s="3"/>
    </row>
    <row r="6150" spans="1:17" ht="15" x14ac:dyDescent="0.25">
      <c r="A6150" s="3">
        <f>6143</f>
        <v>6143</v>
      </c>
      <c r="B6150" s="3" t="s">
        <v>6152</v>
      </c>
      <c r="C6150" s="3" t="s">
        <v>9</v>
      </c>
      <c r="D6150" s="3" t="s">
        <v>10</v>
      </c>
      <c r="E6150" s="3">
        <v>22</v>
      </c>
      <c r="F6150" s="3">
        <v>0</v>
      </c>
      <c r="G6150" s="3">
        <v>1</v>
      </c>
      <c r="H6150" s="3">
        <v>20</v>
      </c>
      <c r="I6150" s="3">
        <v>23</v>
      </c>
      <c r="J6150" s="3">
        <v>1</v>
      </c>
      <c r="K6150" s="3">
        <v>24</v>
      </c>
      <c r="L6150" s="3">
        <v>1</v>
      </c>
      <c r="M6150" s="3">
        <v>20</v>
      </c>
      <c r="N6150" s="3">
        <v>21</v>
      </c>
      <c r="O6150" s="3"/>
      <c r="P6150" s="3"/>
      <c r="Q6150" s="3"/>
    </row>
    <row r="6151" spans="1:17" ht="15" x14ac:dyDescent="0.25">
      <c r="A6151" s="3">
        <f>6144</f>
        <v>6144</v>
      </c>
      <c r="B6151" s="3" t="s">
        <v>6153</v>
      </c>
      <c r="C6151" s="3" t="s">
        <v>9</v>
      </c>
      <c r="D6151" s="3" t="s">
        <v>10</v>
      </c>
      <c r="E6151" s="3">
        <v>22</v>
      </c>
      <c r="F6151" s="3">
        <v>0</v>
      </c>
      <c r="G6151" s="3">
        <v>1</v>
      </c>
      <c r="H6151" s="3">
        <v>20</v>
      </c>
      <c r="I6151" s="3">
        <v>21</v>
      </c>
      <c r="J6151" s="3">
        <v>1</v>
      </c>
      <c r="K6151" s="3">
        <v>23</v>
      </c>
      <c r="L6151" s="3">
        <v>1</v>
      </c>
      <c r="M6151" s="3">
        <v>20</v>
      </c>
      <c r="N6151" s="3">
        <v>20</v>
      </c>
      <c r="O6151" s="3"/>
      <c r="P6151" s="3"/>
      <c r="Q6151" s="3"/>
    </row>
    <row r="6152" spans="1:17" ht="15" x14ac:dyDescent="0.25">
      <c r="A6152" s="3">
        <f>6145</f>
        <v>6145</v>
      </c>
      <c r="B6152" s="3" t="s">
        <v>6154</v>
      </c>
      <c r="C6152" s="3" t="s">
        <v>9</v>
      </c>
      <c r="D6152" s="3" t="s">
        <v>10</v>
      </c>
      <c r="E6152" s="3">
        <v>22</v>
      </c>
      <c r="F6152" s="3">
        <v>0</v>
      </c>
      <c r="G6152" s="3">
        <v>1</v>
      </c>
      <c r="H6152" s="3">
        <v>20</v>
      </c>
      <c r="I6152" s="3">
        <v>21</v>
      </c>
      <c r="J6152" s="3">
        <v>1</v>
      </c>
      <c r="K6152" s="3">
        <v>23</v>
      </c>
      <c r="L6152" s="3">
        <v>1</v>
      </c>
      <c r="M6152" s="3">
        <v>20</v>
      </c>
      <c r="N6152" s="3">
        <v>20</v>
      </c>
      <c r="O6152" s="3"/>
      <c r="P6152" s="3"/>
      <c r="Q6152" s="3"/>
    </row>
    <row r="6153" spans="1:17" ht="15" x14ac:dyDescent="0.25">
      <c r="A6153" s="3">
        <f>6146</f>
        <v>6146</v>
      </c>
      <c r="B6153" s="3" t="s">
        <v>6155</v>
      </c>
      <c r="C6153" s="3" t="s">
        <v>9</v>
      </c>
      <c r="D6153" s="3" t="s">
        <v>10</v>
      </c>
      <c r="E6153" s="3">
        <v>22</v>
      </c>
      <c r="F6153" s="3">
        <v>0</v>
      </c>
      <c r="G6153" s="3">
        <v>1</v>
      </c>
      <c r="H6153" s="3">
        <v>20</v>
      </c>
      <c r="I6153" s="3">
        <v>24</v>
      </c>
      <c r="J6153" s="3">
        <v>1</v>
      </c>
      <c r="K6153" s="3">
        <v>20</v>
      </c>
      <c r="L6153" s="3">
        <v>1</v>
      </c>
      <c r="M6153" s="3">
        <v>20</v>
      </c>
      <c r="N6153" s="3">
        <v>20</v>
      </c>
      <c r="O6153" s="3"/>
      <c r="P6153" s="3"/>
      <c r="Q6153" s="3"/>
    </row>
    <row r="6154" spans="1:17" ht="15" x14ac:dyDescent="0.25">
      <c r="A6154" s="3">
        <f>6147</f>
        <v>6147</v>
      </c>
      <c r="B6154" s="3" t="s">
        <v>6156</v>
      </c>
      <c r="C6154" s="3" t="s">
        <v>9</v>
      </c>
      <c r="D6154" s="3" t="s">
        <v>10</v>
      </c>
      <c r="E6154" s="3">
        <v>22</v>
      </c>
      <c r="F6154" s="3">
        <v>0</v>
      </c>
      <c r="G6154" s="3">
        <v>1</v>
      </c>
      <c r="H6154" s="3">
        <v>20</v>
      </c>
      <c r="I6154" s="3">
        <v>24</v>
      </c>
      <c r="J6154" s="3">
        <v>1</v>
      </c>
      <c r="K6154" s="3">
        <v>20</v>
      </c>
      <c r="L6154" s="3">
        <v>1</v>
      </c>
      <c r="M6154" s="3">
        <v>20</v>
      </c>
      <c r="N6154" s="3">
        <v>20</v>
      </c>
      <c r="O6154" s="3"/>
      <c r="P6154" s="3"/>
      <c r="Q6154" s="3"/>
    </row>
    <row r="6155" spans="1:17" ht="15" x14ac:dyDescent="0.25">
      <c r="A6155" s="3">
        <f>6148</f>
        <v>6148</v>
      </c>
      <c r="B6155" s="3" t="s">
        <v>6157</v>
      </c>
      <c r="C6155" s="3" t="s">
        <v>9</v>
      </c>
      <c r="D6155" s="3" t="s">
        <v>10</v>
      </c>
      <c r="E6155" s="3">
        <v>22</v>
      </c>
      <c r="F6155" s="3">
        <v>0</v>
      </c>
      <c r="G6155" s="3">
        <v>1</v>
      </c>
      <c r="H6155" s="3">
        <v>20</v>
      </c>
      <c r="I6155" s="3">
        <v>24</v>
      </c>
      <c r="J6155" s="3">
        <v>1</v>
      </c>
      <c r="K6155" s="3">
        <v>20</v>
      </c>
      <c r="L6155" s="3">
        <v>1</v>
      </c>
      <c r="M6155" s="3">
        <v>20</v>
      </c>
      <c r="N6155" s="3">
        <v>20</v>
      </c>
      <c r="O6155" s="3"/>
      <c r="P6155" s="3"/>
      <c r="Q6155" s="3"/>
    </row>
    <row r="6156" spans="1:17" ht="15" x14ac:dyDescent="0.25">
      <c r="A6156" s="3">
        <f>6149</f>
        <v>6149</v>
      </c>
      <c r="B6156" s="3" t="s">
        <v>6158</v>
      </c>
      <c r="C6156" s="3" t="s">
        <v>9</v>
      </c>
      <c r="D6156" s="3" t="s">
        <v>10</v>
      </c>
      <c r="E6156" s="3">
        <v>22</v>
      </c>
      <c r="F6156" s="3">
        <v>0</v>
      </c>
      <c r="G6156" s="3">
        <v>1</v>
      </c>
      <c r="H6156" s="3">
        <v>20</v>
      </c>
      <c r="I6156" s="3">
        <v>24</v>
      </c>
      <c r="J6156" s="3">
        <v>1</v>
      </c>
      <c r="K6156" s="3">
        <v>20</v>
      </c>
      <c r="L6156" s="3">
        <v>1</v>
      </c>
      <c r="M6156" s="3">
        <v>20</v>
      </c>
      <c r="N6156" s="3">
        <v>20</v>
      </c>
      <c r="O6156" s="3"/>
      <c r="P6156" s="3"/>
      <c r="Q6156" s="3"/>
    </row>
    <row r="6157" spans="1:17" ht="15" x14ac:dyDescent="0.25">
      <c r="A6157" s="3">
        <f>6150</f>
        <v>6150</v>
      </c>
      <c r="B6157" s="3" t="s">
        <v>6159</v>
      </c>
      <c r="C6157" s="3" t="s">
        <v>9</v>
      </c>
      <c r="D6157" s="3" t="s">
        <v>10</v>
      </c>
      <c r="E6157" s="3">
        <v>22</v>
      </c>
      <c r="F6157" s="3">
        <v>0</v>
      </c>
      <c r="G6157" s="3">
        <v>1</v>
      </c>
      <c r="H6157" s="3">
        <v>20</v>
      </c>
      <c r="I6157" s="3">
        <v>24</v>
      </c>
      <c r="J6157" s="3">
        <v>1</v>
      </c>
      <c r="K6157" s="3">
        <v>23</v>
      </c>
      <c r="L6157" s="3">
        <v>1</v>
      </c>
      <c r="M6157" s="3">
        <v>20</v>
      </c>
      <c r="N6157" s="3">
        <v>24</v>
      </c>
      <c r="O6157" s="3"/>
      <c r="P6157" s="3"/>
      <c r="Q6157" s="3"/>
    </row>
    <row r="6158" spans="1:17" ht="15" x14ac:dyDescent="0.25">
      <c r="A6158" s="3">
        <f>6151</f>
        <v>6151</v>
      </c>
      <c r="B6158" s="3" t="s">
        <v>6160</v>
      </c>
      <c r="C6158" s="3" t="s">
        <v>9</v>
      </c>
      <c r="D6158" s="3" t="s">
        <v>10</v>
      </c>
      <c r="E6158" s="3">
        <v>22</v>
      </c>
      <c r="F6158" s="3">
        <v>0</v>
      </c>
      <c r="G6158" s="3">
        <v>1</v>
      </c>
      <c r="H6158" s="3">
        <v>20</v>
      </c>
      <c r="I6158" s="3">
        <v>25</v>
      </c>
      <c r="J6158" s="3">
        <v>1</v>
      </c>
      <c r="K6158" s="3">
        <v>23</v>
      </c>
      <c r="L6158" s="3">
        <v>1</v>
      </c>
      <c r="M6158" s="3">
        <v>20</v>
      </c>
      <c r="N6158" s="3">
        <v>24</v>
      </c>
      <c r="O6158" s="3"/>
      <c r="P6158" s="3"/>
      <c r="Q6158" s="3"/>
    </row>
    <row r="6159" spans="1:17" ht="15" x14ac:dyDescent="0.25">
      <c r="A6159" s="3">
        <f>6152</f>
        <v>6152</v>
      </c>
      <c r="B6159" s="3" t="s">
        <v>6161</v>
      </c>
      <c r="C6159" s="3" t="s">
        <v>9</v>
      </c>
      <c r="D6159" s="3" t="s">
        <v>10</v>
      </c>
      <c r="E6159" s="3">
        <v>22</v>
      </c>
      <c r="F6159" s="3">
        <v>0</v>
      </c>
      <c r="G6159" s="3">
        <v>1</v>
      </c>
      <c r="H6159" s="3">
        <v>20</v>
      </c>
      <c r="I6159" s="3">
        <v>25</v>
      </c>
      <c r="J6159" s="3">
        <v>1</v>
      </c>
      <c r="K6159" s="3">
        <v>23</v>
      </c>
      <c r="L6159" s="3">
        <v>1</v>
      </c>
      <c r="M6159" s="3">
        <v>20</v>
      </c>
      <c r="N6159" s="3">
        <v>24</v>
      </c>
      <c r="O6159" s="3"/>
      <c r="P6159" s="3"/>
      <c r="Q6159" s="3"/>
    </row>
    <row r="6160" spans="1:17" ht="15" x14ac:dyDescent="0.25">
      <c r="A6160" s="3">
        <f>6153</f>
        <v>6153</v>
      </c>
      <c r="B6160" s="3" t="s">
        <v>6162</v>
      </c>
      <c r="C6160" s="3" t="s">
        <v>9</v>
      </c>
      <c r="D6160" s="3" t="s">
        <v>10</v>
      </c>
      <c r="E6160" s="3">
        <v>22</v>
      </c>
      <c r="F6160" s="3">
        <v>0</v>
      </c>
      <c r="G6160" s="3">
        <v>1</v>
      </c>
      <c r="H6160" s="3">
        <v>20</v>
      </c>
      <c r="I6160" s="3">
        <v>20</v>
      </c>
      <c r="J6160" s="3">
        <v>1</v>
      </c>
      <c r="K6160" s="3">
        <v>25</v>
      </c>
      <c r="L6160" s="3">
        <v>1</v>
      </c>
      <c r="M6160" s="3">
        <v>20</v>
      </c>
      <c r="N6160" s="3">
        <v>21</v>
      </c>
      <c r="O6160" s="3"/>
      <c r="P6160" s="3"/>
      <c r="Q6160" s="3"/>
    </row>
    <row r="6161" spans="1:17" ht="15" x14ac:dyDescent="0.25">
      <c r="A6161" s="3">
        <f>6154</f>
        <v>6154</v>
      </c>
      <c r="B6161" s="3" t="s">
        <v>6163</v>
      </c>
      <c r="C6161" s="3" t="s">
        <v>9</v>
      </c>
      <c r="D6161" s="3" t="s">
        <v>10</v>
      </c>
      <c r="E6161" s="3">
        <v>22</v>
      </c>
      <c r="F6161" s="3">
        <v>0</v>
      </c>
      <c r="G6161" s="3">
        <v>1</v>
      </c>
      <c r="H6161" s="3">
        <v>20</v>
      </c>
      <c r="I6161" s="3">
        <v>20</v>
      </c>
      <c r="J6161" s="3">
        <v>1</v>
      </c>
      <c r="K6161" s="3">
        <v>25</v>
      </c>
      <c r="L6161" s="3">
        <v>1</v>
      </c>
      <c r="M6161" s="3">
        <v>20</v>
      </c>
      <c r="N6161" s="3">
        <v>21</v>
      </c>
      <c r="O6161" s="3"/>
      <c r="P6161" s="3"/>
      <c r="Q6161" s="3"/>
    </row>
    <row r="6162" spans="1:17" ht="15" x14ac:dyDescent="0.25">
      <c r="A6162" s="3">
        <f>6155</f>
        <v>6155</v>
      </c>
      <c r="B6162" s="3" t="s">
        <v>6164</v>
      </c>
      <c r="C6162" s="3" t="s">
        <v>9</v>
      </c>
      <c r="D6162" s="3" t="s">
        <v>10</v>
      </c>
      <c r="E6162" s="3">
        <v>22</v>
      </c>
      <c r="F6162" s="3">
        <v>0</v>
      </c>
      <c r="G6162" s="3">
        <v>1</v>
      </c>
      <c r="H6162" s="3">
        <v>20</v>
      </c>
      <c r="I6162" s="3">
        <v>20</v>
      </c>
      <c r="J6162" s="3">
        <v>1</v>
      </c>
      <c r="K6162" s="3">
        <v>25</v>
      </c>
      <c r="L6162" s="3">
        <v>1</v>
      </c>
      <c r="M6162" s="3">
        <v>20</v>
      </c>
      <c r="N6162" s="3">
        <v>21</v>
      </c>
      <c r="O6162" s="3"/>
      <c r="P6162" s="3"/>
      <c r="Q6162" s="3"/>
    </row>
    <row r="6163" spans="1:17" ht="15" x14ac:dyDescent="0.25">
      <c r="A6163" s="3">
        <f>6156</f>
        <v>6156</v>
      </c>
      <c r="B6163" s="3" t="s">
        <v>6165</v>
      </c>
      <c r="C6163" s="3" t="s">
        <v>9</v>
      </c>
      <c r="D6163" s="3" t="s">
        <v>10</v>
      </c>
      <c r="E6163" s="3">
        <v>22</v>
      </c>
      <c r="F6163" s="3">
        <v>0</v>
      </c>
      <c r="G6163" s="3">
        <v>1</v>
      </c>
      <c r="H6163" s="3">
        <v>20</v>
      </c>
      <c r="I6163" s="3">
        <v>20</v>
      </c>
      <c r="J6163" s="3">
        <v>1</v>
      </c>
      <c r="K6163" s="3">
        <v>25</v>
      </c>
      <c r="L6163" s="3">
        <v>1</v>
      </c>
      <c r="M6163" s="3">
        <v>20</v>
      </c>
      <c r="N6163" s="3">
        <v>21</v>
      </c>
      <c r="O6163" s="3"/>
      <c r="P6163" s="3"/>
      <c r="Q6163" s="3"/>
    </row>
    <row r="6164" spans="1:17" ht="15" x14ac:dyDescent="0.25">
      <c r="A6164" s="3">
        <f>6157</f>
        <v>6157</v>
      </c>
      <c r="B6164" s="3" t="s">
        <v>6166</v>
      </c>
      <c r="C6164" s="3" t="s">
        <v>9</v>
      </c>
      <c r="D6164" s="3" t="s">
        <v>10</v>
      </c>
      <c r="E6164" s="3">
        <v>23</v>
      </c>
      <c r="F6164" s="3">
        <v>0</v>
      </c>
      <c r="G6164" s="3">
        <v>1</v>
      </c>
      <c r="H6164" s="3">
        <v>20</v>
      </c>
      <c r="I6164" s="3">
        <v>24</v>
      </c>
      <c r="J6164" s="3">
        <v>1</v>
      </c>
      <c r="K6164" s="3">
        <v>21</v>
      </c>
      <c r="L6164" s="3">
        <v>1</v>
      </c>
      <c r="M6164" s="3">
        <v>20</v>
      </c>
      <c r="N6164" s="3">
        <v>22</v>
      </c>
      <c r="O6164" s="3"/>
      <c r="P6164" s="3"/>
      <c r="Q6164" s="3"/>
    </row>
    <row r="6165" spans="1:17" ht="15" x14ac:dyDescent="0.25">
      <c r="A6165" s="3">
        <f>6158</f>
        <v>6158</v>
      </c>
      <c r="B6165" s="3" t="s">
        <v>6167</v>
      </c>
      <c r="C6165" s="3" t="s">
        <v>10</v>
      </c>
      <c r="D6165" s="3" t="s">
        <v>9</v>
      </c>
      <c r="E6165" s="3">
        <v>23</v>
      </c>
      <c r="F6165" s="3">
        <v>0</v>
      </c>
      <c r="G6165" s="3">
        <v>1</v>
      </c>
      <c r="H6165" s="3">
        <v>20</v>
      </c>
      <c r="I6165" s="3">
        <v>24</v>
      </c>
      <c r="J6165" s="3">
        <v>1</v>
      </c>
      <c r="K6165" s="3">
        <v>21</v>
      </c>
      <c r="L6165" s="3">
        <v>1</v>
      </c>
      <c r="M6165" s="3">
        <v>20</v>
      </c>
      <c r="N6165" s="3">
        <v>22</v>
      </c>
      <c r="O6165" s="3"/>
      <c r="P6165" s="3"/>
      <c r="Q6165" s="3"/>
    </row>
    <row r="6166" spans="1:17" ht="15" x14ac:dyDescent="0.25">
      <c r="A6166" s="3">
        <f>6159</f>
        <v>6159</v>
      </c>
      <c r="B6166" s="3" t="s">
        <v>6168</v>
      </c>
      <c r="C6166" s="3" t="s">
        <v>10</v>
      </c>
      <c r="D6166" s="3" t="s">
        <v>9</v>
      </c>
      <c r="E6166" s="3">
        <v>23</v>
      </c>
      <c r="F6166" s="3">
        <v>0</v>
      </c>
      <c r="G6166" s="3">
        <v>1</v>
      </c>
      <c r="H6166" s="3">
        <v>20</v>
      </c>
      <c r="I6166" s="3">
        <v>24</v>
      </c>
      <c r="J6166" s="3">
        <v>1</v>
      </c>
      <c r="K6166" s="3">
        <v>21</v>
      </c>
      <c r="L6166" s="3">
        <v>1</v>
      </c>
      <c r="M6166" s="3">
        <v>20</v>
      </c>
      <c r="N6166" s="3">
        <v>22</v>
      </c>
      <c r="O6166" s="3"/>
      <c r="P6166" s="3"/>
      <c r="Q6166" s="3"/>
    </row>
    <row r="6167" spans="1:17" ht="15" x14ac:dyDescent="0.25">
      <c r="A6167" s="3">
        <f>6160</f>
        <v>6160</v>
      </c>
      <c r="B6167" s="3" t="s">
        <v>6169</v>
      </c>
      <c r="C6167" s="3" t="s">
        <v>10</v>
      </c>
      <c r="D6167" s="3" t="s">
        <v>9</v>
      </c>
      <c r="E6167" s="3">
        <v>23</v>
      </c>
      <c r="F6167" s="3">
        <v>0</v>
      </c>
      <c r="G6167" s="3">
        <v>1</v>
      </c>
      <c r="H6167" s="3">
        <v>20</v>
      </c>
      <c r="I6167" s="3">
        <v>24</v>
      </c>
      <c r="J6167" s="3">
        <v>1</v>
      </c>
      <c r="K6167" s="3">
        <v>21</v>
      </c>
      <c r="L6167" s="3">
        <v>1</v>
      </c>
      <c r="M6167" s="3">
        <v>20</v>
      </c>
      <c r="N6167" s="3">
        <v>22</v>
      </c>
      <c r="O6167" s="3"/>
      <c r="P6167" s="3"/>
      <c r="Q6167" s="3"/>
    </row>
    <row r="6168" spans="1:17" ht="15" x14ac:dyDescent="0.25">
      <c r="A6168" s="3">
        <f>6161</f>
        <v>6161</v>
      </c>
      <c r="B6168" s="3" t="s">
        <v>6170</v>
      </c>
      <c r="C6168" s="3" t="s">
        <v>10</v>
      </c>
      <c r="D6168" s="3" t="s">
        <v>9</v>
      </c>
      <c r="E6168" s="3">
        <v>23</v>
      </c>
      <c r="F6168" s="3">
        <v>0</v>
      </c>
      <c r="G6168" s="3">
        <v>1</v>
      </c>
      <c r="H6168" s="3">
        <v>20</v>
      </c>
      <c r="I6168" s="3">
        <v>22</v>
      </c>
      <c r="J6168" s="3">
        <v>1</v>
      </c>
      <c r="K6168" s="3">
        <v>25</v>
      </c>
      <c r="L6168" s="3">
        <v>1</v>
      </c>
      <c r="M6168" s="3">
        <v>20</v>
      </c>
      <c r="N6168" s="3">
        <v>21</v>
      </c>
      <c r="O6168" s="3"/>
      <c r="P6168" s="3"/>
      <c r="Q6168" s="3"/>
    </row>
    <row r="6169" spans="1:17" ht="15" x14ac:dyDescent="0.25">
      <c r="A6169" s="3">
        <f>6162</f>
        <v>6162</v>
      </c>
      <c r="B6169" s="3" t="s">
        <v>6171</v>
      </c>
      <c r="C6169" s="3" t="s">
        <v>10</v>
      </c>
      <c r="D6169" s="3" t="s">
        <v>9</v>
      </c>
      <c r="E6169" s="3">
        <v>23</v>
      </c>
      <c r="F6169" s="3">
        <v>0</v>
      </c>
      <c r="G6169" s="3">
        <v>1</v>
      </c>
      <c r="H6169" s="3">
        <v>20</v>
      </c>
      <c r="I6169" s="3">
        <v>22</v>
      </c>
      <c r="J6169" s="3">
        <v>1</v>
      </c>
      <c r="K6169" s="3">
        <v>25</v>
      </c>
      <c r="L6169" s="3">
        <v>1</v>
      </c>
      <c r="M6169" s="3">
        <v>20</v>
      </c>
      <c r="N6169" s="3">
        <v>21</v>
      </c>
      <c r="O6169" s="3"/>
      <c r="P6169" s="3"/>
      <c r="Q6169" s="3"/>
    </row>
    <row r="6170" spans="1:17" ht="15" x14ac:dyDescent="0.25">
      <c r="A6170" s="3">
        <f>6163</f>
        <v>6163</v>
      </c>
      <c r="B6170" s="3" t="s">
        <v>6172</v>
      </c>
      <c r="C6170" s="3" t="s">
        <v>10</v>
      </c>
      <c r="D6170" s="3" t="s">
        <v>9</v>
      </c>
      <c r="E6170" s="3">
        <v>24</v>
      </c>
      <c r="F6170" s="3">
        <v>0</v>
      </c>
      <c r="G6170" s="3">
        <v>1</v>
      </c>
      <c r="H6170" s="3">
        <v>20</v>
      </c>
      <c r="I6170" s="3">
        <v>22</v>
      </c>
      <c r="J6170" s="3">
        <v>1</v>
      </c>
      <c r="K6170" s="3">
        <v>25</v>
      </c>
      <c r="L6170" s="3">
        <v>1</v>
      </c>
      <c r="M6170" s="3">
        <v>20</v>
      </c>
      <c r="N6170" s="3">
        <v>21</v>
      </c>
      <c r="O6170" s="3"/>
      <c r="P6170" s="3"/>
      <c r="Q6170" s="3"/>
    </row>
    <row r="6171" spans="1:17" ht="15" x14ac:dyDescent="0.25">
      <c r="A6171" s="3">
        <f>6164</f>
        <v>6164</v>
      </c>
      <c r="B6171" s="3" t="s">
        <v>6173</v>
      </c>
      <c r="C6171" s="3" t="s">
        <v>10</v>
      </c>
      <c r="D6171" s="3" t="s">
        <v>9</v>
      </c>
      <c r="E6171" s="3">
        <v>24</v>
      </c>
      <c r="F6171" s="3">
        <v>0</v>
      </c>
      <c r="G6171" s="3">
        <v>1</v>
      </c>
      <c r="H6171" s="3">
        <v>20</v>
      </c>
      <c r="I6171" s="3">
        <v>22</v>
      </c>
      <c r="J6171" s="3">
        <v>1</v>
      </c>
      <c r="K6171" s="3">
        <v>25</v>
      </c>
      <c r="L6171" s="3">
        <v>1</v>
      </c>
      <c r="M6171" s="3">
        <v>20</v>
      </c>
      <c r="N6171" s="3">
        <v>21</v>
      </c>
      <c r="O6171" s="3"/>
      <c r="P6171" s="3"/>
      <c r="Q6171" s="3"/>
    </row>
    <row r="6172" spans="1:17" ht="15" x14ac:dyDescent="0.25">
      <c r="A6172" s="3">
        <f>6165</f>
        <v>6165</v>
      </c>
      <c r="B6172" s="3" t="s">
        <v>6174</v>
      </c>
      <c r="C6172" s="3" t="s">
        <v>10</v>
      </c>
      <c r="D6172" s="3" t="s">
        <v>9</v>
      </c>
      <c r="E6172" s="3">
        <v>24</v>
      </c>
      <c r="F6172" s="3">
        <v>0</v>
      </c>
      <c r="G6172" s="3">
        <v>1</v>
      </c>
      <c r="H6172" s="3">
        <v>20</v>
      </c>
      <c r="I6172" s="3">
        <v>22</v>
      </c>
      <c r="J6172" s="3">
        <v>1</v>
      </c>
      <c r="K6172" s="3">
        <v>25</v>
      </c>
      <c r="L6172" s="3">
        <v>1</v>
      </c>
      <c r="M6172" s="3">
        <v>20</v>
      </c>
      <c r="N6172" s="3">
        <v>21</v>
      </c>
      <c r="O6172" s="3"/>
      <c r="P6172" s="3"/>
      <c r="Q6172" s="3"/>
    </row>
    <row r="6173" spans="1:17" ht="15" x14ac:dyDescent="0.25">
      <c r="A6173" s="3">
        <f>6166</f>
        <v>6166</v>
      </c>
      <c r="B6173" s="3" t="s">
        <v>6175</v>
      </c>
      <c r="C6173" s="3" t="s">
        <v>10</v>
      </c>
      <c r="D6173" s="3" t="s">
        <v>9</v>
      </c>
      <c r="E6173" s="3">
        <v>18</v>
      </c>
      <c r="F6173" s="3">
        <v>0</v>
      </c>
      <c r="G6173" s="3">
        <v>1</v>
      </c>
      <c r="H6173" s="3">
        <v>20</v>
      </c>
      <c r="I6173" s="3">
        <v>21</v>
      </c>
      <c r="J6173" s="3">
        <v>1</v>
      </c>
      <c r="K6173" s="3">
        <v>24</v>
      </c>
      <c r="L6173" s="3">
        <v>1</v>
      </c>
      <c r="M6173" s="3">
        <v>20</v>
      </c>
      <c r="N6173" s="3">
        <v>23</v>
      </c>
      <c r="O6173" s="3"/>
      <c r="P6173" s="3"/>
      <c r="Q6173" s="3"/>
    </row>
    <row r="6174" spans="1:17" ht="15" x14ac:dyDescent="0.25">
      <c r="A6174" s="3">
        <f>6167</f>
        <v>6167</v>
      </c>
      <c r="B6174" s="3" t="s">
        <v>6176</v>
      </c>
      <c r="C6174" s="3" t="s">
        <v>10</v>
      </c>
      <c r="D6174" s="3" t="s">
        <v>9</v>
      </c>
      <c r="E6174" s="3">
        <v>18</v>
      </c>
      <c r="F6174" s="3">
        <v>0</v>
      </c>
      <c r="G6174" s="3">
        <v>1</v>
      </c>
      <c r="H6174" s="3">
        <v>20</v>
      </c>
      <c r="I6174" s="3">
        <v>21</v>
      </c>
      <c r="J6174" s="3">
        <v>1</v>
      </c>
      <c r="K6174" s="3">
        <v>24</v>
      </c>
      <c r="L6174" s="3">
        <v>1</v>
      </c>
      <c r="M6174" s="3">
        <v>20</v>
      </c>
      <c r="N6174" s="3">
        <v>23</v>
      </c>
      <c r="O6174" s="3"/>
      <c r="P6174" s="3"/>
      <c r="Q6174" s="3"/>
    </row>
    <row r="6175" spans="1:17" ht="15" x14ac:dyDescent="0.25">
      <c r="A6175" s="3">
        <f>6168</f>
        <v>6168</v>
      </c>
      <c r="B6175" s="3" t="s">
        <v>6177</v>
      </c>
      <c r="C6175" s="3" t="s">
        <v>10</v>
      </c>
      <c r="D6175" s="3" t="s">
        <v>9</v>
      </c>
      <c r="E6175" s="3">
        <v>18</v>
      </c>
      <c r="F6175" s="3">
        <v>0</v>
      </c>
      <c r="G6175" s="3">
        <v>1</v>
      </c>
      <c r="H6175" s="3">
        <v>20</v>
      </c>
      <c r="I6175" s="3">
        <v>21</v>
      </c>
      <c r="J6175" s="3">
        <v>1</v>
      </c>
      <c r="K6175" s="3">
        <v>24</v>
      </c>
      <c r="L6175" s="3">
        <v>1</v>
      </c>
      <c r="M6175" s="3">
        <v>20</v>
      </c>
      <c r="N6175" s="3">
        <v>23</v>
      </c>
      <c r="O6175" s="3"/>
      <c r="P6175" s="3"/>
      <c r="Q6175" s="3"/>
    </row>
    <row r="6176" spans="1:17" ht="15" x14ac:dyDescent="0.25">
      <c r="A6176" s="3">
        <f>6169</f>
        <v>6169</v>
      </c>
      <c r="B6176" s="3" t="s">
        <v>6178</v>
      </c>
      <c r="C6176" s="3" t="s">
        <v>10</v>
      </c>
      <c r="D6176" s="3" t="s">
        <v>9</v>
      </c>
      <c r="E6176" s="3">
        <v>18</v>
      </c>
      <c r="F6176" s="3">
        <v>60</v>
      </c>
      <c r="G6176" s="3">
        <v>1</v>
      </c>
      <c r="H6176" s="3">
        <v>20</v>
      </c>
      <c r="I6176" s="3">
        <v>21</v>
      </c>
      <c r="J6176" s="3">
        <v>1</v>
      </c>
      <c r="K6176" s="3">
        <v>24</v>
      </c>
      <c r="L6176" s="3">
        <v>1</v>
      </c>
      <c r="M6176" s="3">
        <v>20</v>
      </c>
      <c r="N6176" s="3">
        <v>23</v>
      </c>
      <c r="O6176" s="3"/>
      <c r="P6176" s="3"/>
      <c r="Q6176" s="3"/>
    </row>
    <row r="6177" spans="1:17" ht="15" x14ac:dyDescent="0.25">
      <c r="A6177" s="3">
        <f>6170</f>
        <v>6170</v>
      </c>
      <c r="B6177" s="3" t="s">
        <v>6179</v>
      </c>
      <c r="C6177" s="3" t="s">
        <v>10</v>
      </c>
      <c r="D6177" s="3" t="s">
        <v>9</v>
      </c>
      <c r="E6177" s="3">
        <v>20</v>
      </c>
      <c r="F6177" s="3">
        <v>60</v>
      </c>
      <c r="G6177" s="3">
        <v>1</v>
      </c>
      <c r="H6177" s="3">
        <v>20</v>
      </c>
      <c r="I6177" s="3">
        <v>24</v>
      </c>
      <c r="J6177" s="3">
        <v>1</v>
      </c>
      <c r="K6177" s="3">
        <v>23</v>
      </c>
      <c r="L6177" s="3">
        <v>1</v>
      </c>
      <c r="M6177" s="3">
        <v>20</v>
      </c>
      <c r="N6177" s="3">
        <v>21</v>
      </c>
      <c r="O6177" s="3"/>
      <c r="P6177" s="3"/>
      <c r="Q6177" s="3"/>
    </row>
    <row r="6178" spans="1:17" ht="15" x14ac:dyDescent="0.25">
      <c r="A6178" s="3">
        <f>6171</f>
        <v>6171</v>
      </c>
      <c r="B6178" s="3" t="s">
        <v>6180</v>
      </c>
      <c r="C6178" s="3" t="s">
        <v>10</v>
      </c>
      <c r="D6178" s="3" t="s">
        <v>9</v>
      </c>
      <c r="E6178" s="3">
        <v>20</v>
      </c>
      <c r="F6178" s="3">
        <v>60</v>
      </c>
      <c r="G6178" s="3">
        <v>1</v>
      </c>
      <c r="H6178" s="3">
        <v>20</v>
      </c>
      <c r="I6178" s="3">
        <v>24</v>
      </c>
      <c r="J6178" s="3">
        <v>1</v>
      </c>
      <c r="K6178" s="3">
        <v>23</v>
      </c>
      <c r="L6178" s="3">
        <v>1</v>
      </c>
      <c r="M6178" s="3">
        <v>20</v>
      </c>
      <c r="N6178" s="3">
        <v>21</v>
      </c>
      <c r="O6178" s="3"/>
      <c r="P6178" s="3"/>
      <c r="Q6178" s="3"/>
    </row>
    <row r="6179" spans="1:17" ht="15" x14ac:dyDescent="0.25">
      <c r="A6179" s="3">
        <f>6172</f>
        <v>6172</v>
      </c>
      <c r="B6179" s="3" t="s">
        <v>6181</v>
      </c>
      <c r="C6179" s="3" t="s">
        <v>10</v>
      </c>
      <c r="D6179" s="3" t="s">
        <v>9</v>
      </c>
      <c r="E6179" s="3">
        <v>20</v>
      </c>
      <c r="F6179" s="3">
        <v>60</v>
      </c>
      <c r="G6179" s="3">
        <v>1</v>
      </c>
      <c r="H6179" s="3">
        <v>20</v>
      </c>
      <c r="I6179" s="3">
        <v>24</v>
      </c>
      <c r="J6179" s="3">
        <v>1</v>
      </c>
      <c r="K6179" s="3">
        <v>23</v>
      </c>
      <c r="L6179" s="3">
        <v>1</v>
      </c>
      <c r="M6179" s="3">
        <v>20</v>
      </c>
      <c r="N6179" s="3">
        <v>21</v>
      </c>
      <c r="O6179" s="3"/>
      <c r="P6179" s="3"/>
      <c r="Q6179" s="3"/>
    </row>
    <row r="6180" spans="1:17" ht="15" x14ac:dyDescent="0.25">
      <c r="A6180" s="3">
        <f>6173</f>
        <v>6173</v>
      </c>
      <c r="B6180" s="3" t="s">
        <v>6182</v>
      </c>
      <c r="C6180" s="3" t="s">
        <v>10</v>
      </c>
      <c r="D6180" s="3" t="s">
        <v>9</v>
      </c>
      <c r="E6180" s="3">
        <v>20</v>
      </c>
      <c r="F6180" s="3">
        <v>60</v>
      </c>
      <c r="G6180" s="3">
        <v>1</v>
      </c>
      <c r="H6180" s="3">
        <v>20</v>
      </c>
      <c r="I6180" s="3">
        <v>24</v>
      </c>
      <c r="J6180" s="3">
        <v>1</v>
      </c>
      <c r="K6180" s="3">
        <v>23</v>
      </c>
      <c r="L6180" s="3">
        <v>1</v>
      </c>
      <c r="M6180" s="3">
        <v>20</v>
      </c>
      <c r="N6180" s="3">
        <v>21</v>
      </c>
      <c r="O6180" s="3"/>
      <c r="P6180" s="3"/>
      <c r="Q6180" s="3"/>
    </row>
    <row r="6181" spans="1:17" ht="15" x14ac:dyDescent="0.25">
      <c r="A6181" s="3">
        <f>6174</f>
        <v>6174</v>
      </c>
      <c r="B6181" s="3" t="s">
        <v>6183</v>
      </c>
      <c r="C6181" s="3" t="s">
        <v>10</v>
      </c>
      <c r="D6181" s="3" t="s">
        <v>9</v>
      </c>
      <c r="E6181" s="3">
        <v>20</v>
      </c>
      <c r="F6181" s="3">
        <v>60</v>
      </c>
      <c r="G6181" s="3">
        <v>1</v>
      </c>
      <c r="H6181" s="3">
        <v>20</v>
      </c>
      <c r="I6181" s="3">
        <v>24</v>
      </c>
      <c r="J6181" s="3">
        <v>1</v>
      </c>
      <c r="K6181" s="3">
        <v>23</v>
      </c>
      <c r="L6181" s="3">
        <v>1</v>
      </c>
      <c r="M6181" s="3">
        <v>20</v>
      </c>
      <c r="N6181" s="3">
        <v>21</v>
      </c>
      <c r="O6181" s="3"/>
      <c r="P6181" s="3"/>
      <c r="Q6181" s="3"/>
    </row>
    <row r="6182" spans="1:17" ht="15" x14ac:dyDescent="0.25">
      <c r="A6182" s="3">
        <f>6175</f>
        <v>6175</v>
      </c>
      <c r="B6182" s="3" t="s">
        <v>6184</v>
      </c>
      <c r="C6182" s="3" t="s">
        <v>10</v>
      </c>
      <c r="D6182" s="3" t="s">
        <v>9</v>
      </c>
      <c r="E6182" s="3">
        <v>20</v>
      </c>
      <c r="F6182" s="3">
        <v>60</v>
      </c>
      <c r="G6182" s="3">
        <v>1</v>
      </c>
      <c r="H6182" s="3">
        <v>20</v>
      </c>
      <c r="I6182" s="3">
        <v>24</v>
      </c>
      <c r="J6182" s="3">
        <v>1</v>
      </c>
      <c r="K6182" s="3">
        <v>23</v>
      </c>
      <c r="L6182" s="3">
        <v>1</v>
      </c>
      <c r="M6182" s="3">
        <v>20</v>
      </c>
      <c r="N6182" s="3">
        <v>21</v>
      </c>
      <c r="O6182" s="3"/>
      <c r="P6182" s="3"/>
      <c r="Q6182" s="3"/>
    </row>
    <row r="6183" spans="1:17" ht="15" x14ac:dyDescent="0.25">
      <c r="A6183" s="3">
        <f>6176</f>
        <v>6176</v>
      </c>
      <c r="B6183" s="3" t="s">
        <v>6185</v>
      </c>
      <c r="C6183" s="3" t="s">
        <v>10</v>
      </c>
      <c r="D6183" s="3" t="s">
        <v>9</v>
      </c>
      <c r="E6183" s="3">
        <v>21</v>
      </c>
      <c r="F6183" s="3">
        <v>60</v>
      </c>
      <c r="G6183" s="3">
        <v>1</v>
      </c>
      <c r="H6183" s="3">
        <v>20</v>
      </c>
      <c r="I6183" s="3">
        <v>22</v>
      </c>
      <c r="J6183" s="3">
        <v>1</v>
      </c>
      <c r="K6183" s="3">
        <v>25</v>
      </c>
      <c r="L6183" s="3">
        <v>1</v>
      </c>
      <c r="M6183" s="3">
        <v>20</v>
      </c>
      <c r="N6183" s="3">
        <v>20</v>
      </c>
      <c r="O6183" s="3"/>
      <c r="P6183" s="3"/>
      <c r="Q6183" s="3"/>
    </row>
    <row r="6184" spans="1:17" ht="15" x14ac:dyDescent="0.25">
      <c r="A6184" s="3">
        <f>6177</f>
        <v>6177</v>
      </c>
      <c r="B6184" s="3" t="s">
        <v>6186</v>
      </c>
      <c r="C6184" s="3" t="s">
        <v>10</v>
      </c>
      <c r="D6184" s="3" t="s">
        <v>9</v>
      </c>
      <c r="E6184" s="3">
        <v>21</v>
      </c>
      <c r="F6184" s="3">
        <v>60</v>
      </c>
      <c r="G6184" s="3">
        <v>1</v>
      </c>
      <c r="H6184" s="3">
        <v>20</v>
      </c>
      <c r="I6184" s="3">
        <v>22</v>
      </c>
      <c r="J6184" s="3">
        <v>1</v>
      </c>
      <c r="K6184" s="3">
        <v>25</v>
      </c>
      <c r="L6184" s="3">
        <v>1</v>
      </c>
      <c r="M6184" s="3">
        <v>20</v>
      </c>
      <c r="N6184" s="3">
        <v>20</v>
      </c>
      <c r="O6184" s="3"/>
      <c r="P6184" s="3"/>
      <c r="Q6184" s="3"/>
    </row>
    <row r="6185" spans="1:17" ht="15" x14ac:dyDescent="0.25">
      <c r="A6185" s="3">
        <f>6178</f>
        <v>6178</v>
      </c>
      <c r="B6185" s="3" t="s">
        <v>6187</v>
      </c>
      <c r="C6185" s="3" t="s">
        <v>10</v>
      </c>
      <c r="D6185" s="3" t="s">
        <v>9</v>
      </c>
      <c r="E6185" s="3">
        <v>21</v>
      </c>
      <c r="F6185" s="3">
        <v>60</v>
      </c>
      <c r="G6185" s="3">
        <v>1</v>
      </c>
      <c r="H6185" s="3">
        <v>20</v>
      </c>
      <c r="I6185" s="3">
        <v>22</v>
      </c>
      <c r="J6185" s="3">
        <v>1</v>
      </c>
      <c r="K6185" s="3">
        <v>25</v>
      </c>
      <c r="L6185" s="3">
        <v>1</v>
      </c>
      <c r="M6185" s="3">
        <v>20</v>
      </c>
      <c r="N6185" s="3">
        <v>20</v>
      </c>
      <c r="O6185" s="3"/>
      <c r="P6185" s="3"/>
      <c r="Q6185" s="3"/>
    </row>
    <row r="6186" spans="1:17" ht="15" x14ac:dyDescent="0.25">
      <c r="A6186" s="3">
        <f>6179</f>
        <v>6179</v>
      </c>
      <c r="B6186" s="3" t="s">
        <v>6188</v>
      </c>
      <c r="C6186" s="3" t="s">
        <v>10</v>
      </c>
      <c r="D6186" s="3" t="s">
        <v>9</v>
      </c>
      <c r="E6186" s="3">
        <v>21</v>
      </c>
      <c r="F6186" s="3">
        <v>60</v>
      </c>
      <c r="G6186" s="3">
        <v>1</v>
      </c>
      <c r="H6186" s="3">
        <v>20</v>
      </c>
      <c r="I6186" s="3">
        <v>22</v>
      </c>
      <c r="J6186" s="3">
        <v>1</v>
      </c>
      <c r="K6186" s="3">
        <v>25</v>
      </c>
      <c r="L6186" s="3">
        <v>1</v>
      </c>
      <c r="M6186" s="3">
        <v>20</v>
      </c>
      <c r="N6186" s="3">
        <v>20</v>
      </c>
      <c r="O6186" s="3"/>
      <c r="P6186" s="3"/>
      <c r="Q6186" s="3"/>
    </row>
    <row r="6187" spans="1:17" ht="15" x14ac:dyDescent="0.25">
      <c r="A6187" s="3">
        <f>6180</f>
        <v>6180</v>
      </c>
      <c r="B6187" s="3" t="s">
        <v>6189</v>
      </c>
      <c r="C6187" s="3" t="s">
        <v>10</v>
      </c>
      <c r="D6187" s="3" t="s">
        <v>9</v>
      </c>
      <c r="E6187" s="3">
        <v>21</v>
      </c>
      <c r="F6187" s="3">
        <v>60</v>
      </c>
      <c r="G6187" s="3">
        <v>1</v>
      </c>
      <c r="H6187" s="3">
        <v>20</v>
      </c>
      <c r="I6187" s="3">
        <v>23</v>
      </c>
      <c r="J6187" s="3">
        <v>1</v>
      </c>
      <c r="K6187" s="3">
        <v>22</v>
      </c>
      <c r="L6187" s="3">
        <v>1</v>
      </c>
      <c r="M6187" s="3">
        <v>20</v>
      </c>
      <c r="N6187" s="3">
        <v>24</v>
      </c>
      <c r="O6187" s="3"/>
      <c r="P6187" s="3"/>
      <c r="Q6187" s="3"/>
    </row>
    <row r="6188" spans="1:17" ht="15" x14ac:dyDescent="0.25">
      <c r="A6188" s="3">
        <f>6181</f>
        <v>6181</v>
      </c>
      <c r="B6188" s="3" t="s">
        <v>6190</v>
      </c>
      <c r="C6188" s="3" t="s">
        <v>10</v>
      </c>
      <c r="D6188" s="3" t="s">
        <v>9</v>
      </c>
      <c r="E6188" s="3">
        <v>21</v>
      </c>
      <c r="F6188" s="3">
        <v>60</v>
      </c>
      <c r="G6188" s="3">
        <v>1</v>
      </c>
      <c r="H6188" s="3">
        <v>20</v>
      </c>
      <c r="I6188" s="3">
        <v>23</v>
      </c>
      <c r="J6188" s="3">
        <v>1</v>
      </c>
      <c r="K6188" s="3">
        <v>22</v>
      </c>
      <c r="L6188" s="3">
        <v>1</v>
      </c>
      <c r="M6188" s="3">
        <v>20</v>
      </c>
      <c r="N6188" s="3">
        <v>24</v>
      </c>
      <c r="O6188" s="3"/>
      <c r="P6188" s="3"/>
      <c r="Q6188" s="3"/>
    </row>
    <row r="6189" spans="1:17" ht="15" x14ac:dyDescent="0.25">
      <c r="A6189" s="3">
        <f>6182</f>
        <v>6182</v>
      </c>
      <c r="B6189" s="3" t="s">
        <v>6191</v>
      </c>
      <c r="C6189" s="3" t="s">
        <v>10</v>
      </c>
      <c r="D6189" s="3" t="s">
        <v>9</v>
      </c>
      <c r="E6189" s="3">
        <v>22</v>
      </c>
      <c r="F6189" s="3">
        <v>60</v>
      </c>
      <c r="G6189" s="3">
        <v>1</v>
      </c>
      <c r="H6189" s="3">
        <v>20</v>
      </c>
      <c r="I6189" s="3">
        <v>21</v>
      </c>
      <c r="J6189" s="3">
        <v>1</v>
      </c>
      <c r="K6189" s="3">
        <v>25</v>
      </c>
      <c r="L6189" s="3">
        <v>1</v>
      </c>
      <c r="M6189" s="3">
        <v>20</v>
      </c>
      <c r="N6189" s="3">
        <v>20</v>
      </c>
      <c r="O6189" s="3"/>
      <c r="P6189" s="3"/>
      <c r="Q6189" s="3"/>
    </row>
    <row r="6190" spans="1:17" ht="15" x14ac:dyDescent="0.25">
      <c r="A6190" s="3">
        <f>6183</f>
        <v>6183</v>
      </c>
      <c r="B6190" s="3" t="s">
        <v>6192</v>
      </c>
      <c r="C6190" s="3" t="s">
        <v>10</v>
      </c>
      <c r="D6190" s="3" t="s">
        <v>9</v>
      </c>
      <c r="E6190" s="3">
        <v>22</v>
      </c>
      <c r="F6190" s="3">
        <v>60</v>
      </c>
      <c r="G6190" s="3">
        <v>1</v>
      </c>
      <c r="H6190" s="3">
        <v>20</v>
      </c>
      <c r="I6190" s="3">
        <v>23</v>
      </c>
      <c r="J6190" s="3">
        <v>1</v>
      </c>
      <c r="K6190" s="3">
        <v>24</v>
      </c>
      <c r="L6190" s="3">
        <v>1</v>
      </c>
      <c r="M6190" s="3">
        <v>20</v>
      </c>
      <c r="N6190" s="3">
        <v>21</v>
      </c>
      <c r="O6190" s="3"/>
      <c r="P6190" s="3"/>
      <c r="Q6190" s="3"/>
    </row>
    <row r="6191" spans="1:17" ht="15" x14ac:dyDescent="0.25">
      <c r="A6191" s="3">
        <f>6184</f>
        <v>6184</v>
      </c>
      <c r="B6191" s="3" t="s">
        <v>6193</v>
      </c>
      <c r="C6191" s="3" t="s">
        <v>10</v>
      </c>
      <c r="D6191" s="3" t="s">
        <v>9</v>
      </c>
      <c r="E6191" s="3">
        <v>22</v>
      </c>
      <c r="F6191" s="3">
        <v>60</v>
      </c>
      <c r="G6191" s="3">
        <v>1</v>
      </c>
      <c r="H6191" s="3">
        <v>20</v>
      </c>
      <c r="I6191" s="3">
        <v>23</v>
      </c>
      <c r="J6191" s="3">
        <v>1</v>
      </c>
      <c r="K6191" s="3">
        <v>24</v>
      </c>
      <c r="L6191" s="3">
        <v>1</v>
      </c>
      <c r="M6191" s="3">
        <v>20</v>
      </c>
      <c r="N6191" s="3">
        <v>21</v>
      </c>
      <c r="O6191" s="3"/>
      <c r="P6191" s="3"/>
      <c r="Q6191" s="3"/>
    </row>
    <row r="6192" spans="1:17" ht="15" x14ac:dyDescent="0.25">
      <c r="A6192" s="3">
        <f>6185</f>
        <v>6185</v>
      </c>
      <c r="B6192" s="3" t="s">
        <v>6194</v>
      </c>
      <c r="C6192" s="3" t="s">
        <v>10</v>
      </c>
      <c r="D6192" s="3" t="s">
        <v>9</v>
      </c>
      <c r="E6192" s="3">
        <v>22</v>
      </c>
      <c r="F6192" s="3">
        <v>60</v>
      </c>
      <c r="G6192" s="3">
        <v>1</v>
      </c>
      <c r="H6192" s="3">
        <v>20</v>
      </c>
      <c r="I6192" s="3">
        <v>23</v>
      </c>
      <c r="J6192" s="3">
        <v>1</v>
      </c>
      <c r="K6192" s="3">
        <v>24</v>
      </c>
      <c r="L6192" s="3">
        <v>1</v>
      </c>
      <c r="M6192" s="3">
        <v>20</v>
      </c>
      <c r="N6192" s="3">
        <v>21</v>
      </c>
      <c r="O6192" s="3"/>
      <c r="P6192" s="3"/>
      <c r="Q6192" s="3"/>
    </row>
    <row r="6193" spans="1:17" ht="15" x14ac:dyDescent="0.25">
      <c r="A6193" s="3">
        <f>6186</f>
        <v>6186</v>
      </c>
      <c r="B6193" s="3" t="s">
        <v>6195</v>
      </c>
      <c r="C6193" s="3" t="s">
        <v>10</v>
      </c>
      <c r="D6193" s="3" t="s">
        <v>9</v>
      </c>
      <c r="E6193" s="3">
        <v>18</v>
      </c>
      <c r="F6193" s="3">
        <v>60</v>
      </c>
      <c r="G6193" s="3">
        <v>1</v>
      </c>
      <c r="H6193" s="3">
        <v>20</v>
      </c>
      <c r="I6193" s="3">
        <v>20</v>
      </c>
      <c r="J6193" s="3">
        <v>1</v>
      </c>
      <c r="K6193" s="3">
        <v>21</v>
      </c>
      <c r="L6193" s="3">
        <v>1</v>
      </c>
      <c r="M6193" s="3">
        <v>20</v>
      </c>
      <c r="N6193" s="3">
        <v>24</v>
      </c>
      <c r="O6193" s="3"/>
      <c r="P6193" s="3"/>
      <c r="Q6193" s="3"/>
    </row>
    <row r="6194" spans="1:17" ht="15" x14ac:dyDescent="0.25">
      <c r="A6194" s="3">
        <f>6187</f>
        <v>6187</v>
      </c>
      <c r="B6194" s="3" t="s">
        <v>6196</v>
      </c>
      <c r="C6194" s="3" t="s">
        <v>10</v>
      </c>
      <c r="D6194" s="3" t="s">
        <v>9</v>
      </c>
      <c r="E6194" s="3">
        <v>18</v>
      </c>
      <c r="F6194" s="3">
        <v>60</v>
      </c>
      <c r="G6194" s="3">
        <v>1</v>
      </c>
      <c r="H6194" s="3">
        <v>20</v>
      </c>
      <c r="I6194" s="3">
        <v>23</v>
      </c>
      <c r="J6194" s="3">
        <v>1</v>
      </c>
      <c r="K6194" s="3">
        <v>24</v>
      </c>
      <c r="L6194" s="3">
        <v>1</v>
      </c>
      <c r="M6194" s="3">
        <v>20</v>
      </c>
      <c r="N6194" s="3">
        <v>21</v>
      </c>
      <c r="O6194" s="3"/>
      <c r="P6194" s="3"/>
      <c r="Q6194" s="3"/>
    </row>
    <row r="6195" spans="1:17" ht="15" x14ac:dyDescent="0.25">
      <c r="A6195" s="3">
        <f>6188</f>
        <v>6188</v>
      </c>
      <c r="B6195" s="3" t="s">
        <v>6197</v>
      </c>
      <c r="C6195" s="3" t="s">
        <v>10</v>
      </c>
      <c r="D6195" s="3" t="s">
        <v>9</v>
      </c>
      <c r="E6195" s="3">
        <v>21</v>
      </c>
      <c r="F6195" s="3">
        <v>60</v>
      </c>
      <c r="G6195" s="3">
        <v>1</v>
      </c>
      <c r="H6195" s="3">
        <v>20</v>
      </c>
      <c r="I6195" s="3">
        <v>23</v>
      </c>
      <c r="J6195" s="3">
        <v>1</v>
      </c>
      <c r="K6195" s="3">
        <v>24</v>
      </c>
      <c r="L6195" s="3">
        <v>1</v>
      </c>
      <c r="M6195" s="3">
        <v>20</v>
      </c>
      <c r="N6195" s="3">
        <v>21</v>
      </c>
      <c r="O6195" s="3"/>
      <c r="P6195" s="3"/>
      <c r="Q6195" s="3"/>
    </row>
    <row r="6196" spans="1:17" ht="15" x14ac:dyDescent="0.25">
      <c r="A6196" s="3">
        <f>6189</f>
        <v>6189</v>
      </c>
      <c r="B6196" s="3" t="s">
        <v>6198</v>
      </c>
      <c r="C6196" s="3" t="s">
        <v>10</v>
      </c>
      <c r="D6196" s="3" t="s">
        <v>9</v>
      </c>
      <c r="E6196" s="3">
        <v>21</v>
      </c>
      <c r="F6196" s="3">
        <v>60</v>
      </c>
      <c r="G6196" s="3">
        <v>1</v>
      </c>
      <c r="H6196" s="3">
        <v>20</v>
      </c>
      <c r="I6196" s="3">
        <v>23</v>
      </c>
      <c r="J6196" s="3">
        <v>1</v>
      </c>
      <c r="K6196" s="3">
        <v>24</v>
      </c>
      <c r="L6196" s="3">
        <v>1</v>
      </c>
      <c r="M6196" s="3">
        <v>20</v>
      </c>
      <c r="N6196" s="3">
        <v>21</v>
      </c>
      <c r="O6196" s="3"/>
      <c r="P6196" s="3"/>
      <c r="Q6196" s="3"/>
    </row>
    <row r="6197" spans="1:17" ht="15" x14ac:dyDescent="0.25">
      <c r="A6197" s="3">
        <f>6190</f>
        <v>6190</v>
      </c>
      <c r="B6197" s="3" t="s">
        <v>6199</v>
      </c>
      <c r="C6197" s="3" t="s">
        <v>10</v>
      </c>
      <c r="D6197" s="3" t="s">
        <v>9</v>
      </c>
      <c r="E6197" s="3">
        <v>22</v>
      </c>
      <c r="F6197" s="3">
        <v>60</v>
      </c>
      <c r="G6197" s="3">
        <v>1</v>
      </c>
      <c r="H6197" s="3">
        <v>20</v>
      </c>
      <c r="I6197" s="3">
        <v>21</v>
      </c>
      <c r="J6197" s="3">
        <v>1</v>
      </c>
      <c r="K6197" s="3">
        <v>24</v>
      </c>
      <c r="L6197" s="3">
        <v>1</v>
      </c>
      <c r="M6197" s="3">
        <v>20</v>
      </c>
      <c r="N6197" s="3">
        <v>21</v>
      </c>
      <c r="O6197" s="3"/>
      <c r="P6197" s="3"/>
      <c r="Q6197" s="3"/>
    </row>
    <row r="6198" spans="1:17" ht="15" x14ac:dyDescent="0.25">
      <c r="A6198" s="3">
        <f>6191</f>
        <v>6191</v>
      </c>
      <c r="B6198" s="3" t="s">
        <v>6200</v>
      </c>
      <c r="C6198" s="3" t="s">
        <v>10</v>
      </c>
      <c r="D6198" s="3" t="s">
        <v>9</v>
      </c>
      <c r="E6198" s="3">
        <v>22</v>
      </c>
      <c r="F6198" s="3">
        <v>60</v>
      </c>
      <c r="G6198" s="3">
        <v>1</v>
      </c>
      <c r="H6198" s="3">
        <v>20</v>
      </c>
      <c r="I6198" s="3">
        <v>21</v>
      </c>
      <c r="J6198" s="3">
        <v>1</v>
      </c>
      <c r="K6198" s="3">
        <v>24</v>
      </c>
      <c r="L6198" s="3">
        <v>1</v>
      </c>
      <c r="M6198" s="3">
        <v>20</v>
      </c>
      <c r="N6198" s="3">
        <v>21</v>
      </c>
      <c r="O6198" s="3"/>
      <c r="P6198" s="3"/>
      <c r="Q6198" s="3"/>
    </row>
    <row r="6199" spans="1:17" ht="15" x14ac:dyDescent="0.25">
      <c r="A6199" s="3">
        <f>6192</f>
        <v>6192</v>
      </c>
      <c r="B6199" s="3" t="s">
        <v>6201</v>
      </c>
      <c r="C6199" s="3" t="s">
        <v>10</v>
      </c>
      <c r="D6199" s="3" t="s">
        <v>9</v>
      </c>
      <c r="E6199" s="3">
        <v>22</v>
      </c>
      <c r="F6199" s="3">
        <v>60</v>
      </c>
      <c r="G6199" s="3">
        <v>1</v>
      </c>
      <c r="H6199" s="3">
        <v>20</v>
      </c>
      <c r="I6199" s="3">
        <v>21</v>
      </c>
      <c r="J6199" s="3">
        <v>1</v>
      </c>
      <c r="K6199" s="3">
        <v>20</v>
      </c>
      <c r="L6199" s="3">
        <v>1</v>
      </c>
      <c r="M6199" s="3">
        <v>20</v>
      </c>
      <c r="N6199" s="3">
        <v>21</v>
      </c>
      <c r="O6199" s="3"/>
      <c r="P6199" s="3"/>
      <c r="Q6199" s="3"/>
    </row>
    <row r="6200" spans="1:17" ht="15" x14ac:dyDescent="0.25">
      <c r="A6200" s="3">
        <f>6193</f>
        <v>6193</v>
      </c>
      <c r="B6200" s="3" t="s">
        <v>6202</v>
      </c>
      <c r="C6200" s="3" t="s">
        <v>10</v>
      </c>
      <c r="D6200" s="3" t="s">
        <v>9</v>
      </c>
      <c r="E6200" s="3">
        <v>22</v>
      </c>
      <c r="F6200" s="3">
        <v>60</v>
      </c>
      <c r="G6200" s="3">
        <v>1</v>
      </c>
      <c r="H6200" s="3">
        <v>20</v>
      </c>
      <c r="I6200" s="3">
        <v>21</v>
      </c>
      <c r="J6200" s="3">
        <v>1</v>
      </c>
      <c r="K6200" s="3">
        <v>23</v>
      </c>
      <c r="L6200" s="3">
        <v>1</v>
      </c>
      <c r="M6200" s="3">
        <v>20</v>
      </c>
      <c r="N6200" s="3">
        <v>20</v>
      </c>
      <c r="O6200" s="3"/>
      <c r="P6200" s="3"/>
      <c r="Q6200" s="3"/>
    </row>
    <row r="6201" spans="1:17" ht="15" x14ac:dyDescent="0.25">
      <c r="A6201" s="3">
        <f>6194</f>
        <v>6194</v>
      </c>
      <c r="B6201" s="3" t="s">
        <v>6203</v>
      </c>
      <c r="C6201" s="3" t="s">
        <v>10</v>
      </c>
      <c r="D6201" s="3" t="s">
        <v>9</v>
      </c>
      <c r="E6201" s="3">
        <v>23</v>
      </c>
      <c r="F6201" s="3">
        <v>60</v>
      </c>
      <c r="G6201" s="3">
        <v>1</v>
      </c>
      <c r="H6201" s="3">
        <v>20</v>
      </c>
      <c r="I6201" s="3">
        <v>21</v>
      </c>
      <c r="J6201" s="3">
        <v>1</v>
      </c>
      <c r="K6201" s="3">
        <v>23</v>
      </c>
      <c r="L6201" s="3">
        <v>1</v>
      </c>
      <c r="M6201" s="3">
        <v>20</v>
      </c>
      <c r="N6201" s="3">
        <v>20</v>
      </c>
      <c r="O6201" s="3"/>
      <c r="P6201" s="3"/>
      <c r="Q6201" s="3"/>
    </row>
    <row r="6202" spans="1:17" ht="15" x14ac:dyDescent="0.25">
      <c r="A6202" s="3">
        <f>6195</f>
        <v>6195</v>
      </c>
      <c r="B6202" s="3" t="s">
        <v>6204</v>
      </c>
      <c r="C6202" s="3" t="s">
        <v>10</v>
      </c>
      <c r="D6202" s="3" t="s">
        <v>9</v>
      </c>
      <c r="E6202" s="3">
        <v>18</v>
      </c>
      <c r="F6202" s="3">
        <v>60</v>
      </c>
      <c r="G6202" s="3">
        <v>1</v>
      </c>
      <c r="H6202" s="3">
        <v>20</v>
      </c>
      <c r="I6202" s="3">
        <v>22</v>
      </c>
      <c r="J6202" s="3">
        <v>1</v>
      </c>
      <c r="K6202" s="3">
        <v>24</v>
      </c>
      <c r="L6202" s="3">
        <v>1</v>
      </c>
      <c r="M6202" s="3">
        <v>20</v>
      </c>
      <c r="N6202" s="3">
        <v>22</v>
      </c>
      <c r="O6202" s="3"/>
      <c r="P6202" s="3"/>
      <c r="Q6202" s="3"/>
    </row>
    <row r="6203" spans="1:17" ht="15" x14ac:dyDescent="0.25">
      <c r="A6203" s="3">
        <f>6196</f>
        <v>6196</v>
      </c>
      <c r="B6203" s="3" t="s">
        <v>6205</v>
      </c>
      <c r="C6203" s="3" t="s">
        <v>10</v>
      </c>
      <c r="D6203" s="3" t="s">
        <v>9</v>
      </c>
      <c r="E6203" s="3">
        <v>24</v>
      </c>
      <c r="F6203" s="3">
        <v>60</v>
      </c>
      <c r="G6203" s="3">
        <v>1</v>
      </c>
      <c r="H6203" s="3">
        <v>20</v>
      </c>
      <c r="I6203" s="3">
        <v>22</v>
      </c>
      <c r="J6203" s="3">
        <v>1</v>
      </c>
      <c r="K6203" s="3">
        <v>24</v>
      </c>
      <c r="L6203" s="3">
        <v>1</v>
      </c>
      <c r="M6203" s="3">
        <v>20</v>
      </c>
      <c r="N6203" s="3">
        <v>22</v>
      </c>
      <c r="O6203" s="3"/>
      <c r="P6203" s="3"/>
      <c r="Q6203" s="3"/>
    </row>
    <row r="6204" spans="1:17" ht="15" x14ac:dyDescent="0.25">
      <c r="A6204" s="3">
        <f>6197</f>
        <v>6197</v>
      </c>
      <c r="B6204" s="3" t="s">
        <v>6206</v>
      </c>
      <c r="C6204" s="3" t="s">
        <v>10</v>
      </c>
      <c r="D6204" s="3" t="s">
        <v>9</v>
      </c>
      <c r="E6204" s="3">
        <v>24</v>
      </c>
      <c r="F6204" s="3">
        <v>60</v>
      </c>
      <c r="G6204" s="3">
        <v>1</v>
      </c>
      <c r="H6204" s="3">
        <v>20</v>
      </c>
      <c r="I6204" s="3">
        <v>22</v>
      </c>
      <c r="J6204" s="3">
        <v>1</v>
      </c>
      <c r="K6204" s="3">
        <v>24</v>
      </c>
      <c r="L6204" s="3">
        <v>1</v>
      </c>
      <c r="M6204" s="3">
        <v>20</v>
      </c>
      <c r="N6204" s="3">
        <v>22</v>
      </c>
      <c r="O6204" s="3"/>
      <c r="P6204" s="3"/>
      <c r="Q6204" s="3"/>
    </row>
    <row r="6205" spans="1:17" ht="15" x14ac:dyDescent="0.25">
      <c r="A6205" s="3">
        <f>6198</f>
        <v>6198</v>
      </c>
      <c r="B6205" s="3" t="s">
        <v>6207</v>
      </c>
      <c r="C6205" s="3" t="s">
        <v>10</v>
      </c>
      <c r="D6205" s="3" t="s">
        <v>9</v>
      </c>
      <c r="E6205" s="3">
        <v>24</v>
      </c>
      <c r="F6205" s="3">
        <v>60</v>
      </c>
      <c r="G6205" s="3">
        <v>1</v>
      </c>
      <c r="H6205" s="3">
        <v>20</v>
      </c>
      <c r="I6205" s="3">
        <v>22</v>
      </c>
      <c r="J6205" s="3">
        <v>1</v>
      </c>
      <c r="K6205" s="3">
        <v>24</v>
      </c>
      <c r="L6205" s="3">
        <v>1</v>
      </c>
      <c r="M6205" s="3">
        <v>20</v>
      </c>
      <c r="N6205" s="3">
        <v>22</v>
      </c>
      <c r="O6205" s="3"/>
      <c r="P6205" s="3"/>
      <c r="Q6205" s="3"/>
    </row>
    <row r="6206" spans="1:17" ht="15" x14ac:dyDescent="0.25">
      <c r="A6206" s="3">
        <f>6199</f>
        <v>6199</v>
      </c>
      <c r="B6206" s="3" t="s">
        <v>6208</v>
      </c>
      <c r="C6206" s="3" t="s">
        <v>10</v>
      </c>
      <c r="D6206" s="3" t="s">
        <v>9</v>
      </c>
      <c r="E6206" s="3">
        <v>24</v>
      </c>
      <c r="F6206" s="3">
        <v>60</v>
      </c>
      <c r="G6206" s="3">
        <v>1</v>
      </c>
      <c r="H6206" s="3">
        <v>20</v>
      </c>
      <c r="I6206" s="3">
        <v>22</v>
      </c>
      <c r="J6206" s="3">
        <v>1</v>
      </c>
      <c r="K6206" s="3">
        <v>24</v>
      </c>
      <c r="L6206" s="3">
        <v>1</v>
      </c>
      <c r="M6206" s="3">
        <v>20</v>
      </c>
      <c r="N6206" s="3">
        <v>22</v>
      </c>
      <c r="O6206" s="3"/>
      <c r="P6206" s="3"/>
      <c r="Q6206" s="3"/>
    </row>
    <row r="6207" spans="1:17" ht="15" x14ac:dyDescent="0.25">
      <c r="A6207" s="3">
        <f>6200</f>
        <v>6200</v>
      </c>
      <c r="B6207" s="3" t="s">
        <v>6209</v>
      </c>
      <c r="C6207" s="3" t="s">
        <v>10</v>
      </c>
      <c r="D6207" s="3" t="s">
        <v>9</v>
      </c>
      <c r="E6207" s="3">
        <v>18</v>
      </c>
      <c r="F6207" s="3">
        <v>60</v>
      </c>
      <c r="G6207" s="3">
        <v>1</v>
      </c>
      <c r="H6207" s="3">
        <v>20</v>
      </c>
      <c r="I6207" s="3">
        <v>22</v>
      </c>
      <c r="J6207" s="3">
        <v>1</v>
      </c>
      <c r="K6207" s="3">
        <v>24</v>
      </c>
      <c r="L6207" s="3">
        <v>1</v>
      </c>
      <c r="M6207" s="3">
        <v>20</v>
      </c>
      <c r="N6207" s="3">
        <v>22</v>
      </c>
      <c r="O6207" s="3"/>
      <c r="P6207" s="3"/>
      <c r="Q6207" s="3"/>
    </row>
    <row r="6208" spans="1:17" ht="15" x14ac:dyDescent="0.25">
      <c r="A6208" s="3">
        <f>6201</f>
        <v>6201</v>
      </c>
      <c r="B6208" s="3" t="s">
        <v>6210</v>
      </c>
      <c r="C6208" s="3" t="s">
        <v>10</v>
      </c>
      <c r="D6208" s="3" t="s">
        <v>9</v>
      </c>
      <c r="E6208" s="3">
        <v>18</v>
      </c>
      <c r="F6208" s="3">
        <v>60</v>
      </c>
      <c r="G6208" s="3">
        <v>1</v>
      </c>
      <c r="H6208" s="3">
        <v>20</v>
      </c>
      <c r="I6208" s="3">
        <v>22</v>
      </c>
      <c r="J6208" s="3">
        <v>1</v>
      </c>
      <c r="K6208" s="3">
        <v>24</v>
      </c>
      <c r="L6208" s="3">
        <v>1</v>
      </c>
      <c r="M6208" s="3">
        <v>20</v>
      </c>
      <c r="N6208" s="3">
        <v>22</v>
      </c>
      <c r="O6208" s="3"/>
      <c r="P6208" s="3"/>
      <c r="Q6208" s="3"/>
    </row>
    <row r="6209" spans="1:17" ht="15" x14ac:dyDescent="0.25">
      <c r="A6209" s="3">
        <f>6202</f>
        <v>6202</v>
      </c>
      <c r="B6209" s="3" t="s">
        <v>6211</v>
      </c>
      <c r="C6209" s="3" t="s">
        <v>10</v>
      </c>
      <c r="D6209" s="3" t="s">
        <v>9</v>
      </c>
      <c r="E6209" s="3">
        <v>18</v>
      </c>
      <c r="F6209" s="3">
        <v>60</v>
      </c>
      <c r="G6209" s="3">
        <v>1</v>
      </c>
      <c r="H6209" s="3">
        <v>20</v>
      </c>
      <c r="I6209" s="3">
        <v>22</v>
      </c>
      <c r="J6209" s="3">
        <v>1</v>
      </c>
      <c r="K6209" s="3">
        <v>24</v>
      </c>
      <c r="L6209" s="3">
        <v>1</v>
      </c>
      <c r="M6209" s="3">
        <v>20</v>
      </c>
      <c r="N6209" s="3">
        <v>22</v>
      </c>
      <c r="O6209" s="3"/>
      <c r="P6209" s="3"/>
      <c r="Q6209" s="3"/>
    </row>
    <row r="6210" spans="1:17" ht="15" x14ac:dyDescent="0.25">
      <c r="A6210" s="3">
        <f>6203</f>
        <v>6203</v>
      </c>
      <c r="B6210" s="3" t="s">
        <v>6212</v>
      </c>
      <c r="C6210" s="3" t="s">
        <v>10</v>
      </c>
      <c r="D6210" s="3" t="s">
        <v>9</v>
      </c>
      <c r="E6210" s="3">
        <v>18</v>
      </c>
      <c r="F6210" s="3">
        <v>60</v>
      </c>
      <c r="G6210" s="3">
        <v>1</v>
      </c>
      <c r="H6210" s="3">
        <v>20</v>
      </c>
      <c r="I6210" s="3">
        <v>22</v>
      </c>
      <c r="J6210" s="3">
        <v>1</v>
      </c>
      <c r="K6210" s="3">
        <v>24</v>
      </c>
      <c r="L6210" s="3">
        <v>1</v>
      </c>
      <c r="M6210" s="3">
        <v>20</v>
      </c>
      <c r="N6210" s="3">
        <v>22</v>
      </c>
      <c r="O6210" s="3"/>
      <c r="P6210" s="3"/>
      <c r="Q6210" s="3"/>
    </row>
    <row r="6211" spans="1:17" ht="15" x14ac:dyDescent="0.25">
      <c r="A6211" s="3">
        <f>6204</f>
        <v>6204</v>
      </c>
      <c r="B6211" s="3" t="s">
        <v>6213</v>
      </c>
      <c r="C6211" s="3" t="s">
        <v>10</v>
      </c>
      <c r="D6211" s="3" t="s">
        <v>9</v>
      </c>
      <c r="E6211" s="3">
        <v>18</v>
      </c>
      <c r="F6211" s="3">
        <v>60</v>
      </c>
      <c r="G6211" s="3">
        <v>1</v>
      </c>
      <c r="H6211" s="3">
        <v>20</v>
      </c>
      <c r="I6211" s="3">
        <v>22</v>
      </c>
      <c r="J6211" s="3">
        <v>1</v>
      </c>
      <c r="K6211" s="3">
        <v>24</v>
      </c>
      <c r="L6211" s="3">
        <v>1</v>
      </c>
      <c r="M6211" s="3">
        <v>20</v>
      </c>
      <c r="N6211" s="3">
        <v>22</v>
      </c>
      <c r="O6211" s="3"/>
      <c r="P6211" s="3"/>
      <c r="Q6211" s="3"/>
    </row>
    <row r="6212" spans="1:17" ht="15" x14ac:dyDescent="0.25">
      <c r="A6212" s="3">
        <f>6205</f>
        <v>6205</v>
      </c>
      <c r="B6212" s="3" t="s">
        <v>6214</v>
      </c>
      <c r="C6212" s="3" t="s">
        <v>10</v>
      </c>
      <c r="D6212" s="3" t="s">
        <v>9</v>
      </c>
      <c r="E6212" s="3">
        <v>18</v>
      </c>
      <c r="F6212" s="3">
        <v>60</v>
      </c>
      <c r="G6212" s="3">
        <v>1</v>
      </c>
      <c r="H6212" s="3">
        <v>20</v>
      </c>
      <c r="I6212" s="3">
        <v>22</v>
      </c>
      <c r="J6212" s="3">
        <v>1</v>
      </c>
      <c r="K6212" s="3">
        <v>24</v>
      </c>
      <c r="L6212" s="3">
        <v>1</v>
      </c>
      <c r="M6212" s="3">
        <v>20</v>
      </c>
      <c r="N6212" s="3">
        <v>22</v>
      </c>
      <c r="O6212" s="3"/>
      <c r="P6212" s="3"/>
      <c r="Q6212" s="3"/>
    </row>
    <row r="6213" spans="1:17" ht="15" x14ac:dyDescent="0.25">
      <c r="A6213" s="3">
        <f>6206</f>
        <v>6206</v>
      </c>
      <c r="B6213" s="3" t="s">
        <v>6215</v>
      </c>
      <c r="C6213" s="3" t="s">
        <v>10</v>
      </c>
      <c r="D6213" s="3" t="s">
        <v>9</v>
      </c>
      <c r="E6213" s="3">
        <v>18</v>
      </c>
      <c r="F6213" s="3">
        <v>60</v>
      </c>
      <c r="G6213" s="3">
        <v>1</v>
      </c>
      <c r="H6213" s="3">
        <v>20</v>
      </c>
      <c r="I6213" s="3">
        <v>22</v>
      </c>
      <c r="J6213" s="3">
        <v>1</v>
      </c>
      <c r="K6213" s="3">
        <v>24</v>
      </c>
      <c r="L6213" s="3">
        <v>1</v>
      </c>
      <c r="M6213" s="3">
        <v>20</v>
      </c>
      <c r="N6213" s="3">
        <v>22</v>
      </c>
      <c r="O6213" s="3"/>
      <c r="P6213" s="3"/>
      <c r="Q6213" s="3"/>
    </row>
    <row r="6214" spans="1:17" ht="15" x14ac:dyDescent="0.25">
      <c r="A6214" s="3">
        <f>6207</f>
        <v>6207</v>
      </c>
      <c r="B6214" s="3" t="s">
        <v>6216</v>
      </c>
      <c r="C6214" s="3" t="s">
        <v>10</v>
      </c>
      <c r="D6214" s="3" t="s">
        <v>9</v>
      </c>
      <c r="E6214" s="3">
        <v>18</v>
      </c>
      <c r="F6214" s="3">
        <v>60</v>
      </c>
      <c r="G6214" s="3">
        <v>1</v>
      </c>
      <c r="H6214" s="3">
        <v>20</v>
      </c>
      <c r="I6214" s="3">
        <v>23</v>
      </c>
      <c r="J6214" s="3">
        <v>1</v>
      </c>
      <c r="K6214" s="3">
        <v>24</v>
      </c>
      <c r="L6214" s="3">
        <v>1</v>
      </c>
      <c r="M6214" s="3">
        <v>20</v>
      </c>
      <c r="N6214" s="3">
        <v>22</v>
      </c>
      <c r="O6214" s="3"/>
      <c r="P6214" s="3"/>
      <c r="Q6214" s="3"/>
    </row>
    <row r="6215" spans="1:17" ht="15" x14ac:dyDescent="0.25">
      <c r="A6215" s="3">
        <f>6208</f>
        <v>6208</v>
      </c>
      <c r="B6215" s="3" t="s">
        <v>6217</v>
      </c>
      <c r="C6215" s="3" t="s">
        <v>10</v>
      </c>
      <c r="D6215" s="3" t="s">
        <v>9</v>
      </c>
      <c r="E6215" s="3">
        <v>22</v>
      </c>
      <c r="F6215" s="3">
        <v>60</v>
      </c>
      <c r="G6215" s="3">
        <v>1</v>
      </c>
      <c r="H6215" s="3">
        <v>20</v>
      </c>
      <c r="I6215" s="3">
        <v>23</v>
      </c>
      <c r="J6215" s="3">
        <v>1</v>
      </c>
      <c r="K6215" s="3">
        <v>24</v>
      </c>
      <c r="L6215" s="3">
        <v>1</v>
      </c>
      <c r="M6215" s="3">
        <v>20</v>
      </c>
      <c r="N6215" s="3">
        <v>22</v>
      </c>
      <c r="O6215" s="3"/>
      <c r="P6215" s="3"/>
      <c r="Q6215" s="3"/>
    </row>
    <row r="6216" spans="1:17" ht="15" x14ac:dyDescent="0.25">
      <c r="A6216" s="3">
        <f>6209</f>
        <v>6209</v>
      </c>
      <c r="B6216" s="3" t="s">
        <v>6218</v>
      </c>
      <c r="C6216" s="3" t="s">
        <v>10</v>
      </c>
      <c r="D6216" s="3" t="s">
        <v>9</v>
      </c>
      <c r="E6216" s="3">
        <v>22</v>
      </c>
      <c r="F6216" s="3">
        <v>60</v>
      </c>
      <c r="G6216" s="3">
        <v>1</v>
      </c>
      <c r="H6216" s="3">
        <v>20</v>
      </c>
      <c r="I6216" s="3">
        <v>23</v>
      </c>
      <c r="J6216" s="3">
        <v>1</v>
      </c>
      <c r="K6216" s="3">
        <v>24</v>
      </c>
      <c r="L6216" s="3">
        <v>1</v>
      </c>
      <c r="M6216" s="3">
        <v>20</v>
      </c>
      <c r="N6216" s="3">
        <v>22</v>
      </c>
      <c r="O6216" s="3"/>
      <c r="P6216" s="3"/>
      <c r="Q6216" s="3"/>
    </row>
    <row r="6217" spans="1:17" ht="15" x14ac:dyDescent="0.25">
      <c r="A6217" s="3">
        <f>6210</f>
        <v>6210</v>
      </c>
      <c r="B6217" s="3" t="s">
        <v>6219</v>
      </c>
      <c r="C6217" s="3" t="s">
        <v>10</v>
      </c>
      <c r="D6217" s="3" t="s">
        <v>9</v>
      </c>
      <c r="E6217" s="3">
        <v>22</v>
      </c>
      <c r="F6217" s="3">
        <v>60</v>
      </c>
      <c r="G6217" s="3">
        <v>1</v>
      </c>
      <c r="H6217" s="3">
        <v>20</v>
      </c>
      <c r="I6217" s="3">
        <v>23</v>
      </c>
      <c r="J6217" s="3">
        <v>1</v>
      </c>
      <c r="K6217" s="3">
        <v>24</v>
      </c>
      <c r="L6217" s="3">
        <v>1</v>
      </c>
      <c r="M6217" s="3">
        <v>20</v>
      </c>
      <c r="N6217" s="3">
        <v>22</v>
      </c>
      <c r="O6217" s="3"/>
      <c r="P6217" s="3"/>
      <c r="Q6217" s="3"/>
    </row>
    <row r="6218" spans="1:17" ht="15" x14ac:dyDescent="0.25">
      <c r="A6218" s="3">
        <f>6211</f>
        <v>6211</v>
      </c>
      <c r="B6218" s="3" t="s">
        <v>6220</v>
      </c>
      <c r="C6218" s="3" t="s">
        <v>10</v>
      </c>
      <c r="D6218" s="3" t="s">
        <v>9</v>
      </c>
      <c r="E6218" s="3">
        <v>22</v>
      </c>
      <c r="F6218" s="3">
        <v>60</v>
      </c>
      <c r="G6218" s="3">
        <v>1</v>
      </c>
      <c r="H6218" s="3">
        <v>20</v>
      </c>
      <c r="I6218" s="3">
        <v>23</v>
      </c>
      <c r="J6218" s="3">
        <v>1</v>
      </c>
      <c r="K6218" s="3">
        <v>24</v>
      </c>
      <c r="L6218" s="3">
        <v>1</v>
      </c>
      <c r="M6218" s="3">
        <v>20</v>
      </c>
      <c r="N6218" s="3">
        <v>22</v>
      </c>
      <c r="O6218" s="3"/>
      <c r="P6218" s="3"/>
      <c r="Q6218" s="3"/>
    </row>
    <row r="6219" spans="1:17" ht="15" x14ac:dyDescent="0.25">
      <c r="A6219" s="3">
        <f>6212</f>
        <v>6212</v>
      </c>
      <c r="B6219" s="3" t="s">
        <v>6221</v>
      </c>
      <c r="C6219" s="3" t="s">
        <v>10</v>
      </c>
      <c r="D6219" s="3" t="s">
        <v>9</v>
      </c>
      <c r="E6219" s="3">
        <v>22</v>
      </c>
      <c r="F6219" s="3">
        <v>60</v>
      </c>
      <c r="G6219" s="3">
        <v>1</v>
      </c>
      <c r="H6219" s="3">
        <v>20</v>
      </c>
      <c r="I6219" s="3">
        <v>21</v>
      </c>
      <c r="J6219" s="3">
        <v>1</v>
      </c>
      <c r="K6219" s="3">
        <v>25</v>
      </c>
      <c r="L6219" s="3">
        <v>1</v>
      </c>
      <c r="M6219" s="3">
        <v>20</v>
      </c>
      <c r="N6219" s="3">
        <v>23</v>
      </c>
      <c r="O6219" s="3"/>
      <c r="P6219" s="3"/>
      <c r="Q6219" s="3"/>
    </row>
    <row r="6220" spans="1:17" ht="15" x14ac:dyDescent="0.25">
      <c r="A6220" s="3">
        <f>6213</f>
        <v>6213</v>
      </c>
      <c r="B6220" s="3" t="s">
        <v>6222</v>
      </c>
      <c r="C6220" s="3" t="s">
        <v>10</v>
      </c>
      <c r="D6220" s="3" t="s">
        <v>9</v>
      </c>
      <c r="E6220" s="3">
        <v>22</v>
      </c>
      <c r="F6220" s="3">
        <v>60</v>
      </c>
      <c r="G6220" s="3">
        <v>1</v>
      </c>
      <c r="H6220" s="3">
        <v>20</v>
      </c>
      <c r="I6220" s="3">
        <v>21</v>
      </c>
      <c r="J6220" s="3">
        <v>1</v>
      </c>
      <c r="K6220" s="3">
        <v>25</v>
      </c>
      <c r="L6220" s="3">
        <v>1</v>
      </c>
      <c r="M6220" s="3">
        <v>20</v>
      </c>
      <c r="N6220" s="3">
        <v>23</v>
      </c>
      <c r="O6220" s="3"/>
      <c r="P6220" s="3"/>
      <c r="Q6220" s="3"/>
    </row>
    <row r="6221" spans="1:17" ht="15" x14ac:dyDescent="0.25">
      <c r="A6221" s="3">
        <f>6214</f>
        <v>6214</v>
      </c>
      <c r="B6221" s="3" t="s">
        <v>6223</v>
      </c>
      <c r="C6221" s="3" t="s">
        <v>10</v>
      </c>
      <c r="D6221" s="3" t="s">
        <v>9</v>
      </c>
      <c r="E6221" s="3">
        <v>22</v>
      </c>
      <c r="F6221" s="3">
        <v>60</v>
      </c>
      <c r="G6221" s="3">
        <v>1</v>
      </c>
      <c r="H6221" s="3">
        <v>20</v>
      </c>
      <c r="I6221" s="3">
        <v>21</v>
      </c>
      <c r="J6221" s="3">
        <v>1</v>
      </c>
      <c r="K6221" s="3">
        <v>25</v>
      </c>
      <c r="L6221" s="3">
        <v>1</v>
      </c>
      <c r="M6221" s="3">
        <v>20</v>
      </c>
      <c r="N6221" s="3">
        <v>23</v>
      </c>
      <c r="O6221" s="3"/>
      <c r="P6221" s="3"/>
      <c r="Q6221" s="3"/>
    </row>
    <row r="6222" spans="1:17" ht="15" x14ac:dyDescent="0.25">
      <c r="A6222" s="3">
        <f>6215</f>
        <v>6215</v>
      </c>
      <c r="B6222" s="3" t="s">
        <v>6224</v>
      </c>
      <c r="C6222" s="3" t="s">
        <v>10</v>
      </c>
      <c r="D6222" s="3" t="s">
        <v>9</v>
      </c>
      <c r="E6222" s="3">
        <v>22</v>
      </c>
      <c r="F6222" s="3">
        <v>60</v>
      </c>
      <c r="G6222" s="3">
        <v>1</v>
      </c>
      <c r="H6222" s="3">
        <v>20</v>
      </c>
      <c r="I6222" s="3">
        <v>21</v>
      </c>
      <c r="J6222" s="3">
        <v>1</v>
      </c>
      <c r="K6222" s="3">
        <v>25</v>
      </c>
      <c r="L6222" s="3">
        <v>1</v>
      </c>
      <c r="M6222" s="3">
        <v>20</v>
      </c>
      <c r="N6222" s="3">
        <v>23</v>
      </c>
      <c r="O6222" s="3"/>
      <c r="P6222" s="3"/>
      <c r="Q6222" s="3"/>
    </row>
    <row r="6223" spans="1:17" ht="15" x14ac:dyDescent="0.25">
      <c r="A6223" s="3">
        <f>6216</f>
        <v>6216</v>
      </c>
      <c r="B6223" s="3" t="s">
        <v>6225</v>
      </c>
      <c r="C6223" s="3" t="s">
        <v>10</v>
      </c>
      <c r="D6223" s="3" t="s">
        <v>9</v>
      </c>
      <c r="E6223" s="3">
        <v>22</v>
      </c>
      <c r="F6223" s="3">
        <v>60</v>
      </c>
      <c r="G6223" s="3">
        <v>1</v>
      </c>
      <c r="H6223" s="3">
        <v>20</v>
      </c>
      <c r="I6223" s="3">
        <v>21</v>
      </c>
      <c r="J6223" s="3">
        <v>1</v>
      </c>
      <c r="K6223" s="3">
        <v>25</v>
      </c>
      <c r="L6223" s="3">
        <v>1</v>
      </c>
      <c r="M6223" s="3">
        <v>20</v>
      </c>
      <c r="N6223" s="3">
        <v>23</v>
      </c>
      <c r="O6223" s="3"/>
      <c r="P6223" s="3"/>
      <c r="Q6223" s="3"/>
    </row>
    <row r="6224" spans="1:17" ht="15" x14ac:dyDescent="0.25">
      <c r="A6224" s="3">
        <f>6217</f>
        <v>6217</v>
      </c>
      <c r="B6224" s="3" t="s">
        <v>6226</v>
      </c>
      <c r="C6224" s="3" t="s">
        <v>10</v>
      </c>
      <c r="D6224" s="3" t="s">
        <v>9</v>
      </c>
      <c r="E6224" s="3">
        <v>21</v>
      </c>
      <c r="F6224" s="3">
        <v>60</v>
      </c>
      <c r="G6224" s="3">
        <v>1</v>
      </c>
      <c r="H6224" s="3">
        <v>20</v>
      </c>
      <c r="I6224" s="3">
        <v>23</v>
      </c>
      <c r="J6224" s="3">
        <v>1</v>
      </c>
      <c r="K6224" s="3">
        <v>22</v>
      </c>
      <c r="L6224" s="3">
        <v>1</v>
      </c>
      <c r="M6224" s="3">
        <v>20</v>
      </c>
      <c r="N6224" s="3">
        <v>24</v>
      </c>
      <c r="O6224" s="3"/>
      <c r="P6224" s="3"/>
      <c r="Q6224" s="3"/>
    </row>
    <row r="6225" spans="1:17" ht="15" x14ac:dyDescent="0.25">
      <c r="A6225" s="3">
        <f>6218</f>
        <v>6218</v>
      </c>
      <c r="B6225" s="3" t="s">
        <v>6227</v>
      </c>
      <c r="C6225" s="3" t="s">
        <v>10</v>
      </c>
      <c r="D6225" s="3" t="s">
        <v>9</v>
      </c>
      <c r="E6225" s="3">
        <v>21</v>
      </c>
      <c r="F6225" s="3">
        <v>60</v>
      </c>
      <c r="G6225" s="3">
        <v>1</v>
      </c>
      <c r="H6225" s="3">
        <v>20</v>
      </c>
      <c r="I6225" s="3">
        <v>23</v>
      </c>
      <c r="J6225" s="3">
        <v>1</v>
      </c>
      <c r="K6225" s="3">
        <v>22</v>
      </c>
      <c r="L6225" s="3">
        <v>1</v>
      </c>
      <c r="M6225" s="3">
        <v>20</v>
      </c>
      <c r="N6225" s="3">
        <v>24</v>
      </c>
      <c r="O6225" s="3"/>
      <c r="P6225" s="3"/>
      <c r="Q6225" s="3"/>
    </row>
    <row r="6226" spans="1:17" ht="15" x14ac:dyDescent="0.25">
      <c r="A6226" s="3">
        <f>6219</f>
        <v>6219</v>
      </c>
      <c r="B6226" s="3" t="s">
        <v>6228</v>
      </c>
      <c r="C6226" s="3" t="s">
        <v>10</v>
      </c>
      <c r="D6226" s="3" t="s">
        <v>9</v>
      </c>
      <c r="E6226" s="3">
        <v>21</v>
      </c>
      <c r="F6226" s="3">
        <v>60</v>
      </c>
      <c r="G6226" s="3">
        <v>1</v>
      </c>
      <c r="H6226" s="3">
        <v>20</v>
      </c>
      <c r="I6226" s="3">
        <v>23</v>
      </c>
      <c r="J6226" s="3">
        <v>1</v>
      </c>
      <c r="K6226" s="3">
        <v>22</v>
      </c>
      <c r="L6226" s="3">
        <v>1</v>
      </c>
      <c r="M6226" s="3">
        <v>20</v>
      </c>
      <c r="N6226" s="3">
        <v>24</v>
      </c>
      <c r="O6226" s="3"/>
      <c r="P6226" s="3"/>
      <c r="Q6226" s="3"/>
    </row>
    <row r="6227" spans="1:17" ht="15" x14ac:dyDescent="0.25">
      <c r="A6227" s="3">
        <f>6220</f>
        <v>6220</v>
      </c>
      <c r="B6227" s="3" t="s">
        <v>6229</v>
      </c>
      <c r="C6227" s="3" t="s">
        <v>10</v>
      </c>
      <c r="D6227" s="3" t="s">
        <v>9</v>
      </c>
      <c r="E6227" s="3">
        <v>21</v>
      </c>
      <c r="F6227" s="3">
        <v>60</v>
      </c>
      <c r="G6227" s="3">
        <v>1</v>
      </c>
      <c r="H6227" s="3">
        <v>20</v>
      </c>
      <c r="I6227" s="3">
        <v>23</v>
      </c>
      <c r="J6227" s="3">
        <v>1</v>
      </c>
      <c r="K6227" s="3">
        <v>22</v>
      </c>
      <c r="L6227" s="3">
        <v>1</v>
      </c>
      <c r="M6227" s="3">
        <v>20</v>
      </c>
      <c r="N6227" s="3">
        <v>24</v>
      </c>
      <c r="O6227" s="3"/>
      <c r="P6227" s="3"/>
      <c r="Q6227" s="3"/>
    </row>
    <row r="6228" spans="1:17" ht="15" x14ac:dyDescent="0.25">
      <c r="A6228" s="3">
        <f>6221</f>
        <v>6221</v>
      </c>
      <c r="B6228" s="3" t="s">
        <v>6230</v>
      </c>
      <c r="C6228" s="3" t="s">
        <v>10</v>
      </c>
      <c r="D6228" s="3" t="s">
        <v>9</v>
      </c>
      <c r="E6228" s="3">
        <v>22</v>
      </c>
      <c r="F6228" s="3">
        <v>60</v>
      </c>
      <c r="G6228" s="3">
        <v>1</v>
      </c>
      <c r="H6228" s="3">
        <v>20</v>
      </c>
      <c r="I6228" s="3">
        <v>24</v>
      </c>
      <c r="J6228" s="3">
        <v>1</v>
      </c>
      <c r="K6228" s="3">
        <v>21</v>
      </c>
      <c r="L6228" s="3">
        <v>1</v>
      </c>
      <c r="M6228" s="3">
        <v>20</v>
      </c>
      <c r="N6228" s="3">
        <v>20</v>
      </c>
      <c r="O6228" s="3"/>
      <c r="P6228" s="3"/>
      <c r="Q6228" s="3"/>
    </row>
    <row r="6229" spans="1:17" ht="15" x14ac:dyDescent="0.25">
      <c r="A6229" s="3">
        <f>6222</f>
        <v>6222</v>
      </c>
      <c r="B6229" s="3" t="s">
        <v>6231</v>
      </c>
      <c r="C6229" s="3" t="s">
        <v>10</v>
      </c>
      <c r="D6229" s="3" t="s">
        <v>9</v>
      </c>
      <c r="E6229" s="3">
        <v>22</v>
      </c>
      <c r="F6229" s="3">
        <v>60</v>
      </c>
      <c r="G6229" s="3">
        <v>1</v>
      </c>
      <c r="H6229" s="3">
        <v>20</v>
      </c>
      <c r="I6229" s="3">
        <v>24</v>
      </c>
      <c r="J6229" s="3">
        <v>1</v>
      </c>
      <c r="K6229" s="3">
        <v>21</v>
      </c>
      <c r="L6229" s="3">
        <v>1</v>
      </c>
      <c r="M6229" s="3">
        <v>20</v>
      </c>
      <c r="N6229" s="3">
        <v>20</v>
      </c>
      <c r="O6229" s="3"/>
      <c r="P6229" s="3"/>
      <c r="Q6229" s="3"/>
    </row>
    <row r="6230" spans="1:17" ht="15" x14ac:dyDescent="0.25">
      <c r="A6230" s="3">
        <f>6223</f>
        <v>6223</v>
      </c>
      <c r="B6230" s="3" t="s">
        <v>6232</v>
      </c>
      <c r="C6230" s="3" t="s">
        <v>10</v>
      </c>
      <c r="D6230" s="3" t="s">
        <v>9</v>
      </c>
      <c r="E6230" s="3">
        <v>22</v>
      </c>
      <c r="F6230" s="3">
        <v>60</v>
      </c>
      <c r="G6230" s="3">
        <v>1</v>
      </c>
      <c r="H6230" s="3">
        <v>20</v>
      </c>
      <c r="I6230" s="3">
        <v>24</v>
      </c>
      <c r="J6230" s="3">
        <v>1</v>
      </c>
      <c r="K6230" s="3">
        <v>21</v>
      </c>
      <c r="L6230" s="3">
        <v>1</v>
      </c>
      <c r="M6230" s="3">
        <v>20</v>
      </c>
      <c r="N6230" s="3">
        <v>20</v>
      </c>
      <c r="O6230" s="3"/>
      <c r="P6230" s="3"/>
      <c r="Q6230" s="3"/>
    </row>
    <row r="6231" spans="1:17" ht="15" x14ac:dyDescent="0.25">
      <c r="A6231" s="3">
        <f>6224</f>
        <v>6224</v>
      </c>
      <c r="B6231" s="3" t="s">
        <v>6233</v>
      </c>
      <c r="C6231" s="3" t="s">
        <v>10</v>
      </c>
      <c r="D6231" s="3" t="s">
        <v>9</v>
      </c>
      <c r="E6231" s="3">
        <v>22</v>
      </c>
      <c r="F6231" s="3">
        <v>60</v>
      </c>
      <c r="G6231" s="3">
        <v>1</v>
      </c>
      <c r="H6231" s="3">
        <v>20</v>
      </c>
      <c r="I6231" s="3">
        <v>24</v>
      </c>
      <c r="J6231" s="3">
        <v>1</v>
      </c>
      <c r="K6231" s="3">
        <v>21</v>
      </c>
      <c r="L6231" s="3">
        <v>1</v>
      </c>
      <c r="M6231" s="3">
        <v>20</v>
      </c>
      <c r="N6231" s="3">
        <v>20</v>
      </c>
      <c r="O6231" s="3"/>
      <c r="P6231" s="3"/>
      <c r="Q6231" s="3"/>
    </row>
    <row r="6232" spans="1:17" ht="15" x14ac:dyDescent="0.25">
      <c r="A6232" s="3">
        <f>6225</f>
        <v>6225</v>
      </c>
      <c r="B6232" s="3" t="s">
        <v>6234</v>
      </c>
      <c r="C6232" s="3" t="s">
        <v>10</v>
      </c>
      <c r="D6232" s="3" t="s">
        <v>9</v>
      </c>
      <c r="E6232" s="3">
        <v>22</v>
      </c>
      <c r="F6232" s="3">
        <v>60</v>
      </c>
      <c r="G6232" s="3">
        <v>1</v>
      </c>
      <c r="H6232" s="3">
        <v>20</v>
      </c>
      <c r="I6232" s="3">
        <v>24</v>
      </c>
      <c r="J6232" s="3">
        <v>1</v>
      </c>
      <c r="K6232" s="3">
        <v>21</v>
      </c>
      <c r="L6232" s="3">
        <v>1</v>
      </c>
      <c r="M6232" s="3">
        <v>20</v>
      </c>
      <c r="N6232" s="3">
        <v>20</v>
      </c>
      <c r="O6232" s="3"/>
      <c r="P6232" s="3"/>
      <c r="Q6232" s="3"/>
    </row>
    <row r="6233" spans="1:17" ht="15" x14ac:dyDescent="0.25">
      <c r="A6233" s="3">
        <f>6226</f>
        <v>6226</v>
      </c>
      <c r="B6233" s="3" t="s">
        <v>6235</v>
      </c>
      <c r="C6233" s="3" t="s">
        <v>10</v>
      </c>
      <c r="D6233" s="3" t="s">
        <v>9</v>
      </c>
      <c r="E6233" s="3">
        <v>22</v>
      </c>
      <c r="F6233" s="3">
        <v>60</v>
      </c>
      <c r="G6233" s="3">
        <v>1</v>
      </c>
      <c r="H6233" s="3">
        <v>20</v>
      </c>
      <c r="I6233" s="3">
        <v>24</v>
      </c>
      <c r="J6233" s="3">
        <v>1</v>
      </c>
      <c r="K6233" s="3">
        <v>21</v>
      </c>
      <c r="L6233" s="3">
        <v>1</v>
      </c>
      <c r="M6233" s="3">
        <v>20</v>
      </c>
      <c r="N6233" s="3">
        <v>20</v>
      </c>
      <c r="O6233" s="3"/>
      <c r="P6233" s="3"/>
      <c r="Q6233" s="3"/>
    </row>
    <row r="6234" spans="1:17" ht="15" x14ac:dyDescent="0.25">
      <c r="A6234" s="3">
        <f>6227</f>
        <v>6227</v>
      </c>
      <c r="B6234" s="3" t="s">
        <v>6236</v>
      </c>
      <c r="C6234" s="3" t="s">
        <v>10</v>
      </c>
      <c r="D6234" s="3" t="s">
        <v>9</v>
      </c>
      <c r="E6234" s="3">
        <v>22</v>
      </c>
      <c r="F6234" s="3">
        <v>60</v>
      </c>
      <c r="G6234" s="3">
        <v>1</v>
      </c>
      <c r="H6234" s="3">
        <v>20</v>
      </c>
      <c r="I6234" s="3">
        <v>24</v>
      </c>
      <c r="J6234" s="3">
        <v>1</v>
      </c>
      <c r="K6234" s="3">
        <v>21</v>
      </c>
      <c r="L6234" s="3">
        <v>1</v>
      </c>
      <c r="M6234" s="3">
        <v>20</v>
      </c>
      <c r="N6234" s="3">
        <v>20</v>
      </c>
      <c r="O6234" s="3"/>
      <c r="P6234" s="3"/>
      <c r="Q6234" s="3"/>
    </row>
    <row r="6235" spans="1:17" ht="15" x14ac:dyDescent="0.25">
      <c r="A6235" s="3">
        <f>6228</f>
        <v>6228</v>
      </c>
      <c r="B6235" s="3" t="s">
        <v>6237</v>
      </c>
      <c r="C6235" s="3" t="s">
        <v>10</v>
      </c>
      <c r="D6235" s="3" t="s">
        <v>9</v>
      </c>
      <c r="E6235" s="3">
        <v>22</v>
      </c>
      <c r="F6235" s="3">
        <v>60</v>
      </c>
      <c r="G6235" s="3">
        <v>1</v>
      </c>
      <c r="H6235" s="3">
        <v>20</v>
      </c>
      <c r="I6235" s="3">
        <v>24</v>
      </c>
      <c r="J6235" s="3">
        <v>1</v>
      </c>
      <c r="K6235" s="3">
        <v>21</v>
      </c>
      <c r="L6235" s="3">
        <v>1</v>
      </c>
      <c r="M6235" s="3">
        <v>20</v>
      </c>
      <c r="N6235" s="3">
        <v>20</v>
      </c>
      <c r="O6235" s="3"/>
      <c r="P6235" s="3"/>
      <c r="Q6235" s="3"/>
    </row>
    <row r="6236" spans="1:17" ht="15" x14ac:dyDescent="0.25">
      <c r="A6236" s="3">
        <f>6229</f>
        <v>6229</v>
      </c>
      <c r="B6236" s="3" t="s">
        <v>6238</v>
      </c>
      <c r="C6236" s="3" t="s">
        <v>10</v>
      </c>
      <c r="D6236" s="3" t="s">
        <v>9</v>
      </c>
      <c r="E6236" s="3">
        <v>22</v>
      </c>
      <c r="F6236" s="3">
        <v>60</v>
      </c>
      <c r="G6236" s="3">
        <v>1</v>
      </c>
      <c r="H6236" s="3">
        <v>20</v>
      </c>
      <c r="I6236" s="3">
        <v>21</v>
      </c>
      <c r="J6236" s="3">
        <v>1</v>
      </c>
      <c r="K6236" s="3">
        <v>23</v>
      </c>
      <c r="L6236" s="3">
        <v>1</v>
      </c>
      <c r="M6236" s="3">
        <v>20</v>
      </c>
      <c r="N6236" s="3">
        <v>25</v>
      </c>
      <c r="O6236" s="3"/>
      <c r="P6236" s="3"/>
      <c r="Q6236" s="3"/>
    </row>
    <row r="6237" spans="1:17" ht="15" x14ac:dyDescent="0.25">
      <c r="A6237" s="3">
        <f>6230</f>
        <v>6230</v>
      </c>
      <c r="B6237" s="3" t="s">
        <v>6239</v>
      </c>
      <c r="C6237" s="3" t="s">
        <v>10</v>
      </c>
      <c r="D6237" s="3" t="s">
        <v>9</v>
      </c>
      <c r="E6237" s="3">
        <v>22</v>
      </c>
      <c r="F6237" s="3">
        <v>60</v>
      </c>
      <c r="G6237" s="3">
        <v>1</v>
      </c>
      <c r="H6237" s="3">
        <v>20</v>
      </c>
      <c r="I6237" s="3">
        <v>21</v>
      </c>
      <c r="J6237" s="3">
        <v>1</v>
      </c>
      <c r="K6237" s="3">
        <v>23</v>
      </c>
      <c r="L6237" s="3">
        <v>1</v>
      </c>
      <c r="M6237" s="3">
        <v>20</v>
      </c>
      <c r="N6237" s="3">
        <v>25</v>
      </c>
      <c r="O6237" s="3"/>
      <c r="P6237" s="3"/>
      <c r="Q6237" s="3"/>
    </row>
    <row r="6238" spans="1:17" ht="15" x14ac:dyDescent="0.25">
      <c r="A6238" s="3">
        <f>6231</f>
        <v>6231</v>
      </c>
      <c r="B6238" s="3" t="s">
        <v>6240</v>
      </c>
      <c r="C6238" s="3" t="s">
        <v>10</v>
      </c>
      <c r="D6238" s="3" t="s">
        <v>9</v>
      </c>
      <c r="E6238" s="3">
        <v>21</v>
      </c>
      <c r="F6238" s="3">
        <v>60</v>
      </c>
      <c r="G6238" s="3">
        <v>1</v>
      </c>
      <c r="H6238" s="3">
        <v>20</v>
      </c>
      <c r="I6238" s="3">
        <v>22</v>
      </c>
      <c r="J6238" s="3">
        <v>1</v>
      </c>
      <c r="K6238" s="3">
        <v>24</v>
      </c>
      <c r="L6238" s="3">
        <v>1</v>
      </c>
      <c r="M6238" s="3">
        <v>20</v>
      </c>
      <c r="N6238" s="3">
        <v>20</v>
      </c>
      <c r="O6238" s="3"/>
      <c r="P6238" s="3"/>
      <c r="Q6238" s="3"/>
    </row>
    <row r="6239" spans="1:17" ht="15" x14ac:dyDescent="0.25">
      <c r="A6239" s="3">
        <f>6232</f>
        <v>6232</v>
      </c>
      <c r="B6239" s="3" t="s">
        <v>6241</v>
      </c>
      <c r="C6239" s="3" t="s">
        <v>10</v>
      </c>
      <c r="D6239" s="3" t="s">
        <v>9</v>
      </c>
      <c r="E6239" s="3">
        <v>21</v>
      </c>
      <c r="F6239" s="3">
        <v>60</v>
      </c>
      <c r="G6239" s="3">
        <v>1</v>
      </c>
      <c r="H6239" s="3">
        <v>20</v>
      </c>
      <c r="I6239" s="3">
        <v>22</v>
      </c>
      <c r="J6239" s="3">
        <v>1</v>
      </c>
      <c r="K6239" s="3">
        <v>24</v>
      </c>
      <c r="L6239" s="3">
        <v>1</v>
      </c>
      <c r="M6239" s="3">
        <v>20</v>
      </c>
      <c r="N6239" s="3">
        <v>20</v>
      </c>
      <c r="O6239" s="3"/>
      <c r="P6239" s="3"/>
      <c r="Q6239" s="3"/>
    </row>
    <row r="6240" spans="1:17" ht="15" x14ac:dyDescent="0.25">
      <c r="A6240" s="3">
        <f>6233</f>
        <v>6233</v>
      </c>
      <c r="B6240" s="3" t="s">
        <v>6242</v>
      </c>
      <c r="C6240" s="3" t="s">
        <v>10</v>
      </c>
      <c r="D6240" s="3" t="s">
        <v>9</v>
      </c>
      <c r="E6240" s="3">
        <v>21</v>
      </c>
      <c r="F6240" s="3">
        <v>60</v>
      </c>
      <c r="G6240" s="3">
        <v>1</v>
      </c>
      <c r="H6240" s="3">
        <v>20</v>
      </c>
      <c r="I6240" s="3">
        <v>22</v>
      </c>
      <c r="J6240" s="3">
        <v>1</v>
      </c>
      <c r="K6240" s="3">
        <v>24</v>
      </c>
      <c r="L6240" s="3">
        <v>1</v>
      </c>
      <c r="M6240" s="3">
        <v>20</v>
      </c>
      <c r="N6240" s="3">
        <v>20</v>
      </c>
      <c r="O6240" s="3"/>
      <c r="P6240" s="3"/>
      <c r="Q6240" s="3"/>
    </row>
    <row r="6241" spans="1:17" ht="15" x14ac:dyDescent="0.25">
      <c r="A6241" s="3">
        <f>6234</f>
        <v>6234</v>
      </c>
      <c r="B6241" s="3" t="s">
        <v>6243</v>
      </c>
      <c r="C6241" s="3" t="s">
        <v>10</v>
      </c>
      <c r="D6241" s="3" t="s">
        <v>9</v>
      </c>
      <c r="E6241" s="3">
        <v>21</v>
      </c>
      <c r="F6241" s="3">
        <v>60</v>
      </c>
      <c r="G6241" s="3">
        <v>1</v>
      </c>
      <c r="H6241" s="3">
        <v>20</v>
      </c>
      <c r="I6241" s="3">
        <v>22</v>
      </c>
      <c r="J6241" s="3">
        <v>1</v>
      </c>
      <c r="K6241" s="3">
        <v>24</v>
      </c>
      <c r="L6241" s="3">
        <v>1</v>
      </c>
      <c r="M6241" s="3">
        <v>20</v>
      </c>
      <c r="N6241" s="3">
        <v>20</v>
      </c>
      <c r="O6241" s="3"/>
      <c r="P6241" s="3"/>
      <c r="Q6241" s="3"/>
    </row>
    <row r="6242" spans="1:17" ht="15" x14ac:dyDescent="0.25">
      <c r="A6242" s="3">
        <f>6235</f>
        <v>6235</v>
      </c>
      <c r="B6242" s="3" t="s">
        <v>6244</v>
      </c>
      <c r="C6242" s="3" t="s">
        <v>10</v>
      </c>
      <c r="D6242" s="3" t="s">
        <v>9</v>
      </c>
      <c r="E6242" s="3">
        <v>21</v>
      </c>
      <c r="F6242" s="3">
        <v>60</v>
      </c>
      <c r="G6242" s="3">
        <v>1</v>
      </c>
      <c r="H6242" s="3">
        <v>20</v>
      </c>
      <c r="I6242" s="3">
        <v>22</v>
      </c>
      <c r="J6242" s="3">
        <v>1</v>
      </c>
      <c r="K6242" s="3">
        <v>24</v>
      </c>
      <c r="L6242" s="3">
        <v>1</v>
      </c>
      <c r="M6242" s="3">
        <v>20</v>
      </c>
      <c r="N6242" s="3">
        <v>20</v>
      </c>
      <c r="O6242" s="3"/>
      <c r="P6242" s="3"/>
      <c r="Q6242" s="3"/>
    </row>
    <row r="6243" spans="1:17" ht="15" x14ac:dyDescent="0.25">
      <c r="A6243" s="3">
        <f>6236</f>
        <v>6236</v>
      </c>
      <c r="B6243" s="3" t="s">
        <v>6245</v>
      </c>
      <c r="C6243" s="3" t="s">
        <v>10</v>
      </c>
      <c r="D6243" s="3" t="s">
        <v>9</v>
      </c>
      <c r="E6243" s="3">
        <v>21</v>
      </c>
      <c r="F6243" s="3">
        <v>60</v>
      </c>
      <c r="G6243" s="3">
        <v>1</v>
      </c>
      <c r="H6243" s="3">
        <v>20</v>
      </c>
      <c r="I6243" s="3">
        <v>22</v>
      </c>
      <c r="J6243" s="3">
        <v>1</v>
      </c>
      <c r="K6243" s="3">
        <v>24</v>
      </c>
      <c r="L6243" s="3">
        <v>1</v>
      </c>
      <c r="M6243" s="3">
        <v>20</v>
      </c>
      <c r="N6243" s="3">
        <v>20</v>
      </c>
      <c r="O6243" s="3"/>
      <c r="P6243" s="3"/>
      <c r="Q6243" s="3"/>
    </row>
    <row r="6244" spans="1:17" ht="15" x14ac:dyDescent="0.25">
      <c r="A6244" s="3">
        <f>6237</f>
        <v>6237</v>
      </c>
      <c r="B6244" s="3" t="s">
        <v>6246</v>
      </c>
      <c r="C6244" s="3" t="s">
        <v>10</v>
      </c>
      <c r="D6244" s="3" t="s">
        <v>9</v>
      </c>
      <c r="E6244" s="3">
        <v>21</v>
      </c>
      <c r="F6244" s="3">
        <v>60</v>
      </c>
      <c r="G6244" s="3">
        <v>1</v>
      </c>
      <c r="H6244" s="3">
        <v>20</v>
      </c>
      <c r="I6244" s="3">
        <v>22</v>
      </c>
      <c r="J6244" s="3">
        <v>1</v>
      </c>
      <c r="K6244" s="3">
        <v>24</v>
      </c>
      <c r="L6244" s="3">
        <v>1</v>
      </c>
      <c r="M6244" s="3">
        <v>20</v>
      </c>
      <c r="N6244" s="3">
        <v>20</v>
      </c>
      <c r="O6244" s="3"/>
      <c r="P6244" s="3"/>
      <c r="Q6244" s="3"/>
    </row>
    <row r="6245" spans="1:17" ht="15" x14ac:dyDescent="0.25">
      <c r="A6245" s="3">
        <f>6238</f>
        <v>6238</v>
      </c>
      <c r="B6245" s="3" t="s">
        <v>6247</v>
      </c>
      <c r="C6245" s="3" t="s">
        <v>10</v>
      </c>
      <c r="D6245" s="3" t="s">
        <v>9</v>
      </c>
      <c r="E6245" s="3">
        <v>21</v>
      </c>
      <c r="F6245" s="3">
        <v>60</v>
      </c>
      <c r="G6245" s="3">
        <v>1</v>
      </c>
      <c r="H6245" s="3">
        <v>20</v>
      </c>
      <c r="I6245" s="3">
        <v>22</v>
      </c>
      <c r="J6245" s="3">
        <v>1</v>
      </c>
      <c r="K6245" s="3">
        <v>24</v>
      </c>
      <c r="L6245" s="3">
        <v>1</v>
      </c>
      <c r="M6245" s="3">
        <v>20</v>
      </c>
      <c r="N6245" s="3">
        <v>20</v>
      </c>
      <c r="O6245" s="3"/>
      <c r="P6245" s="3"/>
      <c r="Q6245" s="3"/>
    </row>
    <row r="6246" spans="1:17" ht="15" x14ac:dyDescent="0.25">
      <c r="A6246" s="3">
        <f>6239</f>
        <v>6239</v>
      </c>
      <c r="B6246" s="3" t="s">
        <v>6248</v>
      </c>
      <c r="C6246" s="3" t="s">
        <v>10</v>
      </c>
      <c r="D6246" s="3" t="s">
        <v>9</v>
      </c>
      <c r="E6246" s="3">
        <v>21</v>
      </c>
      <c r="F6246" s="3">
        <v>60</v>
      </c>
      <c r="G6246" s="3">
        <v>1</v>
      </c>
      <c r="H6246" s="3">
        <v>20</v>
      </c>
      <c r="I6246" s="3">
        <v>22</v>
      </c>
      <c r="J6246" s="3">
        <v>1</v>
      </c>
      <c r="K6246" s="3">
        <v>24</v>
      </c>
      <c r="L6246" s="3">
        <v>1</v>
      </c>
      <c r="M6246" s="3">
        <v>20</v>
      </c>
      <c r="N6246" s="3">
        <v>20</v>
      </c>
      <c r="O6246" s="3"/>
      <c r="P6246" s="3"/>
      <c r="Q6246" s="3"/>
    </row>
    <row r="6247" spans="1:17" ht="15" x14ac:dyDescent="0.25">
      <c r="A6247" s="3">
        <f>6240</f>
        <v>6240</v>
      </c>
      <c r="B6247" s="3" t="s">
        <v>6249</v>
      </c>
      <c r="C6247" s="3" t="s">
        <v>10</v>
      </c>
      <c r="D6247" s="3" t="s">
        <v>9</v>
      </c>
      <c r="E6247" s="3">
        <v>21</v>
      </c>
      <c r="F6247" s="3">
        <v>60</v>
      </c>
      <c r="G6247" s="3">
        <v>1</v>
      </c>
      <c r="H6247" s="3">
        <v>20</v>
      </c>
      <c r="I6247" s="3">
        <v>22</v>
      </c>
      <c r="J6247" s="3">
        <v>1</v>
      </c>
      <c r="K6247" s="3">
        <v>24</v>
      </c>
      <c r="L6247" s="3">
        <v>1</v>
      </c>
      <c r="M6247" s="3">
        <v>20</v>
      </c>
      <c r="N6247" s="3">
        <v>20</v>
      </c>
      <c r="O6247" s="3"/>
      <c r="P6247" s="3"/>
      <c r="Q6247" s="3"/>
    </row>
    <row r="6248" spans="1:17" ht="15" x14ac:dyDescent="0.25">
      <c r="A6248" s="3">
        <f>6241</f>
        <v>6241</v>
      </c>
      <c r="B6248" s="3" t="s">
        <v>6250</v>
      </c>
      <c r="C6248" s="3" t="s">
        <v>10</v>
      </c>
      <c r="D6248" s="3" t="s">
        <v>9</v>
      </c>
      <c r="E6248" s="3">
        <v>21</v>
      </c>
      <c r="F6248" s="3">
        <v>60</v>
      </c>
      <c r="G6248" s="3">
        <v>1</v>
      </c>
      <c r="H6248" s="3">
        <v>20</v>
      </c>
      <c r="I6248" s="3">
        <v>22</v>
      </c>
      <c r="J6248" s="3">
        <v>1</v>
      </c>
      <c r="K6248" s="3">
        <v>24</v>
      </c>
      <c r="L6248" s="3">
        <v>1</v>
      </c>
      <c r="M6248" s="3">
        <v>20</v>
      </c>
      <c r="N6248" s="3">
        <v>20</v>
      </c>
      <c r="O6248" s="3"/>
      <c r="P6248" s="3"/>
      <c r="Q6248" s="3"/>
    </row>
    <row r="6249" spans="1:17" ht="15" x14ac:dyDescent="0.25">
      <c r="A6249" s="3">
        <f>6242</f>
        <v>6242</v>
      </c>
      <c r="B6249" s="3" t="s">
        <v>6251</v>
      </c>
      <c r="C6249" s="3" t="s">
        <v>10</v>
      </c>
      <c r="D6249" s="3" t="s">
        <v>9</v>
      </c>
      <c r="E6249" s="3">
        <v>21</v>
      </c>
      <c r="F6249" s="3">
        <v>60</v>
      </c>
      <c r="G6249" s="3">
        <v>1</v>
      </c>
      <c r="H6249" s="3">
        <v>20</v>
      </c>
      <c r="I6249" s="3">
        <v>22</v>
      </c>
      <c r="J6249" s="3">
        <v>1</v>
      </c>
      <c r="K6249" s="3">
        <v>24</v>
      </c>
      <c r="L6249" s="3">
        <v>1</v>
      </c>
      <c r="M6249" s="3">
        <v>20</v>
      </c>
      <c r="N6249" s="3">
        <v>20</v>
      </c>
      <c r="O6249" s="3"/>
      <c r="P6249" s="3"/>
      <c r="Q6249" s="3"/>
    </row>
    <row r="6250" spans="1:17" ht="15" x14ac:dyDescent="0.25">
      <c r="A6250" s="3">
        <f>6243</f>
        <v>6243</v>
      </c>
      <c r="B6250" s="3" t="s">
        <v>6252</v>
      </c>
      <c r="C6250" s="3" t="s">
        <v>10</v>
      </c>
      <c r="D6250" s="3" t="s">
        <v>9</v>
      </c>
      <c r="E6250" s="3">
        <v>21</v>
      </c>
      <c r="F6250" s="3">
        <v>60</v>
      </c>
      <c r="G6250" s="3">
        <v>1</v>
      </c>
      <c r="H6250" s="3">
        <v>20</v>
      </c>
      <c r="I6250" s="3">
        <v>22</v>
      </c>
      <c r="J6250" s="3">
        <v>1</v>
      </c>
      <c r="K6250" s="3">
        <v>24</v>
      </c>
      <c r="L6250" s="3">
        <v>1</v>
      </c>
      <c r="M6250" s="3">
        <v>20</v>
      </c>
      <c r="N6250" s="3">
        <v>20</v>
      </c>
      <c r="O6250" s="3"/>
      <c r="P6250" s="3"/>
      <c r="Q6250" s="3"/>
    </row>
    <row r="6251" spans="1:17" ht="15" x14ac:dyDescent="0.25">
      <c r="A6251" s="3">
        <f>6244</f>
        <v>6244</v>
      </c>
      <c r="B6251" s="3" t="s">
        <v>6253</v>
      </c>
      <c r="C6251" s="3" t="s">
        <v>10</v>
      </c>
      <c r="D6251" s="3" t="s">
        <v>9</v>
      </c>
      <c r="E6251" s="3">
        <v>21</v>
      </c>
      <c r="F6251" s="3">
        <v>60</v>
      </c>
      <c r="G6251" s="3">
        <v>1</v>
      </c>
      <c r="H6251" s="3">
        <v>20</v>
      </c>
      <c r="I6251" s="3">
        <v>23</v>
      </c>
      <c r="J6251" s="3">
        <v>1</v>
      </c>
      <c r="K6251" s="3">
        <v>23</v>
      </c>
      <c r="L6251" s="3">
        <v>1</v>
      </c>
      <c r="M6251" s="3">
        <v>20</v>
      </c>
      <c r="N6251" s="3">
        <v>22</v>
      </c>
      <c r="O6251" s="3"/>
      <c r="P6251" s="3"/>
      <c r="Q6251" s="3"/>
    </row>
    <row r="6252" spans="1:17" ht="15" x14ac:dyDescent="0.25">
      <c r="A6252" s="3">
        <f>6245</f>
        <v>6245</v>
      </c>
      <c r="B6252" s="3" t="s">
        <v>6254</v>
      </c>
      <c r="C6252" s="3" t="s">
        <v>10</v>
      </c>
      <c r="D6252" s="3" t="s">
        <v>9</v>
      </c>
      <c r="E6252" s="3">
        <v>21</v>
      </c>
      <c r="F6252" s="3">
        <v>60</v>
      </c>
      <c r="G6252" s="3">
        <v>1</v>
      </c>
      <c r="H6252" s="3">
        <v>20</v>
      </c>
      <c r="I6252" s="3">
        <v>23</v>
      </c>
      <c r="J6252" s="3">
        <v>1</v>
      </c>
      <c r="K6252" s="3">
        <v>24</v>
      </c>
      <c r="L6252" s="3">
        <v>1</v>
      </c>
      <c r="M6252" s="3">
        <v>20</v>
      </c>
      <c r="N6252" s="3">
        <v>22</v>
      </c>
      <c r="O6252" s="3"/>
      <c r="P6252" s="3"/>
      <c r="Q6252" s="3"/>
    </row>
    <row r="6253" spans="1:17" ht="15" x14ac:dyDescent="0.25">
      <c r="A6253" s="3">
        <f>6246</f>
        <v>6246</v>
      </c>
      <c r="B6253" s="3" t="s">
        <v>6255</v>
      </c>
      <c r="C6253" s="3" t="s">
        <v>10</v>
      </c>
      <c r="D6253" s="3" t="s">
        <v>9</v>
      </c>
      <c r="E6253" s="3">
        <v>21</v>
      </c>
      <c r="F6253" s="3">
        <v>60</v>
      </c>
      <c r="G6253" s="3">
        <v>1</v>
      </c>
      <c r="H6253" s="3">
        <v>20</v>
      </c>
      <c r="I6253" s="3">
        <v>23</v>
      </c>
      <c r="J6253" s="3">
        <v>1</v>
      </c>
      <c r="K6253" s="3">
        <v>24</v>
      </c>
      <c r="L6253" s="3">
        <v>1</v>
      </c>
      <c r="M6253" s="3">
        <v>20</v>
      </c>
      <c r="N6253" s="3">
        <v>22</v>
      </c>
      <c r="O6253" s="3"/>
      <c r="P6253" s="3"/>
      <c r="Q6253" s="3"/>
    </row>
    <row r="6254" spans="1:17" ht="15" x14ac:dyDescent="0.25">
      <c r="A6254" s="3">
        <f>6247</f>
        <v>6247</v>
      </c>
      <c r="B6254" s="3" t="s">
        <v>6256</v>
      </c>
      <c r="C6254" s="3" t="s">
        <v>10</v>
      </c>
      <c r="D6254" s="3" t="s">
        <v>9</v>
      </c>
      <c r="E6254" s="3">
        <v>21</v>
      </c>
      <c r="F6254" s="3">
        <v>60</v>
      </c>
      <c r="G6254" s="3">
        <v>1</v>
      </c>
      <c r="H6254" s="3">
        <v>20</v>
      </c>
      <c r="I6254" s="3">
        <v>23</v>
      </c>
      <c r="J6254" s="3">
        <v>1</v>
      </c>
      <c r="K6254" s="3">
        <v>24</v>
      </c>
      <c r="L6254" s="3">
        <v>1</v>
      </c>
      <c r="M6254" s="3">
        <v>20</v>
      </c>
      <c r="N6254" s="3">
        <v>22</v>
      </c>
      <c r="O6254" s="3"/>
      <c r="P6254" s="3"/>
      <c r="Q6254" s="3"/>
    </row>
    <row r="6255" spans="1:17" ht="15" x14ac:dyDescent="0.25">
      <c r="A6255" s="3">
        <f>6248</f>
        <v>6248</v>
      </c>
      <c r="B6255" s="3" t="s">
        <v>6257</v>
      </c>
      <c r="C6255" s="3" t="s">
        <v>10</v>
      </c>
      <c r="D6255" s="3" t="s">
        <v>9</v>
      </c>
      <c r="E6255" s="3">
        <v>21</v>
      </c>
      <c r="F6255" s="3">
        <v>60</v>
      </c>
      <c r="G6255" s="3">
        <v>1</v>
      </c>
      <c r="H6255" s="3">
        <v>20</v>
      </c>
      <c r="I6255" s="3">
        <v>23</v>
      </c>
      <c r="J6255" s="3">
        <v>1</v>
      </c>
      <c r="K6255" s="3">
        <v>24</v>
      </c>
      <c r="L6255" s="3">
        <v>1</v>
      </c>
      <c r="M6255" s="3">
        <v>20</v>
      </c>
      <c r="N6255" s="3">
        <v>22</v>
      </c>
      <c r="O6255" s="3"/>
      <c r="P6255" s="3"/>
      <c r="Q6255" s="3"/>
    </row>
    <row r="6256" spans="1:17" ht="15" x14ac:dyDescent="0.25">
      <c r="A6256" s="3">
        <f>6249</f>
        <v>6249</v>
      </c>
      <c r="B6256" s="3" t="s">
        <v>6258</v>
      </c>
      <c r="C6256" s="3" t="s">
        <v>10</v>
      </c>
      <c r="D6256" s="3" t="s">
        <v>9</v>
      </c>
      <c r="E6256" s="3">
        <v>21</v>
      </c>
      <c r="F6256" s="3">
        <v>60</v>
      </c>
      <c r="G6256" s="3">
        <v>1</v>
      </c>
      <c r="H6256" s="3">
        <v>20</v>
      </c>
      <c r="I6256" s="3">
        <v>23</v>
      </c>
      <c r="J6256" s="3">
        <v>1</v>
      </c>
      <c r="K6256" s="3">
        <v>24</v>
      </c>
      <c r="L6256" s="3">
        <v>1</v>
      </c>
      <c r="M6256" s="3">
        <v>20</v>
      </c>
      <c r="N6256" s="3">
        <v>22</v>
      </c>
      <c r="O6256" s="3"/>
      <c r="P6256" s="3"/>
      <c r="Q6256" s="3"/>
    </row>
    <row r="6257" spans="1:17" ht="15" x14ac:dyDescent="0.25">
      <c r="A6257" s="3">
        <f>6250</f>
        <v>6250</v>
      </c>
      <c r="B6257" s="3" t="s">
        <v>6259</v>
      </c>
      <c r="C6257" s="3" t="s">
        <v>10</v>
      </c>
      <c r="D6257" s="3" t="s">
        <v>9</v>
      </c>
      <c r="E6257" s="3">
        <v>21</v>
      </c>
      <c r="F6257" s="3">
        <v>60</v>
      </c>
      <c r="G6257" s="3">
        <v>1</v>
      </c>
      <c r="H6257" s="3">
        <v>20</v>
      </c>
      <c r="I6257" s="3">
        <v>23</v>
      </c>
      <c r="J6257" s="3">
        <v>1</v>
      </c>
      <c r="K6257" s="3">
        <v>24</v>
      </c>
      <c r="L6257" s="3">
        <v>1</v>
      </c>
      <c r="M6257" s="3">
        <v>20</v>
      </c>
      <c r="N6257" s="3">
        <v>22</v>
      </c>
      <c r="O6257" s="3"/>
      <c r="P6257" s="3"/>
      <c r="Q6257" s="3"/>
    </row>
    <row r="6258" spans="1:17" ht="15" x14ac:dyDescent="0.25">
      <c r="A6258" s="3">
        <f>6251</f>
        <v>6251</v>
      </c>
      <c r="B6258" s="3" t="s">
        <v>6260</v>
      </c>
      <c r="C6258" s="3" t="s">
        <v>10</v>
      </c>
      <c r="D6258" s="3" t="s">
        <v>9</v>
      </c>
      <c r="E6258" s="3">
        <v>21</v>
      </c>
      <c r="F6258" s="3">
        <v>60</v>
      </c>
      <c r="G6258" s="3">
        <v>1</v>
      </c>
      <c r="H6258" s="3">
        <v>20</v>
      </c>
      <c r="I6258" s="3">
        <v>23</v>
      </c>
      <c r="J6258" s="3">
        <v>1</v>
      </c>
      <c r="K6258" s="3">
        <v>24</v>
      </c>
      <c r="L6258" s="3">
        <v>1</v>
      </c>
      <c r="M6258" s="3">
        <v>20</v>
      </c>
      <c r="N6258" s="3">
        <v>22</v>
      </c>
      <c r="O6258" s="3"/>
      <c r="P6258" s="3"/>
      <c r="Q6258" s="3"/>
    </row>
    <row r="6259" spans="1:17" ht="15" x14ac:dyDescent="0.25">
      <c r="A6259" s="3">
        <f>6252</f>
        <v>6252</v>
      </c>
      <c r="B6259" s="3" t="s">
        <v>6261</v>
      </c>
      <c r="C6259" s="3" t="s">
        <v>10</v>
      </c>
      <c r="D6259" s="3" t="s">
        <v>9</v>
      </c>
      <c r="E6259" s="3">
        <v>21</v>
      </c>
      <c r="F6259" s="3">
        <v>60</v>
      </c>
      <c r="G6259" s="3">
        <v>1</v>
      </c>
      <c r="H6259" s="3">
        <v>20</v>
      </c>
      <c r="I6259" s="3">
        <v>23</v>
      </c>
      <c r="J6259" s="3">
        <v>1</v>
      </c>
      <c r="K6259" s="3">
        <v>24</v>
      </c>
      <c r="L6259" s="3">
        <v>1</v>
      </c>
      <c r="M6259" s="3">
        <v>20</v>
      </c>
      <c r="N6259" s="3">
        <v>22</v>
      </c>
      <c r="O6259" s="3"/>
      <c r="P6259" s="3"/>
      <c r="Q6259" s="3"/>
    </row>
    <row r="6260" spans="1:17" ht="15" x14ac:dyDescent="0.25">
      <c r="A6260" s="3">
        <f>6253</f>
        <v>6253</v>
      </c>
      <c r="B6260" s="3" t="s">
        <v>6262</v>
      </c>
      <c r="C6260" s="3" t="s">
        <v>10</v>
      </c>
      <c r="D6260" s="3" t="s">
        <v>9</v>
      </c>
      <c r="E6260" s="3">
        <v>21</v>
      </c>
      <c r="F6260" s="3">
        <v>60</v>
      </c>
      <c r="G6260" s="3">
        <v>1</v>
      </c>
      <c r="H6260" s="3">
        <v>20</v>
      </c>
      <c r="I6260" s="3">
        <v>23</v>
      </c>
      <c r="J6260" s="3">
        <v>1</v>
      </c>
      <c r="K6260" s="3">
        <v>24</v>
      </c>
      <c r="L6260" s="3">
        <v>1</v>
      </c>
      <c r="M6260" s="3">
        <v>20</v>
      </c>
      <c r="N6260" s="3">
        <v>22</v>
      </c>
      <c r="O6260" s="3"/>
      <c r="P6260" s="3"/>
      <c r="Q6260" s="3"/>
    </row>
    <row r="6261" spans="1:17" ht="15" x14ac:dyDescent="0.25">
      <c r="A6261" s="3">
        <f>6254</f>
        <v>6254</v>
      </c>
      <c r="B6261" s="3" t="s">
        <v>6263</v>
      </c>
      <c r="C6261" s="3" t="s">
        <v>10</v>
      </c>
      <c r="D6261" s="3" t="s">
        <v>9</v>
      </c>
      <c r="E6261" s="3">
        <v>21</v>
      </c>
      <c r="F6261" s="3">
        <v>60</v>
      </c>
      <c r="G6261" s="3">
        <v>1</v>
      </c>
      <c r="H6261" s="3">
        <v>20</v>
      </c>
      <c r="I6261" s="3">
        <v>23</v>
      </c>
      <c r="J6261" s="3">
        <v>1</v>
      </c>
      <c r="K6261" s="3">
        <v>24</v>
      </c>
      <c r="L6261" s="3">
        <v>1</v>
      </c>
      <c r="M6261" s="3">
        <v>20</v>
      </c>
      <c r="N6261" s="3">
        <v>22</v>
      </c>
      <c r="O6261" s="3"/>
      <c r="P6261" s="3"/>
      <c r="Q6261" s="3"/>
    </row>
    <row r="6262" spans="1:17" ht="15" x14ac:dyDescent="0.25">
      <c r="A6262" s="3">
        <f>6255</f>
        <v>6255</v>
      </c>
      <c r="B6262" s="3" t="s">
        <v>6264</v>
      </c>
      <c r="C6262" s="3" t="s">
        <v>10</v>
      </c>
      <c r="D6262" s="3" t="s">
        <v>9</v>
      </c>
      <c r="E6262" s="3">
        <v>21</v>
      </c>
      <c r="F6262" s="3">
        <v>60</v>
      </c>
      <c r="G6262" s="3">
        <v>1</v>
      </c>
      <c r="H6262" s="3">
        <v>20</v>
      </c>
      <c r="I6262" s="3">
        <v>23</v>
      </c>
      <c r="J6262" s="3">
        <v>1</v>
      </c>
      <c r="K6262" s="3">
        <v>24</v>
      </c>
      <c r="L6262" s="3">
        <v>1</v>
      </c>
      <c r="M6262" s="3">
        <v>20</v>
      </c>
      <c r="N6262" s="3">
        <v>22</v>
      </c>
      <c r="O6262" s="3"/>
      <c r="P6262" s="3"/>
      <c r="Q6262" s="3"/>
    </row>
    <row r="6263" spans="1:17" ht="15" x14ac:dyDescent="0.25">
      <c r="A6263" s="3">
        <f>6256</f>
        <v>6256</v>
      </c>
      <c r="B6263" s="3" t="s">
        <v>6265</v>
      </c>
      <c r="C6263" s="3" t="s">
        <v>10</v>
      </c>
      <c r="D6263" s="3" t="s">
        <v>9</v>
      </c>
      <c r="E6263" s="3">
        <v>21</v>
      </c>
      <c r="F6263" s="3">
        <v>60</v>
      </c>
      <c r="G6263" s="3">
        <v>1</v>
      </c>
      <c r="H6263" s="3">
        <v>20</v>
      </c>
      <c r="I6263" s="3">
        <v>23</v>
      </c>
      <c r="J6263" s="3">
        <v>1</v>
      </c>
      <c r="K6263" s="3">
        <v>24</v>
      </c>
      <c r="L6263" s="3">
        <v>1</v>
      </c>
      <c r="M6263" s="3">
        <v>20</v>
      </c>
      <c r="N6263" s="3">
        <v>22</v>
      </c>
      <c r="O6263" s="3"/>
      <c r="P6263" s="3"/>
      <c r="Q6263" s="3"/>
    </row>
    <row r="6264" spans="1:17" ht="15" x14ac:dyDescent="0.25">
      <c r="A6264" s="3">
        <f>6257</f>
        <v>6257</v>
      </c>
      <c r="B6264" s="3" t="s">
        <v>6266</v>
      </c>
      <c r="C6264" s="3" t="s">
        <v>10</v>
      </c>
      <c r="D6264" s="3" t="s">
        <v>9</v>
      </c>
      <c r="E6264" s="3">
        <v>21</v>
      </c>
      <c r="F6264" s="3">
        <v>60</v>
      </c>
      <c r="G6264" s="3">
        <v>1</v>
      </c>
      <c r="H6264" s="3">
        <v>20</v>
      </c>
      <c r="I6264" s="3">
        <v>23</v>
      </c>
      <c r="J6264" s="3">
        <v>1</v>
      </c>
      <c r="K6264" s="3">
        <v>24</v>
      </c>
      <c r="L6264" s="3">
        <v>1</v>
      </c>
      <c r="M6264" s="3">
        <v>20</v>
      </c>
      <c r="N6264" s="3">
        <v>22</v>
      </c>
      <c r="O6264" s="3"/>
      <c r="P6264" s="3"/>
      <c r="Q6264" s="3"/>
    </row>
    <row r="6265" spans="1:17" ht="15" x14ac:dyDescent="0.25">
      <c r="A6265" s="3">
        <f>6258</f>
        <v>6258</v>
      </c>
      <c r="B6265" s="3" t="s">
        <v>6267</v>
      </c>
      <c r="C6265" s="3" t="s">
        <v>10</v>
      </c>
      <c r="D6265" s="3" t="s">
        <v>9</v>
      </c>
      <c r="E6265" s="3">
        <v>21</v>
      </c>
      <c r="F6265" s="3">
        <v>60</v>
      </c>
      <c r="G6265" s="3">
        <v>1</v>
      </c>
      <c r="H6265" s="3">
        <v>20</v>
      </c>
      <c r="I6265" s="3">
        <v>23</v>
      </c>
      <c r="J6265" s="3">
        <v>1</v>
      </c>
      <c r="K6265" s="3">
        <v>24</v>
      </c>
      <c r="L6265" s="3">
        <v>1</v>
      </c>
      <c r="M6265" s="3">
        <v>20</v>
      </c>
      <c r="N6265" s="3">
        <v>22</v>
      </c>
      <c r="O6265" s="3"/>
      <c r="P6265" s="3"/>
      <c r="Q6265" s="3"/>
    </row>
    <row r="6266" spans="1:17" ht="15" x14ac:dyDescent="0.25">
      <c r="A6266" s="3">
        <f>6259</f>
        <v>6259</v>
      </c>
      <c r="B6266" s="3" t="s">
        <v>6268</v>
      </c>
      <c r="C6266" s="3" t="s">
        <v>10</v>
      </c>
      <c r="D6266" s="3" t="s">
        <v>9</v>
      </c>
      <c r="E6266" s="3">
        <v>21</v>
      </c>
      <c r="F6266" s="3">
        <v>60</v>
      </c>
      <c r="G6266" s="3">
        <v>1</v>
      </c>
      <c r="H6266" s="3">
        <v>20</v>
      </c>
      <c r="I6266" s="3">
        <v>23</v>
      </c>
      <c r="J6266" s="3">
        <v>1</v>
      </c>
      <c r="K6266" s="3">
        <v>24</v>
      </c>
      <c r="L6266" s="3">
        <v>1</v>
      </c>
      <c r="M6266" s="3">
        <v>20</v>
      </c>
      <c r="N6266" s="3">
        <v>22</v>
      </c>
      <c r="O6266" s="3"/>
      <c r="P6266" s="3"/>
      <c r="Q6266" s="3"/>
    </row>
    <row r="6267" spans="1:17" ht="15" x14ac:dyDescent="0.25">
      <c r="A6267" s="3">
        <f>6260</f>
        <v>6260</v>
      </c>
      <c r="B6267" s="3" t="s">
        <v>6269</v>
      </c>
      <c r="C6267" s="3" t="s">
        <v>10</v>
      </c>
      <c r="D6267" s="3" t="s">
        <v>9</v>
      </c>
      <c r="E6267" s="3">
        <v>21</v>
      </c>
      <c r="F6267" s="3">
        <v>60</v>
      </c>
      <c r="G6267" s="3">
        <v>1</v>
      </c>
      <c r="H6267" s="3">
        <v>20</v>
      </c>
      <c r="I6267" s="3">
        <v>23</v>
      </c>
      <c r="J6267" s="3">
        <v>1</v>
      </c>
      <c r="K6267" s="3">
        <v>24</v>
      </c>
      <c r="L6267" s="3">
        <v>1</v>
      </c>
      <c r="M6267" s="3">
        <v>20</v>
      </c>
      <c r="N6267" s="3">
        <v>22</v>
      </c>
      <c r="O6267" s="3"/>
      <c r="P6267" s="3"/>
      <c r="Q6267" s="3"/>
    </row>
    <row r="6268" spans="1:17" ht="15" x14ac:dyDescent="0.25">
      <c r="A6268" s="3">
        <f>6261</f>
        <v>6261</v>
      </c>
      <c r="B6268" s="3" t="s">
        <v>6270</v>
      </c>
      <c r="C6268" s="3" t="s">
        <v>10</v>
      </c>
      <c r="D6268" s="3" t="s">
        <v>9</v>
      </c>
      <c r="E6268" s="3">
        <v>21</v>
      </c>
      <c r="F6268" s="3">
        <v>60</v>
      </c>
      <c r="G6268" s="3">
        <v>1</v>
      </c>
      <c r="H6268" s="3">
        <v>20</v>
      </c>
      <c r="I6268" s="3">
        <v>23</v>
      </c>
      <c r="J6268" s="3">
        <v>1</v>
      </c>
      <c r="K6268" s="3">
        <v>24</v>
      </c>
      <c r="L6268" s="3">
        <v>1</v>
      </c>
      <c r="M6268" s="3">
        <v>20</v>
      </c>
      <c r="N6268" s="3">
        <v>22</v>
      </c>
      <c r="O6268" s="3"/>
      <c r="P6268" s="3"/>
      <c r="Q6268" s="3"/>
    </row>
    <row r="6269" spans="1:17" ht="15" x14ac:dyDescent="0.25">
      <c r="A6269" s="3">
        <f>6262</f>
        <v>6262</v>
      </c>
      <c r="B6269" s="3" t="s">
        <v>6271</v>
      </c>
      <c r="C6269" s="3" t="s">
        <v>10</v>
      </c>
      <c r="D6269" s="3" t="s">
        <v>9</v>
      </c>
      <c r="E6269" s="3">
        <v>21</v>
      </c>
      <c r="F6269" s="3">
        <v>60</v>
      </c>
      <c r="G6269" s="3">
        <v>1</v>
      </c>
      <c r="H6269" s="3">
        <v>20</v>
      </c>
      <c r="I6269" s="3">
        <v>23</v>
      </c>
      <c r="J6269" s="3">
        <v>1</v>
      </c>
      <c r="K6269" s="3">
        <v>24</v>
      </c>
      <c r="L6269" s="3">
        <v>1</v>
      </c>
      <c r="M6269" s="3">
        <v>20</v>
      </c>
      <c r="N6269" s="3">
        <v>22</v>
      </c>
      <c r="O6269" s="3"/>
      <c r="P6269" s="3"/>
      <c r="Q6269" s="3"/>
    </row>
    <row r="6270" spans="1:17" ht="15" x14ac:dyDescent="0.25">
      <c r="A6270" s="3">
        <f>6263</f>
        <v>6263</v>
      </c>
      <c r="B6270" s="3" t="s">
        <v>6272</v>
      </c>
      <c r="C6270" s="3" t="s">
        <v>10</v>
      </c>
      <c r="D6270" s="3" t="s">
        <v>9</v>
      </c>
      <c r="E6270" s="3">
        <v>21</v>
      </c>
      <c r="F6270" s="3">
        <v>60</v>
      </c>
      <c r="G6270" s="3">
        <v>1</v>
      </c>
      <c r="H6270" s="3">
        <v>20</v>
      </c>
      <c r="I6270" s="3">
        <v>23</v>
      </c>
      <c r="J6270" s="3">
        <v>1</v>
      </c>
      <c r="K6270" s="3">
        <v>24</v>
      </c>
      <c r="L6270" s="3">
        <v>1</v>
      </c>
      <c r="M6270" s="3">
        <v>20</v>
      </c>
      <c r="N6270" s="3">
        <v>22</v>
      </c>
      <c r="O6270" s="3"/>
      <c r="P6270" s="3"/>
      <c r="Q6270" s="3"/>
    </row>
    <row r="6271" spans="1:17" ht="15" x14ac:dyDescent="0.25">
      <c r="A6271" s="3">
        <f>6264</f>
        <v>6264</v>
      </c>
      <c r="B6271" s="3" t="s">
        <v>6273</v>
      </c>
      <c r="C6271" s="3" t="s">
        <v>10</v>
      </c>
      <c r="D6271" s="3" t="s">
        <v>9</v>
      </c>
      <c r="E6271" s="3">
        <v>21</v>
      </c>
      <c r="F6271" s="3">
        <v>60</v>
      </c>
      <c r="G6271" s="3">
        <v>1</v>
      </c>
      <c r="H6271" s="3">
        <v>20</v>
      </c>
      <c r="I6271" s="3">
        <v>23</v>
      </c>
      <c r="J6271" s="3">
        <v>1</v>
      </c>
      <c r="K6271" s="3">
        <v>24</v>
      </c>
      <c r="L6271" s="3">
        <v>1</v>
      </c>
      <c r="M6271" s="3">
        <v>20</v>
      </c>
      <c r="N6271" s="3">
        <v>22</v>
      </c>
      <c r="O6271" s="3"/>
      <c r="P6271" s="3"/>
      <c r="Q6271" s="3"/>
    </row>
    <row r="6272" spans="1:17" ht="15" x14ac:dyDescent="0.25">
      <c r="A6272" s="3">
        <f>6265</f>
        <v>6265</v>
      </c>
      <c r="B6272" s="3" t="s">
        <v>6274</v>
      </c>
      <c r="C6272" s="3" t="s">
        <v>10</v>
      </c>
      <c r="D6272" s="3" t="s">
        <v>9</v>
      </c>
      <c r="E6272" s="3">
        <v>21</v>
      </c>
      <c r="F6272" s="3">
        <v>60</v>
      </c>
      <c r="G6272" s="3">
        <v>1</v>
      </c>
      <c r="H6272" s="3">
        <v>20</v>
      </c>
      <c r="I6272" s="3">
        <v>23</v>
      </c>
      <c r="J6272" s="3">
        <v>1</v>
      </c>
      <c r="K6272" s="3">
        <v>24</v>
      </c>
      <c r="L6272" s="3">
        <v>1</v>
      </c>
      <c r="M6272" s="3">
        <v>20</v>
      </c>
      <c r="N6272" s="3">
        <v>22</v>
      </c>
      <c r="O6272" s="3"/>
      <c r="P6272" s="3"/>
      <c r="Q6272" s="3"/>
    </row>
    <row r="6273" spans="1:17" ht="15" x14ac:dyDescent="0.25">
      <c r="A6273" s="3">
        <f>6266</f>
        <v>6266</v>
      </c>
      <c r="B6273" s="3" t="s">
        <v>6275</v>
      </c>
      <c r="C6273" s="3" t="s">
        <v>10</v>
      </c>
      <c r="D6273" s="3" t="s">
        <v>9</v>
      </c>
      <c r="E6273" s="3">
        <v>21</v>
      </c>
      <c r="F6273" s="3">
        <v>60</v>
      </c>
      <c r="G6273" s="3">
        <v>1</v>
      </c>
      <c r="H6273" s="3">
        <v>20</v>
      </c>
      <c r="I6273" s="3">
        <v>23</v>
      </c>
      <c r="J6273" s="3">
        <v>1</v>
      </c>
      <c r="K6273" s="3">
        <v>24</v>
      </c>
      <c r="L6273" s="3">
        <v>1</v>
      </c>
      <c r="M6273" s="3">
        <v>20</v>
      </c>
      <c r="N6273" s="3">
        <v>22</v>
      </c>
      <c r="O6273" s="3"/>
      <c r="P6273" s="3"/>
      <c r="Q6273" s="3"/>
    </row>
    <row r="6274" spans="1:17" ht="15" x14ac:dyDescent="0.25">
      <c r="A6274" s="3">
        <f>6267</f>
        <v>6267</v>
      </c>
      <c r="B6274" s="3" t="s">
        <v>6276</v>
      </c>
      <c r="C6274" s="3" t="s">
        <v>10</v>
      </c>
      <c r="D6274" s="3" t="s">
        <v>9</v>
      </c>
      <c r="E6274" s="3">
        <v>21</v>
      </c>
      <c r="F6274" s="3">
        <v>60</v>
      </c>
      <c r="G6274" s="3">
        <v>1</v>
      </c>
      <c r="H6274" s="3">
        <v>20</v>
      </c>
      <c r="I6274" s="3">
        <v>23</v>
      </c>
      <c r="J6274" s="3">
        <v>1</v>
      </c>
      <c r="K6274" s="3">
        <v>24</v>
      </c>
      <c r="L6274" s="3">
        <v>1</v>
      </c>
      <c r="M6274" s="3">
        <v>20</v>
      </c>
      <c r="N6274" s="3">
        <v>22</v>
      </c>
      <c r="O6274" s="3"/>
      <c r="P6274" s="3"/>
      <c r="Q6274" s="3"/>
    </row>
    <row r="6275" spans="1:17" ht="15" x14ac:dyDescent="0.25">
      <c r="A6275" s="3">
        <f>6268</f>
        <v>6268</v>
      </c>
      <c r="B6275" s="3" t="s">
        <v>6277</v>
      </c>
      <c r="C6275" s="3" t="s">
        <v>10</v>
      </c>
      <c r="D6275" s="3" t="s">
        <v>9</v>
      </c>
      <c r="E6275" s="3">
        <v>21</v>
      </c>
      <c r="F6275" s="3">
        <v>60</v>
      </c>
      <c r="G6275" s="3">
        <v>1</v>
      </c>
      <c r="H6275" s="3">
        <v>20</v>
      </c>
      <c r="I6275" s="3">
        <v>23</v>
      </c>
      <c r="J6275" s="3">
        <v>1</v>
      </c>
      <c r="K6275" s="3">
        <v>24</v>
      </c>
      <c r="L6275" s="3">
        <v>1</v>
      </c>
      <c r="M6275" s="3">
        <v>20</v>
      </c>
      <c r="N6275" s="3">
        <v>22</v>
      </c>
      <c r="O6275" s="3"/>
      <c r="P6275" s="3"/>
      <c r="Q6275" s="3"/>
    </row>
    <row r="6276" spans="1:17" ht="15" x14ac:dyDescent="0.25">
      <c r="A6276" s="3">
        <f>6269</f>
        <v>6269</v>
      </c>
      <c r="B6276" s="3" t="s">
        <v>6278</v>
      </c>
      <c r="C6276" s="3" t="s">
        <v>10</v>
      </c>
      <c r="D6276" s="3" t="s">
        <v>9</v>
      </c>
      <c r="E6276" s="3">
        <v>21</v>
      </c>
      <c r="F6276" s="3">
        <v>60</v>
      </c>
      <c r="G6276" s="3">
        <v>1</v>
      </c>
      <c r="H6276" s="3">
        <v>20</v>
      </c>
      <c r="I6276" s="3">
        <v>23</v>
      </c>
      <c r="J6276" s="3">
        <v>1</v>
      </c>
      <c r="K6276" s="3">
        <v>24</v>
      </c>
      <c r="L6276" s="3">
        <v>1</v>
      </c>
      <c r="M6276" s="3">
        <v>20</v>
      </c>
      <c r="N6276" s="3">
        <v>22</v>
      </c>
      <c r="O6276" s="3"/>
      <c r="P6276" s="3"/>
      <c r="Q6276" s="3"/>
    </row>
    <row r="6277" spans="1:17" ht="15" x14ac:dyDescent="0.25">
      <c r="A6277" s="3">
        <f>6270</f>
        <v>6270</v>
      </c>
      <c r="B6277" s="3" t="s">
        <v>6279</v>
      </c>
      <c r="C6277" s="3" t="s">
        <v>10</v>
      </c>
      <c r="D6277" s="3" t="s">
        <v>9</v>
      </c>
      <c r="E6277" s="3">
        <v>21</v>
      </c>
      <c r="F6277" s="3">
        <v>60</v>
      </c>
      <c r="G6277" s="3">
        <v>1</v>
      </c>
      <c r="H6277" s="3">
        <v>20</v>
      </c>
      <c r="I6277" s="3">
        <v>23</v>
      </c>
      <c r="J6277" s="3">
        <v>1</v>
      </c>
      <c r="K6277" s="3">
        <v>24</v>
      </c>
      <c r="L6277" s="3">
        <v>1</v>
      </c>
      <c r="M6277" s="3">
        <v>20</v>
      </c>
      <c r="N6277" s="3">
        <v>22</v>
      </c>
      <c r="O6277" s="3"/>
      <c r="P6277" s="3"/>
      <c r="Q6277" s="3"/>
    </row>
    <row r="6278" spans="1:17" ht="15" x14ac:dyDescent="0.25">
      <c r="A6278" s="3">
        <f>6271</f>
        <v>6271</v>
      </c>
      <c r="B6278" s="3" t="s">
        <v>6280</v>
      </c>
      <c r="C6278" s="3" t="s">
        <v>10</v>
      </c>
      <c r="D6278" s="3" t="s">
        <v>9</v>
      </c>
      <c r="E6278" s="3">
        <v>21</v>
      </c>
      <c r="F6278" s="3">
        <v>60</v>
      </c>
      <c r="G6278" s="3">
        <v>1</v>
      </c>
      <c r="H6278" s="3">
        <v>20</v>
      </c>
      <c r="I6278" s="3">
        <v>23</v>
      </c>
      <c r="J6278" s="3">
        <v>1</v>
      </c>
      <c r="K6278" s="3">
        <v>24</v>
      </c>
      <c r="L6278" s="3">
        <v>1</v>
      </c>
      <c r="M6278" s="3">
        <v>20</v>
      </c>
      <c r="N6278" s="3">
        <v>22</v>
      </c>
      <c r="O6278" s="3"/>
      <c r="P6278" s="3"/>
      <c r="Q6278" s="3"/>
    </row>
    <row r="6279" spans="1:17" ht="15" x14ac:dyDescent="0.25">
      <c r="A6279" s="3">
        <f>6272</f>
        <v>6272</v>
      </c>
      <c r="B6279" s="3" t="s">
        <v>6281</v>
      </c>
      <c r="C6279" s="3" t="s">
        <v>10</v>
      </c>
      <c r="D6279" s="3" t="s">
        <v>9</v>
      </c>
      <c r="E6279" s="3">
        <v>21</v>
      </c>
      <c r="F6279" s="3">
        <v>60</v>
      </c>
      <c r="G6279" s="3">
        <v>1</v>
      </c>
      <c r="H6279" s="3">
        <v>20</v>
      </c>
      <c r="I6279" s="3">
        <v>23</v>
      </c>
      <c r="J6279" s="3">
        <v>1</v>
      </c>
      <c r="K6279" s="3">
        <v>24</v>
      </c>
      <c r="L6279" s="3">
        <v>1</v>
      </c>
      <c r="M6279" s="3">
        <v>20</v>
      </c>
      <c r="N6279" s="3">
        <v>22</v>
      </c>
      <c r="O6279" s="3"/>
      <c r="P6279" s="3"/>
      <c r="Q6279" s="3"/>
    </row>
    <row r="6280" spans="1:17" ht="15" x14ac:dyDescent="0.25">
      <c r="A6280" s="3">
        <f>6273</f>
        <v>6273</v>
      </c>
      <c r="B6280" s="3" t="s">
        <v>6282</v>
      </c>
      <c r="C6280" s="3" t="s">
        <v>10</v>
      </c>
      <c r="D6280" s="3" t="s">
        <v>9</v>
      </c>
      <c r="E6280" s="3">
        <v>21</v>
      </c>
      <c r="F6280" s="3">
        <v>60</v>
      </c>
      <c r="G6280" s="3">
        <v>1</v>
      </c>
      <c r="H6280" s="3">
        <v>20</v>
      </c>
      <c r="I6280" s="3">
        <v>23</v>
      </c>
      <c r="J6280" s="3">
        <v>1</v>
      </c>
      <c r="K6280" s="3">
        <v>24</v>
      </c>
      <c r="L6280" s="3">
        <v>1</v>
      </c>
      <c r="M6280" s="3">
        <v>20</v>
      </c>
      <c r="N6280" s="3">
        <v>22</v>
      </c>
      <c r="O6280" s="3"/>
      <c r="P6280" s="3"/>
      <c r="Q6280" s="3"/>
    </row>
    <row r="6281" spans="1:17" ht="15" x14ac:dyDescent="0.25">
      <c r="A6281" s="3">
        <f>6274</f>
        <v>6274</v>
      </c>
      <c r="B6281" s="3" t="s">
        <v>6283</v>
      </c>
      <c r="C6281" s="3" t="s">
        <v>10</v>
      </c>
      <c r="D6281" s="3" t="s">
        <v>9</v>
      </c>
      <c r="E6281" s="3">
        <v>21</v>
      </c>
      <c r="F6281" s="3">
        <v>60</v>
      </c>
      <c r="G6281" s="3">
        <v>1</v>
      </c>
      <c r="H6281" s="3">
        <v>20</v>
      </c>
      <c r="I6281" s="3">
        <v>23</v>
      </c>
      <c r="J6281" s="3">
        <v>1</v>
      </c>
      <c r="K6281" s="3">
        <v>24</v>
      </c>
      <c r="L6281" s="3">
        <v>1</v>
      </c>
      <c r="M6281" s="3">
        <v>20</v>
      </c>
      <c r="N6281" s="3">
        <v>22</v>
      </c>
      <c r="O6281" s="3"/>
      <c r="P6281" s="3"/>
      <c r="Q6281" s="3"/>
    </row>
    <row r="6282" spans="1:17" ht="15" x14ac:dyDescent="0.25">
      <c r="A6282" s="3">
        <f>6275</f>
        <v>6275</v>
      </c>
      <c r="B6282" s="3" t="s">
        <v>6284</v>
      </c>
      <c r="C6282" s="3" t="s">
        <v>10</v>
      </c>
      <c r="D6282" s="3" t="s">
        <v>9</v>
      </c>
      <c r="E6282" s="3">
        <v>21</v>
      </c>
      <c r="F6282" s="3">
        <v>60</v>
      </c>
      <c r="G6282" s="3">
        <v>1</v>
      </c>
      <c r="H6282" s="3">
        <v>20</v>
      </c>
      <c r="I6282" s="3">
        <v>23</v>
      </c>
      <c r="J6282" s="3">
        <v>1</v>
      </c>
      <c r="K6282" s="3">
        <v>24</v>
      </c>
      <c r="L6282" s="3">
        <v>1</v>
      </c>
      <c r="M6282" s="3">
        <v>20</v>
      </c>
      <c r="N6282" s="3">
        <v>22</v>
      </c>
      <c r="O6282" s="3"/>
      <c r="P6282" s="3"/>
      <c r="Q6282" s="3"/>
    </row>
    <row r="6283" spans="1:17" ht="15" x14ac:dyDescent="0.25">
      <c r="A6283" s="3">
        <f>6276</f>
        <v>6276</v>
      </c>
      <c r="B6283" s="3" t="s">
        <v>6285</v>
      </c>
      <c r="C6283" s="3" t="s">
        <v>10</v>
      </c>
      <c r="D6283" s="3" t="s">
        <v>9</v>
      </c>
      <c r="E6283" s="3">
        <v>21</v>
      </c>
      <c r="F6283" s="3">
        <v>60</v>
      </c>
      <c r="G6283" s="3">
        <v>1</v>
      </c>
      <c r="H6283" s="3">
        <v>20</v>
      </c>
      <c r="I6283" s="3">
        <v>23</v>
      </c>
      <c r="J6283" s="3">
        <v>1</v>
      </c>
      <c r="K6283" s="3">
        <v>24</v>
      </c>
      <c r="L6283" s="3">
        <v>1</v>
      </c>
      <c r="M6283" s="3">
        <v>20</v>
      </c>
      <c r="N6283" s="3">
        <v>22</v>
      </c>
      <c r="O6283" s="3"/>
      <c r="P6283" s="3"/>
      <c r="Q6283" s="3"/>
    </row>
    <row r="6284" spans="1:17" ht="15" x14ac:dyDescent="0.25">
      <c r="A6284" s="3">
        <f>6277</f>
        <v>6277</v>
      </c>
      <c r="B6284" s="3" t="s">
        <v>6286</v>
      </c>
      <c r="C6284" s="3" t="s">
        <v>10</v>
      </c>
      <c r="D6284" s="3" t="s">
        <v>9</v>
      </c>
      <c r="E6284" s="3">
        <v>21</v>
      </c>
      <c r="F6284" s="3">
        <v>60</v>
      </c>
      <c r="G6284" s="3">
        <v>1</v>
      </c>
      <c r="H6284" s="3">
        <v>20</v>
      </c>
      <c r="I6284" s="3">
        <v>23</v>
      </c>
      <c r="J6284" s="3">
        <v>1</v>
      </c>
      <c r="K6284" s="3">
        <v>24</v>
      </c>
      <c r="L6284" s="3">
        <v>1</v>
      </c>
      <c r="M6284" s="3">
        <v>20</v>
      </c>
      <c r="N6284" s="3">
        <v>22</v>
      </c>
      <c r="O6284" s="3"/>
      <c r="P6284" s="3"/>
      <c r="Q6284" s="3"/>
    </row>
    <row r="6285" spans="1:17" ht="15" x14ac:dyDescent="0.25">
      <c r="A6285" s="3">
        <f>6278</f>
        <v>6278</v>
      </c>
      <c r="B6285" s="3" t="s">
        <v>6287</v>
      </c>
      <c r="C6285" s="3" t="s">
        <v>10</v>
      </c>
      <c r="D6285" s="3" t="s">
        <v>9</v>
      </c>
      <c r="E6285" s="3">
        <v>21</v>
      </c>
      <c r="F6285" s="3">
        <v>60</v>
      </c>
      <c r="G6285" s="3">
        <v>1</v>
      </c>
      <c r="H6285" s="3">
        <v>20</v>
      </c>
      <c r="I6285" s="3">
        <v>23</v>
      </c>
      <c r="J6285" s="3">
        <v>1</v>
      </c>
      <c r="K6285" s="3">
        <v>24</v>
      </c>
      <c r="L6285" s="3">
        <v>1</v>
      </c>
      <c r="M6285" s="3">
        <v>20</v>
      </c>
      <c r="N6285" s="3">
        <v>22</v>
      </c>
      <c r="O6285" s="3"/>
      <c r="P6285" s="3"/>
      <c r="Q6285" s="3"/>
    </row>
    <row r="6286" spans="1:17" ht="15" x14ac:dyDescent="0.25">
      <c r="A6286" s="3">
        <f>6279</f>
        <v>6279</v>
      </c>
      <c r="B6286" s="3" t="s">
        <v>6288</v>
      </c>
      <c r="C6286" s="3" t="s">
        <v>10</v>
      </c>
      <c r="D6286" s="3" t="s">
        <v>9</v>
      </c>
      <c r="E6286" s="3">
        <v>21</v>
      </c>
      <c r="F6286" s="3">
        <v>60</v>
      </c>
      <c r="G6286" s="3">
        <v>1</v>
      </c>
      <c r="H6286" s="3">
        <v>20</v>
      </c>
      <c r="I6286" s="3">
        <v>23</v>
      </c>
      <c r="J6286" s="3">
        <v>1</v>
      </c>
      <c r="K6286" s="3">
        <v>24</v>
      </c>
      <c r="L6286" s="3">
        <v>1</v>
      </c>
      <c r="M6286" s="3">
        <v>20</v>
      </c>
      <c r="N6286" s="3">
        <v>22</v>
      </c>
      <c r="O6286" s="3"/>
      <c r="P6286" s="3"/>
      <c r="Q6286" s="3"/>
    </row>
    <row r="6287" spans="1:17" ht="15" x14ac:dyDescent="0.25">
      <c r="A6287" s="3">
        <f>6280</f>
        <v>6280</v>
      </c>
      <c r="B6287" s="3" t="s">
        <v>6289</v>
      </c>
      <c r="C6287" s="3" t="s">
        <v>10</v>
      </c>
      <c r="D6287" s="3" t="s">
        <v>9</v>
      </c>
      <c r="E6287" s="3">
        <v>21</v>
      </c>
      <c r="F6287" s="3">
        <v>60</v>
      </c>
      <c r="G6287" s="3">
        <v>1</v>
      </c>
      <c r="H6287" s="3">
        <v>20</v>
      </c>
      <c r="I6287" s="3">
        <v>23</v>
      </c>
      <c r="J6287" s="3">
        <v>1</v>
      </c>
      <c r="K6287" s="3">
        <v>24</v>
      </c>
      <c r="L6287" s="3">
        <v>1</v>
      </c>
      <c r="M6287" s="3">
        <v>20</v>
      </c>
      <c r="N6287" s="3">
        <v>22</v>
      </c>
      <c r="O6287" s="3"/>
      <c r="P6287" s="3"/>
      <c r="Q6287" s="3"/>
    </row>
    <row r="6288" spans="1:17" ht="15" x14ac:dyDescent="0.25">
      <c r="A6288" s="3">
        <f>6281</f>
        <v>6281</v>
      </c>
      <c r="B6288" s="3" t="s">
        <v>6290</v>
      </c>
      <c r="C6288" s="3" t="s">
        <v>10</v>
      </c>
      <c r="D6288" s="3" t="s">
        <v>9</v>
      </c>
      <c r="E6288" s="3">
        <v>21</v>
      </c>
      <c r="F6288" s="3">
        <v>60</v>
      </c>
      <c r="G6288" s="3">
        <v>1</v>
      </c>
      <c r="H6288" s="3">
        <v>20</v>
      </c>
      <c r="I6288" s="3">
        <v>23</v>
      </c>
      <c r="J6288" s="3">
        <v>1</v>
      </c>
      <c r="K6288" s="3">
        <v>24</v>
      </c>
      <c r="L6288" s="3">
        <v>1</v>
      </c>
      <c r="M6288" s="3">
        <v>20</v>
      </c>
      <c r="N6288" s="3">
        <v>22</v>
      </c>
      <c r="O6288" s="3"/>
      <c r="P6288" s="3"/>
      <c r="Q6288" s="3"/>
    </row>
    <row r="6289" spans="1:17" ht="15" x14ac:dyDescent="0.25">
      <c r="A6289" s="3">
        <f>6282</f>
        <v>6282</v>
      </c>
      <c r="B6289" s="3" t="s">
        <v>6291</v>
      </c>
      <c r="C6289" s="3" t="s">
        <v>10</v>
      </c>
      <c r="D6289" s="3" t="s">
        <v>9</v>
      </c>
      <c r="E6289" s="3">
        <v>21</v>
      </c>
      <c r="F6289" s="3">
        <v>60</v>
      </c>
      <c r="G6289" s="3">
        <v>1</v>
      </c>
      <c r="H6289" s="3">
        <v>20</v>
      </c>
      <c r="I6289" s="3">
        <v>23</v>
      </c>
      <c r="J6289" s="3">
        <v>1</v>
      </c>
      <c r="K6289" s="3">
        <v>24</v>
      </c>
      <c r="L6289" s="3">
        <v>1</v>
      </c>
      <c r="M6289" s="3">
        <v>20</v>
      </c>
      <c r="N6289" s="3">
        <v>22</v>
      </c>
      <c r="O6289" s="3"/>
      <c r="P6289" s="3"/>
      <c r="Q6289" s="3"/>
    </row>
    <row r="6290" spans="1:17" ht="15" x14ac:dyDescent="0.25">
      <c r="A6290" s="3">
        <f>6283</f>
        <v>6283</v>
      </c>
      <c r="B6290" s="3" t="s">
        <v>6292</v>
      </c>
      <c r="C6290" s="3" t="s">
        <v>10</v>
      </c>
      <c r="D6290" s="3" t="s">
        <v>9</v>
      </c>
      <c r="E6290" s="3">
        <v>21</v>
      </c>
      <c r="F6290" s="3">
        <v>60</v>
      </c>
      <c r="G6290" s="3">
        <v>1</v>
      </c>
      <c r="H6290" s="3">
        <v>20</v>
      </c>
      <c r="I6290" s="3">
        <v>23</v>
      </c>
      <c r="J6290" s="3">
        <v>1</v>
      </c>
      <c r="K6290" s="3">
        <v>24</v>
      </c>
      <c r="L6290" s="3">
        <v>1</v>
      </c>
      <c r="M6290" s="3">
        <v>20</v>
      </c>
      <c r="N6290" s="3">
        <v>22</v>
      </c>
      <c r="O6290" s="3"/>
      <c r="P6290" s="3"/>
      <c r="Q6290" s="3"/>
    </row>
    <row r="6291" spans="1:17" ht="15" x14ac:dyDescent="0.25">
      <c r="A6291" s="3">
        <f>6284</f>
        <v>6284</v>
      </c>
      <c r="B6291" s="3" t="s">
        <v>6293</v>
      </c>
      <c r="C6291" s="3" t="s">
        <v>10</v>
      </c>
      <c r="D6291" s="3" t="s">
        <v>9</v>
      </c>
      <c r="E6291" s="3">
        <v>21</v>
      </c>
      <c r="F6291" s="3">
        <v>60</v>
      </c>
      <c r="G6291" s="3">
        <v>1</v>
      </c>
      <c r="H6291" s="3">
        <v>20</v>
      </c>
      <c r="I6291" s="3">
        <v>23</v>
      </c>
      <c r="J6291" s="3">
        <v>1</v>
      </c>
      <c r="K6291" s="3">
        <v>24</v>
      </c>
      <c r="L6291" s="3">
        <v>1</v>
      </c>
      <c r="M6291" s="3">
        <v>20</v>
      </c>
      <c r="N6291" s="3">
        <v>22</v>
      </c>
      <c r="O6291" s="3"/>
      <c r="P6291" s="3"/>
      <c r="Q6291" s="3"/>
    </row>
    <row r="6292" spans="1:17" ht="15" x14ac:dyDescent="0.25">
      <c r="A6292" s="3">
        <f>6285</f>
        <v>6285</v>
      </c>
      <c r="B6292" s="3" t="s">
        <v>6294</v>
      </c>
      <c r="C6292" s="3" t="s">
        <v>10</v>
      </c>
      <c r="D6292" s="3" t="s">
        <v>9</v>
      </c>
      <c r="E6292" s="3">
        <v>21</v>
      </c>
      <c r="F6292" s="3">
        <v>60</v>
      </c>
      <c r="G6292" s="3">
        <v>1</v>
      </c>
      <c r="H6292" s="3">
        <v>20</v>
      </c>
      <c r="I6292" s="3">
        <v>23</v>
      </c>
      <c r="J6292" s="3">
        <v>1</v>
      </c>
      <c r="K6292" s="3">
        <v>24</v>
      </c>
      <c r="L6292" s="3">
        <v>1</v>
      </c>
      <c r="M6292" s="3">
        <v>20</v>
      </c>
      <c r="N6292" s="3">
        <v>22</v>
      </c>
      <c r="O6292" s="3"/>
      <c r="P6292" s="3"/>
      <c r="Q6292" s="3"/>
    </row>
    <row r="6293" spans="1:17" ht="15" x14ac:dyDescent="0.25">
      <c r="A6293" s="3">
        <f>6286</f>
        <v>6286</v>
      </c>
      <c r="B6293" s="3" t="s">
        <v>6295</v>
      </c>
      <c r="C6293" s="3" t="s">
        <v>10</v>
      </c>
      <c r="D6293" s="3" t="s">
        <v>9</v>
      </c>
      <c r="E6293" s="3">
        <v>21</v>
      </c>
      <c r="F6293" s="3">
        <v>60</v>
      </c>
      <c r="G6293" s="3">
        <v>1</v>
      </c>
      <c r="H6293" s="3">
        <v>20</v>
      </c>
      <c r="I6293" s="3">
        <v>23</v>
      </c>
      <c r="J6293" s="3">
        <v>1</v>
      </c>
      <c r="K6293" s="3">
        <v>24</v>
      </c>
      <c r="L6293" s="3">
        <v>1</v>
      </c>
      <c r="M6293" s="3">
        <v>20</v>
      </c>
      <c r="N6293" s="3">
        <v>22</v>
      </c>
      <c r="O6293" s="3"/>
      <c r="P6293" s="3"/>
      <c r="Q6293" s="3"/>
    </row>
    <row r="6294" spans="1:17" ht="15" x14ac:dyDescent="0.25">
      <c r="A6294" s="3">
        <f>6287</f>
        <v>6287</v>
      </c>
      <c r="B6294" s="3" t="s">
        <v>6296</v>
      </c>
      <c r="C6294" s="3" t="s">
        <v>10</v>
      </c>
      <c r="D6294" s="3" t="s">
        <v>9</v>
      </c>
      <c r="E6294" s="3">
        <v>21</v>
      </c>
      <c r="F6294" s="3">
        <v>60</v>
      </c>
      <c r="G6294" s="3">
        <v>1</v>
      </c>
      <c r="H6294" s="3">
        <v>20</v>
      </c>
      <c r="I6294" s="3">
        <v>23</v>
      </c>
      <c r="J6294" s="3">
        <v>1</v>
      </c>
      <c r="K6294" s="3">
        <v>24</v>
      </c>
      <c r="L6294" s="3">
        <v>1</v>
      </c>
      <c r="M6294" s="3">
        <v>20</v>
      </c>
      <c r="N6294" s="3">
        <v>22</v>
      </c>
      <c r="O6294" s="3"/>
      <c r="P6294" s="3"/>
      <c r="Q6294" s="3"/>
    </row>
    <row r="6295" spans="1:17" ht="15" x14ac:dyDescent="0.25">
      <c r="A6295" s="3">
        <f>6288</f>
        <v>6288</v>
      </c>
      <c r="B6295" s="3" t="s">
        <v>6297</v>
      </c>
      <c r="C6295" s="3" t="s">
        <v>10</v>
      </c>
      <c r="D6295" s="3" t="s">
        <v>9</v>
      </c>
      <c r="E6295" s="3">
        <v>21</v>
      </c>
      <c r="F6295" s="3">
        <v>60</v>
      </c>
      <c r="G6295" s="3">
        <v>1</v>
      </c>
      <c r="H6295" s="3">
        <v>20</v>
      </c>
      <c r="I6295" s="3">
        <v>23</v>
      </c>
      <c r="J6295" s="3">
        <v>1</v>
      </c>
      <c r="K6295" s="3">
        <v>24</v>
      </c>
      <c r="L6295" s="3">
        <v>1</v>
      </c>
      <c r="M6295" s="3">
        <v>20</v>
      </c>
      <c r="N6295" s="3">
        <v>22</v>
      </c>
      <c r="O6295" s="3"/>
      <c r="P6295" s="3"/>
      <c r="Q6295" s="3"/>
    </row>
    <row r="6296" spans="1:17" ht="15" x14ac:dyDescent="0.25">
      <c r="A6296" s="3">
        <f>6289</f>
        <v>6289</v>
      </c>
      <c r="B6296" s="3" t="s">
        <v>6298</v>
      </c>
      <c r="C6296" s="3" t="s">
        <v>10</v>
      </c>
      <c r="D6296" s="3" t="s">
        <v>9</v>
      </c>
      <c r="E6296" s="3">
        <v>21</v>
      </c>
      <c r="F6296" s="3">
        <v>60</v>
      </c>
      <c r="G6296" s="3">
        <v>1</v>
      </c>
      <c r="H6296" s="3">
        <v>20</v>
      </c>
      <c r="I6296" s="3">
        <v>23</v>
      </c>
      <c r="J6296" s="3">
        <v>1</v>
      </c>
      <c r="K6296" s="3">
        <v>24</v>
      </c>
      <c r="L6296" s="3">
        <v>1</v>
      </c>
      <c r="M6296" s="3">
        <v>20</v>
      </c>
      <c r="N6296" s="3">
        <v>22</v>
      </c>
      <c r="O6296" s="3"/>
      <c r="P6296" s="3"/>
      <c r="Q6296" s="3"/>
    </row>
    <row r="6297" spans="1:17" ht="15" x14ac:dyDescent="0.25">
      <c r="A6297" s="3">
        <f>6290</f>
        <v>6290</v>
      </c>
      <c r="B6297" s="3" t="s">
        <v>6299</v>
      </c>
      <c r="C6297" s="3" t="s">
        <v>10</v>
      </c>
      <c r="D6297" s="3" t="s">
        <v>9</v>
      </c>
      <c r="E6297" s="3">
        <v>21</v>
      </c>
      <c r="F6297" s="3">
        <v>60</v>
      </c>
      <c r="G6297" s="3">
        <v>1</v>
      </c>
      <c r="H6297" s="3">
        <v>20</v>
      </c>
      <c r="I6297" s="3">
        <v>23</v>
      </c>
      <c r="J6297" s="3">
        <v>1</v>
      </c>
      <c r="K6297" s="3">
        <v>24</v>
      </c>
      <c r="L6297" s="3">
        <v>1</v>
      </c>
      <c r="M6297" s="3">
        <v>20</v>
      </c>
      <c r="N6297" s="3">
        <v>22</v>
      </c>
      <c r="O6297" s="3"/>
      <c r="P6297" s="3"/>
      <c r="Q6297" s="3"/>
    </row>
    <row r="6298" spans="1:17" ht="15" x14ac:dyDescent="0.25">
      <c r="A6298" s="3">
        <f>6291</f>
        <v>6291</v>
      </c>
      <c r="B6298" s="3" t="s">
        <v>6300</v>
      </c>
      <c r="C6298" s="3" t="s">
        <v>10</v>
      </c>
      <c r="D6298" s="3" t="s">
        <v>9</v>
      </c>
      <c r="E6298" s="3">
        <v>21</v>
      </c>
      <c r="F6298" s="3">
        <v>60</v>
      </c>
      <c r="G6298" s="3">
        <v>1</v>
      </c>
      <c r="H6298" s="3">
        <v>20</v>
      </c>
      <c r="I6298" s="3">
        <v>23</v>
      </c>
      <c r="J6298" s="3">
        <v>1</v>
      </c>
      <c r="K6298" s="3">
        <v>24</v>
      </c>
      <c r="L6298" s="3">
        <v>1</v>
      </c>
      <c r="M6298" s="3">
        <v>20</v>
      </c>
      <c r="N6298" s="3">
        <v>22</v>
      </c>
      <c r="O6298" s="3"/>
      <c r="P6298" s="3"/>
      <c r="Q6298" s="3"/>
    </row>
    <row r="6299" spans="1:17" ht="15" x14ac:dyDescent="0.25">
      <c r="A6299" s="3">
        <f>6292</f>
        <v>6292</v>
      </c>
      <c r="B6299" s="3" t="s">
        <v>6301</v>
      </c>
      <c r="C6299" s="3" t="s">
        <v>10</v>
      </c>
      <c r="D6299" s="3" t="s">
        <v>9</v>
      </c>
      <c r="E6299" s="3">
        <v>21</v>
      </c>
      <c r="F6299" s="3">
        <v>60</v>
      </c>
      <c r="G6299" s="3">
        <v>1</v>
      </c>
      <c r="H6299" s="3">
        <v>20</v>
      </c>
      <c r="I6299" s="3">
        <v>23</v>
      </c>
      <c r="J6299" s="3">
        <v>1</v>
      </c>
      <c r="K6299" s="3">
        <v>24</v>
      </c>
      <c r="L6299" s="3">
        <v>1</v>
      </c>
      <c r="M6299" s="3">
        <v>20</v>
      </c>
      <c r="N6299" s="3">
        <v>22</v>
      </c>
      <c r="O6299" s="3"/>
      <c r="P6299" s="3"/>
      <c r="Q6299" s="3"/>
    </row>
    <row r="6300" spans="1:17" ht="15" x14ac:dyDescent="0.25">
      <c r="A6300" s="3">
        <f>6293</f>
        <v>6293</v>
      </c>
      <c r="B6300" s="3" t="s">
        <v>6302</v>
      </c>
      <c r="C6300" s="3" t="s">
        <v>10</v>
      </c>
      <c r="D6300" s="3" t="s">
        <v>9</v>
      </c>
      <c r="E6300" s="3">
        <v>21</v>
      </c>
      <c r="F6300" s="3">
        <v>60</v>
      </c>
      <c r="G6300" s="3">
        <v>1</v>
      </c>
      <c r="H6300" s="3">
        <v>20</v>
      </c>
      <c r="I6300" s="3">
        <v>23</v>
      </c>
      <c r="J6300" s="3">
        <v>1</v>
      </c>
      <c r="K6300" s="3">
        <v>24</v>
      </c>
      <c r="L6300" s="3">
        <v>1</v>
      </c>
      <c r="M6300" s="3">
        <v>20</v>
      </c>
      <c r="N6300" s="3">
        <v>22</v>
      </c>
      <c r="O6300" s="3"/>
      <c r="P6300" s="3"/>
      <c r="Q6300" s="3"/>
    </row>
    <row r="6301" spans="1:17" ht="15" x14ac:dyDescent="0.25">
      <c r="A6301" s="3">
        <f>6294</f>
        <v>6294</v>
      </c>
      <c r="B6301" s="3" t="s">
        <v>6303</v>
      </c>
      <c r="C6301" s="3" t="s">
        <v>10</v>
      </c>
      <c r="D6301" s="3" t="s">
        <v>9</v>
      </c>
      <c r="E6301" s="3">
        <v>21</v>
      </c>
      <c r="F6301" s="3">
        <v>60</v>
      </c>
      <c r="G6301" s="3">
        <v>1</v>
      </c>
      <c r="H6301" s="3">
        <v>20</v>
      </c>
      <c r="I6301" s="3">
        <v>23</v>
      </c>
      <c r="J6301" s="3">
        <v>1</v>
      </c>
      <c r="K6301" s="3">
        <v>24</v>
      </c>
      <c r="L6301" s="3">
        <v>1</v>
      </c>
      <c r="M6301" s="3">
        <v>20</v>
      </c>
      <c r="N6301" s="3">
        <v>22</v>
      </c>
      <c r="O6301" s="3"/>
      <c r="P6301" s="3"/>
      <c r="Q6301" s="3"/>
    </row>
    <row r="6302" spans="1:17" ht="15" x14ac:dyDescent="0.25">
      <c r="A6302" s="3">
        <f>6295</f>
        <v>6295</v>
      </c>
      <c r="B6302" s="3" t="s">
        <v>6304</v>
      </c>
      <c r="C6302" s="3" t="s">
        <v>10</v>
      </c>
      <c r="D6302" s="3" t="s">
        <v>9</v>
      </c>
      <c r="E6302" s="3">
        <v>21</v>
      </c>
      <c r="F6302" s="3">
        <v>60</v>
      </c>
      <c r="G6302" s="3">
        <v>1</v>
      </c>
      <c r="H6302" s="3">
        <v>20</v>
      </c>
      <c r="I6302" s="3">
        <v>23</v>
      </c>
      <c r="J6302" s="3">
        <v>1</v>
      </c>
      <c r="K6302" s="3">
        <v>24</v>
      </c>
      <c r="L6302" s="3">
        <v>1</v>
      </c>
      <c r="M6302" s="3">
        <v>20</v>
      </c>
      <c r="N6302" s="3">
        <v>22</v>
      </c>
      <c r="O6302" s="3"/>
      <c r="P6302" s="3"/>
      <c r="Q6302" s="3"/>
    </row>
    <row r="6303" spans="1:17" ht="15" x14ac:dyDescent="0.25">
      <c r="A6303" s="3">
        <f>6296</f>
        <v>6296</v>
      </c>
      <c r="B6303" s="3" t="s">
        <v>6305</v>
      </c>
      <c r="C6303" s="3" t="s">
        <v>10</v>
      </c>
      <c r="D6303" s="3" t="s">
        <v>9</v>
      </c>
      <c r="E6303" s="3">
        <v>21</v>
      </c>
      <c r="F6303" s="3">
        <v>60</v>
      </c>
      <c r="G6303" s="3">
        <v>1</v>
      </c>
      <c r="H6303" s="3">
        <v>20</v>
      </c>
      <c r="I6303" s="3">
        <v>23</v>
      </c>
      <c r="J6303" s="3">
        <v>1</v>
      </c>
      <c r="K6303" s="3">
        <v>24</v>
      </c>
      <c r="L6303" s="3">
        <v>1</v>
      </c>
      <c r="M6303" s="3">
        <v>20</v>
      </c>
      <c r="N6303" s="3">
        <v>22</v>
      </c>
      <c r="O6303" s="3"/>
      <c r="P6303" s="3"/>
      <c r="Q6303" s="3"/>
    </row>
    <row r="6304" spans="1:17" ht="15" x14ac:dyDescent="0.25">
      <c r="A6304" s="3">
        <f>6297</f>
        <v>6297</v>
      </c>
      <c r="B6304" s="3" t="s">
        <v>6306</v>
      </c>
      <c r="C6304" s="3" t="s">
        <v>10</v>
      </c>
      <c r="D6304" s="3" t="s">
        <v>9</v>
      </c>
      <c r="E6304" s="3">
        <v>21</v>
      </c>
      <c r="F6304" s="3">
        <v>60</v>
      </c>
      <c r="G6304" s="3">
        <v>1</v>
      </c>
      <c r="H6304" s="3">
        <v>20</v>
      </c>
      <c r="I6304" s="3">
        <v>23</v>
      </c>
      <c r="J6304" s="3">
        <v>1</v>
      </c>
      <c r="K6304" s="3">
        <v>24</v>
      </c>
      <c r="L6304" s="3">
        <v>1</v>
      </c>
      <c r="M6304" s="3">
        <v>20</v>
      </c>
      <c r="N6304" s="3">
        <v>22</v>
      </c>
      <c r="O6304" s="3"/>
      <c r="P6304" s="3"/>
      <c r="Q6304" s="3"/>
    </row>
    <row r="6305" spans="1:17" ht="15" x14ac:dyDescent="0.25">
      <c r="A6305" s="3">
        <f>6298</f>
        <v>6298</v>
      </c>
      <c r="B6305" s="3" t="s">
        <v>6307</v>
      </c>
      <c r="C6305" s="3" t="s">
        <v>10</v>
      </c>
      <c r="D6305" s="3" t="s">
        <v>9</v>
      </c>
      <c r="E6305" s="3">
        <v>21</v>
      </c>
      <c r="F6305" s="3">
        <v>60</v>
      </c>
      <c r="G6305" s="3">
        <v>1</v>
      </c>
      <c r="H6305" s="3">
        <v>20</v>
      </c>
      <c r="I6305" s="3">
        <v>23</v>
      </c>
      <c r="J6305" s="3">
        <v>1</v>
      </c>
      <c r="K6305" s="3">
        <v>24</v>
      </c>
      <c r="L6305" s="3">
        <v>1</v>
      </c>
      <c r="M6305" s="3">
        <v>20</v>
      </c>
      <c r="N6305" s="3">
        <v>22</v>
      </c>
      <c r="O6305" s="3"/>
      <c r="P6305" s="3"/>
      <c r="Q6305" s="3"/>
    </row>
    <row r="6306" spans="1:17" ht="15" x14ac:dyDescent="0.25">
      <c r="A6306" s="3">
        <f>6299</f>
        <v>6299</v>
      </c>
      <c r="B6306" s="3" t="s">
        <v>6308</v>
      </c>
      <c r="C6306" s="3" t="s">
        <v>10</v>
      </c>
      <c r="D6306" s="3" t="s">
        <v>9</v>
      </c>
      <c r="E6306" s="3">
        <v>21</v>
      </c>
      <c r="F6306" s="3">
        <v>60</v>
      </c>
      <c r="G6306" s="3">
        <v>1</v>
      </c>
      <c r="H6306" s="3">
        <v>20</v>
      </c>
      <c r="I6306" s="3">
        <v>23</v>
      </c>
      <c r="J6306" s="3">
        <v>1</v>
      </c>
      <c r="K6306" s="3">
        <v>24</v>
      </c>
      <c r="L6306" s="3">
        <v>1</v>
      </c>
      <c r="M6306" s="3">
        <v>20</v>
      </c>
      <c r="N6306" s="3">
        <v>22</v>
      </c>
      <c r="O6306" s="3"/>
      <c r="P6306" s="3"/>
      <c r="Q6306" s="3"/>
    </row>
    <row r="6307" spans="1:17" ht="15" x14ac:dyDescent="0.25">
      <c r="A6307" s="3">
        <f>6300</f>
        <v>6300</v>
      </c>
      <c r="B6307" s="3" t="s">
        <v>6309</v>
      </c>
      <c r="C6307" s="3" t="s">
        <v>10</v>
      </c>
      <c r="D6307" s="3" t="s">
        <v>9</v>
      </c>
      <c r="E6307" s="3">
        <v>21</v>
      </c>
      <c r="F6307" s="3">
        <v>60</v>
      </c>
      <c r="G6307" s="3">
        <v>1</v>
      </c>
      <c r="H6307" s="3">
        <v>20</v>
      </c>
      <c r="I6307" s="3">
        <v>23</v>
      </c>
      <c r="J6307" s="3">
        <v>1</v>
      </c>
      <c r="K6307" s="3">
        <v>24</v>
      </c>
      <c r="L6307" s="3">
        <v>1</v>
      </c>
      <c r="M6307" s="3">
        <v>20</v>
      </c>
      <c r="N6307" s="3">
        <v>22</v>
      </c>
      <c r="O6307" s="3"/>
      <c r="P6307" s="3"/>
      <c r="Q6307" s="3"/>
    </row>
    <row r="6308" spans="1:17" ht="15" x14ac:dyDescent="0.25">
      <c r="A6308" s="3">
        <f>6301</f>
        <v>6301</v>
      </c>
      <c r="B6308" s="3" t="s">
        <v>6310</v>
      </c>
      <c r="C6308" s="3" t="s">
        <v>10</v>
      </c>
      <c r="D6308" s="3" t="s">
        <v>9</v>
      </c>
      <c r="E6308" s="3">
        <v>21</v>
      </c>
      <c r="F6308" s="3">
        <v>60</v>
      </c>
      <c r="G6308" s="3">
        <v>1</v>
      </c>
      <c r="H6308" s="3">
        <v>20</v>
      </c>
      <c r="I6308" s="3">
        <v>23</v>
      </c>
      <c r="J6308" s="3">
        <v>1</v>
      </c>
      <c r="K6308" s="3">
        <v>24</v>
      </c>
      <c r="L6308" s="3">
        <v>1</v>
      </c>
      <c r="M6308" s="3">
        <v>20</v>
      </c>
      <c r="N6308" s="3">
        <v>22</v>
      </c>
      <c r="O6308" s="3"/>
      <c r="P6308" s="3"/>
      <c r="Q6308" s="3"/>
    </row>
    <row r="6309" spans="1:17" ht="15" x14ac:dyDescent="0.25">
      <c r="A6309" s="3">
        <f>6302</f>
        <v>6302</v>
      </c>
      <c r="B6309" s="3" t="s">
        <v>6311</v>
      </c>
      <c r="C6309" s="3" t="s">
        <v>10</v>
      </c>
      <c r="D6309" s="3" t="s">
        <v>9</v>
      </c>
      <c r="E6309" s="3">
        <v>21</v>
      </c>
      <c r="F6309" s="3">
        <v>60</v>
      </c>
      <c r="G6309" s="3">
        <v>1</v>
      </c>
      <c r="H6309" s="3">
        <v>20</v>
      </c>
      <c r="I6309" s="3">
        <v>23</v>
      </c>
      <c r="J6309" s="3">
        <v>1</v>
      </c>
      <c r="K6309" s="3">
        <v>24</v>
      </c>
      <c r="L6309" s="3">
        <v>1</v>
      </c>
      <c r="M6309" s="3">
        <v>20</v>
      </c>
      <c r="N6309" s="3">
        <v>22</v>
      </c>
      <c r="O6309" s="3"/>
      <c r="P6309" s="3"/>
      <c r="Q6309" s="3"/>
    </row>
    <row r="6310" spans="1:17" ht="15" x14ac:dyDescent="0.25">
      <c r="A6310" s="3">
        <f>6303</f>
        <v>6303</v>
      </c>
      <c r="B6310" s="3" t="s">
        <v>6312</v>
      </c>
      <c r="C6310" s="3" t="s">
        <v>10</v>
      </c>
      <c r="D6310" s="3" t="s">
        <v>9</v>
      </c>
      <c r="E6310" s="3">
        <v>21</v>
      </c>
      <c r="F6310" s="3">
        <v>60</v>
      </c>
      <c r="G6310" s="3">
        <v>1</v>
      </c>
      <c r="H6310" s="3">
        <v>20</v>
      </c>
      <c r="I6310" s="3">
        <v>23</v>
      </c>
      <c r="J6310" s="3">
        <v>1</v>
      </c>
      <c r="K6310" s="3">
        <v>24</v>
      </c>
      <c r="L6310" s="3">
        <v>1</v>
      </c>
      <c r="M6310" s="3">
        <v>20</v>
      </c>
      <c r="N6310" s="3">
        <v>22</v>
      </c>
      <c r="O6310" s="3"/>
      <c r="P6310" s="3"/>
      <c r="Q6310" s="3"/>
    </row>
    <row r="6311" spans="1:17" ht="15" x14ac:dyDescent="0.25">
      <c r="A6311" s="3">
        <f>6304</f>
        <v>6304</v>
      </c>
      <c r="B6311" s="3" t="s">
        <v>6313</v>
      </c>
      <c r="C6311" s="3" t="s">
        <v>10</v>
      </c>
      <c r="D6311" s="3" t="s">
        <v>9</v>
      </c>
      <c r="E6311" s="3">
        <v>21</v>
      </c>
      <c r="F6311" s="3">
        <v>60</v>
      </c>
      <c r="G6311" s="3">
        <v>1</v>
      </c>
      <c r="H6311" s="3">
        <v>20</v>
      </c>
      <c r="I6311" s="3">
        <v>23</v>
      </c>
      <c r="J6311" s="3">
        <v>1</v>
      </c>
      <c r="K6311" s="3">
        <v>24</v>
      </c>
      <c r="L6311" s="3">
        <v>1</v>
      </c>
      <c r="M6311" s="3">
        <v>20</v>
      </c>
      <c r="N6311" s="3">
        <v>22</v>
      </c>
      <c r="O6311" s="3"/>
      <c r="P6311" s="3"/>
      <c r="Q6311" s="3"/>
    </row>
    <row r="6312" spans="1:17" ht="15" x14ac:dyDescent="0.25">
      <c r="A6312" s="3">
        <f>6305</f>
        <v>6305</v>
      </c>
      <c r="B6312" s="3" t="s">
        <v>6314</v>
      </c>
      <c r="C6312" s="3" t="s">
        <v>10</v>
      </c>
      <c r="D6312" s="3" t="s">
        <v>9</v>
      </c>
      <c r="E6312" s="3">
        <v>21</v>
      </c>
      <c r="F6312" s="3">
        <v>60</v>
      </c>
      <c r="G6312" s="3">
        <v>1</v>
      </c>
      <c r="H6312" s="3">
        <v>20</v>
      </c>
      <c r="I6312" s="3">
        <v>23</v>
      </c>
      <c r="J6312" s="3">
        <v>1</v>
      </c>
      <c r="K6312" s="3">
        <v>24</v>
      </c>
      <c r="L6312" s="3">
        <v>1</v>
      </c>
      <c r="M6312" s="3">
        <v>20</v>
      </c>
      <c r="N6312" s="3">
        <v>22</v>
      </c>
      <c r="O6312" s="3"/>
      <c r="P6312" s="3"/>
      <c r="Q6312" s="3"/>
    </row>
    <row r="6313" spans="1:17" ht="15" x14ac:dyDescent="0.25">
      <c r="A6313" s="3">
        <f>6306</f>
        <v>6306</v>
      </c>
      <c r="B6313" s="3" t="s">
        <v>6315</v>
      </c>
      <c r="C6313" s="3" t="s">
        <v>10</v>
      </c>
      <c r="D6313" s="3" t="s">
        <v>9</v>
      </c>
      <c r="E6313" s="3">
        <v>21</v>
      </c>
      <c r="F6313" s="3">
        <v>60</v>
      </c>
      <c r="G6313" s="3">
        <v>1</v>
      </c>
      <c r="H6313" s="3">
        <v>20</v>
      </c>
      <c r="I6313" s="3">
        <v>23</v>
      </c>
      <c r="J6313" s="3">
        <v>1</v>
      </c>
      <c r="K6313" s="3">
        <v>24</v>
      </c>
      <c r="L6313" s="3">
        <v>1</v>
      </c>
      <c r="M6313" s="3">
        <v>20</v>
      </c>
      <c r="N6313" s="3">
        <v>22</v>
      </c>
      <c r="O6313" s="3"/>
      <c r="P6313" s="3"/>
      <c r="Q6313" s="3"/>
    </row>
    <row r="6314" spans="1:17" ht="15" x14ac:dyDescent="0.25">
      <c r="A6314" s="3">
        <f>6307</f>
        <v>6307</v>
      </c>
      <c r="B6314" s="3" t="s">
        <v>6316</v>
      </c>
      <c r="C6314" s="3" t="s">
        <v>10</v>
      </c>
      <c r="D6314" s="3" t="s">
        <v>9</v>
      </c>
      <c r="E6314" s="3">
        <v>21</v>
      </c>
      <c r="F6314" s="3">
        <v>60</v>
      </c>
      <c r="G6314" s="3">
        <v>1</v>
      </c>
      <c r="H6314" s="3">
        <v>20</v>
      </c>
      <c r="I6314" s="3">
        <v>23</v>
      </c>
      <c r="J6314" s="3">
        <v>1</v>
      </c>
      <c r="K6314" s="3">
        <v>24</v>
      </c>
      <c r="L6314" s="3">
        <v>1</v>
      </c>
      <c r="M6314" s="3">
        <v>20</v>
      </c>
      <c r="N6314" s="3">
        <v>22</v>
      </c>
      <c r="O6314" s="3"/>
      <c r="P6314" s="3"/>
      <c r="Q6314" s="3"/>
    </row>
    <row r="6315" spans="1:17" ht="15" x14ac:dyDescent="0.25">
      <c r="A6315" s="3">
        <f>6308</f>
        <v>6308</v>
      </c>
      <c r="B6315" s="3" t="s">
        <v>6317</v>
      </c>
      <c r="C6315" s="3" t="s">
        <v>10</v>
      </c>
      <c r="D6315" s="3" t="s">
        <v>9</v>
      </c>
      <c r="E6315" s="3">
        <v>21</v>
      </c>
      <c r="F6315" s="3">
        <v>60</v>
      </c>
      <c r="G6315" s="3">
        <v>1</v>
      </c>
      <c r="H6315" s="3">
        <v>20</v>
      </c>
      <c r="I6315" s="3">
        <v>23</v>
      </c>
      <c r="J6315" s="3">
        <v>1</v>
      </c>
      <c r="K6315" s="3">
        <v>24</v>
      </c>
      <c r="L6315" s="3">
        <v>1</v>
      </c>
      <c r="M6315" s="3">
        <v>20</v>
      </c>
      <c r="N6315" s="3">
        <v>22</v>
      </c>
      <c r="O6315" s="3"/>
      <c r="P6315" s="3"/>
      <c r="Q6315" s="3"/>
    </row>
    <row r="6316" spans="1:17" ht="15" x14ac:dyDescent="0.25">
      <c r="A6316" s="3">
        <f>6309</f>
        <v>6309</v>
      </c>
      <c r="B6316" s="3" t="s">
        <v>6318</v>
      </c>
      <c r="C6316" s="3" t="s">
        <v>10</v>
      </c>
      <c r="D6316" s="3" t="s">
        <v>9</v>
      </c>
      <c r="E6316" s="3">
        <v>21</v>
      </c>
      <c r="F6316" s="3">
        <v>60</v>
      </c>
      <c r="G6316" s="3">
        <v>1</v>
      </c>
      <c r="H6316" s="3">
        <v>20</v>
      </c>
      <c r="I6316" s="3">
        <v>23</v>
      </c>
      <c r="J6316" s="3">
        <v>1</v>
      </c>
      <c r="K6316" s="3">
        <v>24</v>
      </c>
      <c r="L6316" s="3">
        <v>1</v>
      </c>
      <c r="M6316" s="3">
        <v>20</v>
      </c>
      <c r="N6316" s="3">
        <v>22</v>
      </c>
      <c r="O6316" s="3"/>
      <c r="P6316" s="3"/>
      <c r="Q6316" s="3"/>
    </row>
    <row r="6317" spans="1:17" ht="15" x14ac:dyDescent="0.25">
      <c r="A6317" s="3">
        <f>6310</f>
        <v>6310</v>
      </c>
      <c r="B6317" s="3" t="s">
        <v>6319</v>
      </c>
      <c r="C6317" s="3" t="s">
        <v>10</v>
      </c>
      <c r="D6317" s="3" t="s">
        <v>9</v>
      </c>
      <c r="E6317" s="3">
        <v>21</v>
      </c>
      <c r="F6317" s="3">
        <v>60</v>
      </c>
      <c r="G6317" s="3">
        <v>1</v>
      </c>
      <c r="H6317" s="3">
        <v>20</v>
      </c>
      <c r="I6317" s="3">
        <v>23</v>
      </c>
      <c r="J6317" s="3">
        <v>1</v>
      </c>
      <c r="K6317" s="3">
        <v>24</v>
      </c>
      <c r="L6317" s="3">
        <v>1</v>
      </c>
      <c r="M6317" s="3">
        <v>20</v>
      </c>
      <c r="N6317" s="3">
        <v>22</v>
      </c>
      <c r="O6317" s="3"/>
      <c r="P6317" s="3"/>
      <c r="Q6317" s="3"/>
    </row>
    <row r="6318" spans="1:17" ht="15" x14ac:dyDescent="0.25">
      <c r="A6318" s="3">
        <f>6311</f>
        <v>6311</v>
      </c>
      <c r="B6318" s="3" t="s">
        <v>6320</v>
      </c>
      <c r="C6318" s="3" t="s">
        <v>10</v>
      </c>
      <c r="D6318" s="3" t="s">
        <v>9</v>
      </c>
      <c r="E6318" s="3">
        <v>21</v>
      </c>
      <c r="F6318" s="3">
        <v>60</v>
      </c>
      <c r="G6318" s="3">
        <v>1</v>
      </c>
      <c r="H6318" s="3">
        <v>20</v>
      </c>
      <c r="I6318" s="3">
        <v>23</v>
      </c>
      <c r="J6318" s="3">
        <v>1</v>
      </c>
      <c r="K6318" s="3">
        <v>24</v>
      </c>
      <c r="L6318" s="3">
        <v>1</v>
      </c>
      <c r="M6318" s="3">
        <v>20</v>
      </c>
      <c r="N6318" s="3">
        <v>22</v>
      </c>
      <c r="O6318" s="3"/>
      <c r="P6318" s="3"/>
      <c r="Q6318" s="3"/>
    </row>
    <row r="6319" spans="1:17" ht="15" x14ac:dyDescent="0.25">
      <c r="A6319" s="3">
        <f>6312</f>
        <v>6312</v>
      </c>
      <c r="B6319" s="3" t="s">
        <v>6321</v>
      </c>
      <c r="C6319" s="3" t="s">
        <v>10</v>
      </c>
      <c r="D6319" s="3" t="s">
        <v>9</v>
      </c>
      <c r="E6319" s="3">
        <v>21</v>
      </c>
      <c r="F6319" s="3">
        <v>60</v>
      </c>
      <c r="G6319" s="3">
        <v>1</v>
      </c>
      <c r="H6319" s="3">
        <v>20</v>
      </c>
      <c r="I6319" s="3">
        <v>23</v>
      </c>
      <c r="J6319" s="3">
        <v>1</v>
      </c>
      <c r="K6319" s="3">
        <v>24</v>
      </c>
      <c r="L6319" s="3">
        <v>1</v>
      </c>
      <c r="M6319" s="3">
        <v>20</v>
      </c>
      <c r="N6319" s="3">
        <v>22</v>
      </c>
      <c r="O6319" s="3"/>
      <c r="P6319" s="3"/>
      <c r="Q6319" s="3"/>
    </row>
    <row r="6320" spans="1:17" ht="15" x14ac:dyDescent="0.25">
      <c r="A6320" s="3">
        <f>6313</f>
        <v>6313</v>
      </c>
      <c r="B6320" s="3" t="s">
        <v>6322</v>
      </c>
      <c r="C6320" s="3" t="s">
        <v>10</v>
      </c>
      <c r="D6320" s="3" t="s">
        <v>9</v>
      </c>
      <c r="E6320" s="3">
        <v>21</v>
      </c>
      <c r="F6320" s="3">
        <v>60</v>
      </c>
      <c r="G6320" s="3">
        <v>1</v>
      </c>
      <c r="H6320" s="3">
        <v>20</v>
      </c>
      <c r="I6320" s="3">
        <v>23</v>
      </c>
      <c r="J6320" s="3">
        <v>1</v>
      </c>
      <c r="K6320" s="3">
        <v>24</v>
      </c>
      <c r="L6320" s="3">
        <v>1</v>
      </c>
      <c r="M6320" s="3">
        <v>20</v>
      </c>
      <c r="N6320" s="3">
        <v>22</v>
      </c>
      <c r="O6320" s="3"/>
      <c r="P6320" s="3"/>
      <c r="Q6320" s="3"/>
    </row>
    <row r="6321" spans="1:17" ht="15" x14ac:dyDescent="0.25">
      <c r="A6321" s="3">
        <f>6314</f>
        <v>6314</v>
      </c>
      <c r="B6321" s="3" t="s">
        <v>6323</v>
      </c>
      <c r="C6321" s="3" t="s">
        <v>10</v>
      </c>
      <c r="D6321" s="3" t="s">
        <v>9</v>
      </c>
      <c r="E6321" s="3">
        <v>21</v>
      </c>
      <c r="F6321" s="3">
        <v>60</v>
      </c>
      <c r="G6321" s="3">
        <v>1</v>
      </c>
      <c r="H6321" s="3">
        <v>20</v>
      </c>
      <c r="I6321" s="3">
        <v>23</v>
      </c>
      <c r="J6321" s="3">
        <v>1</v>
      </c>
      <c r="K6321" s="3">
        <v>24</v>
      </c>
      <c r="L6321" s="3">
        <v>1</v>
      </c>
      <c r="M6321" s="3">
        <v>20</v>
      </c>
      <c r="N6321" s="3">
        <v>22</v>
      </c>
      <c r="O6321" s="3"/>
      <c r="P6321" s="3"/>
      <c r="Q6321" s="3"/>
    </row>
    <row r="6322" spans="1:17" ht="15" x14ac:dyDescent="0.25">
      <c r="A6322" s="3">
        <f>6315</f>
        <v>6315</v>
      </c>
      <c r="B6322" s="3" t="s">
        <v>6324</v>
      </c>
      <c r="C6322" s="3" t="s">
        <v>10</v>
      </c>
      <c r="D6322" s="3" t="s">
        <v>9</v>
      </c>
      <c r="E6322" s="3">
        <v>21</v>
      </c>
      <c r="F6322" s="3">
        <v>60</v>
      </c>
      <c r="G6322" s="3">
        <v>1</v>
      </c>
      <c r="H6322" s="3">
        <v>20</v>
      </c>
      <c r="I6322" s="3">
        <v>23</v>
      </c>
      <c r="J6322" s="3">
        <v>1</v>
      </c>
      <c r="K6322" s="3">
        <v>24</v>
      </c>
      <c r="L6322" s="3">
        <v>1</v>
      </c>
      <c r="M6322" s="3">
        <v>20</v>
      </c>
      <c r="N6322" s="3">
        <v>22</v>
      </c>
      <c r="O6322" s="3"/>
      <c r="P6322" s="3"/>
      <c r="Q6322" s="3"/>
    </row>
    <row r="6323" spans="1:17" ht="15" x14ac:dyDescent="0.25">
      <c r="A6323" s="3">
        <f>6316</f>
        <v>6316</v>
      </c>
      <c r="B6323" s="3" t="s">
        <v>6325</v>
      </c>
      <c r="C6323" s="3" t="s">
        <v>10</v>
      </c>
      <c r="D6323" s="3" t="s">
        <v>9</v>
      </c>
      <c r="E6323" s="3">
        <v>21</v>
      </c>
      <c r="F6323" s="3">
        <v>60</v>
      </c>
      <c r="G6323" s="3">
        <v>1</v>
      </c>
      <c r="H6323" s="3">
        <v>20</v>
      </c>
      <c r="I6323" s="3">
        <v>23</v>
      </c>
      <c r="J6323" s="3">
        <v>1</v>
      </c>
      <c r="K6323" s="3">
        <v>24</v>
      </c>
      <c r="L6323" s="3">
        <v>1</v>
      </c>
      <c r="M6323" s="3">
        <v>20</v>
      </c>
      <c r="N6323" s="3">
        <v>22</v>
      </c>
      <c r="O6323" s="3"/>
      <c r="P6323" s="3"/>
      <c r="Q6323" s="3"/>
    </row>
    <row r="6324" spans="1:17" ht="15" x14ac:dyDescent="0.25">
      <c r="A6324" s="3">
        <f>6317</f>
        <v>6317</v>
      </c>
      <c r="B6324" s="3" t="s">
        <v>6326</v>
      </c>
      <c r="C6324" s="3" t="s">
        <v>10</v>
      </c>
      <c r="D6324" s="3" t="s">
        <v>9</v>
      </c>
      <c r="E6324" s="3">
        <v>21</v>
      </c>
      <c r="F6324" s="3">
        <v>60</v>
      </c>
      <c r="G6324" s="3">
        <v>1</v>
      </c>
      <c r="H6324" s="3">
        <v>20</v>
      </c>
      <c r="I6324" s="3">
        <v>23</v>
      </c>
      <c r="J6324" s="3">
        <v>1</v>
      </c>
      <c r="K6324" s="3">
        <v>24</v>
      </c>
      <c r="L6324" s="3">
        <v>1</v>
      </c>
      <c r="M6324" s="3">
        <v>20</v>
      </c>
      <c r="N6324" s="3">
        <v>22</v>
      </c>
      <c r="O6324" s="3"/>
      <c r="P6324" s="3"/>
      <c r="Q6324" s="3"/>
    </row>
    <row r="6325" spans="1:17" ht="15" x14ac:dyDescent="0.25">
      <c r="A6325" s="3">
        <f>6318</f>
        <v>6318</v>
      </c>
      <c r="B6325" s="3" t="s">
        <v>6327</v>
      </c>
      <c r="C6325" s="3" t="s">
        <v>10</v>
      </c>
      <c r="D6325" s="3" t="s">
        <v>9</v>
      </c>
      <c r="E6325" s="3">
        <v>21</v>
      </c>
      <c r="F6325" s="3">
        <v>60</v>
      </c>
      <c r="G6325" s="3">
        <v>1</v>
      </c>
      <c r="H6325" s="3">
        <v>20</v>
      </c>
      <c r="I6325" s="3">
        <v>23</v>
      </c>
      <c r="J6325" s="3">
        <v>1</v>
      </c>
      <c r="K6325" s="3">
        <v>24</v>
      </c>
      <c r="L6325" s="3">
        <v>1</v>
      </c>
      <c r="M6325" s="3">
        <v>20</v>
      </c>
      <c r="N6325" s="3">
        <v>22</v>
      </c>
      <c r="O6325" s="3"/>
      <c r="P6325" s="3"/>
      <c r="Q6325" s="3"/>
    </row>
    <row r="6326" spans="1:17" ht="15" x14ac:dyDescent="0.25">
      <c r="A6326" s="3">
        <f>6319</f>
        <v>6319</v>
      </c>
      <c r="B6326" s="3" t="s">
        <v>6328</v>
      </c>
      <c r="C6326" s="3" t="s">
        <v>10</v>
      </c>
      <c r="D6326" s="3" t="s">
        <v>9</v>
      </c>
      <c r="E6326" s="3">
        <v>21</v>
      </c>
      <c r="F6326" s="3">
        <v>60</v>
      </c>
      <c r="G6326" s="3">
        <v>1</v>
      </c>
      <c r="H6326" s="3">
        <v>20</v>
      </c>
      <c r="I6326" s="3">
        <v>23</v>
      </c>
      <c r="J6326" s="3">
        <v>1</v>
      </c>
      <c r="K6326" s="3">
        <v>24</v>
      </c>
      <c r="L6326" s="3">
        <v>1</v>
      </c>
      <c r="M6326" s="3">
        <v>20</v>
      </c>
      <c r="N6326" s="3">
        <v>22</v>
      </c>
      <c r="O6326" s="3"/>
      <c r="P6326" s="3"/>
      <c r="Q6326" s="3"/>
    </row>
    <row r="6327" spans="1:17" ht="15" x14ac:dyDescent="0.25">
      <c r="A6327" s="3">
        <f>6320</f>
        <v>6320</v>
      </c>
      <c r="B6327" s="3" t="s">
        <v>6329</v>
      </c>
      <c r="C6327" s="3" t="s">
        <v>10</v>
      </c>
      <c r="D6327" s="3" t="s">
        <v>9</v>
      </c>
      <c r="E6327" s="3">
        <v>21</v>
      </c>
      <c r="F6327" s="3">
        <v>60</v>
      </c>
      <c r="G6327" s="3">
        <v>1</v>
      </c>
      <c r="H6327" s="3">
        <v>20</v>
      </c>
      <c r="I6327" s="3">
        <v>23</v>
      </c>
      <c r="J6327" s="3">
        <v>1</v>
      </c>
      <c r="K6327" s="3">
        <v>24</v>
      </c>
      <c r="L6327" s="3">
        <v>1</v>
      </c>
      <c r="M6327" s="3">
        <v>20</v>
      </c>
      <c r="N6327" s="3">
        <v>22</v>
      </c>
      <c r="O6327" s="3"/>
      <c r="P6327" s="3"/>
      <c r="Q6327" s="3"/>
    </row>
    <row r="6328" spans="1:17" ht="15" x14ac:dyDescent="0.25">
      <c r="A6328" s="3">
        <f>6321</f>
        <v>6321</v>
      </c>
      <c r="B6328" s="3" t="s">
        <v>6330</v>
      </c>
      <c r="C6328" s="3" t="s">
        <v>10</v>
      </c>
      <c r="D6328" s="3" t="s">
        <v>9</v>
      </c>
      <c r="E6328" s="3">
        <v>21</v>
      </c>
      <c r="F6328" s="3">
        <v>60</v>
      </c>
      <c r="G6328" s="3">
        <v>1</v>
      </c>
      <c r="H6328" s="3">
        <v>20</v>
      </c>
      <c r="I6328" s="3">
        <v>23</v>
      </c>
      <c r="J6328" s="3">
        <v>1</v>
      </c>
      <c r="K6328" s="3">
        <v>24</v>
      </c>
      <c r="L6328" s="3">
        <v>1</v>
      </c>
      <c r="M6328" s="3">
        <v>20</v>
      </c>
      <c r="N6328" s="3">
        <v>22</v>
      </c>
      <c r="O6328" s="3"/>
      <c r="P6328" s="3"/>
      <c r="Q6328" s="3"/>
    </row>
    <row r="6329" spans="1:17" ht="15" x14ac:dyDescent="0.25">
      <c r="A6329" s="3">
        <f>6322</f>
        <v>6322</v>
      </c>
      <c r="B6329" s="3" t="s">
        <v>6331</v>
      </c>
      <c r="C6329" s="3" t="s">
        <v>10</v>
      </c>
      <c r="D6329" s="3" t="s">
        <v>9</v>
      </c>
      <c r="E6329" s="3">
        <v>21</v>
      </c>
      <c r="F6329" s="3">
        <v>60</v>
      </c>
      <c r="G6329" s="3">
        <v>1</v>
      </c>
      <c r="H6329" s="3">
        <v>20</v>
      </c>
      <c r="I6329" s="3">
        <v>23</v>
      </c>
      <c r="J6329" s="3">
        <v>1</v>
      </c>
      <c r="K6329" s="3">
        <v>24</v>
      </c>
      <c r="L6329" s="3">
        <v>1</v>
      </c>
      <c r="M6329" s="3">
        <v>20</v>
      </c>
      <c r="N6329" s="3">
        <v>22</v>
      </c>
      <c r="O6329" s="3"/>
      <c r="P6329" s="3"/>
      <c r="Q6329" s="3"/>
    </row>
    <row r="6330" spans="1:17" ht="15" x14ac:dyDescent="0.25">
      <c r="A6330" s="3">
        <f>6323</f>
        <v>6323</v>
      </c>
      <c r="B6330" s="3" t="s">
        <v>6332</v>
      </c>
      <c r="C6330" s="3" t="s">
        <v>10</v>
      </c>
      <c r="D6330" s="3" t="s">
        <v>9</v>
      </c>
      <c r="E6330" s="3">
        <v>21</v>
      </c>
      <c r="F6330" s="3">
        <v>60</v>
      </c>
      <c r="G6330" s="3">
        <v>1</v>
      </c>
      <c r="H6330" s="3">
        <v>20</v>
      </c>
      <c r="I6330" s="3">
        <v>23</v>
      </c>
      <c r="J6330" s="3">
        <v>1</v>
      </c>
      <c r="K6330" s="3">
        <v>24</v>
      </c>
      <c r="L6330" s="3">
        <v>1</v>
      </c>
      <c r="M6330" s="3">
        <v>20</v>
      </c>
      <c r="N6330" s="3">
        <v>22</v>
      </c>
      <c r="O6330" s="3"/>
      <c r="P6330" s="3"/>
      <c r="Q6330" s="3"/>
    </row>
    <row r="6331" spans="1:17" ht="15" x14ac:dyDescent="0.25">
      <c r="A6331" s="3">
        <f>6324</f>
        <v>6324</v>
      </c>
      <c r="B6331" s="3" t="s">
        <v>6333</v>
      </c>
      <c r="C6331" s="3" t="s">
        <v>10</v>
      </c>
      <c r="D6331" s="3" t="s">
        <v>9</v>
      </c>
      <c r="E6331" s="3">
        <v>21</v>
      </c>
      <c r="F6331" s="3">
        <v>60</v>
      </c>
      <c r="G6331" s="3">
        <v>1</v>
      </c>
      <c r="H6331" s="3">
        <v>20</v>
      </c>
      <c r="I6331" s="3">
        <v>23</v>
      </c>
      <c r="J6331" s="3">
        <v>1</v>
      </c>
      <c r="K6331" s="3">
        <v>24</v>
      </c>
      <c r="L6331" s="3">
        <v>1</v>
      </c>
      <c r="M6331" s="3">
        <v>20</v>
      </c>
      <c r="N6331" s="3">
        <v>22</v>
      </c>
      <c r="O6331" s="3"/>
      <c r="P6331" s="3"/>
      <c r="Q6331" s="3"/>
    </row>
    <row r="6332" spans="1:17" ht="15" x14ac:dyDescent="0.25">
      <c r="A6332" s="3">
        <f>6325</f>
        <v>6325</v>
      </c>
      <c r="B6332" s="3" t="s">
        <v>6334</v>
      </c>
      <c r="C6332" s="3" t="s">
        <v>10</v>
      </c>
      <c r="D6332" s="3" t="s">
        <v>9</v>
      </c>
      <c r="E6332" s="3">
        <v>21</v>
      </c>
      <c r="F6332" s="3">
        <v>60</v>
      </c>
      <c r="G6332" s="3">
        <v>1</v>
      </c>
      <c r="H6332" s="3">
        <v>20</v>
      </c>
      <c r="I6332" s="3">
        <v>23</v>
      </c>
      <c r="J6332" s="3">
        <v>1</v>
      </c>
      <c r="K6332" s="3">
        <v>24</v>
      </c>
      <c r="L6332" s="3">
        <v>1</v>
      </c>
      <c r="M6332" s="3">
        <v>20</v>
      </c>
      <c r="N6332" s="3">
        <v>22</v>
      </c>
      <c r="O6332" s="3"/>
      <c r="P6332" s="3"/>
      <c r="Q6332" s="3"/>
    </row>
    <row r="6333" spans="1:17" ht="15" x14ac:dyDescent="0.25">
      <c r="A6333" s="3">
        <f>6326</f>
        <v>6326</v>
      </c>
      <c r="B6333" s="3" t="s">
        <v>6335</v>
      </c>
      <c r="C6333" s="3" t="s">
        <v>10</v>
      </c>
      <c r="D6333" s="3" t="s">
        <v>9</v>
      </c>
      <c r="E6333" s="3">
        <v>21</v>
      </c>
      <c r="F6333" s="3">
        <v>60</v>
      </c>
      <c r="G6333" s="3">
        <v>1</v>
      </c>
      <c r="H6333" s="3">
        <v>20</v>
      </c>
      <c r="I6333" s="3">
        <v>23</v>
      </c>
      <c r="J6333" s="3">
        <v>1</v>
      </c>
      <c r="K6333" s="3">
        <v>24</v>
      </c>
      <c r="L6333" s="3">
        <v>1</v>
      </c>
      <c r="M6333" s="3">
        <v>20</v>
      </c>
      <c r="N6333" s="3">
        <v>22</v>
      </c>
      <c r="O6333" s="3"/>
      <c r="P6333" s="3"/>
      <c r="Q6333" s="3"/>
    </row>
    <row r="6334" spans="1:17" ht="15" x14ac:dyDescent="0.25">
      <c r="A6334" s="3">
        <f>6327</f>
        <v>6327</v>
      </c>
      <c r="B6334" s="3" t="s">
        <v>6336</v>
      </c>
      <c r="C6334" s="3" t="s">
        <v>10</v>
      </c>
      <c r="D6334" s="3" t="s">
        <v>9</v>
      </c>
      <c r="E6334" s="3">
        <v>21</v>
      </c>
      <c r="F6334" s="3">
        <v>60</v>
      </c>
      <c r="G6334" s="3">
        <v>1</v>
      </c>
      <c r="H6334" s="3">
        <v>20</v>
      </c>
      <c r="I6334" s="3">
        <v>23</v>
      </c>
      <c r="J6334" s="3">
        <v>1</v>
      </c>
      <c r="K6334" s="3">
        <v>24</v>
      </c>
      <c r="L6334" s="3">
        <v>1</v>
      </c>
      <c r="M6334" s="3">
        <v>20</v>
      </c>
      <c r="N6334" s="3">
        <v>22</v>
      </c>
      <c r="O6334" s="3"/>
      <c r="P6334" s="3"/>
      <c r="Q6334" s="3"/>
    </row>
    <row r="6335" spans="1:17" ht="15" x14ac:dyDescent="0.25">
      <c r="A6335" s="3">
        <f>6328</f>
        <v>6328</v>
      </c>
      <c r="B6335" s="3" t="s">
        <v>6337</v>
      </c>
      <c r="C6335" s="3" t="s">
        <v>10</v>
      </c>
      <c r="D6335" s="3" t="s">
        <v>9</v>
      </c>
      <c r="E6335" s="3">
        <v>21</v>
      </c>
      <c r="F6335" s="3">
        <v>60</v>
      </c>
      <c r="G6335" s="3">
        <v>1</v>
      </c>
      <c r="H6335" s="3">
        <v>20</v>
      </c>
      <c r="I6335" s="3">
        <v>23</v>
      </c>
      <c r="J6335" s="3">
        <v>1</v>
      </c>
      <c r="K6335" s="3">
        <v>24</v>
      </c>
      <c r="L6335" s="3">
        <v>1</v>
      </c>
      <c r="M6335" s="3">
        <v>20</v>
      </c>
      <c r="N6335" s="3">
        <v>22</v>
      </c>
      <c r="O6335" s="3"/>
      <c r="P6335" s="3"/>
      <c r="Q6335" s="3"/>
    </row>
    <row r="6336" spans="1:17" ht="15" x14ac:dyDescent="0.25">
      <c r="A6336" s="3">
        <f>6329</f>
        <v>6329</v>
      </c>
      <c r="B6336" s="3" t="s">
        <v>6338</v>
      </c>
      <c r="C6336" s="3" t="s">
        <v>10</v>
      </c>
      <c r="D6336" s="3" t="s">
        <v>9</v>
      </c>
      <c r="E6336" s="3">
        <v>21</v>
      </c>
      <c r="F6336" s="3">
        <v>60</v>
      </c>
      <c r="G6336" s="3">
        <v>1</v>
      </c>
      <c r="H6336" s="3">
        <v>20</v>
      </c>
      <c r="I6336" s="3">
        <v>23</v>
      </c>
      <c r="J6336" s="3">
        <v>1</v>
      </c>
      <c r="K6336" s="3">
        <v>24</v>
      </c>
      <c r="L6336" s="3">
        <v>1</v>
      </c>
      <c r="M6336" s="3">
        <v>20</v>
      </c>
      <c r="N6336" s="3">
        <v>22</v>
      </c>
      <c r="O6336" s="3"/>
      <c r="P6336" s="3"/>
      <c r="Q6336" s="3"/>
    </row>
    <row r="6337" spans="1:17" ht="15" x14ac:dyDescent="0.25">
      <c r="A6337" s="3">
        <f>6330</f>
        <v>6330</v>
      </c>
      <c r="B6337" s="3" t="s">
        <v>6339</v>
      </c>
      <c r="C6337" s="3" t="s">
        <v>10</v>
      </c>
      <c r="D6337" s="3" t="s">
        <v>9</v>
      </c>
      <c r="E6337" s="3">
        <v>21</v>
      </c>
      <c r="F6337" s="3">
        <v>60</v>
      </c>
      <c r="G6337" s="3">
        <v>1</v>
      </c>
      <c r="H6337" s="3">
        <v>20</v>
      </c>
      <c r="I6337" s="3">
        <v>23</v>
      </c>
      <c r="J6337" s="3">
        <v>1</v>
      </c>
      <c r="K6337" s="3">
        <v>24</v>
      </c>
      <c r="L6337" s="3">
        <v>1</v>
      </c>
      <c r="M6337" s="3">
        <v>20</v>
      </c>
      <c r="N6337" s="3">
        <v>22</v>
      </c>
      <c r="O6337" s="3"/>
      <c r="P6337" s="3"/>
      <c r="Q6337" s="3"/>
    </row>
    <row r="6338" spans="1:17" ht="15" x14ac:dyDescent="0.25">
      <c r="A6338" s="3">
        <f>6331</f>
        <v>6331</v>
      </c>
      <c r="B6338" s="3" t="s">
        <v>6340</v>
      </c>
      <c r="C6338" s="3" t="s">
        <v>10</v>
      </c>
      <c r="D6338" s="3" t="s">
        <v>9</v>
      </c>
      <c r="E6338" s="3">
        <v>21</v>
      </c>
      <c r="F6338" s="3">
        <v>60</v>
      </c>
      <c r="G6338" s="3">
        <v>1</v>
      </c>
      <c r="H6338" s="3">
        <v>20</v>
      </c>
      <c r="I6338" s="3">
        <v>23</v>
      </c>
      <c r="J6338" s="3">
        <v>1</v>
      </c>
      <c r="K6338" s="3">
        <v>24</v>
      </c>
      <c r="L6338" s="3">
        <v>1</v>
      </c>
      <c r="M6338" s="3">
        <v>20</v>
      </c>
      <c r="N6338" s="3">
        <v>22</v>
      </c>
      <c r="O6338" s="3"/>
      <c r="P6338" s="3"/>
      <c r="Q6338" s="3"/>
    </row>
    <row r="6339" spans="1:17" ht="15" x14ac:dyDescent="0.25">
      <c r="A6339" s="3">
        <f>6332</f>
        <v>6332</v>
      </c>
      <c r="B6339" s="3" t="s">
        <v>6341</v>
      </c>
      <c r="C6339" s="3" t="s">
        <v>10</v>
      </c>
      <c r="D6339" s="3" t="s">
        <v>9</v>
      </c>
      <c r="E6339" s="3">
        <v>21</v>
      </c>
      <c r="F6339" s="3">
        <v>60</v>
      </c>
      <c r="G6339" s="3">
        <v>1</v>
      </c>
      <c r="H6339" s="3">
        <v>20</v>
      </c>
      <c r="I6339" s="3">
        <v>23</v>
      </c>
      <c r="J6339" s="3">
        <v>1</v>
      </c>
      <c r="K6339" s="3">
        <v>24</v>
      </c>
      <c r="L6339" s="3">
        <v>1</v>
      </c>
      <c r="M6339" s="3">
        <v>20</v>
      </c>
      <c r="N6339" s="3">
        <v>22</v>
      </c>
      <c r="O6339" s="3"/>
      <c r="P6339" s="3"/>
      <c r="Q6339" s="3"/>
    </row>
    <row r="6340" spans="1:17" ht="15" x14ac:dyDescent="0.25">
      <c r="A6340" s="3">
        <f>6333</f>
        <v>6333</v>
      </c>
      <c r="B6340" s="3" t="s">
        <v>6342</v>
      </c>
      <c r="C6340" s="3" t="s">
        <v>10</v>
      </c>
      <c r="D6340" s="3" t="s">
        <v>9</v>
      </c>
      <c r="E6340" s="3">
        <v>21</v>
      </c>
      <c r="F6340" s="3">
        <v>60</v>
      </c>
      <c r="G6340" s="3">
        <v>1</v>
      </c>
      <c r="H6340" s="3">
        <v>20</v>
      </c>
      <c r="I6340" s="3">
        <v>23</v>
      </c>
      <c r="J6340" s="3">
        <v>1</v>
      </c>
      <c r="K6340" s="3">
        <v>24</v>
      </c>
      <c r="L6340" s="3">
        <v>1</v>
      </c>
      <c r="M6340" s="3">
        <v>20</v>
      </c>
      <c r="N6340" s="3">
        <v>22</v>
      </c>
      <c r="O6340" s="3"/>
      <c r="P6340" s="3"/>
      <c r="Q6340" s="3"/>
    </row>
    <row r="6341" spans="1:17" ht="15" x14ac:dyDescent="0.25">
      <c r="A6341" s="3">
        <f>6334</f>
        <v>6334</v>
      </c>
      <c r="B6341" s="3" t="s">
        <v>6343</v>
      </c>
      <c r="C6341" s="3" t="s">
        <v>10</v>
      </c>
      <c r="D6341" s="3" t="s">
        <v>9</v>
      </c>
      <c r="E6341" s="3">
        <v>21</v>
      </c>
      <c r="F6341" s="3">
        <v>60</v>
      </c>
      <c r="G6341" s="3">
        <v>1</v>
      </c>
      <c r="H6341" s="3">
        <v>20</v>
      </c>
      <c r="I6341" s="3">
        <v>23</v>
      </c>
      <c r="J6341" s="3">
        <v>1</v>
      </c>
      <c r="K6341" s="3">
        <v>24</v>
      </c>
      <c r="L6341" s="3">
        <v>1</v>
      </c>
      <c r="M6341" s="3">
        <v>20</v>
      </c>
      <c r="N6341" s="3">
        <v>22</v>
      </c>
      <c r="O6341" s="3"/>
      <c r="P6341" s="3"/>
      <c r="Q6341" s="3"/>
    </row>
    <row r="6342" spans="1:17" ht="15" x14ac:dyDescent="0.25">
      <c r="A6342" s="3">
        <f>6335</f>
        <v>6335</v>
      </c>
      <c r="B6342" s="3" t="s">
        <v>6344</v>
      </c>
      <c r="C6342" s="3" t="s">
        <v>10</v>
      </c>
      <c r="D6342" s="3" t="s">
        <v>9</v>
      </c>
      <c r="E6342" s="3">
        <v>21</v>
      </c>
      <c r="F6342" s="3">
        <v>60</v>
      </c>
      <c r="G6342" s="3">
        <v>1</v>
      </c>
      <c r="H6342" s="3">
        <v>20</v>
      </c>
      <c r="I6342" s="3">
        <v>23</v>
      </c>
      <c r="J6342" s="3">
        <v>1</v>
      </c>
      <c r="K6342" s="3">
        <v>24</v>
      </c>
      <c r="L6342" s="3">
        <v>1</v>
      </c>
      <c r="M6342" s="3">
        <v>20</v>
      </c>
      <c r="N6342" s="3">
        <v>22</v>
      </c>
      <c r="O6342" s="3"/>
      <c r="P6342" s="3"/>
      <c r="Q6342" s="3"/>
    </row>
    <row r="6343" spans="1:17" ht="15" x14ac:dyDescent="0.25">
      <c r="A6343" s="3">
        <f>6336</f>
        <v>6336</v>
      </c>
      <c r="B6343" s="3" t="s">
        <v>6345</v>
      </c>
      <c r="C6343" s="3" t="s">
        <v>10</v>
      </c>
      <c r="D6343" s="3" t="s">
        <v>9</v>
      </c>
      <c r="E6343" s="3">
        <v>21</v>
      </c>
      <c r="F6343" s="3">
        <v>60</v>
      </c>
      <c r="G6343" s="3">
        <v>1</v>
      </c>
      <c r="H6343" s="3">
        <v>20</v>
      </c>
      <c r="I6343" s="3">
        <v>23</v>
      </c>
      <c r="J6343" s="3">
        <v>1</v>
      </c>
      <c r="K6343" s="3">
        <v>24</v>
      </c>
      <c r="L6343" s="3">
        <v>1</v>
      </c>
      <c r="M6343" s="3">
        <v>20</v>
      </c>
      <c r="N6343" s="3">
        <v>22</v>
      </c>
      <c r="O6343" s="3"/>
      <c r="P6343" s="3"/>
      <c r="Q6343" s="3"/>
    </row>
    <row r="6344" spans="1:17" ht="15" x14ac:dyDescent="0.25">
      <c r="A6344" s="3">
        <f>6337</f>
        <v>6337</v>
      </c>
      <c r="B6344" s="3" t="s">
        <v>6346</v>
      </c>
      <c r="C6344" s="3" t="s">
        <v>10</v>
      </c>
      <c r="D6344" s="3" t="s">
        <v>9</v>
      </c>
      <c r="E6344" s="3">
        <v>21</v>
      </c>
      <c r="F6344" s="3">
        <v>60</v>
      </c>
      <c r="G6344" s="3">
        <v>1</v>
      </c>
      <c r="H6344" s="3">
        <v>20</v>
      </c>
      <c r="I6344" s="3">
        <v>23</v>
      </c>
      <c r="J6344" s="3">
        <v>1</v>
      </c>
      <c r="K6344" s="3">
        <v>24</v>
      </c>
      <c r="L6344" s="3">
        <v>1</v>
      </c>
      <c r="M6344" s="3">
        <v>20</v>
      </c>
      <c r="N6344" s="3">
        <v>22</v>
      </c>
      <c r="O6344" s="3"/>
      <c r="P6344" s="3"/>
      <c r="Q6344" s="3"/>
    </row>
    <row r="6345" spans="1:17" ht="15" x14ac:dyDescent="0.25">
      <c r="A6345" s="3">
        <f>6338</f>
        <v>6338</v>
      </c>
      <c r="B6345" s="3" t="s">
        <v>6347</v>
      </c>
      <c r="C6345" s="3" t="s">
        <v>10</v>
      </c>
      <c r="D6345" s="3" t="s">
        <v>9</v>
      </c>
      <c r="E6345" s="3">
        <v>21</v>
      </c>
      <c r="F6345" s="3">
        <v>60</v>
      </c>
      <c r="G6345" s="3">
        <v>1</v>
      </c>
      <c r="H6345" s="3">
        <v>20</v>
      </c>
      <c r="I6345" s="3">
        <v>23</v>
      </c>
      <c r="J6345" s="3">
        <v>1</v>
      </c>
      <c r="K6345" s="3">
        <v>24</v>
      </c>
      <c r="L6345" s="3">
        <v>1</v>
      </c>
      <c r="M6345" s="3">
        <v>20</v>
      </c>
      <c r="N6345" s="3">
        <v>22</v>
      </c>
      <c r="O6345" s="3"/>
      <c r="P6345" s="3"/>
      <c r="Q6345" s="3"/>
    </row>
    <row r="6346" spans="1:17" ht="15" x14ac:dyDescent="0.25">
      <c r="A6346" s="3">
        <f>6339</f>
        <v>6339</v>
      </c>
      <c r="B6346" s="3" t="s">
        <v>6348</v>
      </c>
      <c r="C6346" s="3" t="s">
        <v>10</v>
      </c>
      <c r="D6346" s="3" t="s">
        <v>9</v>
      </c>
      <c r="E6346" s="3">
        <v>21</v>
      </c>
      <c r="F6346" s="3">
        <v>60</v>
      </c>
      <c r="G6346" s="3">
        <v>1</v>
      </c>
      <c r="H6346" s="3">
        <v>20</v>
      </c>
      <c r="I6346" s="3">
        <v>23</v>
      </c>
      <c r="J6346" s="3">
        <v>1</v>
      </c>
      <c r="K6346" s="3">
        <v>24</v>
      </c>
      <c r="L6346" s="3">
        <v>1</v>
      </c>
      <c r="M6346" s="3">
        <v>20</v>
      </c>
      <c r="N6346" s="3">
        <v>22</v>
      </c>
      <c r="O6346" s="3"/>
      <c r="P6346" s="3"/>
      <c r="Q6346" s="3"/>
    </row>
    <row r="6347" spans="1:17" ht="15" x14ac:dyDescent="0.25">
      <c r="A6347" s="3">
        <f>6340</f>
        <v>6340</v>
      </c>
      <c r="B6347" s="3" t="s">
        <v>6349</v>
      </c>
      <c r="C6347" s="3" t="s">
        <v>10</v>
      </c>
      <c r="D6347" s="3" t="s">
        <v>9</v>
      </c>
      <c r="E6347" s="3">
        <v>21</v>
      </c>
      <c r="F6347" s="3">
        <v>60</v>
      </c>
      <c r="G6347" s="3">
        <v>1</v>
      </c>
      <c r="H6347" s="3">
        <v>20</v>
      </c>
      <c r="I6347" s="3">
        <v>23</v>
      </c>
      <c r="J6347" s="3">
        <v>1</v>
      </c>
      <c r="K6347" s="3">
        <v>24</v>
      </c>
      <c r="L6347" s="3">
        <v>1</v>
      </c>
      <c r="M6347" s="3">
        <v>20</v>
      </c>
      <c r="N6347" s="3">
        <v>22</v>
      </c>
      <c r="O6347" s="3"/>
      <c r="P6347" s="3"/>
      <c r="Q6347" s="3"/>
    </row>
    <row r="6348" spans="1:17" ht="15" x14ac:dyDescent="0.25">
      <c r="A6348" s="3">
        <f>6341</f>
        <v>6341</v>
      </c>
      <c r="B6348" s="3" t="s">
        <v>6350</v>
      </c>
      <c r="C6348" s="3" t="s">
        <v>10</v>
      </c>
      <c r="D6348" s="3" t="s">
        <v>9</v>
      </c>
      <c r="E6348" s="3">
        <v>21</v>
      </c>
      <c r="F6348" s="3">
        <v>60</v>
      </c>
      <c r="G6348" s="3">
        <v>1</v>
      </c>
      <c r="H6348" s="3">
        <v>20</v>
      </c>
      <c r="I6348" s="3">
        <v>23</v>
      </c>
      <c r="J6348" s="3">
        <v>1</v>
      </c>
      <c r="K6348" s="3">
        <v>24</v>
      </c>
      <c r="L6348" s="3">
        <v>1</v>
      </c>
      <c r="M6348" s="3">
        <v>20</v>
      </c>
      <c r="N6348" s="3">
        <v>22</v>
      </c>
      <c r="O6348" s="3"/>
      <c r="P6348" s="3"/>
      <c r="Q6348" s="3"/>
    </row>
    <row r="6349" spans="1:17" ht="15" x14ac:dyDescent="0.25">
      <c r="A6349" s="3">
        <f>6342</f>
        <v>6342</v>
      </c>
      <c r="B6349" s="3" t="s">
        <v>6351</v>
      </c>
      <c r="C6349" s="3" t="s">
        <v>10</v>
      </c>
      <c r="D6349" s="3" t="s">
        <v>9</v>
      </c>
      <c r="E6349" s="3">
        <v>21</v>
      </c>
      <c r="F6349" s="3">
        <v>60</v>
      </c>
      <c r="G6349" s="3">
        <v>1</v>
      </c>
      <c r="H6349" s="3">
        <v>20</v>
      </c>
      <c r="I6349" s="3">
        <v>23</v>
      </c>
      <c r="J6349" s="3">
        <v>1</v>
      </c>
      <c r="K6349" s="3">
        <v>24</v>
      </c>
      <c r="L6349" s="3">
        <v>1</v>
      </c>
      <c r="M6349" s="3">
        <v>20</v>
      </c>
      <c r="N6349" s="3">
        <v>22</v>
      </c>
      <c r="O6349" s="3"/>
      <c r="P6349" s="3"/>
      <c r="Q6349" s="3"/>
    </row>
    <row r="6350" spans="1:17" ht="15" x14ac:dyDescent="0.25">
      <c r="A6350" s="3">
        <f>6343</f>
        <v>6343</v>
      </c>
      <c r="B6350" s="3" t="s">
        <v>6352</v>
      </c>
      <c r="C6350" s="3" t="s">
        <v>10</v>
      </c>
      <c r="D6350" s="3" t="s">
        <v>9</v>
      </c>
      <c r="E6350" s="3">
        <v>21</v>
      </c>
      <c r="F6350" s="3">
        <v>60</v>
      </c>
      <c r="G6350" s="3">
        <v>1</v>
      </c>
      <c r="H6350" s="3">
        <v>20</v>
      </c>
      <c r="I6350" s="3">
        <v>23</v>
      </c>
      <c r="J6350" s="3">
        <v>1</v>
      </c>
      <c r="K6350" s="3">
        <v>24</v>
      </c>
      <c r="L6350" s="3">
        <v>1</v>
      </c>
      <c r="M6350" s="3">
        <v>20</v>
      </c>
      <c r="N6350" s="3">
        <v>22</v>
      </c>
      <c r="O6350" s="3"/>
      <c r="P6350" s="3"/>
      <c r="Q6350" s="3"/>
    </row>
    <row r="6351" spans="1:17" ht="15" x14ac:dyDescent="0.25">
      <c r="A6351" s="3">
        <f>6344</f>
        <v>6344</v>
      </c>
      <c r="B6351" s="3" t="s">
        <v>6353</v>
      </c>
      <c r="C6351" s="3" t="s">
        <v>10</v>
      </c>
      <c r="D6351" s="3" t="s">
        <v>9</v>
      </c>
      <c r="E6351" s="3">
        <v>21</v>
      </c>
      <c r="F6351" s="3">
        <v>60</v>
      </c>
      <c r="G6351" s="3">
        <v>1</v>
      </c>
      <c r="H6351" s="3">
        <v>20</v>
      </c>
      <c r="I6351" s="3">
        <v>23</v>
      </c>
      <c r="J6351" s="3">
        <v>1</v>
      </c>
      <c r="K6351" s="3">
        <v>24</v>
      </c>
      <c r="L6351" s="3">
        <v>1</v>
      </c>
      <c r="M6351" s="3">
        <v>20</v>
      </c>
      <c r="N6351" s="3">
        <v>22</v>
      </c>
      <c r="O6351" s="3"/>
      <c r="P6351" s="3"/>
      <c r="Q6351" s="3"/>
    </row>
    <row r="6352" spans="1:17" ht="15" x14ac:dyDescent="0.25">
      <c r="A6352" s="3">
        <f>6345</f>
        <v>6345</v>
      </c>
      <c r="B6352" s="3" t="s">
        <v>6354</v>
      </c>
      <c r="C6352" s="3" t="s">
        <v>10</v>
      </c>
      <c r="D6352" s="3" t="s">
        <v>9</v>
      </c>
      <c r="E6352" s="3">
        <v>21</v>
      </c>
      <c r="F6352" s="3">
        <v>60</v>
      </c>
      <c r="G6352" s="3">
        <v>1</v>
      </c>
      <c r="H6352" s="3">
        <v>20</v>
      </c>
      <c r="I6352" s="3">
        <v>23</v>
      </c>
      <c r="J6352" s="3">
        <v>1</v>
      </c>
      <c r="K6352" s="3">
        <v>24</v>
      </c>
      <c r="L6352" s="3">
        <v>1</v>
      </c>
      <c r="M6352" s="3">
        <v>20</v>
      </c>
      <c r="N6352" s="3">
        <v>22</v>
      </c>
      <c r="O6352" s="3"/>
      <c r="P6352" s="3"/>
      <c r="Q6352" s="3"/>
    </row>
    <row r="6353" spans="1:17" ht="15" x14ac:dyDescent="0.25">
      <c r="A6353" s="3">
        <f>6346</f>
        <v>6346</v>
      </c>
      <c r="B6353" s="3" t="s">
        <v>6355</v>
      </c>
      <c r="C6353" s="3" t="s">
        <v>10</v>
      </c>
      <c r="D6353" s="3" t="s">
        <v>9</v>
      </c>
      <c r="E6353" s="3">
        <v>21</v>
      </c>
      <c r="F6353" s="3">
        <v>60</v>
      </c>
      <c r="G6353" s="3">
        <v>1</v>
      </c>
      <c r="H6353" s="3">
        <v>20</v>
      </c>
      <c r="I6353" s="3">
        <v>23</v>
      </c>
      <c r="J6353" s="3">
        <v>1</v>
      </c>
      <c r="K6353" s="3">
        <v>24</v>
      </c>
      <c r="L6353" s="3">
        <v>1</v>
      </c>
      <c r="M6353" s="3">
        <v>20</v>
      </c>
      <c r="N6353" s="3">
        <v>22</v>
      </c>
      <c r="O6353" s="3"/>
      <c r="P6353" s="3"/>
      <c r="Q6353" s="3"/>
    </row>
    <row r="6354" spans="1:17" ht="15" x14ac:dyDescent="0.25">
      <c r="A6354" s="3">
        <f>6347</f>
        <v>6347</v>
      </c>
      <c r="B6354" s="3" t="s">
        <v>6356</v>
      </c>
      <c r="C6354" s="3" t="s">
        <v>10</v>
      </c>
      <c r="D6354" s="3" t="s">
        <v>9</v>
      </c>
      <c r="E6354" s="3">
        <v>21</v>
      </c>
      <c r="F6354" s="3">
        <v>60</v>
      </c>
      <c r="G6354" s="3">
        <v>1</v>
      </c>
      <c r="H6354" s="3">
        <v>20</v>
      </c>
      <c r="I6354" s="3">
        <v>23</v>
      </c>
      <c r="J6354" s="3">
        <v>1</v>
      </c>
      <c r="K6354" s="3">
        <v>24</v>
      </c>
      <c r="L6354" s="3">
        <v>1</v>
      </c>
      <c r="M6354" s="3">
        <v>20</v>
      </c>
      <c r="N6354" s="3">
        <v>22</v>
      </c>
      <c r="O6354" s="3"/>
      <c r="P6354" s="3"/>
      <c r="Q6354" s="3"/>
    </row>
    <row r="6355" spans="1:17" ht="15" x14ac:dyDescent="0.25">
      <c r="A6355" s="3">
        <f>6348</f>
        <v>6348</v>
      </c>
      <c r="B6355" s="3" t="s">
        <v>6357</v>
      </c>
      <c r="C6355" s="3" t="s">
        <v>10</v>
      </c>
      <c r="D6355" s="3" t="s">
        <v>9</v>
      </c>
      <c r="E6355" s="3">
        <v>21</v>
      </c>
      <c r="F6355" s="3">
        <v>60</v>
      </c>
      <c r="G6355" s="3">
        <v>1</v>
      </c>
      <c r="H6355" s="3">
        <v>20</v>
      </c>
      <c r="I6355" s="3">
        <v>23</v>
      </c>
      <c r="J6355" s="3">
        <v>1</v>
      </c>
      <c r="K6355" s="3">
        <v>24</v>
      </c>
      <c r="L6355" s="3">
        <v>1</v>
      </c>
      <c r="M6355" s="3">
        <v>20</v>
      </c>
      <c r="N6355" s="3">
        <v>22</v>
      </c>
      <c r="O6355" s="3"/>
      <c r="P6355" s="3"/>
      <c r="Q6355" s="3"/>
    </row>
    <row r="6356" spans="1:17" ht="15" x14ac:dyDescent="0.25">
      <c r="A6356" s="3">
        <f>6349</f>
        <v>6349</v>
      </c>
      <c r="B6356" s="3" t="s">
        <v>6358</v>
      </c>
      <c r="C6356" s="3" t="s">
        <v>10</v>
      </c>
      <c r="D6356" s="3" t="s">
        <v>9</v>
      </c>
      <c r="E6356" s="3">
        <v>21</v>
      </c>
      <c r="F6356" s="3">
        <v>60</v>
      </c>
      <c r="G6356" s="3">
        <v>1</v>
      </c>
      <c r="H6356" s="3">
        <v>20</v>
      </c>
      <c r="I6356" s="3">
        <v>23</v>
      </c>
      <c r="J6356" s="3">
        <v>1</v>
      </c>
      <c r="K6356" s="3">
        <v>24</v>
      </c>
      <c r="L6356" s="3">
        <v>1</v>
      </c>
      <c r="M6356" s="3">
        <v>20</v>
      </c>
      <c r="N6356" s="3">
        <v>22</v>
      </c>
      <c r="O6356" s="3"/>
      <c r="P6356" s="3"/>
      <c r="Q6356" s="3"/>
    </row>
    <row r="6357" spans="1:17" ht="15" x14ac:dyDescent="0.25">
      <c r="A6357" s="3">
        <f>6350</f>
        <v>6350</v>
      </c>
      <c r="B6357" s="3" t="s">
        <v>6359</v>
      </c>
      <c r="C6357" s="3" t="s">
        <v>10</v>
      </c>
      <c r="D6357" s="3" t="s">
        <v>9</v>
      </c>
      <c r="E6357" s="3">
        <v>21</v>
      </c>
      <c r="F6357" s="3">
        <v>60</v>
      </c>
      <c r="G6357" s="3">
        <v>1</v>
      </c>
      <c r="H6357" s="3">
        <v>20</v>
      </c>
      <c r="I6357" s="3">
        <v>23</v>
      </c>
      <c r="J6357" s="3">
        <v>1</v>
      </c>
      <c r="K6357" s="3">
        <v>24</v>
      </c>
      <c r="L6357" s="3">
        <v>1</v>
      </c>
      <c r="M6357" s="3">
        <v>20</v>
      </c>
      <c r="N6357" s="3">
        <v>22</v>
      </c>
      <c r="O6357" s="3"/>
      <c r="P6357" s="3"/>
      <c r="Q6357" s="3"/>
    </row>
    <row r="6358" spans="1:17" ht="15" x14ac:dyDescent="0.25">
      <c r="A6358" s="3">
        <f>6351</f>
        <v>6351</v>
      </c>
      <c r="B6358" s="3" t="s">
        <v>6360</v>
      </c>
      <c r="C6358" s="3" t="s">
        <v>10</v>
      </c>
      <c r="D6358" s="3" t="s">
        <v>9</v>
      </c>
      <c r="E6358" s="3">
        <v>21</v>
      </c>
      <c r="F6358" s="3">
        <v>60</v>
      </c>
      <c r="G6358" s="3">
        <v>1</v>
      </c>
      <c r="H6358" s="3">
        <v>20</v>
      </c>
      <c r="I6358" s="3">
        <v>23</v>
      </c>
      <c r="J6358" s="3">
        <v>1</v>
      </c>
      <c r="K6358" s="3">
        <v>24</v>
      </c>
      <c r="L6358" s="3">
        <v>1</v>
      </c>
      <c r="M6358" s="3">
        <v>20</v>
      </c>
      <c r="N6358" s="3">
        <v>22</v>
      </c>
      <c r="O6358" s="3"/>
      <c r="P6358" s="3"/>
      <c r="Q6358" s="3"/>
    </row>
    <row r="6359" spans="1:17" ht="15" x14ac:dyDescent="0.25">
      <c r="A6359" s="3">
        <f>6352</f>
        <v>6352</v>
      </c>
      <c r="B6359" s="3" t="s">
        <v>6361</v>
      </c>
      <c r="C6359" s="3" t="s">
        <v>10</v>
      </c>
      <c r="D6359" s="3" t="s">
        <v>9</v>
      </c>
      <c r="E6359" s="3">
        <v>21</v>
      </c>
      <c r="F6359" s="3">
        <v>60</v>
      </c>
      <c r="G6359" s="3">
        <v>1</v>
      </c>
      <c r="H6359" s="3">
        <v>20</v>
      </c>
      <c r="I6359" s="3">
        <v>23</v>
      </c>
      <c r="J6359" s="3">
        <v>1</v>
      </c>
      <c r="K6359" s="3">
        <v>24</v>
      </c>
      <c r="L6359" s="3">
        <v>1</v>
      </c>
      <c r="M6359" s="3">
        <v>20</v>
      </c>
      <c r="N6359" s="3">
        <v>22</v>
      </c>
      <c r="O6359" s="3"/>
      <c r="P6359" s="3"/>
      <c r="Q6359" s="3"/>
    </row>
    <row r="6360" spans="1:17" ht="15" x14ac:dyDescent="0.25">
      <c r="A6360" s="3">
        <f>6353</f>
        <v>6353</v>
      </c>
      <c r="B6360" s="3" t="s">
        <v>6362</v>
      </c>
      <c r="C6360" s="3" t="s">
        <v>10</v>
      </c>
      <c r="D6360" s="3" t="s">
        <v>9</v>
      </c>
      <c r="E6360" s="3">
        <v>21</v>
      </c>
      <c r="F6360" s="3">
        <v>60</v>
      </c>
      <c r="G6360" s="3">
        <v>1</v>
      </c>
      <c r="H6360" s="3">
        <v>20</v>
      </c>
      <c r="I6360" s="3">
        <v>23</v>
      </c>
      <c r="J6360" s="3">
        <v>1</v>
      </c>
      <c r="K6360" s="3">
        <v>24</v>
      </c>
      <c r="L6360" s="3">
        <v>1</v>
      </c>
      <c r="M6360" s="3">
        <v>20</v>
      </c>
      <c r="N6360" s="3">
        <v>22</v>
      </c>
      <c r="O6360" s="3"/>
      <c r="P6360" s="3"/>
      <c r="Q6360" s="3"/>
    </row>
    <row r="6361" spans="1:17" ht="15" x14ac:dyDescent="0.25">
      <c r="A6361" s="3">
        <f>6354</f>
        <v>6354</v>
      </c>
      <c r="B6361" s="3" t="s">
        <v>6363</v>
      </c>
      <c r="C6361" s="3" t="s">
        <v>10</v>
      </c>
      <c r="D6361" s="3" t="s">
        <v>9</v>
      </c>
      <c r="E6361" s="3">
        <v>21</v>
      </c>
      <c r="F6361" s="3">
        <v>60</v>
      </c>
      <c r="G6361" s="3">
        <v>1</v>
      </c>
      <c r="H6361" s="3">
        <v>20</v>
      </c>
      <c r="I6361" s="3">
        <v>23</v>
      </c>
      <c r="J6361" s="3">
        <v>1</v>
      </c>
      <c r="K6361" s="3">
        <v>24</v>
      </c>
      <c r="L6361" s="3">
        <v>1</v>
      </c>
      <c r="M6361" s="3">
        <v>20</v>
      </c>
      <c r="N6361" s="3">
        <v>22</v>
      </c>
      <c r="O6361" s="3"/>
      <c r="P6361" s="3"/>
      <c r="Q6361" s="3"/>
    </row>
    <row r="6362" spans="1:17" ht="15" x14ac:dyDescent="0.25">
      <c r="A6362" s="3">
        <f>6355</f>
        <v>6355</v>
      </c>
      <c r="B6362" s="3" t="s">
        <v>6364</v>
      </c>
      <c r="C6362" s="3" t="s">
        <v>10</v>
      </c>
      <c r="D6362" s="3" t="s">
        <v>9</v>
      </c>
      <c r="E6362" s="3">
        <v>21</v>
      </c>
      <c r="F6362" s="3">
        <v>60</v>
      </c>
      <c r="G6362" s="3">
        <v>1</v>
      </c>
      <c r="H6362" s="3">
        <v>20</v>
      </c>
      <c r="I6362" s="3">
        <v>23</v>
      </c>
      <c r="J6362" s="3">
        <v>1</v>
      </c>
      <c r="K6362" s="3">
        <v>24</v>
      </c>
      <c r="L6362" s="3">
        <v>1</v>
      </c>
      <c r="M6362" s="3">
        <v>20</v>
      </c>
      <c r="N6362" s="3">
        <v>22</v>
      </c>
      <c r="O6362" s="3"/>
      <c r="P6362" s="3"/>
      <c r="Q6362" s="3"/>
    </row>
    <row r="6363" spans="1:17" ht="15" x14ac:dyDescent="0.25">
      <c r="A6363" s="3">
        <f>6356</f>
        <v>6356</v>
      </c>
      <c r="B6363" s="3" t="s">
        <v>6365</v>
      </c>
      <c r="C6363" s="3" t="s">
        <v>10</v>
      </c>
      <c r="D6363" s="3" t="s">
        <v>9</v>
      </c>
      <c r="E6363" s="3">
        <v>21</v>
      </c>
      <c r="F6363" s="3">
        <v>60</v>
      </c>
      <c r="G6363" s="3">
        <v>1</v>
      </c>
      <c r="H6363" s="3">
        <v>20</v>
      </c>
      <c r="I6363" s="3">
        <v>23</v>
      </c>
      <c r="J6363" s="3">
        <v>1</v>
      </c>
      <c r="K6363" s="3">
        <v>24</v>
      </c>
      <c r="L6363" s="3">
        <v>1</v>
      </c>
      <c r="M6363" s="3">
        <v>20</v>
      </c>
      <c r="N6363" s="3">
        <v>22</v>
      </c>
      <c r="O6363" s="3"/>
      <c r="P6363" s="3"/>
      <c r="Q6363" s="3"/>
    </row>
    <row r="6364" spans="1:17" ht="15" x14ac:dyDescent="0.25">
      <c r="A6364" s="3">
        <f>6357</f>
        <v>6357</v>
      </c>
      <c r="B6364" s="3" t="s">
        <v>6366</v>
      </c>
      <c r="C6364" s="3" t="s">
        <v>10</v>
      </c>
      <c r="D6364" s="3" t="s">
        <v>9</v>
      </c>
      <c r="E6364" s="3">
        <v>21</v>
      </c>
      <c r="F6364" s="3">
        <v>60</v>
      </c>
      <c r="G6364" s="3">
        <v>1</v>
      </c>
      <c r="H6364" s="3">
        <v>20</v>
      </c>
      <c r="I6364" s="3">
        <v>23</v>
      </c>
      <c r="J6364" s="3">
        <v>1</v>
      </c>
      <c r="K6364" s="3">
        <v>24</v>
      </c>
      <c r="L6364" s="3">
        <v>1</v>
      </c>
      <c r="M6364" s="3">
        <v>20</v>
      </c>
      <c r="N6364" s="3">
        <v>22</v>
      </c>
      <c r="O6364" s="3"/>
      <c r="P6364" s="3"/>
      <c r="Q6364" s="3"/>
    </row>
    <row r="6365" spans="1:17" ht="15" x14ac:dyDescent="0.25">
      <c r="A6365" s="3">
        <f>6358</f>
        <v>6358</v>
      </c>
      <c r="B6365" s="3" t="s">
        <v>6367</v>
      </c>
      <c r="C6365" s="3" t="s">
        <v>10</v>
      </c>
      <c r="D6365" s="3" t="s">
        <v>9</v>
      </c>
      <c r="E6365" s="3">
        <v>21</v>
      </c>
      <c r="F6365" s="3">
        <v>60</v>
      </c>
      <c r="G6365" s="3">
        <v>1</v>
      </c>
      <c r="H6365" s="3">
        <v>20</v>
      </c>
      <c r="I6365" s="3">
        <v>23</v>
      </c>
      <c r="J6365" s="3">
        <v>1</v>
      </c>
      <c r="K6365" s="3">
        <v>24</v>
      </c>
      <c r="L6365" s="3">
        <v>1</v>
      </c>
      <c r="M6365" s="3">
        <v>20</v>
      </c>
      <c r="N6365" s="3">
        <v>22</v>
      </c>
      <c r="O6365" s="3"/>
      <c r="P6365" s="3"/>
      <c r="Q6365" s="3"/>
    </row>
    <row r="6366" spans="1:17" ht="15" x14ac:dyDescent="0.25">
      <c r="A6366" s="3">
        <f>6359</f>
        <v>6359</v>
      </c>
      <c r="B6366" s="3" t="s">
        <v>6368</v>
      </c>
      <c r="C6366" s="3" t="s">
        <v>10</v>
      </c>
      <c r="D6366" s="3" t="s">
        <v>9</v>
      </c>
      <c r="E6366" s="3">
        <v>21</v>
      </c>
      <c r="F6366" s="3">
        <v>60</v>
      </c>
      <c r="G6366" s="3">
        <v>1</v>
      </c>
      <c r="H6366" s="3">
        <v>20</v>
      </c>
      <c r="I6366" s="3">
        <v>23</v>
      </c>
      <c r="J6366" s="3">
        <v>1</v>
      </c>
      <c r="K6366" s="3">
        <v>24</v>
      </c>
      <c r="L6366" s="3">
        <v>1</v>
      </c>
      <c r="M6366" s="3">
        <v>20</v>
      </c>
      <c r="N6366" s="3">
        <v>22</v>
      </c>
      <c r="O6366" s="3"/>
      <c r="P6366" s="3"/>
      <c r="Q6366" s="3"/>
    </row>
    <row r="6367" spans="1:17" ht="15" x14ac:dyDescent="0.25">
      <c r="A6367" s="3">
        <f>6360</f>
        <v>6360</v>
      </c>
      <c r="B6367" s="3" t="s">
        <v>6369</v>
      </c>
      <c r="C6367" s="3" t="s">
        <v>10</v>
      </c>
      <c r="D6367" s="3" t="s">
        <v>9</v>
      </c>
      <c r="E6367" s="3">
        <v>21</v>
      </c>
      <c r="F6367" s="3">
        <v>60</v>
      </c>
      <c r="G6367" s="3">
        <v>1</v>
      </c>
      <c r="H6367" s="3">
        <v>20</v>
      </c>
      <c r="I6367" s="3">
        <v>23</v>
      </c>
      <c r="J6367" s="3">
        <v>1</v>
      </c>
      <c r="K6367" s="3">
        <v>24</v>
      </c>
      <c r="L6367" s="3">
        <v>1</v>
      </c>
      <c r="M6367" s="3">
        <v>20</v>
      </c>
      <c r="N6367" s="3">
        <v>22</v>
      </c>
      <c r="O6367" s="3"/>
      <c r="P6367" s="3"/>
      <c r="Q6367" s="3"/>
    </row>
    <row r="6368" spans="1:17" ht="15" x14ac:dyDescent="0.25">
      <c r="A6368" s="3">
        <f>6361</f>
        <v>6361</v>
      </c>
      <c r="B6368" s="3" t="s">
        <v>6370</v>
      </c>
      <c r="C6368" s="3" t="s">
        <v>10</v>
      </c>
      <c r="D6368" s="3" t="s">
        <v>9</v>
      </c>
      <c r="E6368" s="3">
        <v>21</v>
      </c>
      <c r="F6368" s="3">
        <v>60</v>
      </c>
      <c r="G6368" s="3">
        <v>1</v>
      </c>
      <c r="H6368" s="3">
        <v>20</v>
      </c>
      <c r="I6368" s="3">
        <v>23</v>
      </c>
      <c r="J6368" s="3">
        <v>1</v>
      </c>
      <c r="K6368" s="3">
        <v>24</v>
      </c>
      <c r="L6368" s="3">
        <v>1</v>
      </c>
      <c r="M6368" s="3">
        <v>20</v>
      </c>
      <c r="N6368" s="3">
        <v>22</v>
      </c>
      <c r="O6368" s="3"/>
      <c r="P6368" s="3"/>
      <c r="Q6368" s="3"/>
    </row>
    <row r="6369" spans="1:17" ht="15" x14ac:dyDescent="0.25">
      <c r="A6369" s="3">
        <f>6362</f>
        <v>6362</v>
      </c>
      <c r="B6369" s="3" t="s">
        <v>6371</v>
      </c>
      <c r="C6369" s="3" t="s">
        <v>10</v>
      </c>
      <c r="D6369" s="3" t="s">
        <v>9</v>
      </c>
      <c r="E6369" s="3">
        <v>21</v>
      </c>
      <c r="F6369" s="3">
        <v>60</v>
      </c>
      <c r="G6369" s="3">
        <v>1</v>
      </c>
      <c r="H6369" s="3">
        <v>20</v>
      </c>
      <c r="I6369" s="3">
        <v>23</v>
      </c>
      <c r="J6369" s="3">
        <v>1</v>
      </c>
      <c r="K6369" s="3">
        <v>24</v>
      </c>
      <c r="L6369" s="3">
        <v>1</v>
      </c>
      <c r="M6369" s="3">
        <v>20</v>
      </c>
      <c r="N6369" s="3">
        <v>22</v>
      </c>
      <c r="O6369" s="3"/>
      <c r="P6369" s="3"/>
      <c r="Q6369" s="3"/>
    </row>
    <row r="6370" spans="1:17" ht="15" x14ac:dyDescent="0.25">
      <c r="A6370" s="3">
        <f>6363</f>
        <v>6363</v>
      </c>
      <c r="B6370" s="3" t="s">
        <v>6372</v>
      </c>
      <c r="C6370" s="3" t="s">
        <v>10</v>
      </c>
      <c r="D6370" s="3" t="s">
        <v>9</v>
      </c>
      <c r="E6370" s="3">
        <v>21</v>
      </c>
      <c r="F6370" s="3">
        <v>60</v>
      </c>
      <c r="G6370" s="3">
        <v>1</v>
      </c>
      <c r="H6370" s="3">
        <v>20</v>
      </c>
      <c r="I6370" s="3">
        <v>23</v>
      </c>
      <c r="J6370" s="3">
        <v>1</v>
      </c>
      <c r="K6370" s="3">
        <v>24</v>
      </c>
      <c r="L6370" s="3">
        <v>1</v>
      </c>
      <c r="M6370" s="3">
        <v>20</v>
      </c>
      <c r="N6370" s="3">
        <v>22</v>
      </c>
      <c r="O6370" s="3"/>
      <c r="P6370" s="3"/>
      <c r="Q6370" s="3"/>
    </row>
    <row r="6371" spans="1:17" ht="15" x14ac:dyDescent="0.25">
      <c r="A6371" s="3">
        <f>6364</f>
        <v>6364</v>
      </c>
      <c r="B6371" s="3" t="s">
        <v>6373</v>
      </c>
      <c r="C6371" s="3" t="s">
        <v>10</v>
      </c>
      <c r="D6371" s="3" t="s">
        <v>9</v>
      </c>
      <c r="E6371" s="3">
        <v>21</v>
      </c>
      <c r="F6371" s="3">
        <v>60</v>
      </c>
      <c r="G6371" s="3">
        <v>1</v>
      </c>
      <c r="H6371" s="3">
        <v>20</v>
      </c>
      <c r="I6371" s="3">
        <v>23</v>
      </c>
      <c r="J6371" s="3">
        <v>1</v>
      </c>
      <c r="K6371" s="3">
        <v>24</v>
      </c>
      <c r="L6371" s="3">
        <v>1</v>
      </c>
      <c r="M6371" s="3">
        <v>20</v>
      </c>
      <c r="N6371" s="3">
        <v>22</v>
      </c>
      <c r="O6371" s="3"/>
      <c r="P6371" s="3"/>
      <c r="Q6371" s="3"/>
    </row>
    <row r="6372" spans="1:17" ht="15" x14ac:dyDescent="0.25">
      <c r="A6372" s="3">
        <f>6365</f>
        <v>6365</v>
      </c>
      <c r="B6372" s="3" t="s">
        <v>6374</v>
      </c>
      <c r="C6372" s="3" t="s">
        <v>10</v>
      </c>
      <c r="D6372" s="3" t="s">
        <v>9</v>
      </c>
      <c r="E6372" s="3">
        <v>21</v>
      </c>
      <c r="F6372" s="3">
        <v>60</v>
      </c>
      <c r="G6372" s="3">
        <v>1</v>
      </c>
      <c r="H6372" s="3">
        <v>20</v>
      </c>
      <c r="I6372" s="3">
        <v>23</v>
      </c>
      <c r="J6372" s="3">
        <v>1</v>
      </c>
      <c r="K6372" s="3">
        <v>24</v>
      </c>
      <c r="L6372" s="3">
        <v>1</v>
      </c>
      <c r="M6372" s="3">
        <v>20</v>
      </c>
      <c r="N6372" s="3">
        <v>22</v>
      </c>
      <c r="O6372" s="3"/>
      <c r="P6372" s="3"/>
      <c r="Q6372" s="3"/>
    </row>
    <row r="6373" spans="1:17" ht="15" x14ac:dyDescent="0.25">
      <c r="A6373" s="3">
        <f>6366</f>
        <v>6366</v>
      </c>
      <c r="B6373" s="3" t="s">
        <v>6375</v>
      </c>
      <c r="C6373" s="3" t="s">
        <v>10</v>
      </c>
      <c r="D6373" s="3" t="s">
        <v>9</v>
      </c>
      <c r="E6373" s="3">
        <v>21</v>
      </c>
      <c r="F6373" s="3">
        <v>60</v>
      </c>
      <c r="G6373" s="3">
        <v>1</v>
      </c>
      <c r="H6373" s="3">
        <v>20</v>
      </c>
      <c r="I6373" s="3">
        <v>23</v>
      </c>
      <c r="J6373" s="3">
        <v>1</v>
      </c>
      <c r="K6373" s="3">
        <v>24</v>
      </c>
      <c r="L6373" s="3">
        <v>1</v>
      </c>
      <c r="M6373" s="3">
        <v>20</v>
      </c>
      <c r="N6373" s="3">
        <v>22</v>
      </c>
      <c r="O6373" s="3"/>
      <c r="P6373" s="3"/>
      <c r="Q6373" s="3"/>
    </row>
    <row r="6374" spans="1:17" ht="15" x14ac:dyDescent="0.25">
      <c r="A6374" s="3">
        <f>6367</f>
        <v>6367</v>
      </c>
      <c r="B6374" s="3" t="s">
        <v>6376</v>
      </c>
      <c r="C6374" s="3" t="s">
        <v>10</v>
      </c>
      <c r="D6374" s="3" t="s">
        <v>9</v>
      </c>
      <c r="E6374" s="3">
        <v>21</v>
      </c>
      <c r="F6374" s="3">
        <v>60</v>
      </c>
      <c r="G6374" s="3">
        <v>1</v>
      </c>
      <c r="H6374" s="3">
        <v>20</v>
      </c>
      <c r="I6374" s="3">
        <v>23</v>
      </c>
      <c r="J6374" s="3">
        <v>1</v>
      </c>
      <c r="K6374" s="3">
        <v>24</v>
      </c>
      <c r="L6374" s="3">
        <v>1</v>
      </c>
      <c r="M6374" s="3">
        <v>20</v>
      </c>
      <c r="N6374" s="3">
        <v>22</v>
      </c>
      <c r="O6374" s="3"/>
      <c r="P6374" s="3"/>
      <c r="Q6374" s="3"/>
    </row>
    <row r="6375" spans="1:17" ht="15" x14ac:dyDescent="0.25">
      <c r="A6375" s="3">
        <f>6368</f>
        <v>6368</v>
      </c>
      <c r="B6375" s="3" t="s">
        <v>6377</v>
      </c>
      <c r="C6375" s="3" t="s">
        <v>10</v>
      </c>
      <c r="D6375" s="3" t="s">
        <v>9</v>
      </c>
      <c r="E6375" s="3">
        <v>21</v>
      </c>
      <c r="F6375" s="3">
        <v>60</v>
      </c>
      <c r="G6375" s="3">
        <v>1</v>
      </c>
      <c r="H6375" s="3">
        <v>20</v>
      </c>
      <c r="I6375" s="3">
        <v>23</v>
      </c>
      <c r="J6375" s="3">
        <v>1</v>
      </c>
      <c r="K6375" s="3">
        <v>24</v>
      </c>
      <c r="L6375" s="3">
        <v>1</v>
      </c>
      <c r="M6375" s="3">
        <v>20</v>
      </c>
      <c r="N6375" s="3">
        <v>22</v>
      </c>
      <c r="O6375" s="3"/>
      <c r="P6375" s="3"/>
      <c r="Q6375" s="3"/>
    </row>
    <row r="6376" spans="1:17" ht="15" x14ac:dyDescent="0.25">
      <c r="A6376" s="3">
        <f>6369</f>
        <v>6369</v>
      </c>
      <c r="B6376" s="3" t="s">
        <v>6378</v>
      </c>
      <c r="C6376" s="3" t="s">
        <v>10</v>
      </c>
      <c r="D6376" s="3" t="s">
        <v>9</v>
      </c>
      <c r="E6376" s="3">
        <v>21</v>
      </c>
      <c r="F6376" s="3">
        <v>60</v>
      </c>
      <c r="G6376" s="3">
        <v>1</v>
      </c>
      <c r="H6376" s="3">
        <v>20</v>
      </c>
      <c r="I6376" s="3">
        <v>23</v>
      </c>
      <c r="J6376" s="3">
        <v>1</v>
      </c>
      <c r="K6376" s="3">
        <v>24</v>
      </c>
      <c r="L6376" s="3">
        <v>1</v>
      </c>
      <c r="M6376" s="3">
        <v>20</v>
      </c>
      <c r="N6376" s="3">
        <v>22</v>
      </c>
      <c r="O6376" s="3"/>
      <c r="P6376" s="3"/>
      <c r="Q6376" s="3"/>
    </row>
    <row r="6377" spans="1:17" ht="15" x14ac:dyDescent="0.25">
      <c r="A6377" s="3">
        <f>6370</f>
        <v>6370</v>
      </c>
      <c r="B6377" s="3" t="s">
        <v>6379</v>
      </c>
      <c r="C6377" s="3" t="s">
        <v>10</v>
      </c>
      <c r="D6377" s="3" t="s">
        <v>9</v>
      </c>
      <c r="E6377" s="3">
        <v>21</v>
      </c>
      <c r="F6377" s="3">
        <v>60</v>
      </c>
      <c r="G6377" s="3">
        <v>1</v>
      </c>
      <c r="H6377" s="3">
        <v>20</v>
      </c>
      <c r="I6377" s="3">
        <v>23</v>
      </c>
      <c r="J6377" s="3">
        <v>1</v>
      </c>
      <c r="K6377" s="3">
        <v>24</v>
      </c>
      <c r="L6377" s="3">
        <v>1</v>
      </c>
      <c r="M6377" s="3">
        <v>20</v>
      </c>
      <c r="N6377" s="3">
        <v>22</v>
      </c>
      <c r="O6377" s="3"/>
      <c r="P6377" s="3"/>
      <c r="Q6377" s="3"/>
    </row>
    <row r="6378" spans="1:17" ht="15" x14ac:dyDescent="0.25">
      <c r="A6378" s="3">
        <f>6371</f>
        <v>6371</v>
      </c>
      <c r="B6378" s="3" t="s">
        <v>6380</v>
      </c>
      <c r="C6378" s="3" t="s">
        <v>10</v>
      </c>
      <c r="D6378" s="3" t="s">
        <v>9</v>
      </c>
      <c r="E6378" s="3">
        <v>21</v>
      </c>
      <c r="F6378" s="3">
        <v>60</v>
      </c>
      <c r="G6378" s="3">
        <v>1</v>
      </c>
      <c r="H6378" s="3">
        <v>20</v>
      </c>
      <c r="I6378" s="3">
        <v>23</v>
      </c>
      <c r="J6378" s="3">
        <v>1</v>
      </c>
      <c r="K6378" s="3">
        <v>24</v>
      </c>
      <c r="L6378" s="3">
        <v>1</v>
      </c>
      <c r="M6378" s="3">
        <v>20</v>
      </c>
      <c r="N6378" s="3">
        <v>22</v>
      </c>
      <c r="O6378" s="3"/>
      <c r="P6378" s="3"/>
      <c r="Q6378" s="3"/>
    </row>
    <row r="6379" spans="1:17" ht="15" x14ac:dyDescent="0.25">
      <c r="A6379" s="3">
        <f>6372</f>
        <v>6372</v>
      </c>
      <c r="B6379" s="3" t="s">
        <v>6381</v>
      </c>
      <c r="C6379" s="3" t="s">
        <v>10</v>
      </c>
      <c r="D6379" s="3" t="s">
        <v>9</v>
      </c>
      <c r="E6379" s="3">
        <v>21</v>
      </c>
      <c r="F6379" s="3">
        <v>60</v>
      </c>
      <c r="G6379" s="3">
        <v>1</v>
      </c>
      <c r="H6379" s="3">
        <v>20</v>
      </c>
      <c r="I6379" s="3">
        <v>23</v>
      </c>
      <c r="J6379" s="3">
        <v>1</v>
      </c>
      <c r="K6379" s="3">
        <v>24</v>
      </c>
      <c r="L6379" s="3">
        <v>1</v>
      </c>
      <c r="M6379" s="3">
        <v>20</v>
      </c>
      <c r="N6379" s="3">
        <v>22</v>
      </c>
      <c r="O6379" s="3"/>
      <c r="P6379" s="3"/>
      <c r="Q6379" s="3"/>
    </row>
    <row r="6380" spans="1:17" ht="15" x14ac:dyDescent="0.25">
      <c r="A6380" s="3">
        <f>6373</f>
        <v>6373</v>
      </c>
      <c r="B6380" s="3" t="s">
        <v>6382</v>
      </c>
      <c r="C6380" s="3" t="s">
        <v>10</v>
      </c>
      <c r="D6380" s="3" t="s">
        <v>9</v>
      </c>
      <c r="E6380" s="3">
        <v>21</v>
      </c>
      <c r="F6380" s="3">
        <v>60</v>
      </c>
      <c r="G6380" s="3">
        <v>1</v>
      </c>
      <c r="H6380" s="3">
        <v>20</v>
      </c>
      <c r="I6380" s="3">
        <v>23</v>
      </c>
      <c r="J6380" s="3">
        <v>1</v>
      </c>
      <c r="K6380" s="3">
        <v>24</v>
      </c>
      <c r="L6380" s="3">
        <v>1</v>
      </c>
      <c r="M6380" s="3">
        <v>20</v>
      </c>
      <c r="N6380" s="3">
        <v>22</v>
      </c>
      <c r="O6380" s="3"/>
      <c r="P6380" s="3"/>
      <c r="Q6380" s="3"/>
    </row>
    <row r="6381" spans="1:17" ht="15" x14ac:dyDescent="0.25">
      <c r="A6381" s="3">
        <f>6374</f>
        <v>6374</v>
      </c>
      <c r="B6381" s="3" t="s">
        <v>6383</v>
      </c>
      <c r="C6381" s="3" t="s">
        <v>10</v>
      </c>
      <c r="D6381" s="3" t="s">
        <v>9</v>
      </c>
      <c r="E6381" s="3">
        <v>21</v>
      </c>
      <c r="F6381" s="3">
        <v>60</v>
      </c>
      <c r="G6381" s="3">
        <v>1</v>
      </c>
      <c r="H6381" s="3">
        <v>20</v>
      </c>
      <c r="I6381" s="3">
        <v>23</v>
      </c>
      <c r="J6381" s="3">
        <v>1</v>
      </c>
      <c r="K6381" s="3">
        <v>24</v>
      </c>
      <c r="L6381" s="3">
        <v>1</v>
      </c>
      <c r="M6381" s="3">
        <v>20</v>
      </c>
      <c r="N6381" s="3">
        <v>22</v>
      </c>
      <c r="O6381" s="3"/>
      <c r="P6381" s="3"/>
      <c r="Q6381" s="3"/>
    </row>
    <row r="6382" spans="1:17" ht="15" x14ac:dyDescent="0.25">
      <c r="A6382" s="3">
        <f>6375</f>
        <v>6375</v>
      </c>
      <c r="B6382" s="3" t="s">
        <v>6384</v>
      </c>
      <c r="C6382" s="3" t="s">
        <v>10</v>
      </c>
      <c r="D6382" s="3" t="s">
        <v>9</v>
      </c>
      <c r="E6382" s="3">
        <v>21</v>
      </c>
      <c r="F6382" s="3">
        <v>60</v>
      </c>
      <c r="G6382" s="3">
        <v>1</v>
      </c>
      <c r="H6382" s="3">
        <v>20</v>
      </c>
      <c r="I6382" s="3">
        <v>23</v>
      </c>
      <c r="J6382" s="3">
        <v>1</v>
      </c>
      <c r="K6382" s="3">
        <v>24</v>
      </c>
      <c r="L6382" s="3">
        <v>1</v>
      </c>
      <c r="M6382" s="3">
        <v>20</v>
      </c>
      <c r="N6382" s="3">
        <v>22</v>
      </c>
      <c r="O6382" s="3"/>
      <c r="P6382" s="3"/>
      <c r="Q6382" s="3"/>
    </row>
    <row r="6383" spans="1:17" ht="15" x14ac:dyDescent="0.25">
      <c r="A6383" s="3">
        <f>6376</f>
        <v>6376</v>
      </c>
      <c r="B6383" s="3" t="s">
        <v>6385</v>
      </c>
      <c r="C6383" s="3" t="s">
        <v>10</v>
      </c>
      <c r="D6383" s="3" t="s">
        <v>9</v>
      </c>
      <c r="E6383" s="3">
        <v>21</v>
      </c>
      <c r="F6383" s="3">
        <v>60</v>
      </c>
      <c r="G6383" s="3">
        <v>1</v>
      </c>
      <c r="H6383" s="3">
        <v>20</v>
      </c>
      <c r="I6383" s="3">
        <v>23</v>
      </c>
      <c r="J6383" s="3">
        <v>1</v>
      </c>
      <c r="K6383" s="3">
        <v>24</v>
      </c>
      <c r="L6383" s="3">
        <v>1</v>
      </c>
      <c r="M6383" s="3">
        <v>20</v>
      </c>
      <c r="N6383" s="3">
        <v>22</v>
      </c>
      <c r="O6383" s="3"/>
      <c r="P6383" s="3"/>
      <c r="Q6383" s="3"/>
    </row>
    <row r="6384" spans="1:17" ht="15" x14ac:dyDescent="0.25">
      <c r="A6384" s="3">
        <f>6377</f>
        <v>6377</v>
      </c>
      <c r="B6384" s="3" t="s">
        <v>6386</v>
      </c>
      <c r="C6384" s="3" t="s">
        <v>10</v>
      </c>
      <c r="D6384" s="3" t="s">
        <v>9</v>
      </c>
      <c r="E6384" s="3">
        <v>21</v>
      </c>
      <c r="F6384" s="3">
        <v>60</v>
      </c>
      <c r="G6384" s="3">
        <v>1</v>
      </c>
      <c r="H6384" s="3">
        <v>20</v>
      </c>
      <c r="I6384" s="3">
        <v>23</v>
      </c>
      <c r="J6384" s="3">
        <v>1</v>
      </c>
      <c r="K6384" s="3">
        <v>24</v>
      </c>
      <c r="L6384" s="3">
        <v>1</v>
      </c>
      <c r="M6384" s="3">
        <v>20</v>
      </c>
      <c r="N6384" s="3">
        <v>22</v>
      </c>
      <c r="O6384" s="3"/>
      <c r="P6384" s="3"/>
      <c r="Q6384" s="3"/>
    </row>
    <row r="6385" spans="1:17" ht="15" x14ac:dyDescent="0.25">
      <c r="A6385" s="3">
        <f>6378</f>
        <v>6378</v>
      </c>
      <c r="B6385" s="3" t="s">
        <v>6387</v>
      </c>
      <c r="C6385" s="3" t="s">
        <v>10</v>
      </c>
      <c r="D6385" s="3" t="s">
        <v>9</v>
      </c>
      <c r="E6385" s="3">
        <v>21</v>
      </c>
      <c r="F6385" s="3">
        <v>60</v>
      </c>
      <c r="G6385" s="3">
        <v>1</v>
      </c>
      <c r="H6385" s="3">
        <v>20</v>
      </c>
      <c r="I6385" s="3">
        <v>23</v>
      </c>
      <c r="J6385" s="3">
        <v>1</v>
      </c>
      <c r="K6385" s="3">
        <v>24</v>
      </c>
      <c r="L6385" s="3">
        <v>1</v>
      </c>
      <c r="M6385" s="3">
        <v>20</v>
      </c>
      <c r="N6385" s="3">
        <v>22</v>
      </c>
      <c r="O6385" s="3"/>
      <c r="P6385" s="3"/>
      <c r="Q6385" s="3"/>
    </row>
    <row r="6386" spans="1:17" ht="15" x14ac:dyDescent="0.25">
      <c r="A6386" s="3">
        <f>6379</f>
        <v>6379</v>
      </c>
      <c r="B6386" s="3" t="s">
        <v>6388</v>
      </c>
      <c r="C6386" s="3" t="s">
        <v>10</v>
      </c>
      <c r="D6386" s="3" t="s">
        <v>9</v>
      </c>
      <c r="E6386" s="3">
        <v>21</v>
      </c>
      <c r="F6386" s="3">
        <v>60</v>
      </c>
      <c r="G6386" s="3">
        <v>1</v>
      </c>
      <c r="H6386" s="3">
        <v>20</v>
      </c>
      <c r="I6386" s="3">
        <v>23</v>
      </c>
      <c r="J6386" s="3">
        <v>1</v>
      </c>
      <c r="K6386" s="3">
        <v>24</v>
      </c>
      <c r="L6386" s="3">
        <v>1</v>
      </c>
      <c r="M6386" s="3">
        <v>20</v>
      </c>
      <c r="N6386" s="3">
        <v>22</v>
      </c>
      <c r="O6386" s="3"/>
      <c r="P6386" s="3"/>
      <c r="Q6386" s="3"/>
    </row>
    <row r="6387" spans="1:17" ht="15" x14ac:dyDescent="0.25">
      <c r="A6387" s="3">
        <f>6380</f>
        <v>6380</v>
      </c>
      <c r="B6387" s="3" t="s">
        <v>6389</v>
      </c>
      <c r="C6387" s="3" t="s">
        <v>10</v>
      </c>
      <c r="D6387" s="3" t="s">
        <v>9</v>
      </c>
      <c r="E6387" s="3">
        <v>21</v>
      </c>
      <c r="F6387" s="3">
        <v>60</v>
      </c>
      <c r="G6387" s="3">
        <v>1</v>
      </c>
      <c r="H6387" s="3">
        <v>20</v>
      </c>
      <c r="I6387" s="3">
        <v>23</v>
      </c>
      <c r="J6387" s="3">
        <v>1</v>
      </c>
      <c r="K6387" s="3">
        <v>24</v>
      </c>
      <c r="L6387" s="3">
        <v>1</v>
      </c>
      <c r="M6387" s="3">
        <v>20</v>
      </c>
      <c r="N6387" s="3">
        <v>22</v>
      </c>
      <c r="O6387" s="3"/>
      <c r="P6387" s="3"/>
      <c r="Q6387" s="3"/>
    </row>
    <row r="6388" spans="1:17" ht="15" x14ac:dyDescent="0.25">
      <c r="A6388" s="3">
        <f>6381</f>
        <v>6381</v>
      </c>
      <c r="B6388" s="3" t="s">
        <v>6390</v>
      </c>
      <c r="C6388" s="3" t="s">
        <v>10</v>
      </c>
      <c r="D6388" s="3" t="s">
        <v>9</v>
      </c>
      <c r="E6388" s="3">
        <v>21</v>
      </c>
      <c r="F6388" s="3">
        <v>60</v>
      </c>
      <c r="G6388" s="3">
        <v>1</v>
      </c>
      <c r="H6388" s="3">
        <v>20</v>
      </c>
      <c r="I6388" s="3">
        <v>23</v>
      </c>
      <c r="J6388" s="3">
        <v>1</v>
      </c>
      <c r="K6388" s="3">
        <v>24</v>
      </c>
      <c r="L6388" s="3">
        <v>1</v>
      </c>
      <c r="M6388" s="3">
        <v>20</v>
      </c>
      <c r="N6388" s="3">
        <v>22</v>
      </c>
      <c r="O6388" s="3"/>
      <c r="P6388" s="3"/>
      <c r="Q6388" s="3"/>
    </row>
    <row r="6389" spans="1:17" ht="15" x14ac:dyDescent="0.25">
      <c r="A6389" s="3">
        <f>6382</f>
        <v>6382</v>
      </c>
      <c r="B6389" s="3" t="s">
        <v>6391</v>
      </c>
      <c r="C6389" s="3" t="s">
        <v>10</v>
      </c>
      <c r="D6389" s="3" t="s">
        <v>9</v>
      </c>
      <c r="E6389" s="3">
        <v>21</v>
      </c>
      <c r="F6389" s="3">
        <v>60</v>
      </c>
      <c r="G6389" s="3">
        <v>1</v>
      </c>
      <c r="H6389" s="3">
        <v>20</v>
      </c>
      <c r="I6389" s="3">
        <v>23</v>
      </c>
      <c r="J6389" s="3">
        <v>1</v>
      </c>
      <c r="K6389" s="3">
        <v>24</v>
      </c>
      <c r="L6389" s="3">
        <v>1</v>
      </c>
      <c r="M6389" s="3">
        <v>20</v>
      </c>
      <c r="N6389" s="3">
        <v>22</v>
      </c>
      <c r="O6389" s="3"/>
      <c r="P6389" s="3"/>
      <c r="Q6389" s="3"/>
    </row>
    <row r="6390" spans="1:17" ht="15" x14ac:dyDescent="0.25">
      <c r="A6390" s="3">
        <f>6383</f>
        <v>6383</v>
      </c>
      <c r="B6390" s="3" t="s">
        <v>6392</v>
      </c>
      <c r="C6390" s="3" t="s">
        <v>10</v>
      </c>
      <c r="D6390" s="3" t="s">
        <v>9</v>
      </c>
      <c r="E6390" s="3">
        <v>21</v>
      </c>
      <c r="F6390" s="3">
        <v>60</v>
      </c>
      <c r="G6390" s="3">
        <v>1</v>
      </c>
      <c r="H6390" s="3">
        <v>20</v>
      </c>
      <c r="I6390" s="3">
        <v>23</v>
      </c>
      <c r="J6390" s="3">
        <v>1</v>
      </c>
      <c r="K6390" s="3">
        <v>24</v>
      </c>
      <c r="L6390" s="3">
        <v>1</v>
      </c>
      <c r="M6390" s="3">
        <v>20</v>
      </c>
      <c r="N6390" s="3">
        <v>22</v>
      </c>
      <c r="O6390" s="3"/>
      <c r="P6390" s="3"/>
      <c r="Q6390" s="3"/>
    </row>
    <row r="6391" spans="1:17" ht="15" x14ac:dyDescent="0.25">
      <c r="A6391" s="3">
        <f>6384</f>
        <v>6384</v>
      </c>
      <c r="B6391" s="3" t="s">
        <v>6393</v>
      </c>
      <c r="C6391" s="3" t="s">
        <v>10</v>
      </c>
      <c r="D6391" s="3" t="s">
        <v>9</v>
      </c>
      <c r="E6391" s="3">
        <v>21</v>
      </c>
      <c r="F6391" s="3">
        <v>60</v>
      </c>
      <c r="G6391" s="3">
        <v>1</v>
      </c>
      <c r="H6391" s="3">
        <v>20</v>
      </c>
      <c r="I6391" s="3">
        <v>23</v>
      </c>
      <c r="J6391" s="3">
        <v>1</v>
      </c>
      <c r="K6391" s="3">
        <v>24</v>
      </c>
      <c r="L6391" s="3">
        <v>1</v>
      </c>
      <c r="M6391" s="3">
        <v>20</v>
      </c>
      <c r="N6391" s="3">
        <v>22</v>
      </c>
      <c r="O6391" s="3"/>
      <c r="P6391" s="3"/>
      <c r="Q6391" s="3"/>
    </row>
    <row r="6392" spans="1:17" ht="15" x14ac:dyDescent="0.25">
      <c r="A6392" s="3">
        <f>6385</f>
        <v>6385</v>
      </c>
      <c r="B6392" s="3" t="s">
        <v>6394</v>
      </c>
      <c r="C6392" s="3" t="s">
        <v>10</v>
      </c>
      <c r="D6392" s="3" t="s">
        <v>9</v>
      </c>
      <c r="E6392" s="3">
        <v>21</v>
      </c>
      <c r="F6392" s="3">
        <v>60</v>
      </c>
      <c r="G6392" s="3">
        <v>1</v>
      </c>
      <c r="H6392" s="3">
        <v>20</v>
      </c>
      <c r="I6392" s="3">
        <v>23</v>
      </c>
      <c r="J6392" s="3">
        <v>1</v>
      </c>
      <c r="K6392" s="3">
        <v>24</v>
      </c>
      <c r="L6392" s="3">
        <v>1</v>
      </c>
      <c r="M6392" s="3">
        <v>20</v>
      </c>
      <c r="N6392" s="3">
        <v>22</v>
      </c>
      <c r="O6392" s="3"/>
      <c r="P6392" s="3"/>
      <c r="Q6392" s="3"/>
    </row>
    <row r="6393" spans="1:17" ht="15" x14ac:dyDescent="0.25">
      <c r="A6393" s="3">
        <f>6386</f>
        <v>6386</v>
      </c>
      <c r="B6393" s="3" t="s">
        <v>6395</v>
      </c>
      <c r="C6393" s="3" t="s">
        <v>10</v>
      </c>
      <c r="D6393" s="3" t="s">
        <v>9</v>
      </c>
      <c r="E6393" s="3">
        <v>21</v>
      </c>
      <c r="F6393" s="3">
        <v>60</v>
      </c>
      <c r="G6393" s="3">
        <v>1</v>
      </c>
      <c r="H6393" s="3">
        <v>20</v>
      </c>
      <c r="I6393" s="3">
        <v>23</v>
      </c>
      <c r="J6393" s="3">
        <v>1</v>
      </c>
      <c r="K6393" s="3">
        <v>24</v>
      </c>
      <c r="L6393" s="3">
        <v>1</v>
      </c>
      <c r="M6393" s="3">
        <v>20</v>
      </c>
      <c r="N6393" s="3">
        <v>22</v>
      </c>
      <c r="O6393" s="3"/>
      <c r="P6393" s="3"/>
      <c r="Q6393" s="3"/>
    </row>
    <row r="6394" spans="1:17" ht="15" x14ac:dyDescent="0.25">
      <c r="A6394" s="3">
        <f>6387</f>
        <v>6387</v>
      </c>
      <c r="B6394" s="3" t="s">
        <v>6396</v>
      </c>
      <c r="C6394" s="3" t="s">
        <v>10</v>
      </c>
      <c r="D6394" s="3" t="s">
        <v>9</v>
      </c>
      <c r="E6394" s="3">
        <v>21</v>
      </c>
      <c r="F6394" s="3">
        <v>60</v>
      </c>
      <c r="G6394" s="3">
        <v>1</v>
      </c>
      <c r="H6394" s="3">
        <v>20</v>
      </c>
      <c r="I6394" s="3">
        <v>23</v>
      </c>
      <c r="J6394" s="3">
        <v>1</v>
      </c>
      <c r="K6394" s="3">
        <v>24</v>
      </c>
      <c r="L6394" s="3">
        <v>1</v>
      </c>
      <c r="M6394" s="3">
        <v>20</v>
      </c>
      <c r="N6394" s="3">
        <v>22</v>
      </c>
      <c r="O6394" s="3"/>
      <c r="P6394" s="3"/>
      <c r="Q6394" s="3"/>
    </row>
    <row r="6395" spans="1:17" ht="15" x14ac:dyDescent="0.25">
      <c r="A6395" s="3">
        <f>6388</f>
        <v>6388</v>
      </c>
      <c r="B6395" s="3" t="s">
        <v>6397</v>
      </c>
      <c r="C6395" s="3" t="s">
        <v>10</v>
      </c>
      <c r="D6395" s="3" t="s">
        <v>9</v>
      </c>
      <c r="E6395" s="3">
        <v>21</v>
      </c>
      <c r="F6395" s="3">
        <v>60</v>
      </c>
      <c r="G6395" s="3">
        <v>1</v>
      </c>
      <c r="H6395" s="3">
        <v>20</v>
      </c>
      <c r="I6395" s="3">
        <v>23</v>
      </c>
      <c r="J6395" s="3">
        <v>1</v>
      </c>
      <c r="K6395" s="3">
        <v>24</v>
      </c>
      <c r="L6395" s="3">
        <v>1</v>
      </c>
      <c r="M6395" s="3">
        <v>20</v>
      </c>
      <c r="N6395" s="3">
        <v>22</v>
      </c>
      <c r="O6395" s="3"/>
      <c r="P6395" s="3"/>
      <c r="Q6395" s="3"/>
    </row>
    <row r="6396" spans="1:17" ht="15" x14ac:dyDescent="0.25">
      <c r="A6396" s="3">
        <f>6389</f>
        <v>6389</v>
      </c>
      <c r="B6396" s="3" t="s">
        <v>6398</v>
      </c>
      <c r="C6396" s="3" t="s">
        <v>10</v>
      </c>
      <c r="D6396" s="3" t="s">
        <v>9</v>
      </c>
      <c r="E6396" s="3">
        <v>21</v>
      </c>
      <c r="F6396" s="3">
        <v>60</v>
      </c>
      <c r="G6396" s="3">
        <v>1</v>
      </c>
      <c r="H6396" s="3">
        <v>20</v>
      </c>
      <c r="I6396" s="3">
        <v>23</v>
      </c>
      <c r="J6396" s="3">
        <v>1</v>
      </c>
      <c r="K6396" s="3">
        <v>24</v>
      </c>
      <c r="L6396" s="3">
        <v>1</v>
      </c>
      <c r="M6396" s="3">
        <v>20</v>
      </c>
      <c r="N6396" s="3">
        <v>22</v>
      </c>
      <c r="O6396" s="3"/>
      <c r="P6396" s="3"/>
      <c r="Q6396" s="3"/>
    </row>
    <row r="6397" spans="1:17" ht="15" x14ac:dyDescent="0.25">
      <c r="A6397" s="3">
        <f>6390</f>
        <v>6390</v>
      </c>
      <c r="B6397" s="3" t="s">
        <v>6399</v>
      </c>
      <c r="C6397" s="3" t="s">
        <v>10</v>
      </c>
      <c r="D6397" s="3" t="s">
        <v>9</v>
      </c>
      <c r="E6397" s="3">
        <v>21</v>
      </c>
      <c r="F6397" s="3">
        <v>60</v>
      </c>
      <c r="G6397" s="3">
        <v>1</v>
      </c>
      <c r="H6397" s="3">
        <v>20</v>
      </c>
      <c r="I6397" s="3">
        <v>23</v>
      </c>
      <c r="J6397" s="3">
        <v>1</v>
      </c>
      <c r="K6397" s="3">
        <v>24</v>
      </c>
      <c r="L6397" s="3">
        <v>1</v>
      </c>
      <c r="M6397" s="3">
        <v>20</v>
      </c>
      <c r="N6397" s="3">
        <v>22</v>
      </c>
      <c r="O6397" s="3"/>
      <c r="P6397" s="3"/>
      <c r="Q6397" s="3"/>
    </row>
    <row r="6398" spans="1:17" ht="15" x14ac:dyDescent="0.25">
      <c r="A6398" s="3">
        <f>6391</f>
        <v>6391</v>
      </c>
      <c r="B6398" s="3" t="s">
        <v>6400</v>
      </c>
      <c r="C6398" s="3" t="s">
        <v>10</v>
      </c>
      <c r="D6398" s="3" t="s">
        <v>9</v>
      </c>
      <c r="E6398" s="3">
        <v>21</v>
      </c>
      <c r="F6398" s="3">
        <v>60</v>
      </c>
      <c r="G6398" s="3">
        <v>1</v>
      </c>
      <c r="H6398" s="3">
        <v>20</v>
      </c>
      <c r="I6398" s="3">
        <v>23</v>
      </c>
      <c r="J6398" s="3">
        <v>1</v>
      </c>
      <c r="K6398" s="3">
        <v>24</v>
      </c>
      <c r="L6398" s="3">
        <v>1</v>
      </c>
      <c r="M6398" s="3">
        <v>20</v>
      </c>
      <c r="N6398" s="3">
        <v>22</v>
      </c>
      <c r="O6398" s="3"/>
      <c r="P6398" s="3"/>
      <c r="Q6398" s="3"/>
    </row>
    <row r="6399" spans="1:17" ht="15" x14ac:dyDescent="0.25">
      <c r="A6399" s="3">
        <f>6392</f>
        <v>6392</v>
      </c>
      <c r="B6399" s="3" t="s">
        <v>6401</v>
      </c>
      <c r="C6399" s="3" t="s">
        <v>10</v>
      </c>
      <c r="D6399" s="3" t="s">
        <v>9</v>
      </c>
      <c r="E6399" s="3">
        <v>21</v>
      </c>
      <c r="F6399" s="3">
        <v>60</v>
      </c>
      <c r="G6399" s="3">
        <v>1</v>
      </c>
      <c r="H6399" s="3">
        <v>20</v>
      </c>
      <c r="I6399" s="3">
        <v>23</v>
      </c>
      <c r="J6399" s="3">
        <v>1</v>
      </c>
      <c r="K6399" s="3">
        <v>24</v>
      </c>
      <c r="L6399" s="3">
        <v>1</v>
      </c>
      <c r="M6399" s="3">
        <v>20</v>
      </c>
      <c r="N6399" s="3">
        <v>22</v>
      </c>
      <c r="O6399" s="3"/>
      <c r="P6399" s="3"/>
      <c r="Q6399" s="3"/>
    </row>
    <row r="6400" spans="1:17" ht="15" x14ac:dyDescent="0.25">
      <c r="A6400" s="3">
        <f>6393</f>
        <v>6393</v>
      </c>
      <c r="B6400" s="3" t="s">
        <v>6402</v>
      </c>
      <c r="C6400" s="3" t="s">
        <v>10</v>
      </c>
      <c r="D6400" s="3" t="s">
        <v>9</v>
      </c>
      <c r="E6400" s="3">
        <v>21</v>
      </c>
      <c r="F6400" s="3">
        <v>60</v>
      </c>
      <c r="G6400" s="3">
        <v>1</v>
      </c>
      <c r="H6400" s="3">
        <v>20</v>
      </c>
      <c r="I6400" s="3">
        <v>23</v>
      </c>
      <c r="J6400" s="3">
        <v>1</v>
      </c>
      <c r="K6400" s="3">
        <v>24</v>
      </c>
      <c r="L6400" s="3">
        <v>1</v>
      </c>
      <c r="M6400" s="3">
        <v>20</v>
      </c>
      <c r="N6400" s="3">
        <v>22</v>
      </c>
      <c r="O6400" s="3"/>
      <c r="P6400" s="3"/>
      <c r="Q6400" s="3"/>
    </row>
    <row r="6401" spans="1:17" ht="15" x14ac:dyDescent="0.25">
      <c r="A6401" s="3">
        <f>6394</f>
        <v>6394</v>
      </c>
      <c r="B6401" s="3" t="s">
        <v>6403</v>
      </c>
      <c r="C6401" s="3" t="s">
        <v>10</v>
      </c>
      <c r="D6401" s="3" t="s">
        <v>9</v>
      </c>
      <c r="E6401" s="3">
        <v>21</v>
      </c>
      <c r="F6401" s="3">
        <v>60</v>
      </c>
      <c r="G6401" s="3">
        <v>1</v>
      </c>
      <c r="H6401" s="3">
        <v>20</v>
      </c>
      <c r="I6401" s="3">
        <v>23</v>
      </c>
      <c r="J6401" s="3">
        <v>1</v>
      </c>
      <c r="K6401" s="3">
        <v>24</v>
      </c>
      <c r="L6401" s="3">
        <v>1</v>
      </c>
      <c r="M6401" s="3">
        <v>20</v>
      </c>
      <c r="N6401" s="3">
        <v>22</v>
      </c>
      <c r="O6401" s="3"/>
      <c r="P6401" s="3"/>
      <c r="Q6401" s="3"/>
    </row>
    <row r="6402" spans="1:17" ht="15" x14ac:dyDescent="0.25">
      <c r="A6402" s="3">
        <f>6395</f>
        <v>6395</v>
      </c>
      <c r="B6402" s="3" t="s">
        <v>6404</v>
      </c>
      <c r="C6402" s="3" t="s">
        <v>10</v>
      </c>
      <c r="D6402" s="3" t="s">
        <v>9</v>
      </c>
      <c r="E6402" s="3">
        <v>21</v>
      </c>
      <c r="F6402" s="3">
        <v>60</v>
      </c>
      <c r="G6402" s="3">
        <v>1</v>
      </c>
      <c r="H6402" s="3">
        <v>20</v>
      </c>
      <c r="I6402" s="3">
        <v>23</v>
      </c>
      <c r="J6402" s="3">
        <v>1</v>
      </c>
      <c r="K6402" s="3">
        <v>24</v>
      </c>
      <c r="L6402" s="3">
        <v>1</v>
      </c>
      <c r="M6402" s="3">
        <v>20</v>
      </c>
      <c r="N6402" s="3">
        <v>22</v>
      </c>
      <c r="O6402" s="3"/>
      <c r="P6402" s="3"/>
      <c r="Q6402" s="3"/>
    </row>
    <row r="6403" spans="1:17" ht="15" x14ac:dyDescent="0.25">
      <c r="A6403" s="3">
        <f>6396</f>
        <v>6396</v>
      </c>
      <c r="B6403" s="3" t="s">
        <v>6405</v>
      </c>
      <c r="C6403" s="3" t="s">
        <v>10</v>
      </c>
      <c r="D6403" s="3" t="s">
        <v>9</v>
      </c>
      <c r="E6403" s="3">
        <v>21</v>
      </c>
      <c r="F6403" s="3">
        <v>60</v>
      </c>
      <c r="G6403" s="3">
        <v>1</v>
      </c>
      <c r="H6403" s="3">
        <v>20</v>
      </c>
      <c r="I6403" s="3">
        <v>23</v>
      </c>
      <c r="J6403" s="3">
        <v>1</v>
      </c>
      <c r="K6403" s="3">
        <v>24</v>
      </c>
      <c r="L6403" s="3">
        <v>1</v>
      </c>
      <c r="M6403" s="3">
        <v>20</v>
      </c>
      <c r="N6403" s="3">
        <v>22</v>
      </c>
      <c r="O6403" s="3"/>
      <c r="P6403" s="3"/>
      <c r="Q6403" s="3"/>
    </row>
    <row r="6404" spans="1:17" ht="15" x14ac:dyDescent="0.25">
      <c r="A6404" s="3">
        <f>6397</f>
        <v>6397</v>
      </c>
      <c r="B6404" s="3" t="s">
        <v>6406</v>
      </c>
      <c r="C6404" s="3" t="s">
        <v>10</v>
      </c>
      <c r="D6404" s="3" t="s">
        <v>9</v>
      </c>
      <c r="E6404" s="3">
        <v>21</v>
      </c>
      <c r="F6404" s="3">
        <v>60</v>
      </c>
      <c r="G6404" s="3">
        <v>1</v>
      </c>
      <c r="H6404" s="3">
        <v>20</v>
      </c>
      <c r="I6404" s="3">
        <v>23</v>
      </c>
      <c r="J6404" s="3">
        <v>1</v>
      </c>
      <c r="K6404" s="3">
        <v>24</v>
      </c>
      <c r="L6404" s="3">
        <v>1</v>
      </c>
      <c r="M6404" s="3">
        <v>20</v>
      </c>
      <c r="N6404" s="3">
        <v>22</v>
      </c>
      <c r="O6404" s="3"/>
      <c r="P6404" s="3"/>
      <c r="Q6404" s="3"/>
    </row>
    <row r="6405" spans="1:17" ht="15" x14ac:dyDescent="0.25">
      <c r="A6405" s="3">
        <f>6398</f>
        <v>6398</v>
      </c>
      <c r="B6405" s="3" t="s">
        <v>6407</v>
      </c>
      <c r="C6405" s="3" t="s">
        <v>10</v>
      </c>
      <c r="D6405" s="3" t="s">
        <v>9</v>
      </c>
      <c r="E6405" s="3">
        <v>21</v>
      </c>
      <c r="F6405" s="3">
        <v>60</v>
      </c>
      <c r="G6405" s="3">
        <v>1</v>
      </c>
      <c r="H6405" s="3">
        <v>20</v>
      </c>
      <c r="I6405" s="3">
        <v>23</v>
      </c>
      <c r="J6405" s="3">
        <v>1</v>
      </c>
      <c r="K6405" s="3">
        <v>24</v>
      </c>
      <c r="L6405" s="3">
        <v>1</v>
      </c>
      <c r="M6405" s="3">
        <v>20</v>
      </c>
      <c r="N6405" s="3">
        <v>22</v>
      </c>
      <c r="O6405" s="3"/>
      <c r="P6405" s="3"/>
      <c r="Q6405" s="3"/>
    </row>
    <row r="6406" spans="1:17" ht="15" x14ac:dyDescent="0.25">
      <c r="A6406" s="3">
        <f>6399</f>
        <v>6399</v>
      </c>
      <c r="B6406" s="3" t="s">
        <v>6408</v>
      </c>
      <c r="C6406" s="3" t="s">
        <v>10</v>
      </c>
      <c r="D6406" s="3" t="s">
        <v>9</v>
      </c>
      <c r="E6406" s="3">
        <v>21</v>
      </c>
      <c r="F6406" s="3">
        <v>60</v>
      </c>
      <c r="G6406" s="3">
        <v>1</v>
      </c>
      <c r="H6406" s="3">
        <v>20</v>
      </c>
      <c r="I6406" s="3">
        <v>23</v>
      </c>
      <c r="J6406" s="3">
        <v>1</v>
      </c>
      <c r="K6406" s="3">
        <v>24</v>
      </c>
      <c r="L6406" s="3">
        <v>1</v>
      </c>
      <c r="M6406" s="3">
        <v>20</v>
      </c>
      <c r="N6406" s="3">
        <v>22</v>
      </c>
      <c r="O6406" s="3"/>
      <c r="P6406" s="3"/>
      <c r="Q6406" s="3"/>
    </row>
    <row r="6407" spans="1:17" ht="15" x14ac:dyDescent="0.25">
      <c r="A6407" s="3">
        <f>6400</f>
        <v>6400</v>
      </c>
      <c r="B6407" s="3" t="s">
        <v>6409</v>
      </c>
      <c r="C6407" s="3" t="s">
        <v>10</v>
      </c>
      <c r="D6407" s="3" t="s">
        <v>9</v>
      </c>
      <c r="E6407" s="3">
        <v>21</v>
      </c>
      <c r="F6407" s="3">
        <v>60</v>
      </c>
      <c r="G6407" s="3">
        <v>1</v>
      </c>
      <c r="H6407" s="3">
        <v>20</v>
      </c>
      <c r="I6407" s="3">
        <v>23</v>
      </c>
      <c r="J6407" s="3">
        <v>1</v>
      </c>
      <c r="K6407" s="3">
        <v>24</v>
      </c>
      <c r="L6407" s="3">
        <v>1</v>
      </c>
      <c r="M6407" s="3">
        <v>20</v>
      </c>
      <c r="N6407" s="3">
        <v>22</v>
      </c>
      <c r="O6407" s="3"/>
      <c r="P6407" s="3"/>
      <c r="Q6407" s="3"/>
    </row>
    <row r="6408" spans="1:17" ht="15" x14ac:dyDescent="0.25">
      <c r="A6408" s="3">
        <f>6401</f>
        <v>6401</v>
      </c>
      <c r="B6408" s="3" t="s">
        <v>6410</v>
      </c>
      <c r="C6408" s="3" t="s">
        <v>10</v>
      </c>
      <c r="D6408" s="3" t="s">
        <v>9</v>
      </c>
      <c r="E6408" s="3">
        <v>21</v>
      </c>
      <c r="F6408" s="3">
        <v>60</v>
      </c>
      <c r="G6408" s="3">
        <v>1</v>
      </c>
      <c r="H6408" s="3">
        <v>20</v>
      </c>
      <c r="I6408" s="3">
        <v>23</v>
      </c>
      <c r="J6408" s="3">
        <v>1</v>
      </c>
      <c r="K6408" s="3">
        <v>24</v>
      </c>
      <c r="L6408" s="3">
        <v>1</v>
      </c>
      <c r="M6408" s="3">
        <v>20</v>
      </c>
      <c r="N6408" s="3">
        <v>22</v>
      </c>
      <c r="O6408" s="3"/>
      <c r="P6408" s="3"/>
      <c r="Q6408" s="3"/>
    </row>
    <row r="6409" spans="1:17" ht="15" x14ac:dyDescent="0.25">
      <c r="A6409" s="3">
        <f>6402</f>
        <v>6402</v>
      </c>
      <c r="B6409" s="3" t="s">
        <v>6411</v>
      </c>
      <c r="C6409" s="3" t="s">
        <v>10</v>
      </c>
      <c r="D6409" s="3" t="s">
        <v>9</v>
      </c>
      <c r="E6409" s="3">
        <v>21</v>
      </c>
      <c r="F6409" s="3">
        <v>60</v>
      </c>
      <c r="G6409" s="3">
        <v>1</v>
      </c>
      <c r="H6409" s="3">
        <v>20</v>
      </c>
      <c r="I6409" s="3">
        <v>23</v>
      </c>
      <c r="J6409" s="3">
        <v>1</v>
      </c>
      <c r="K6409" s="3">
        <v>24</v>
      </c>
      <c r="L6409" s="3">
        <v>1</v>
      </c>
      <c r="M6409" s="3">
        <v>20</v>
      </c>
      <c r="N6409" s="3">
        <v>22</v>
      </c>
      <c r="O6409" s="3"/>
      <c r="P6409" s="3"/>
      <c r="Q6409" s="3"/>
    </row>
    <row r="6410" spans="1:17" ht="15" x14ac:dyDescent="0.25">
      <c r="A6410" s="3">
        <f>6403</f>
        <v>6403</v>
      </c>
      <c r="B6410" s="3" t="s">
        <v>6412</v>
      </c>
      <c r="C6410" s="3" t="s">
        <v>10</v>
      </c>
      <c r="D6410" s="3" t="s">
        <v>9</v>
      </c>
      <c r="E6410" s="3">
        <v>21</v>
      </c>
      <c r="F6410" s="3">
        <v>60</v>
      </c>
      <c r="G6410" s="3">
        <v>1</v>
      </c>
      <c r="H6410" s="3">
        <v>20</v>
      </c>
      <c r="I6410" s="3">
        <v>23</v>
      </c>
      <c r="J6410" s="3">
        <v>1</v>
      </c>
      <c r="K6410" s="3">
        <v>24</v>
      </c>
      <c r="L6410" s="3">
        <v>1</v>
      </c>
      <c r="M6410" s="3">
        <v>20</v>
      </c>
      <c r="N6410" s="3">
        <v>22</v>
      </c>
      <c r="O6410" s="3"/>
      <c r="P6410" s="3"/>
      <c r="Q6410" s="3"/>
    </row>
    <row r="6411" spans="1:17" ht="15" x14ac:dyDescent="0.25">
      <c r="A6411" s="3">
        <f>6404</f>
        <v>6404</v>
      </c>
      <c r="B6411" s="3" t="s">
        <v>6413</v>
      </c>
      <c r="C6411" s="3" t="s">
        <v>10</v>
      </c>
      <c r="D6411" s="3" t="s">
        <v>9</v>
      </c>
      <c r="E6411" s="3">
        <v>21</v>
      </c>
      <c r="F6411" s="3">
        <v>60</v>
      </c>
      <c r="G6411" s="3">
        <v>1</v>
      </c>
      <c r="H6411" s="3">
        <v>20</v>
      </c>
      <c r="I6411" s="3">
        <v>23</v>
      </c>
      <c r="J6411" s="3">
        <v>1</v>
      </c>
      <c r="K6411" s="3">
        <v>24</v>
      </c>
      <c r="L6411" s="3">
        <v>1</v>
      </c>
      <c r="M6411" s="3">
        <v>20</v>
      </c>
      <c r="N6411" s="3">
        <v>22</v>
      </c>
      <c r="O6411" s="3"/>
      <c r="P6411" s="3"/>
      <c r="Q6411" s="3"/>
    </row>
    <row r="6412" spans="1:17" ht="15" x14ac:dyDescent="0.25">
      <c r="A6412" s="3">
        <f>6405</f>
        <v>6405</v>
      </c>
      <c r="B6412" s="3" t="s">
        <v>6414</v>
      </c>
      <c r="C6412" s="3" t="s">
        <v>10</v>
      </c>
      <c r="D6412" s="3" t="s">
        <v>9</v>
      </c>
      <c r="E6412" s="3">
        <v>21</v>
      </c>
      <c r="F6412" s="3">
        <v>60</v>
      </c>
      <c r="G6412" s="3">
        <v>1</v>
      </c>
      <c r="H6412" s="3">
        <v>20</v>
      </c>
      <c r="I6412" s="3">
        <v>23</v>
      </c>
      <c r="J6412" s="3">
        <v>1</v>
      </c>
      <c r="K6412" s="3">
        <v>24</v>
      </c>
      <c r="L6412" s="3">
        <v>1</v>
      </c>
      <c r="M6412" s="3">
        <v>20</v>
      </c>
      <c r="N6412" s="3">
        <v>22</v>
      </c>
      <c r="O6412" s="3"/>
      <c r="P6412" s="3"/>
      <c r="Q6412" s="3"/>
    </row>
    <row r="6413" spans="1:17" ht="15" x14ac:dyDescent="0.25">
      <c r="A6413" s="3">
        <f>6406</f>
        <v>6406</v>
      </c>
      <c r="B6413" s="3" t="s">
        <v>6415</v>
      </c>
      <c r="C6413" s="3" t="s">
        <v>10</v>
      </c>
      <c r="D6413" s="3" t="s">
        <v>9</v>
      </c>
      <c r="E6413" s="3">
        <v>21</v>
      </c>
      <c r="F6413" s="3">
        <v>60</v>
      </c>
      <c r="G6413" s="3">
        <v>1</v>
      </c>
      <c r="H6413" s="3">
        <v>20</v>
      </c>
      <c r="I6413" s="3">
        <v>23</v>
      </c>
      <c r="J6413" s="3">
        <v>1</v>
      </c>
      <c r="K6413" s="3">
        <v>24</v>
      </c>
      <c r="L6413" s="3">
        <v>1</v>
      </c>
      <c r="M6413" s="3">
        <v>20</v>
      </c>
      <c r="N6413" s="3">
        <v>22</v>
      </c>
      <c r="O6413" s="3"/>
      <c r="P6413" s="3"/>
      <c r="Q6413" s="3"/>
    </row>
    <row r="6414" spans="1:17" ht="15" x14ac:dyDescent="0.25">
      <c r="A6414" s="3">
        <f>6407</f>
        <v>6407</v>
      </c>
      <c r="B6414" s="3" t="s">
        <v>6416</v>
      </c>
      <c r="C6414" s="3" t="s">
        <v>10</v>
      </c>
      <c r="D6414" s="3" t="s">
        <v>9</v>
      </c>
      <c r="E6414" s="3">
        <v>21</v>
      </c>
      <c r="F6414" s="3">
        <v>60</v>
      </c>
      <c r="G6414" s="3">
        <v>1</v>
      </c>
      <c r="H6414" s="3">
        <v>20</v>
      </c>
      <c r="I6414" s="3">
        <v>23</v>
      </c>
      <c r="J6414" s="3">
        <v>1</v>
      </c>
      <c r="K6414" s="3">
        <v>24</v>
      </c>
      <c r="L6414" s="3">
        <v>1</v>
      </c>
      <c r="M6414" s="3">
        <v>20</v>
      </c>
      <c r="N6414" s="3">
        <v>22</v>
      </c>
      <c r="O6414" s="3"/>
      <c r="P6414" s="3"/>
      <c r="Q6414" s="3"/>
    </row>
    <row r="6415" spans="1:17" ht="15" x14ac:dyDescent="0.25">
      <c r="A6415" s="3">
        <f>6408</f>
        <v>6408</v>
      </c>
      <c r="B6415" s="3" t="s">
        <v>6417</v>
      </c>
      <c r="C6415" s="3" t="s">
        <v>10</v>
      </c>
      <c r="D6415" s="3" t="s">
        <v>9</v>
      </c>
      <c r="E6415" s="3">
        <v>21</v>
      </c>
      <c r="F6415" s="3">
        <v>60</v>
      </c>
      <c r="G6415" s="3">
        <v>1</v>
      </c>
      <c r="H6415" s="3">
        <v>20</v>
      </c>
      <c r="I6415" s="3">
        <v>23</v>
      </c>
      <c r="J6415" s="3">
        <v>1</v>
      </c>
      <c r="K6415" s="3">
        <v>24</v>
      </c>
      <c r="L6415" s="3">
        <v>1</v>
      </c>
      <c r="M6415" s="3">
        <v>20</v>
      </c>
      <c r="N6415" s="3">
        <v>22</v>
      </c>
      <c r="O6415" s="3"/>
      <c r="P6415" s="3"/>
      <c r="Q6415" s="3"/>
    </row>
    <row r="6416" spans="1:17" ht="15" x14ac:dyDescent="0.25">
      <c r="A6416" s="3">
        <f>6409</f>
        <v>6409</v>
      </c>
      <c r="B6416" s="3" t="s">
        <v>6418</v>
      </c>
      <c r="C6416" s="3" t="s">
        <v>10</v>
      </c>
      <c r="D6416" s="3" t="s">
        <v>9</v>
      </c>
      <c r="E6416" s="3">
        <v>21</v>
      </c>
      <c r="F6416" s="3">
        <v>60</v>
      </c>
      <c r="G6416" s="3">
        <v>1</v>
      </c>
      <c r="H6416" s="3">
        <v>20</v>
      </c>
      <c r="I6416" s="3">
        <v>23</v>
      </c>
      <c r="J6416" s="3">
        <v>1</v>
      </c>
      <c r="K6416" s="3">
        <v>24</v>
      </c>
      <c r="L6416" s="3">
        <v>1</v>
      </c>
      <c r="M6416" s="3">
        <v>20</v>
      </c>
      <c r="N6416" s="3">
        <v>22</v>
      </c>
      <c r="O6416" s="3"/>
      <c r="P6416" s="3"/>
      <c r="Q6416" s="3"/>
    </row>
    <row r="6417" spans="1:17" ht="15" x14ac:dyDescent="0.25">
      <c r="A6417" s="3">
        <f>6410</f>
        <v>6410</v>
      </c>
      <c r="B6417" s="3" t="s">
        <v>6419</v>
      </c>
      <c r="C6417" s="3" t="s">
        <v>10</v>
      </c>
      <c r="D6417" s="3" t="s">
        <v>9</v>
      </c>
      <c r="E6417" s="3">
        <v>21</v>
      </c>
      <c r="F6417" s="3">
        <v>60</v>
      </c>
      <c r="G6417" s="3">
        <v>1</v>
      </c>
      <c r="H6417" s="3">
        <v>20</v>
      </c>
      <c r="I6417" s="3">
        <v>23</v>
      </c>
      <c r="J6417" s="3">
        <v>1</v>
      </c>
      <c r="K6417" s="3">
        <v>24</v>
      </c>
      <c r="L6417" s="3">
        <v>1</v>
      </c>
      <c r="M6417" s="3">
        <v>20</v>
      </c>
      <c r="N6417" s="3">
        <v>22</v>
      </c>
      <c r="O6417" s="3"/>
      <c r="P6417" s="3"/>
      <c r="Q6417" s="3"/>
    </row>
    <row r="6418" spans="1:17" ht="15" x14ac:dyDescent="0.25">
      <c r="A6418" s="3">
        <f>6411</f>
        <v>6411</v>
      </c>
      <c r="B6418" s="3" t="s">
        <v>6420</v>
      </c>
      <c r="C6418" s="3" t="s">
        <v>10</v>
      </c>
      <c r="D6418" s="3" t="s">
        <v>9</v>
      </c>
      <c r="E6418" s="3">
        <v>21</v>
      </c>
      <c r="F6418" s="3">
        <v>60</v>
      </c>
      <c r="G6418" s="3">
        <v>1</v>
      </c>
      <c r="H6418" s="3">
        <v>20</v>
      </c>
      <c r="I6418" s="3">
        <v>23</v>
      </c>
      <c r="J6418" s="3">
        <v>1</v>
      </c>
      <c r="K6418" s="3">
        <v>24</v>
      </c>
      <c r="L6418" s="3">
        <v>1</v>
      </c>
      <c r="M6418" s="3">
        <v>20</v>
      </c>
      <c r="N6418" s="3">
        <v>22</v>
      </c>
      <c r="O6418" s="3"/>
      <c r="P6418" s="3"/>
      <c r="Q6418" s="3"/>
    </row>
    <row r="6419" spans="1:17" ht="15" x14ac:dyDescent="0.25">
      <c r="A6419" s="3">
        <f>6412</f>
        <v>6412</v>
      </c>
      <c r="B6419" s="3" t="s">
        <v>6421</v>
      </c>
      <c r="C6419" s="3" t="s">
        <v>10</v>
      </c>
      <c r="D6419" s="3" t="s">
        <v>9</v>
      </c>
      <c r="E6419" s="3">
        <v>21</v>
      </c>
      <c r="F6419" s="3">
        <v>60</v>
      </c>
      <c r="G6419" s="3">
        <v>1</v>
      </c>
      <c r="H6419" s="3">
        <v>20</v>
      </c>
      <c r="I6419" s="3">
        <v>23</v>
      </c>
      <c r="J6419" s="3">
        <v>1</v>
      </c>
      <c r="K6419" s="3">
        <v>24</v>
      </c>
      <c r="L6419" s="3">
        <v>1</v>
      </c>
      <c r="M6419" s="3">
        <v>20</v>
      </c>
      <c r="N6419" s="3">
        <v>22</v>
      </c>
      <c r="O6419" s="3"/>
      <c r="P6419" s="3"/>
      <c r="Q6419" s="3"/>
    </row>
    <row r="6420" spans="1:17" ht="15" x14ac:dyDescent="0.25">
      <c r="A6420" s="3">
        <f>6413</f>
        <v>6413</v>
      </c>
      <c r="B6420" s="3" t="s">
        <v>6422</v>
      </c>
      <c r="C6420" s="3" t="s">
        <v>10</v>
      </c>
      <c r="D6420" s="3" t="s">
        <v>9</v>
      </c>
      <c r="E6420" s="3">
        <v>21</v>
      </c>
      <c r="F6420" s="3">
        <v>60</v>
      </c>
      <c r="G6420" s="3">
        <v>1</v>
      </c>
      <c r="H6420" s="3">
        <v>20</v>
      </c>
      <c r="I6420" s="3">
        <v>23</v>
      </c>
      <c r="J6420" s="3">
        <v>1</v>
      </c>
      <c r="K6420" s="3">
        <v>24</v>
      </c>
      <c r="L6420" s="3">
        <v>1</v>
      </c>
      <c r="M6420" s="3">
        <v>20</v>
      </c>
      <c r="N6420" s="3">
        <v>22</v>
      </c>
      <c r="O6420" s="3"/>
      <c r="P6420" s="3"/>
      <c r="Q6420" s="3"/>
    </row>
    <row r="6421" spans="1:17" ht="15" x14ac:dyDescent="0.25">
      <c r="A6421" s="3">
        <f>6414</f>
        <v>6414</v>
      </c>
      <c r="B6421" s="3" t="s">
        <v>6423</v>
      </c>
      <c r="C6421" s="3" t="s">
        <v>10</v>
      </c>
      <c r="D6421" s="3" t="s">
        <v>9</v>
      </c>
      <c r="E6421" s="3">
        <v>21</v>
      </c>
      <c r="F6421" s="3">
        <v>60</v>
      </c>
      <c r="G6421" s="3">
        <v>1</v>
      </c>
      <c r="H6421" s="3">
        <v>20</v>
      </c>
      <c r="I6421" s="3">
        <v>23</v>
      </c>
      <c r="J6421" s="3">
        <v>1</v>
      </c>
      <c r="K6421" s="3">
        <v>24</v>
      </c>
      <c r="L6421" s="3">
        <v>1</v>
      </c>
      <c r="M6421" s="3">
        <v>20</v>
      </c>
      <c r="N6421" s="3">
        <v>22</v>
      </c>
      <c r="O6421" s="3"/>
      <c r="P6421" s="3"/>
      <c r="Q6421" s="3"/>
    </row>
    <row r="6422" spans="1:17" ht="15" x14ac:dyDescent="0.25">
      <c r="A6422" s="3">
        <f>6415</f>
        <v>6415</v>
      </c>
      <c r="B6422" s="3" t="s">
        <v>6424</v>
      </c>
      <c r="C6422" s="3" t="s">
        <v>10</v>
      </c>
      <c r="D6422" s="3" t="s">
        <v>9</v>
      </c>
      <c r="E6422" s="3">
        <v>21</v>
      </c>
      <c r="F6422" s="3">
        <v>60</v>
      </c>
      <c r="G6422" s="3">
        <v>1</v>
      </c>
      <c r="H6422" s="3">
        <v>20</v>
      </c>
      <c r="I6422" s="3">
        <v>23</v>
      </c>
      <c r="J6422" s="3">
        <v>1</v>
      </c>
      <c r="K6422" s="3">
        <v>24</v>
      </c>
      <c r="L6422" s="3">
        <v>1</v>
      </c>
      <c r="M6422" s="3">
        <v>20</v>
      </c>
      <c r="N6422" s="3">
        <v>22</v>
      </c>
      <c r="O6422" s="3"/>
      <c r="P6422" s="3"/>
      <c r="Q6422" s="3"/>
    </row>
    <row r="6423" spans="1:17" ht="15" x14ac:dyDescent="0.25">
      <c r="A6423" s="3">
        <f>6416</f>
        <v>6416</v>
      </c>
      <c r="B6423" s="3" t="s">
        <v>6425</v>
      </c>
      <c r="C6423" s="3" t="s">
        <v>10</v>
      </c>
      <c r="D6423" s="3" t="s">
        <v>9</v>
      </c>
      <c r="E6423" s="3">
        <v>21</v>
      </c>
      <c r="F6423" s="3">
        <v>60</v>
      </c>
      <c r="G6423" s="3">
        <v>1</v>
      </c>
      <c r="H6423" s="3">
        <v>20</v>
      </c>
      <c r="I6423" s="3">
        <v>23</v>
      </c>
      <c r="J6423" s="3">
        <v>1</v>
      </c>
      <c r="K6423" s="3">
        <v>24</v>
      </c>
      <c r="L6423" s="3">
        <v>1</v>
      </c>
      <c r="M6423" s="3">
        <v>20</v>
      </c>
      <c r="N6423" s="3">
        <v>22</v>
      </c>
      <c r="O6423" s="3"/>
      <c r="P6423" s="3"/>
      <c r="Q6423" s="3"/>
    </row>
    <row r="6424" spans="1:17" ht="15" x14ac:dyDescent="0.25">
      <c r="A6424" s="3">
        <f>6417</f>
        <v>6417</v>
      </c>
      <c r="B6424" s="3" t="s">
        <v>6426</v>
      </c>
      <c r="C6424" s="3" t="s">
        <v>10</v>
      </c>
      <c r="D6424" s="3" t="s">
        <v>9</v>
      </c>
      <c r="E6424" s="3">
        <v>21</v>
      </c>
      <c r="F6424" s="3">
        <v>60</v>
      </c>
      <c r="G6424" s="3">
        <v>1</v>
      </c>
      <c r="H6424" s="3">
        <v>20</v>
      </c>
      <c r="I6424" s="3">
        <v>23</v>
      </c>
      <c r="J6424" s="3">
        <v>1</v>
      </c>
      <c r="K6424" s="3">
        <v>24</v>
      </c>
      <c r="L6424" s="3">
        <v>1</v>
      </c>
      <c r="M6424" s="3">
        <v>20</v>
      </c>
      <c r="N6424" s="3">
        <v>22</v>
      </c>
      <c r="O6424" s="3"/>
      <c r="P6424" s="3"/>
      <c r="Q6424" s="3"/>
    </row>
    <row r="6425" spans="1:17" ht="15" x14ac:dyDescent="0.25">
      <c r="A6425" s="3">
        <f>6418</f>
        <v>6418</v>
      </c>
      <c r="B6425" s="3" t="s">
        <v>6427</v>
      </c>
      <c r="C6425" s="3" t="s">
        <v>10</v>
      </c>
      <c r="D6425" s="3" t="s">
        <v>9</v>
      </c>
      <c r="E6425" s="3">
        <v>21</v>
      </c>
      <c r="F6425" s="3">
        <v>60</v>
      </c>
      <c r="G6425" s="3">
        <v>1</v>
      </c>
      <c r="H6425" s="3">
        <v>20</v>
      </c>
      <c r="I6425" s="3">
        <v>23</v>
      </c>
      <c r="J6425" s="3">
        <v>1</v>
      </c>
      <c r="K6425" s="3">
        <v>24</v>
      </c>
      <c r="L6425" s="3">
        <v>1</v>
      </c>
      <c r="M6425" s="3">
        <v>20</v>
      </c>
      <c r="N6425" s="3">
        <v>22</v>
      </c>
      <c r="O6425" s="3"/>
      <c r="P6425" s="3"/>
      <c r="Q6425" s="3"/>
    </row>
    <row r="6426" spans="1:17" ht="15" x14ac:dyDescent="0.25">
      <c r="A6426" s="3">
        <f>6419</f>
        <v>6419</v>
      </c>
      <c r="B6426" s="3" t="s">
        <v>6428</v>
      </c>
      <c r="C6426" s="3" t="s">
        <v>9</v>
      </c>
      <c r="D6426" s="3" t="s">
        <v>9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/>
      <c r="P6426" s="3"/>
      <c r="Q6426" s="3"/>
    </row>
    <row r="6427" spans="1:17" ht="15" x14ac:dyDescent="0.25">
      <c r="A6427" s="3">
        <f>6420</f>
        <v>6420</v>
      </c>
      <c r="B6427" s="3" t="s">
        <v>6429</v>
      </c>
      <c r="C6427" s="3" t="s">
        <v>10</v>
      </c>
      <c r="D6427" s="3" t="s">
        <v>9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/>
      <c r="P6427" s="3"/>
      <c r="Q6427" s="3"/>
    </row>
    <row r="6428" spans="1:17" ht="15" x14ac:dyDescent="0.25">
      <c r="A6428" s="3">
        <f>6421</f>
        <v>6421</v>
      </c>
      <c r="B6428" s="3" t="s">
        <v>6430</v>
      </c>
      <c r="C6428" s="3" t="s">
        <v>10</v>
      </c>
      <c r="D6428" s="3" t="s">
        <v>9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/>
      <c r="P6428" s="3"/>
      <c r="Q6428" s="3"/>
    </row>
    <row r="6429" spans="1:17" ht="15" x14ac:dyDescent="0.25">
      <c r="A6429" s="3">
        <f>6422</f>
        <v>6422</v>
      </c>
      <c r="B6429" s="3" t="s">
        <v>6431</v>
      </c>
      <c r="C6429" s="3" t="s">
        <v>10</v>
      </c>
      <c r="D6429" s="3" t="s">
        <v>9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/>
      <c r="P6429" s="3"/>
      <c r="Q6429" s="3"/>
    </row>
    <row r="6430" spans="1:17" ht="15" x14ac:dyDescent="0.25">
      <c r="A6430" s="3">
        <f>6423</f>
        <v>6423</v>
      </c>
      <c r="B6430" s="3" t="s">
        <v>6432</v>
      </c>
      <c r="C6430" s="3" t="s">
        <v>10</v>
      </c>
      <c r="D6430" s="3" t="s">
        <v>9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/>
      <c r="P6430" s="3"/>
      <c r="Q6430" s="3"/>
    </row>
    <row r="6431" spans="1:17" ht="15" x14ac:dyDescent="0.25">
      <c r="A6431" s="3">
        <f>6424</f>
        <v>6424</v>
      </c>
      <c r="B6431" s="3" t="s">
        <v>6433</v>
      </c>
      <c r="C6431" s="3" t="s">
        <v>10</v>
      </c>
      <c r="D6431" s="3" t="s">
        <v>9</v>
      </c>
      <c r="E6431" s="3">
        <v>22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/>
      <c r="P6431" s="3"/>
      <c r="Q6431" s="3"/>
    </row>
    <row r="6432" spans="1:17" ht="15" x14ac:dyDescent="0.25">
      <c r="A6432" s="3">
        <f>6425</f>
        <v>6425</v>
      </c>
      <c r="B6432" s="3" t="s">
        <v>6434</v>
      </c>
      <c r="C6432" s="3" t="s">
        <v>10</v>
      </c>
      <c r="D6432" s="3" t="s">
        <v>9</v>
      </c>
      <c r="E6432" s="3">
        <v>22</v>
      </c>
      <c r="F6432" s="3">
        <v>0</v>
      </c>
      <c r="G6432" s="3">
        <v>1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/>
      <c r="P6432" s="3"/>
      <c r="Q6432" s="3"/>
    </row>
    <row r="6433" spans="1:17" ht="15" x14ac:dyDescent="0.25">
      <c r="A6433" s="3">
        <f>6426</f>
        <v>6426</v>
      </c>
      <c r="B6433" s="3" t="s">
        <v>6435</v>
      </c>
      <c r="C6433" s="3" t="s">
        <v>10</v>
      </c>
      <c r="D6433" s="3" t="s">
        <v>9</v>
      </c>
      <c r="E6433" s="3">
        <v>22</v>
      </c>
      <c r="F6433" s="3">
        <v>0</v>
      </c>
      <c r="G6433" s="3">
        <v>1</v>
      </c>
      <c r="H6433" s="3">
        <v>0</v>
      </c>
      <c r="I6433" s="3">
        <v>0</v>
      </c>
      <c r="J6433" s="3">
        <v>1</v>
      </c>
      <c r="K6433" s="3">
        <v>0</v>
      </c>
      <c r="L6433" s="3">
        <v>1</v>
      </c>
      <c r="M6433" s="3">
        <v>0</v>
      </c>
      <c r="N6433" s="3">
        <v>0</v>
      </c>
      <c r="O6433" s="3"/>
      <c r="P6433" s="3"/>
      <c r="Q6433" s="3"/>
    </row>
    <row r="6434" spans="1:17" ht="15" x14ac:dyDescent="0.25">
      <c r="A6434" s="3">
        <f>6427</f>
        <v>6427</v>
      </c>
      <c r="B6434" s="3" t="s">
        <v>6436</v>
      </c>
      <c r="C6434" s="3" t="s">
        <v>10</v>
      </c>
      <c r="D6434" s="3" t="s">
        <v>9</v>
      </c>
      <c r="E6434" s="3">
        <v>22</v>
      </c>
      <c r="F6434" s="3">
        <v>0</v>
      </c>
      <c r="G6434" s="3">
        <v>1</v>
      </c>
      <c r="H6434" s="3">
        <v>0</v>
      </c>
      <c r="I6434" s="3">
        <v>24</v>
      </c>
      <c r="J6434" s="3">
        <v>1</v>
      </c>
      <c r="K6434" s="3">
        <v>20</v>
      </c>
      <c r="L6434" s="3">
        <v>1</v>
      </c>
      <c r="M6434" s="3">
        <v>0</v>
      </c>
      <c r="N6434" s="3">
        <v>23</v>
      </c>
      <c r="O6434" s="3"/>
      <c r="P6434" s="3"/>
      <c r="Q6434" s="3"/>
    </row>
    <row r="6435" spans="1:17" ht="15" x14ac:dyDescent="0.25">
      <c r="A6435" s="3">
        <f>6428</f>
        <v>6428</v>
      </c>
      <c r="B6435" s="3" t="s">
        <v>6437</v>
      </c>
      <c r="C6435" s="3" t="s">
        <v>10</v>
      </c>
      <c r="D6435" s="3" t="s">
        <v>9</v>
      </c>
      <c r="E6435" s="3">
        <v>22</v>
      </c>
      <c r="F6435" s="3">
        <v>0</v>
      </c>
      <c r="G6435" s="3">
        <v>1</v>
      </c>
      <c r="H6435" s="3">
        <v>0</v>
      </c>
      <c r="I6435" s="3">
        <v>24</v>
      </c>
      <c r="J6435" s="3">
        <v>1</v>
      </c>
      <c r="K6435" s="3">
        <v>20</v>
      </c>
      <c r="L6435" s="3">
        <v>1</v>
      </c>
      <c r="M6435" s="3">
        <v>0</v>
      </c>
      <c r="N6435" s="3">
        <v>23</v>
      </c>
      <c r="O6435" s="3"/>
      <c r="P6435" s="3"/>
      <c r="Q6435" s="3"/>
    </row>
    <row r="6436" spans="1:17" ht="15" x14ac:dyDescent="0.25">
      <c r="A6436" s="3">
        <f>6429</f>
        <v>6429</v>
      </c>
      <c r="B6436" s="3" t="s">
        <v>6438</v>
      </c>
      <c r="C6436" s="3" t="s">
        <v>10</v>
      </c>
      <c r="D6436" s="3" t="s">
        <v>9</v>
      </c>
      <c r="E6436" s="3">
        <v>22</v>
      </c>
      <c r="F6436" s="3">
        <v>0</v>
      </c>
      <c r="G6436" s="3">
        <v>1</v>
      </c>
      <c r="H6436" s="3">
        <v>0</v>
      </c>
      <c r="I6436" s="3">
        <v>24</v>
      </c>
      <c r="J6436" s="3">
        <v>1</v>
      </c>
      <c r="K6436" s="3">
        <v>20</v>
      </c>
      <c r="L6436" s="3">
        <v>1</v>
      </c>
      <c r="M6436" s="3">
        <v>0</v>
      </c>
      <c r="N6436" s="3">
        <v>23</v>
      </c>
      <c r="O6436" s="3"/>
      <c r="P6436" s="3"/>
      <c r="Q6436" s="3"/>
    </row>
    <row r="6437" spans="1:17" ht="15" x14ac:dyDescent="0.25">
      <c r="A6437" s="3">
        <f>6430</f>
        <v>6430</v>
      </c>
      <c r="B6437" s="3" t="s">
        <v>6439</v>
      </c>
      <c r="C6437" s="3" t="s">
        <v>10</v>
      </c>
      <c r="D6437" s="3" t="s">
        <v>9</v>
      </c>
      <c r="E6437" s="3">
        <v>22</v>
      </c>
      <c r="F6437" s="3">
        <v>0</v>
      </c>
      <c r="G6437" s="3">
        <v>1</v>
      </c>
      <c r="H6437" s="3">
        <v>0</v>
      </c>
      <c r="I6437" s="3">
        <v>24</v>
      </c>
      <c r="J6437" s="3">
        <v>1</v>
      </c>
      <c r="K6437" s="3">
        <v>20</v>
      </c>
      <c r="L6437" s="3">
        <v>1</v>
      </c>
      <c r="M6437" s="3">
        <v>0</v>
      </c>
      <c r="N6437" s="3">
        <v>23</v>
      </c>
      <c r="O6437" s="3"/>
      <c r="P6437" s="3"/>
      <c r="Q6437" s="3"/>
    </row>
    <row r="6438" spans="1:17" ht="15" x14ac:dyDescent="0.25">
      <c r="A6438" s="3">
        <f>6431</f>
        <v>6431</v>
      </c>
      <c r="B6438" s="3" t="s">
        <v>6440</v>
      </c>
      <c r="C6438" s="3" t="s">
        <v>10</v>
      </c>
      <c r="D6438" s="3" t="s">
        <v>9</v>
      </c>
      <c r="E6438" s="3">
        <v>22</v>
      </c>
      <c r="F6438" s="3">
        <v>0</v>
      </c>
      <c r="G6438" s="3">
        <v>1</v>
      </c>
      <c r="H6438" s="3">
        <v>0</v>
      </c>
      <c r="I6438" s="3">
        <v>24</v>
      </c>
      <c r="J6438" s="3">
        <v>1</v>
      </c>
      <c r="K6438" s="3">
        <v>20</v>
      </c>
      <c r="L6438" s="3">
        <v>1</v>
      </c>
      <c r="M6438" s="3">
        <v>0</v>
      </c>
      <c r="N6438" s="3">
        <v>23</v>
      </c>
      <c r="O6438" s="3"/>
      <c r="P6438" s="3"/>
      <c r="Q6438" s="3"/>
    </row>
    <row r="6439" spans="1:17" ht="15" x14ac:dyDescent="0.25">
      <c r="A6439" s="3">
        <f>6432</f>
        <v>6432</v>
      </c>
      <c r="B6439" s="3" t="s">
        <v>6441</v>
      </c>
      <c r="C6439" s="3" t="s">
        <v>10</v>
      </c>
      <c r="D6439" s="3" t="s">
        <v>9</v>
      </c>
      <c r="E6439" s="3">
        <v>22</v>
      </c>
      <c r="F6439" s="3">
        <v>0</v>
      </c>
      <c r="G6439" s="3">
        <v>1</v>
      </c>
      <c r="H6439" s="3">
        <v>0</v>
      </c>
      <c r="I6439" s="3">
        <v>24</v>
      </c>
      <c r="J6439" s="3">
        <v>1</v>
      </c>
      <c r="K6439" s="3">
        <v>20</v>
      </c>
      <c r="L6439" s="3">
        <v>1</v>
      </c>
      <c r="M6439" s="3">
        <v>0</v>
      </c>
      <c r="N6439" s="3">
        <v>23</v>
      </c>
      <c r="O6439" s="3"/>
      <c r="P6439" s="3"/>
      <c r="Q6439" s="3"/>
    </row>
    <row r="6440" spans="1:17" ht="15" x14ac:dyDescent="0.25">
      <c r="A6440" s="3">
        <f>6433</f>
        <v>6433</v>
      </c>
      <c r="B6440" s="3" t="s">
        <v>6442</v>
      </c>
      <c r="C6440" s="3" t="s">
        <v>10</v>
      </c>
      <c r="D6440" s="3" t="s">
        <v>9</v>
      </c>
      <c r="E6440" s="3">
        <v>22</v>
      </c>
      <c r="F6440" s="3">
        <v>0</v>
      </c>
      <c r="G6440" s="3">
        <v>1</v>
      </c>
      <c r="H6440" s="3">
        <v>0</v>
      </c>
      <c r="I6440" s="3">
        <v>24</v>
      </c>
      <c r="J6440" s="3">
        <v>1</v>
      </c>
      <c r="K6440" s="3">
        <v>20</v>
      </c>
      <c r="L6440" s="3">
        <v>1</v>
      </c>
      <c r="M6440" s="3">
        <v>0</v>
      </c>
      <c r="N6440" s="3">
        <v>23</v>
      </c>
      <c r="O6440" s="3"/>
      <c r="P6440" s="3"/>
      <c r="Q6440" s="3"/>
    </row>
    <row r="6441" spans="1:17" ht="15" x14ac:dyDescent="0.25">
      <c r="A6441" s="3">
        <f>6434</f>
        <v>6434</v>
      </c>
      <c r="B6441" s="3" t="s">
        <v>6443</v>
      </c>
      <c r="C6441" s="3" t="s">
        <v>10</v>
      </c>
      <c r="D6441" s="3" t="s">
        <v>9</v>
      </c>
      <c r="E6441" s="3">
        <v>22</v>
      </c>
      <c r="F6441" s="3">
        <v>0</v>
      </c>
      <c r="G6441" s="3">
        <v>1</v>
      </c>
      <c r="H6441" s="3">
        <v>0</v>
      </c>
      <c r="I6441" s="3">
        <v>24</v>
      </c>
      <c r="J6441" s="3">
        <v>1</v>
      </c>
      <c r="K6441" s="3">
        <v>20</v>
      </c>
      <c r="L6441" s="3">
        <v>1</v>
      </c>
      <c r="M6441" s="3">
        <v>0</v>
      </c>
      <c r="N6441" s="3">
        <v>23</v>
      </c>
      <c r="O6441" s="3"/>
      <c r="P6441" s="3"/>
      <c r="Q6441" s="3"/>
    </row>
    <row r="6442" spans="1:17" ht="15" x14ac:dyDescent="0.25">
      <c r="A6442" s="3">
        <f>6435</f>
        <v>6435</v>
      </c>
      <c r="B6442" s="3" t="s">
        <v>6444</v>
      </c>
      <c r="C6442" s="3" t="s">
        <v>10</v>
      </c>
      <c r="D6442" s="3" t="s">
        <v>9</v>
      </c>
      <c r="E6442" s="3">
        <v>22</v>
      </c>
      <c r="F6442" s="3">
        <v>0</v>
      </c>
      <c r="G6442" s="3">
        <v>1</v>
      </c>
      <c r="H6442" s="3">
        <v>0</v>
      </c>
      <c r="I6442" s="3">
        <v>24</v>
      </c>
      <c r="J6442" s="3">
        <v>1</v>
      </c>
      <c r="K6442" s="3">
        <v>20</v>
      </c>
      <c r="L6442" s="3">
        <v>1</v>
      </c>
      <c r="M6442" s="3">
        <v>0</v>
      </c>
      <c r="N6442" s="3">
        <v>23</v>
      </c>
      <c r="O6442" s="3"/>
      <c r="P6442" s="3"/>
      <c r="Q6442" s="3"/>
    </row>
    <row r="6443" spans="1:17" ht="15" x14ac:dyDescent="0.25">
      <c r="A6443" s="3">
        <f>6436</f>
        <v>6436</v>
      </c>
      <c r="B6443" s="3" t="s">
        <v>6445</v>
      </c>
      <c r="C6443" s="3" t="s">
        <v>10</v>
      </c>
      <c r="D6443" s="3" t="s">
        <v>9</v>
      </c>
      <c r="E6443" s="3">
        <v>22</v>
      </c>
      <c r="F6443" s="3">
        <v>0</v>
      </c>
      <c r="G6443" s="3">
        <v>1</v>
      </c>
      <c r="H6443" s="3">
        <v>0</v>
      </c>
      <c r="I6443" s="3">
        <v>24</v>
      </c>
      <c r="J6443" s="3">
        <v>1</v>
      </c>
      <c r="K6443" s="3">
        <v>20</v>
      </c>
      <c r="L6443" s="3">
        <v>1</v>
      </c>
      <c r="M6443" s="3">
        <v>0</v>
      </c>
      <c r="N6443" s="3">
        <v>23</v>
      </c>
      <c r="O6443" s="3"/>
      <c r="P6443" s="3"/>
      <c r="Q6443" s="3"/>
    </row>
    <row r="6444" spans="1:17" ht="15" x14ac:dyDescent="0.25">
      <c r="A6444" s="3">
        <f>6437</f>
        <v>6437</v>
      </c>
      <c r="B6444" s="3" t="s">
        <v>6446</v>
      </c>
      <c r="C6444" s="3" t="s">
        <v>10</v>
      </c>
      <c r="D6444" s="3" t="s">
        <v>9</v>
      </c>
      <c r="E6444" s="3">
        <v>22</v>
      </c>
      <c r="F6444" s="3">
        <v>0</v>
      </c>
      <c r="G6444" s="3">
        <v>1</v>
      </c>
      <c r="H6444" s="3">
        <v>0</v>
      </c>
      <c r="I6444" s="3">
        <v>24</v>
      </c>
      <c r="J6444" s="3">
        <v>1</v>
      </c>
      <c r="K6444" s="3">
        <v>20</v>
      </c>
      <c r="L6444" s="3">
        <v>1</v>
      </c>
      <c r="M6444" s="3">
        <v>0</v>
      </c>
      <c r="N6444" s="3">
        <v>23</v>
      </c>
      <c r="O6444" s="3"/>
      <c r="P6444" s="3"/>
      <c r="Q6444" s="3"/>
    </row>
    <row r="6445" spans="1:17" ht="15" x14ac:dyDescent="0.25">
      <c r="A6445" s="3">
        <f>6438</f>
        <v>6438</v>
      </c>
      <c r="B6445" s="3" t="s">
        <v>6447</v>
      </c>
      <c r="C6445" s="3" t="s">
        <v>10</v>
      </c>
      <c r="D6445" s="3" t="s">
        <v>9</v>
      </c>
      <c r="E6445" s="3">
        <v>22</v>
      </c>
      <c r="F6445" s="3">
        <v>0</v>
      </c>
      <c r="G6445" s="3">
        <v>1</v>
      </c>
      <c r="H6445" s="3">
        <v>0</v>
      </c>
      <c r="I6445" s="3">
        <v>24</v>
      </c>
      <c r="J6445" s="3">
        <v>1</v>
      </c>
      <c r="K6445" s="3">
        <v>20</v>
      </c>
      <c r="L6445" s="3">
        <v>1</v>
      </c>
      <c r="M6445" s="3">
        <v>0</v>
      </c>
      <c r="N6445" s="3">
        <v>23</v>
      </c>
      <c r="O6445" s="3"/>
      <c r="P6445" s="3"/>
      <c r="Q6445" s="3"/>
    </row>
    <row r="6446" spans="1:17" ht="15" x14ac:dyDescent="0.25">
      <c r="A6446" s="3">
        <f>6439</f>
        <v>6439</v>
      </c>
      <c r="B6446" s="3" t="s">
        <v>6448</v>
      </c>
      <c r="C6446" s="3" t="s">
        <v>10</v>
      </c>
      <c r="D6446" s="3" t="s">
        <v>9</v>
      </c>
      <c r="E6446" s="3">
        <v>22</v>
      </c>
      <c r="F6446" s="3">
        <v>0</v>
      </c>
      <c r="G6446" s="3">
        <v>1</v>
      </c>
      <c r="H6446" s="3">
        <v>0</v>
      </c>
      <c r="I6446" s="3">
        <v>24</v>
      </c>
      <c r="J6446" s="3">
        <v>1</v>
      </c>
      <c r="K6446" s="3">
        <v>20</v>
      </c>
      <c r="L6446" s="3">
        <v>1</v>
      </c>
      <c r="M6446" s="3">
        <v>0</v>
      </c>
      <c r="N6446" s="3">
        <v>23</v>
      </c>
      <c r="O6446" s="3"/>
      <c r="P6446" s="3"/>
      <c r="Q6446" s="3"/>
    </row>
    <row r="6447" spans="1:17" ht="15" x14ac:dyDescent="0.25">
      <c r="A6447" s="3">
        <f>6440</f>
        <v>6440</v>
      </c>
      <c r="B6447" s="3" t="s">
        <v>6449</v>
      </c>
      <c r="C6447" s="3" t="s">
        <v>10</v>
      </c>
      <c r="D6447" s="3" t="s">
        <v>9</v>
      </c>
      <c r="E6447" s="3">
        <v>22</v>
      </c>
      <c r="F6447" s="3">
        <v>0</v>
      </c>
      <c r="G6447" s="3">
        <v>1</v>
      </c>
      <c r="H6447" s="3">
        <v>0</v>
      </c>
      <c r="I6447" s="3">
        <v>24</v>
      </c>
      <c r="J6447" s="3">
        <v>1</v>
      </c>
      <c r="K6447" s="3">
        <v>20</v>
      </c>
      <c r="L6447" s="3">
        <v>1</v>
      </c>
      <c r="M6447" s="3">
        <v>0</v>
      </c>
      <c r="N6447" s="3">
        <v>23</v>
      </c>
      <c r="O6447" s="3"/>
      <c r="P6447" s="3"/>
      <c r="Q6447" s="3"/>
    </row>
    <row r="6448" spans="1:17" ht="15" x14ac:dyDescent="0.25">
      <c r="A6448" s="3">
        <f>6441</f>
        <v>6441</v>
      </c>
      <c r="B6448" s="3" t="s">
        <v>6450</v>
      </c>
      <c r="C6448" s="3" t="s">
        <v>10</v>
      </c>
      <c r="D6448" s="3" t="s">
        <v>9</v>
      </c>
      <c r="E6448" s="3">
        <v>22</v>
      </c>
      <c r="F6448" s="3">
        <v>0</v>
      </c>
      <c r="G6448" s="3">
        <v>1</v>
      </c>
      <c r="H6448" s="3">
        <v>0</v>
      </c>
      <c r="I6448" s="3">
        <v>24</v>
      </c>
      <c r="J6448" s="3">
        <v>1</v>
      </c>
      <c r="K6448" s="3">
        <v>20</v>
      </c>
      <c r="L6448" s="3">
        <v>1</v>
      </c>
      <c r="M6448" s="3">
        <v>0</v>
      </c>
      <c r="N6448" s="3">
        <v>23</v>
      </c>
      <c r="O6448" s="3"/>
      <c r="P6448" s="3"/>
      <c r="Q6448" s="3"/>
    </row>
    <row r="6449" spans="1:17" ht="15" x14ac:dyDescent="0.25">
      <c r="A6449" s="3">
        <f>6442</f>
        <v>6442</v>
      </c>
      <c r="B6449" s="3" t="s">
        <v>6451</v>
      </c>
      <c r="C6449" s="3" t="s">
        <v>10</v>
      </c>
      <c r="D6449" s="3" t="s">
        <v>9</v>
      </c>
      <c r="E6449" s="3">
        <v>22</v>
      </c>
      <c r="F6449" s="3">
        <v>0</v>
      </c>
      <c r="G6449" s="3">
        <v>1</v>
      </c>
      <c r="H6449" s="3">
        <v>0</v>
      </c>
      <c r="I6449" s="3">
        <v>24</v>
      </c>
      <c r="J6449" s="3">
        <v>1</v>
      </c>
      <c r="K6449" s="3">
        <v>20</v>
      </c>
      <c r="L6449" s="3">
        <v>1</v>
      </c>
      <c r="M6449" s="3">
        <v>0</v>
      </c>
      <c r="N6449" s="3">
        <v>23</v>
      </c>
      <c r="O6449" s="3"/>
      <c r="P6449" s="3"/>
      <c r="Q6449" s="3"/>
    </row>
    <row r="6450" spans="1:17" ht="15" x14ac:dyDescent="0.25">
      <c r="A6450" s="3">
        <f>6443</f>
        <v>6443</v>
      </c>
      <c r="B6450" s="3" t="s">
        <v>6452</v>
      </c>
      <c r="C6450" s="3" t="s">
        <v>10</v>
      </c>
      <c r="D6450" s="3" t="s">
        <v>9</v>
      </c>
      <c r="E6450" s="3">
        <v>22</v>
      </c>
      <c r="F6450" s="3">
        <v>0</v>
      </c>
      <c r="G6450" s="3">
        <v>1</v>
      </c>
      <c r="H6450" s="3">
        <v>0</v>
      </c>
      <c r="I6450" s="3">
        <v>24</v>
      </c>
      <c r="J6450" s="3">
        <v>1</v>
      </c>
      <c r="K6450" s="3">
        <v>20</v>
      </c>
      <c r="L6450" s="3">
        <v>1</v>
      </c>
      <c r="M6450" s="3">
        <v>0</v>
      </c>
      <c r="N6450" s="3">
        <v>23</v>
      </c>
      <c r="O6450" s="3"/>
      <c r="P6450" s="3"/>
      <c r="Q6450" s="3"/>
    </row>
    <row r="6451" spans="1:17" ht="15" x14ac:dyDescent="0.25">
      <c r="A6451" s="3">
        <f>6444</f>
        <v>6444</v>
      </c>
      <c r="B6451" s="3" t="s">
        <v>6453</v>
      </c>
      <c r="C6451" s="3" t="s">
        <v>10</v>
      </c>
      <c r="D6451" s="3" t="s">
        <v>9</v>
      </c>
      <c r="E6451" s="3">
        <v>22</v>
      </c>
      <c r="F6451" s="3">
        <v>0</v>
      </c>
      <c r="G6451" s="3">
        <v>1</v>
      </c>
      <c r="H6451" s="3">
        <v>0</v>
      </c>
      <c r="I6451" s="3">
        <v>24</v>
      </c>
      <c r="J6451" s="3">
        <v>1</v>
      </c>
      <c r="K6451" s="3">
        <v>20</v>
      </c>
      <c r="L6451" s="3">
        <v>1</v>
      </c>
      <c r="M6451" s="3">
        <v>0</v>
      </c>
      <c r="N6451" s="3">
        <v>23</v>
      </c>
      <c r="O6451" s="3"/>
      <c r="P6451" s="3"/>
      <c r="Q6451" s="3"/>
    </row>
    <row r="6452" spans="1:17" ht="15" x14ac:dyDescent="0.25">
      <c r="A6452" s="3">
        <f>6445</f>
        <v>6445</v>
      </c>
      <c r="B6452" s="3" t="s">
        <v>6454</v>
      </c>
      <c r="C6452" s="3" t="s">
        <v>10</v>
      </c>
      <c r="D6452" s="3" t="s">
        <v>9</v>
      </c>
      <c r="E6452" s="3">
        <v>22</v>
      </c>
      <c r="F6452" s="3">
        <v>0</v>
      </c>
      <c r="G6452" s="3">
        <v>1</v>
      </c>
      <c r="H6452" s="3">
        <v>0</v>
      </c>
      <c r="I6452" s="3">
        <v>24</v>
      </c>
      <c r="J6452" s="3">
        <v>1</v>
      </c>
      <c r="K6452" s="3">
        <v>20</v>
      </c>
      <c r="L6452" s="3">
        <v>1</v>
      </c>
      <c r="M6452" s="3">
        <v>0</v>
      </c>
      <c r="N6452" s="3">
        <v>23</v>
      </c>
      <c r="O6452" s="3"/>
      <c r="P6452" s="3"/>
      <c r="Q6452" s="3"/>
    </row>
    <row r="6453" spans="1:17" ht="15" x14ac:dyDescent="0.25">
      <c r="A6453" s="3">
        <f>6446</f>
        <v>6446</v>
      </c>
      <c r="B6453" s="3" t="s">
        <v>6455</v>
      </c>
      <c r="C6453" s="3" t="s">
        <v>10</v>
      </c>
      <c r="D6453" s="3" t="s">
        <v>9</v>
      </c>
      <c r="E6453" s="3">
        <v>22</v>
      </c>
      <c r="F6453" s="3">
        <v>0</v>
      </c>
      <c r="G6453" s="3">
        <v>1</v>
      </c>
      <c r="H6453" s="3">
        <v>0</v>
      </c>
      <c r="I6453" s="3">
        <v>24</v>
      </c>
      <c r="J6453" s="3">
        <v>1</v>
      </c>
      <c r="K6453" s="3">
        <v>20</v>
      </c>
      <c r="L6453" s="3">
        <v>1</v>
      </c>
      <c r="M6453" s="3">
        <v>0</v>
      </c>
      <c r="N6453" s="3">
        <v>23</v>
      </c>
      <c r="O6453" s="3"/>
      <c r="P6453" s="3"/>
      <c r="Q6453" s="3"/>
    </row>
    <row r="6454" spans="1:17" ht="15" x14ac:dyDescent="0.25">
      <c r="A6454" s="3">
        <f>6447</f>
        <v>6447</v>
      </c>
      <c r="B6454" s="3" t="s">
        <v>6456</v>
      </c>
      <c r="C6454" s="3" t="s">
        <v>10</v>
      </c>
      <c r="D6454" s="3" t="s">
        <v>9</v>
      </c>
      <c r="E6454" s="3">
        <v>22</v>
      </c>
      <c r="F6454" s="3">
        <v>0</v>
      </c>
      <c r="G6454" s="3">
        <v>1</v>
      </c>
      <c r="H6454" s="3">
        <v>0</v>
      </c>
      <c r="I6454" s="3">
        <v>24</v>
      </c>
      <c r="J6454" s="3">
        <v>1</v>
      </c>
      <c r="K6454" s="3">
        <v>20</v>
      </c>
      <c r="L6454" s="3">
        <v>1</v>
      </c>
      <c r="M6454" s="3">
        <v>0</v>
      </c>
      <c r="N6454" s="3">
        <v>23</v>
      </c>
      <c r="O6454" s="3"/>
      <c r="P6454" s="3"/>
      <c r="Q6454" s="3"/>
    </row>
    <row r="6455" spans="1:17" ht="15" x14ac:dyDescent="0.25">
      <c r="A6455" s="3">
        <f>6448</f>
        <v>6448</v>
      </c>
      <c r="B6455" s="3" t="s">
        <v>6457</v>
      </c>
      <c r="C6455" s="3" t="s">
        <v>10</v>
      </c>
      <c r="D6455" s="3" t="s">
        <v>9</v>
      </c>
      <c r="E6455" s="3">
        <v>22</v>
      </c>
      <c r="F6455" s="3">
        <v>0</v>
      </c>
      <c r="G6455" s="3">
        <v>1</v>
      </c>
      <c r="H6455" s="3">
        <v>0</v>
      </c>
      <c r="I6455" s="3">
        <v>24</v>
      </c>
      <c r="J6455" s="3">
        <v>1</v>
      </c>
      <c r="K6455" s="3">
        <v>20</v>
      </c>
      <c r="L6455" s="3">
        <v>1</v>
      </c>
      <c r="M6455" s="3">
        <v>0</v>
      </c>
      <c r="N6455" s="3">
        <v>23</v>
      </c>
      <c r="O6455" s="3"/>
      <c r="P6455" s="3"/>
      <c r="Q6455" s="3"/>
    </row>
    <row r="6456" spans="1:17" ht="15" x14ac:dyDescent="0.25">
      <c r="A6456" s="3">
        <f>6449</f>
        <v>6449</v>
      </c>
      <c r="B6456" s="3" t="s">
        <v>6458</v>
      </c>
      <c r="C6456" s="3" t="s">
        <v>10</v>
      </c>
      <c r="D6456" s="3" t="s">
        <v>9</v>
      </c>
      <c r="E6456" s="3">
        <v>22</v>
      </c>
      <c r="F6456" s="3">
        <v>0</v>
      </c>
      <c r="G6456" s="3">
        <v>1</v>
      </c>
      <c r="H6456" s="3">
        <v>0</v>
      </c>
      <c r="I6456" s="3">
        <v>24</v>
      </c>
      <c r="J6456" s="3">
        <v>1</v>
      </c>
      <c r="K6456" s="3">
        <v>20</v>
      </c>
      <c r="L6456" s="3">
        <v>1</v>
      </c>
      <c r="M6456" s="3">
        <v>0</v>
      </c>
      <c r="N6456" s="3">
        <v>23</v>
      </c>
      <c r="O6456" s="3"/>
      <c r="P6456" s="3"/>
      <c r="Q6456" s="3"/>
    </row>
    <row r="6457" spans="1:17" ht="15" x14ac:dyDescent="0.25">
      <c r="A6457" s="3">
        <f>6450</f>
        <v>6450</v>
      </c>
      <c r="B6457" s="3" t="s">
        <v>6459</v>
      </c>
      <c r="C6457" s="3" t="s">
        <v>10</v>
      </c>
      <c r="D6457" s="3" t="s">
        <v>9</v>
      </c>
      <c r="E6457" s="3">
        <v>22</v>
      </c>
      <c r="F6457" s="3">
        <v>0</v>
      </c>
      <c r="G6457" s="3">
        <v>1</v>
      </c>
      <c r="H6457" s="3">
        <v>0</v>
      </c>
      <c r="I6457" s="3">
        <v>24</v>
      </c>
      <c r="J6457" s="3">
        <v>1</v>
      </c>
      <c r="K6457" s="3">
        <v>20</v>
      </c>
      <c r="L6457" s="3">
        <v>1</v>
      </c>
      <c r="M6457" s="3">
        <v>0</v>
      </c>
      <c r="N6457" s="3">
        <v>23</v>
      </c>
      <c r="O6457" s="3"/>
      <c r="P6457" s="3"/>
      <c r="Q6457" s="3"/>
    </row>
    <row r="6458" spans="1:17" ht="15" x14ac:dyDescent="0.25">
      <c r="A6458" s="3">
        <f>6451</f>
        <v>6451</v>
      </c>
      <c r="B6458" s="3" t="s">
        <v>6460</v>
      </c>
      <c r="C6458" s="3" t="s">
        <v>10</v>
      </c>
      <c r="D6458" s="3" t="s">
        <v>9</v>
      </c>
      <c r="E6458" s="3">
        <v>22</v>
      </c>
      <c r="F6458" s="3">
        <v>0</v>
      </c>
      <c r="G6458" s="3">
        <v>1</v>
      </c>
      <c r="H6458" s="3">
        <v>0</v>
      </c>
      <c r="I6458" s="3">
        <v>24</v>
      </c>
      <c r="J6458" s="3">
        <v>1</v>
      </c>
      <c r="K6458" s="3">
        <v>20</v>
      </c>
      <c r="L6458" s="3">
        <v>1</v>
      </c>
      <c r="M6458" s="3">
        <v>0</v>
      </c>
      <c r="N6458" s="3">
        <v>23</v>
      </c>
      <c r="O6458" s="3"/>
      <c r="P6458" s="3"/>
      <c r="Q6458" s="3"/>
    </row>
    <row r="6459" spans="1:17" ht="15" x14ac:dyDescent="0.25">
      <c r="A6459" s="3">
        <f>6452</f>
        <v>6452</v>
      </c>
      <c r="B6459" s="3" t="s">
        <v>6461</v>
      </c>
      <c r="C6459" s="3" t="s">
        <v>10</v>
      </c>
      <c r="D6459" s="3" t="s">
        <v>9</v>
      </c>
      <c r="E6459" s="3">
        <v>22</v>
      </c>
      <c r="F6459" s="3">
        <v>0</v>
      </c>
      <c r="G6459" s="3">
        <v>1</v>
      </c>
      <c r="H6459" s="3">
        <v>0</v>
      </c>
      <c r="I6459" s="3">
        <v>24</v>
      </c>
      <c r="J6459" s="3">
        <v>1</v>
      </c>
      <c r="K6459" s="3">
        <v>20</v>
      </c>
      <c r="L6459" s="3">
        <v>1</v>
      </c>
      <c r="M6459" s="3">
        <v>0</v>
      </c>
      <c r="N6459" s="3">
        <v>23</v>
      </c>
      <c r="O6459" s="3"/>
      <c r="P6459" s="3"/>
      <c r="Q6459" s="3"/>
    </row>
    <row r="6460" spans="1:17" ht="15" x14ac:dyDescent="0.25">
      <c r="A6460" s="3">
        <f>6453</f>
        <v>6453</v>
      </c>
      <c r="B6460" s="3" t="s">
        <v>6462</v>
      </c>
      <c r="C6460" s="3" t="s">
        <v>10</v>
      </c>
      <c r="D6460" s="3" t="s">
        <v>9</v>
      </c>
      <c r="E6460" s="3">
        <v>22</v>
      </c>
      <c r="F6460" s="3">
        <v>0</v>
      </c>
      <c r="G6460" s="3">
        <v>1</v>
      </c>
      <c r="H6460" s="3">
        <v>0</v>
      </c>
      <c r="I6460" s="3">
        <v>24</v>
      </c>
      <c r="J6460" s="3">
        <v>1</v>
      </c>
      <c r="K6460" s="3">
        <v>20</v>
      </c>
      <c r="L6460" s="3">
        <v>1</v>
      </c>
      <c r="M6460" s="3">
        <v>0</v>
      </c>
      <c r="N6460" s="3">
        <v>23</v>
      </c>
      <c r="O6460" s="3"/>
      <c r="P6460" s="3"/>
      <c r="Q6460" s="3"/>
    </row>
    <row r="6461" spans="1:17" ht="15" x14ac:dyDescent="0.25">
      <c r="A6461" s="3">
        <f>6454</f>
        <v>6454</v>
      </c>
      <c r="B6461" s="3" t="s">
        <v>6463</v>
      </c>
      <c r="C6461" s="3" t="s">
        <v>10</v>
      </c>
      <c r="D6461" s="3" t="s">
        <v>9</v>
      </c>
      <c r="E6461" s="3">
        <v>22</v>
      </c>
      <c r="F6461" s="3">
        <v>0</v>
      </c>
      <c r="G6461" s="3">
        <v>1</v>
      </c>
      <c r="H6461" s="3">
        <v>0</v>
      </c>
      <c r="I6461" s="3">
        <v>24</v>
      </c>
      <c r="J6461" s="3">
        <v>1</v>
      </c>
      <c r="K6461" s="3">
        <v>20</v>
      </c>
      <c r="L6461" s="3">
        <v>1</v>
      </c>
      <c r="M6461" s="3">
        <v>0</v>
      </c>
      <c r="N6461" s="3">
        <v>23</v>
      </c>
      <c r="O6461" s="3"/>
      <c r="P6461" s="3"/>
      <c r="Q6461" s="3"/>
    </row>
    <row r="6462" spans="1:17" ht="15" x14ac:dyDescent="0.25">
      <c r="A6462" s="3">
        <f>6455</f>
        <v>6455</v>
      </c>
      <c r="B6462" s="3" t="s">
        <v>6464</v>
      </c>
      <c r="C6462" s="3" t="s">
        <v>10</v>
      </c>
      <c r="D6462" s="3" t="s">
        <v>9</v>
      </c>
      <c r="E6462" s="3">
        <v>22</v>
      </c>
      <c r="F6462" s="3">
        <v>0</v>
      </c>
      <c r="G6462" s="3">
        <v>1</v>
      </c>
      <c r="H6462" s="3">
        <v>0</v>
      </c>
      <c r="I6462" s="3">
        <v>24</v>
      </c>
      <c r="J6462" s="3">
        <v>1</v>
      </c>
      <c r="K6462" s="3">
        <v>20</v>
      </c>
      <c r="L6462" s="3">
        <v>1</v>
      </c>
      <c r="M6462" s="3">
        <v>0</v>
      </c>
      <c r="N6462" s="3">
        <v>23</v>
      </c>
      <c r="O6462" s="3"/>
      <c r="P6462" s="3"/>
      <c r="Q6462" s="3"/>
    </row>
    <row r="6463" spans="1:17" ht="15" x14ac:dyDescent="0.25">
      <c r="A6463" s="3">
        <f>6456</f>
        <v>6456</v>
      </c>
      <c r="B6463" s="3" t="s">
        <v>6465</v>
      </c>
      <c r="C6463" s="3" t="s">
        <v>10</v>
      </c>
      <c r="D6463" s="3" t="s">
        <v>9</v>
      </c>
      <c r="E6463" s="3">
        <v>22</v>
      </c>
      <c r="F6463" s="3">
        <v>0</v>
      </c>
      <c r="G6463" s="3">
        <v>1</v>
      </c>
      <c r="H6463" s="3">
        <v>0</v>
      </c>
      <c r="I6463" s="3">
        <v>24</v>
      </c>
      <c r="J6463" s="3">
        <v>1</v>
      </c>
      <c r="K6463" s="3">
        <v>20</v>
      </c>
      <c r="L6463" s="3">
        <v>1</v>
      </c>
      <c r="M6463" s="3">
        <v>0</v>
      </c>
      <c r="N6463" s="3">
        <v>23</v>
      </c>
      <c r="O6463" s="3"/>
      <c r="P6463" s="3"/>
      <c r="Q6463" s="3"/>
    </row>
    <row r="6464" spans="1:17" ht="15" x14ac:dyDescent="0.25">
      <c r="A6464" s="3">
        <f>6457</f>
        <v>6457</v>
      </c>
      <c r="B6464" s="3" t="s">
        <v>6466</v>
      </c>
      <c r="C6464" s="3" t="s">
        <v>10</v>
      </c>
      <c r="D6464" s="3" t="s">
        <v>9</v>
      </c>
      <c r="E6464" s="3">
        <v>22</v>
      </c>
      <c r="F6464" s="3">
        <v>0</v>
      </c>
      <c r="G6464" s="3">
        <v>1</v>
      </c>
      <c r="H6464" s="3">
        <v>0</v>
      </c>
      <c r="I6464" s="3">
        <v>24</v>
      </c>
      <c r="J6464" s="3">
        <v>1</v>
      </c>
      <c r="K6464" s="3">
        <v>20</v>
      </c>
      <c r="L6464" s="3">
        <v>1</v>
      </c>
      <c r="M6464" s="3">
        <v>0</v>
      </c>
      <c r="N6464" s="3">
        <v>23</v>
      </c>
      <c r="O6464" s="3"/>
      <c r="P6464" s="3"/>
      <c r="Q6464" s="3"/>
    </row>
    <row r="6465" spans="1:17" ht="15" x14ac:dyDescent="0.25">
      <c r="A6465" s="3">
        <f>6458</f>
        <v>6458</v>
      </c>
      <c r="B6465" s="3" t="s">
        <v>6467</v>
      </c>
      <c r="C6465" s="3" t="s">
        <v>10</v>
      </c>
      <c r="D6465" s="3" t="s">
        <v>9</v>
      </c>
      <c r="E6465" s="3">
        <v>22</v>
      </c>
      <c r="F6465" s="3">
        <v>0</v>
      </c>
      <c r="G6465" s="3">
        <v>1</v>
      </c>
      <c r="H6465" s="3">
        <v>0</v>
      </c>
      <c r="I6465" s="3">
        <v>24</v>
      </c>
      <c r="J6465" s="3">
        <v>1</v>
      </c>
      <c r="K6465" s="3">
        <v>20</v>
      </c>
      <c r="L6465" s="3">
        <v>1</v>
      </c>
      <c r="M6465" s="3">
        <v>0</v>
      </c>
      <c r="N6465" s="3">
        <v>23</v>
      </c>
      <c r="O6465" s="3"/>
      <c r="P6465" s="3"/>
      <c r="Q6465" s="3"/>
    </row>
    <row r="6466" spans="1:17" ht="15" x14ac:dyDescent="0.25">
      <c r="A6466" s="3">
        <f>6459</f>
        <v>6459</v>
      </c>
      <c r="B6466" s="3" t="s">
        <v>6468</v>
      </c>
      <c r="C6466" s="3" t="s">
        <v>10</v>
      </c>
      <c r="D6466" s="3" t="s">
        <v>9</v>
      </c>
      <c r="E6466" s="3">
        <v>22</v>
      </c>
      <c r="F6466" s="3">
        <v>0</v>
      </c>
      <c r="G6466" s="3">
        <v>1</v>
      </c>
      <c r="H6466" s="3">
        <v>0</v>
      </c>
      <c r="I6466" s="3">
        <v>24</v>
      </c>
      <c r="J6466" s="3">
        <v>1</v>
      </c>
      <c r="K6466" s="3">
        <v>20</v>
      </c>
      <c r="L6466" s="3">
        <v>1</v>
      </c>
      <c r="M6466" s="3">
        <v>0</v>
      </c>
      <c r="N6466" s="3">
        <v>23</v>
      </c>
      <c r="O6466" s="3"/>
      <c r="P6466" s="3"/>
      <c r="Q6466" s="3"/>
    </row>
    <row r="6467" spans="1:17" ht="15" x14ac:dyDescent="0.25">
      <c r="A6467" s="3">
        <f>6460</f>
        <v>6460</v>
      </c>
      <c r="B6467" s="3" t="s">
        <v>6469</v>
      </c>
      <c r="C6467" s="3" t="s">
        <v>10</v>
      </c>
      <c r="D6467" s="3" t="s">
        <v>9</v>
      </c>
      <c r="E6467" s="3">
        <v>22</v>
      </c>
      <c r="F6467" s="3">
        <v>0</v>
      </c>
      <c r="G6467" s="3">
        <v>1</v>
      </c>
      <c r="H6467" s="3">
        <v>0</v>
      </c>
      <c r="I6467" s="3">
        <v>24</v>
      </c>
      <c r="J6467" s="3">
        <v>1</v>
      </c>
      <c r="K6467" s="3">
        <v>20</v>
      </c>
      <c r="L6467" s="3">
        <v>1</v>
      </c>
      <c r="M6467" s="3">
        <v>0</v>
      </c>
      <c r="N6467" s="3">
        <v>23</v>
      </c>
      <c r="O6467" s="3"/>
      <c r="P6467" s="3"/>
      <c r="Q6467" s="3"/>
    </row>
    <row r="6468" spans="1:17" ht="15" x14ac:dyDescent="0.25">
      <c r="A6468" s="3">
        <f>6461</f>
        <v>6461</v>
      </c>
      <c r="B6468" s="3" t="s">
        <v>6470</v>
      </c>
      <c r="C6468" s="3" t="s">
        <v>10</v>
      </c>
      <c r="D6468" s="3" t="s">
        <v>9</v>
      </c>
      <c r="E6468" s="3">
        <v>22</v>
      </c>
      <c r="F6468" s="3">
        <v>0</v>
      </c>
      <c r="G6468" s="3">
        <v>1</v>
      </c>
      <c r="H6468" s="3">
        <v>0</v>
      </c>
      <c r="I6468" s="3">
        <v>24</v>
      </c>
      <c r="J6468" s="3">
        <v>1</v>
      </c>
      <c r="K6468" s="3">
        <v>20</v>
      </c>
      <c r="L6468" s="3">
        <v>1</v>
      </c>
      <c r="M6468" s="3">
        <v>0</v>
      </c>
      <c r="N6468" s="3">
        <v>23</v>
      </c>
      <c r="O6468" s="3"/>
      <c r="P6468" s="3"/>
      <c r="Q6468" s="3"/>
    </row>
    <row r="6469" spans="1:17" ht="15" x14ac:dyDescent="0.25">
      <c r="A6469" s="3">
        <f>6462</f>
        <v>6462</v>
      </c>
      <c r="B6469" s="3" t="s">
        <v>6471</v>
      </c>
      <c r="C6469" s="3" t="s">
        <v>10</v>
      </c>
      <c r="D6469" s="3" t="s">
        <v>9</v>
      </c>
      <c r="E6469" s="3">
        <v>22</v>
      </c>
      <c r="F6469" s="3">
        <v>0</v>
      </c>
      <c r="G6469" s="3">
        <v>1</v>
      </c>
      <c r="H6469" s="3">
        <v>0</v>
      </c>
      <c r="I6469" s="3">
        <v>24</v>
      </c>
      <c r="J6469" s="3">
        <v>1</v>
      </c>
      <c r="K6469" s="3">
        <v>20</v>
      </c>
      <c r="L6469" s="3">
        <v>1</v>
      </c>
      <c r="M6469" s="3">
        <v>0</v>
      </c>
      <c r="N6469" s="3">
        <v>23</v>
      </c>
      <c r="O6469" s="3"/>
      <c r="P6469" s="3"/>
      <c r="Q6469" s="3"/>
    </row>
    <row r="6470" spans="1:17" ht="15" x14ac:dyDescent="0.25">
      <c r="A6470" s="3">
        <f>6463</f>
        <v>6463</v>
      </c>
      <c r="B6470" s="3" t="s">
        <v>6472</v>
      </c>
      <c r="C6470" s="3" t="s">
        <v>10</v>
      </c>
      <c r="D6470" s="3" t="s">
        <v>9</v>
      </c>
      <c r="E6470" s="3">
        <v>22</v>
      </c>
      <c r="F6470" s="3">
        <v>0</v>
      </c>
      <c r="G6470" s="3">
        <v>1</v>
      </c>
      <c r="H6470" s="3">
        <v>0</v>
      </c>
      <c r="I6470" s="3">
        <v>24</v>
      </c>
      <c r="J6470" s="3">
        <v>1</v>
      </c>
      <c r="K6470" s="3">
        <v>20</v>
      </c>
      <c r="L6470" s="3">
        <v>1</v>
      </c>
      <c r="M6470" s="3">
        <v>0</v>
      </c>
      <c r="N6470" s="3">
        <v>23</v>
      </c>
      <c r="O6470" s="3"/>
      <c r="P6470" s="3"/>
      <c r="Q6470" s="3"/>
    </row>
    <row r="6471" spans="1:17" ht="15" x14ac:dyDescent="0.25">
      <c r="A6471" s="3">
        <f>6464</f>
        <v>6464</v>
      </c>
      <c r="B6471" s="3" t="s">
        <v>6473</v>
      </c>
      <c r="C6471" s="3" t="s">
        <v>10</v>
      </c>
      <c r="D6471" s="3" t="s">
        <v>9</v>
      </c>
      <c r="E6471" s="3">
        <v>22</v>
      </c>
      <c r="F6471" s="3">
        <v>0</v>
      </c>
      <c r="G6471" s="3">
        <v>1</v>
      </c>
      <c r="H6471" s="3">
        <v>0</v>
      </c>
      <c r="I6471" s="3">
        <v>24</v>
      </c>
      <c r="J6471" s="3">
        <v>1</v>
      </c>
      <c r="K6471" s="3">
        <v>20</v>
      </c>
      <c r="L6471" s="3">
        <v>1</v>
      </c>
      <c r="M6471" s="3">
        <v>0</v>
      </c>
      <c r="N6471" s="3">
        <v>23</v>
      </c>
      <c r="O6471" s="3"/>
      <c r="P6471" s="3"/>
      <c r="Q6471" s="3"/>
    </row>
    <row r="6472" spans="1:17" ht="15" x14ac:dyDescent="0.25">
      <c r="A6472" s="3">
        <f>6465</f>
        <v>6465</v>
      </c>
      <c r="B6472" s="3" t="s">
        <v>6474</v>
      </c>
      <c r="C6472" s="3" t="s">
        <v>10</v>
      </c>
      <c r="D6472" s="3" t="s">
        <v>9</v>
      </c>
      <c r="E6472" s="3">
        <v>22</v>
      </c>
      <c r="F6472" s="3">
        <v>0</v>
      </c>
      <c r="G6472" s="3">
        <v>1</v>
      </c>
      <c r="H6472" s="3">
        <v>0</v>
      </c>
      <c r="I6472" s="3">
        <v>24</v>
      </c>
      <c r="J6472" s="3">
        <v>1</v>
      </c>
      <c r="K6472" s="3">
        <v>20</v>
      </c>
      <c r="L6472" s="3">
        <v>1</v>
      </c>
      <c r="M6472" s="3">
        <v>0</v>
      </c>
      <c r="N6472" s="3">
        <v>23</v>
      </c>
      <c r="O6472" s="3"/>
      <c r="P6472" s="3"/>
      <c r="Q6472" s="3"/>
    </row>
    <row r="6473" spans="1:17" ht="15" x14ac:dyDescent="0.25">
      <c r="A6473" s="3">
        <f>6466</f>
        <v>6466</v>
      </c>
      <c r="B6473" s="3" t="s">
        <v>6475</v>
      </c>
      <c r="C6473" s="3" t="s">
        <v>10</v>
      </c>
      <c r="D6473" s="3" t="s">
        <v>9</v>
      </c>
      <c r="E6473" s="3">
        <v>22</v>
      </c>
      <c r="F6473" s="3">
        <v>0</v>
      </c>
      <c r="G6473" s="3">
        <v>1</v>
      </c>
      <c r="H6473" s="3">
        <v>0</v>
      </c>
      <c r="I6473" s="3">
        <v>24</v>
      </c>
      <c r="J6473" s="3">
        <v>1</v>
      </c>
      <c r="K6473" s="3">
        <v>20</v>
      </c>
      <c r="L6473" s="3">
        <v>1</v>
      </c>
      <c r="M6473" s="3">
        <v>0</v>
      </c>
      <c r="N6473" s="3">
        <v>23</v>
      </c>
      <c r="O6473" s="3"/>
      <c r="P6473" s="3"/>
      <c r="Q6473" s="3"/>
    </row>
    <row r="6474" spans="1:17" ht="15" x14ac:dyDescent="0.25">
      <c r="A6474" s="3">
        <f>6467</f>
        <v>6467</v>
      </c>
      <c r="B6474" s="3" t="s">
        <v>6476</v>
      </c>
      <c r="C6474" s="3" t="s">
        <v>10</v>
      </c>
      <c r="D6474" s="3" t="s">
        <v>9</v>
      </c>
      <c r="E6474" s="3">
        <v>22</v>
      </c>
      <c r="F6474" s="3">
        <v>0</v>
      </c>
      <c r="G6474" s="3">
        <v>1</v>
      </c>
      <c r="H6474" s="3">
        <v>0</v>
      </c>
      <c r="I6474" s="3">
        <v>24</v>
      </c>
      <c r="J6474" s="3">
        <v>1</v>
      </c>
      <c r="K6474" s="3">
        <v>20</v>
      </c>
      <c r="L6474" s="3">
        <v>1</v>
      </c>
      <c r="M6474" s="3">
        <v>0</v>
      </c>
      <c r="N6474" s="3">
        <v>23</v>
      </c>
      <c r="O6474" s="3"/>
      <c r="P6474" s="3"/>
      <c r="Q6474" s="3"/>
    </row>
    <row r="6475" spans="1:17" ht="15" x14ac:dyDescent="0.25">
      <c r="A6475" s="3">
        <f>6468</f>
        <v>6468</v>
      </c>
      <c r="B6475" s="3" t="s">
        <v>6477</v>
      </c>
      <c r="C6475" s="3" t="s">
        <v>10</v>
      </c>
      <c r="D6475" s="3" t="s">
        <v>9</v>
      </c>
      <c r="E6475" s="3">
        <v>22</v>
      </c>
      <c r="F6475" s="3">
        <v>0</v>
      </c>
      <c r="G6475" s="3">
        <v>1</v>
      </c>
      <c r="H6475" s="3">
        <v>0</v>
      </c>
      <c r="I6475" s="3">
        <v>24</v>
      </c>
      <c r="J6475" s="3">
        <v>1</v>
      </c>
      <c r="K6475" s="3">
        <v>20</v>
      </c>
      <c r="L6475" s="3">
        <v>1</v>
      </c>
      <c r="M6475" s="3">
        <v>0</v>
      </c>
      <c r="N6475" s="3">
        <v>23</v>
      </c>
      <c r="O6475" s="3"/>
      <c r="P6475" s="3"/>
      <c r="Q6475" s="3"/>
    </row>
    <row r="6476" spans="1:17" ht="15" x14ac:dyDescent="0.25">
      <c r="A6476" s="3">
        <f>6469</f>
        <v>6469</v>
      </c>
      <c r="B6476" s="3" t="s">
        <v>6478</v>
      </c>
      <c r="C6476" s="3" t="s">
        <v>10</v>
      </c>
      <c r="D6476" s="3" t="s">
        <v>9</v>
      </c>
      <c r="E6476" s="3">
        <v>22</v>
      </c>
      <c r="F6476" s="3">
        <v>0</v>
      </c>
      <c r="G6476" s="3">
        <v>1</v>
      </c>
      <c r="H6476" s="3">
        <v>0</v>
      </c>
      <c r="I6476" s="3">
        <v>24</v>
      </c>
      <c r="J6476" s="3">
        <v>1</v>
      </c>
      <c r="K6476" s="3">
        <v>20</v>
      </c>
      <c r="L6476" s="3">
        <v>1</v>
      </c>
      <c r="M6476" s="3">
        <v>0</v>
      </c>
      <c r="N6476" s="3">
        <v>23</v>
      </c>
      <c r="O6476" s="3"/>
      <c r="P6476" s="3"/>
      <c r="Q6476" s="3"/>
    </row>
    <row r="6477" spans="1:17" ht="15" x14ac:dyDescent="0.25">
      <c r="A6477" s="3">
        <f>6470</f>
        <v>6470</v>
      </c>
      <c r="B6477" s="3" t="s">
        <v>6479</v>
      </c>
      <c r="C6477" s="3" t="s">
        <v>10</v>
      </c>
      <c r="D6477" s="3" t="s">
        <v>9</v>
      </c>
      <c r="E6477" s="3">
        <v>22</v>
      </c>
      <c r="F6477" s="3">
        <v>0</v>
      </c>
      <c r="G6477" s="3">
        <v>1</v>
      </c>
      <c r="H6477" s="3">
        <v>0</v>
      </c>
      <c r="I6477" s="3">
        <v>24</v>
      </c>
      <c r="J6477" s="3">
        <v>1</v>
      </c>
      <c r="K6477" s="3">
        <v>20</v>
      </c>
      <c r="L6477" s="3">
        <v>1</v>
      </c>
      <c r="M6477" s="3">
        <v>0</v>
      </c>
      <c r="N6477" s="3">
        <v>23</v>
      </c>
      <c r="O6477" s="3"/>
      <c r="P6477" s="3"/>
      <c r="Q6477" s="3"/>
    </row>
    <row r="6478" spans="1:17" ht="15" x14ac:dyDescent="0.25">
      <c r="A6478" s="3">
        <f>6471</f>
        <v>6471</v>
      </c>
      <c r="B6478" s="3" t="s">
        <v>6480</v>
      </c>
      <c r="C6478" s="3" t="s">
        <v>10</v>
      </c>
      <c r="D6478" s="3" t="s">
        <v>9</v>
      </c>
      <c r="E6478" s="3">
        <v>22</v>
      </c>
      <c r="F6478" s="3">
        <v>0</v>
      </c>
      <c r="G6478" s="3">
        <v>1</v>
      </c>
      <c r="H6478" s="3">
        <v>0</v>
      </c>
      <c r="I6478" s="3">
        <v>24</v>
      </c>
      <c r="J6478" s="3">
        <v>1</v>
      </c>
      <c r="K6478" s="3">
        <v>20</v>
      </c>
      <c r="L6478" s="3">
        <v>1</v>
      </c>
      <c r="M6478" s="3">
        <v>0</v>
      </c>
      <c r="N6478" s="3">
        <v>23</v>
      </c>
      <c r="O6478" s="3"/>
      <c r="P6478" s="3"/>
      <c r="Q6478" s="3"/>
    </row>
    <row r="6479" spans="1:17" ht="15" x14ac:dyDescent="0.25">
      <c r="A6479" s="3">
        <f>6472</f>
        <v>6472</v>
      </c>
      <c r="B6479" s="3" t="s">
        <v>6481</v>
      </c>
      <c r="C6479" s="3" t="s">
        <v>10</v>
      </c>
      <c r="D6479" s="3" t="s">
        <v>9</v>
      </c>
      <c r="E6479" s="3">
        <v>22</v>
      </c>
      <c r="F6479" s="3">
        <v>0</v>
      </c>
      <c r="G6479" s="3">
        <v>1</v>
      </c>
      <c r="H6479" s="3">
        <v>0</v>
      </c>
      <c r="I6479" s="3">
        <v>24</v>
      </c>
      <c r="J6479" s="3">
        <v>1</v>
      </c>
      <c r="K6479" s="3">
        <v>20</v>
      </c>
      <c r="L6479" s="3">
        <v>1</v>
      </c>
      <c r="M6479" s="3">
        <v>0</v>
      </c>
      <c r="N6479" s="3">
        <v>23</v>
      </c>
      <c r="O6479" s="3"/>
      <c r="P6479" s="3"/>
      <c r="Q6479" s="3"/>
    </row>
    <row r="6480" spans="1:17" ht="15" x14ac:dyDescent="0.25">
      <c r="A6480" s="3">
        <f>6473</f>
        <v>6473</v>
      </c>
      <c r="B6480" s="3" t="s">
        <v>6482</v>
      </c>
      <c r="C6480" s="3" t="s">
        <v>10</v>
      </c>
      <c r="D6480" s="3" t="s">
        <v>9</v>
      </c>
      <c r="E6480" s="3">
        <v>22</v>
      </c>
      <c r="F6480" s="3">
        <v>0</v>
      </c>
      <c r="G6480" s="3">
        <v>1</v>
      </c>
      <c r="H6480" s="3">
        <v>0</v>
      </c>
      <c r="I6480" s="3">
        <v>24</v>
      </c>
      <c r="J6480" s="3">
        <v>1</v>
      </c>
      <c r="K6480" s="3">
        <v>20</v>
      </c>
      <c r="L6480" s="3">
        <v>1</v>
      </c>
      <c r="M6480" s="3">
        <v>0</v>
      </c>
      <c r="N6480" s="3">
        <v>23</v>
      </c>
      <c r="O6480" s="3"/>
      <c r="P6480" s="3"/>
      <c r="Q6480" s="3"/>
    </row>
    <row r="6481" spans="1:17" ht="15" x14ac:dyDescent="0.25">
      <c r="A6481" s="3">
        <f>6474</f>
        <v>6474</v>
      </c>
      <c r="B6481" s="3" t="s">
        <v>6483</v>
      </c>
      <c r="C6481" s="3" t="s">
        <v>10</v>
      </c>
      <c r="D6481" s="3" t="s">
        <v>9</v>
      </c>
      <c r="E6481" s="3">
        <v>22</v>
      </c>
      <c r="F6481" s="3">
        <v>0</v>
      </c>
      <c r="G6481" s="3">
        <v>1</v>
      </c>
      <c r="H6481" s="3">
        <v>0</v>
      </c>
      <c r="I6481" s="3">
        <v>24</v>
      </c>
      <c r="J6481" s="3">
        <v>1</v>
      </c>
      <c r="K6481" s="3">
        <v>20</v>
      </c>
      <c r="L6481" s="3">
        <v>1</v>
      </c>
      <c r="M6481" s="3">
        <v>0</v>
      </c>
      <c r="N6481" s="3">
        <v>23</v>
      </c>
      <c r="O6481" s="3"/>
      <c r="P6481" s="3"/>
      <c r="Q6481" s="3"/>
    </row>
    <row r="6482" spans="1:17" ht="15" x14ac:dyDescent="0.25">
      <c r="A6482" s="3">
        <f>6475</f>
        <v>6475</v>
      </c>
      <c r="B6482" s="3" t="s">
        <v>6484</v>
      </c>
      <c r="C6482" s="3" t="s">
        <v>10</v>
      </c>
      <c r="D6482" s="3" t="s">
        <v>9</v>
      </c>
      <c r="E6482" s="3">
        <v>22</v>
      </c>
      <c r="F6482" s="3">
        <v>0</v>
      </c>
      <c r="G6482" s="3">
        <v>1</v>
      </c>
      <c r="H6482" s="3">
        <v>0</v>
      </c>
      <c r="I6482" s="3">
        <v>24</v>
      </c>
      <c r="J6482" s="3">
        <v>1</v>
      </c>
      <c r="K6482" s="3">
        <v>20</v>
      </c>
      <c r="L6482" s="3">
        <v>1</v>
      </c>
      <c r="M6482" s="3">
        <v>0</v>
      </c>
      <c r="N6482" s="3">
        <v>23</v>
      </c>
      <c r="O6482" s="3"/>
      <c r="P6482" s="3"/>
      <c r="Q6482" s="3"/>
    </row>
    <row r="6483" spans="1:17" ht="15" x14ac:dyDescent="0.25">
      <c r="A6483" s="3">
        <f>6476</f>
        <v>6476</v>
      </c>
      <c r="B6483" s="3" t="s">
        <v>6485</v>
      </c>
      <c r="C6483" s="3" t="s">
        <v>10</v>
      </c>
      <c r="D6483" s="3" t="s">
        <v>9</v>
      </c>
      <c r="E6483" s="3">
        <v>22</v>
      </c>
      <c r="F6483" s="3">
        <v>0</v>
      </c>
      <c r="G6483" s="3">
        <v>1</v>
      </c>
      <c r="H6483" s="3">
        <v>0</v>
      </c>
      <c r="I6483" s="3">
        <v>24</v>
      </c>
      <c r="J6483" s="3">
        <v>1</v>
      </c>
      <c r="K6483" s="3">
        <v>20</v>
      </c>
      <c r="L6483" s="3">
        <v>1</v>
      </c>
      <c r="M6483" s="3">
        <v>0</v>
      </c>
      <c r="N6483" s="3">
        <v>23</v>
      </c>
      <c r="O6483" s="3"/>
      <c r="P6483" s="3"/>
      <c r="Q6483" s="3"/>
    </row>
    <row r="6484" spans="1:17" ht="15" x14ac:dyDescent="0.25">
      <c r="A6484" s="3">
        <f>6477</f>
        <v>6477</v>
      </c>
      <c r="B6484" s="3" t="s">
        <v>6486</v>
      </c>
      <c r="C6484" s="3" t="s">
        <v>9</v>
      </c>
      <c r="D6484" s="3" t="s">
        <v>9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/>
      <c r="P6484" s="3"/>
      <c r="Q6484" s="3"/>
    </row>
    <row r="6485" spans="1:17" ht="15" x14ac:dyDescent="0.25">
      <c r="A6485" s="3">
        <f>6478</f>
        <v>6478</v>
      </c>
      <c r="B6485" s="3" t="s">
        <v>6487</v>
      </c>
      <c r="C6485" s="3" t="s">
        <v>9</v>
      </c>
      <c r="D6485" s="3" t="s">
        <v>9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/>
      <c r="P6485" s="3"/>
      <c r="Q6485" s="3"/>
    </row>
    <row r="6486" spans="1:17" ht="15" x14ac:dyDescent="0.25">
      <c r="A6486" s="3">
        <f>6479</f>
        <v>6479</v>
      </c>
      <c r="B6486" s="3" t="s">
        <v>6488</v>
      </c>
      <c r="C6486" s="3" t="s">
        <v>10</v>
      </c>
      <c r="D6486" s="3" t="s">
        <v>9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/>
      <c r="P6486" s="3"/>
      <c r="Q6486" s="3"/>
    </row>
    <row r="6487" spans="1:17" ht="15" x14ac:dyDescent="0.25">
      <c r="A6487" s="3">
        <f>6480</f>
        <v>6480</v>
      </c>
      <c r="B6487" s="3" t="s">
        <v>6489</v>
      </c>
      <c r="C6487" s="3" t="s">
        <v>10</v>
      </c>
      <c r="D6487" s="3" t="s">
        <v>9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/>
      <c r="P6487" s="3"/>
      <c r="Q6487" s="3"/>
    </row>
    <row r="6488" spans="1:17" ht="15" x14ac:dyDescent="0.25">
      <c r="A6488" s="3">
        <f>6481</f>
        <v>6481</v>
      </c>
      <c r="B6488" s="3" t="s">
        <v>6490</v>
      </c>
      <c r="C6488" s="3" t="s">
        <v>10</v>
      </c>
      <c r="D6488" s="3" t="s">
        <v>9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/>
      <c r="P6488" s="3"/>
      <c r="Q6488" s="3"/>
    </row>
    <row r="6489" spans="1:17" ht="15" x14ac:dyDescent="0.25">
      <c r="A6489" s="3">
        <f>6482</f>
        <v>6482</v>
      </c>
      <c r="B6489" s="3" t="s">
        <v>6491</v>
      </c>
      <c r="C6489" s="3" t="s">
        <v>10</v>
      </c>
      <c r="D6489" s="3" t="s">
        <v>9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/>
      <c r="P6489" s="3"/>
      <c r="Q6489" s="3"/>
    </row>
    <row r="6490" spans="1:17" ht="15" x14ac:dyDescent="0.25">
      <c r="A6490" s="3">
        <f>6483</f>
        <v>6483</v>
      </c>
      <c r="B6490" s="3" t="s">
        <v>6492</v>
      </c>
      <c r="C6490" s="3" t="s">
        <v>10</v>
      </c>
      <c r="D6490" s="3" t="s">
        <v>9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/>
      <c r="P6490" s="3"/>
      <c r="Q6490" s="3"/>
    </row>
    <row r="6491" spans="1:17" ht="15" x14ac:dyDescent="0.25">
      <c r="A6491" s="3">
        <f>6484</f>
        <v>6484</v>
      </c>
      <c r="B6491" s="3" t="s">
        <v>6493</v>
      </c>
      <c r="C6491" s="3" t="s">
        <v>10</v>
      </c>
      <c r="D6491" s="3" t="s">
        <v>9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/>
      <c r="P6491" s="3"/>
      <c r="Q6491" s="3"/>
    </row>
    <row r="6492" spans="1:17" ht="15" x14ac:dyDescent="0.25">
      <c r="A6492" s="3">
        <f>6485</f>
        <v>6485</v>
      </c>
      <c r="B6492" s="3" t="s">
        <v>6494</v>
      </c>
      <c r="C6492" s="3" t="s">
        <v>10</v>
      </c>
      <c r="D6492" s="3" t="s">
        <v>9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/>
      <c r="P6492" s="3"/>
      <c r="Q6492" s="3"/>
    </row>
    <row r="6493" spans="1:17" ht="15" x14ac:dyDescent="0.25">
      <c r="A6493" s="3">
        <f>6486</f>
        <v>6486</v>
      </c>
      <c r="B6493" s="3" t="s">
        <v>6495</v>
      </c>
      <c r="C6493" s="3" t="s">
        <v>10</v>
      </c>
      <c r="D6493" s="3" t="s">
        <v>9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/>
      <c r="P6493" s="3"/>
      <c r="Q6493" s="3"/>
    </row>
    <row r="6494" spans="1:17" ht="15" x14ac:dyDescent="0.25">
      <c r="A6494" s="3">
        <f>6487</f>
        <v>6487</v>
      </c>
      <c r="B6494" s="3" t="s">
        <v>6496</v>
      </c>
      <c r="C6494" s="3" t="s">
        <v>10</v>
      </c>
      <c r="D6494" s="3" t="s">
        <v>9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/>
      <c r="P6494" s="3"/>
      <c r="Q6494" s="3"/>
    </row>
    <row r="6495" spans="1:17" ht="15" x14ac:dyDescent="0.25">
      <c r="A6495" s="3">
        <f>6488</f>
        <v>6488</v>
      </c>
      <c r="B6495" s="3" t="s">
        <v>6497</v>
      </c>
      <c r="C6495" s="3" t="s">
        <v>10</v>
      </c>
      <c r="D6495" s="3" t="s">
        <v>9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/>
      <c r="P6495" s="3"/>
      <c r="Q6495" s="3"/>
    </row>
    <row r="6496" spans="1:17" ht="15" x14ac:dyDescent="0.25">
      <c r="A6496" s="3">
        <f>6489</f>
        <v>6489</v>
      </c>
      <c r="B6496" s="3" t="s">
        <v>6498</v>
      </c>
      <c r="C6496" s="3" t="s">
        <v>10</v>
      </c>
      <c r="D6496" s="3" t="s">
        <v>9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/>
      <c r="P6496" s="3"/>
      <c r="Q6496" s="3"/>
    </row>
    <row r="6497" spans="1:17" ht="15" x14ac:dyDescent="0.25">
      <c r="A6497" s="3">
        <f>6490</f>
        <v>6490</v>
      </c>
      <c r="B6497" s="3" t="s">
        <v>6499</v>
      </c>
      <c r="C6497" s="3" t="s">
        <v>10</v>
      </c>
      <c r="D6497" s="3" t="s">
        <v>9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/>
      <c r="P6497" s="3"/>
      <c r="Q6497" s="3"/>
    </row>
    <row r="6498" spans="1:17" ht="15" x14ac:dyDescent="0.25">
      <c r="A6498" s="3">
        <f>6491</f>
        <v>6491</v>
      </c>
      <c r="B6498" s="3" t="s">
        <v>6500</v>
      </c>
      <c r="C6498" s="3" t="s">
        <v>9</v>
      </c>
      <c r="D6498" s="3" t="s">
        <v>10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/>
      <c r="P6498" s="3"/>
      <c r="Q6498" s="3"/>
    </row>
    <row r="6499" spans="1:17" ht="15" x14ac:dyDescent="0.25">
      <c r="A6499" s="3">
        <f>6492</f>
        <v>6492</v>
      </c>
      <c r="B6499" s="3" t="s">
        <v>6501</v>
      </c>
      <c r="C6499" s="3" t="s">
        <v>10</v>
      </c>
      <c r="D6499" s="3" t="s">
        <v>9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/>
      <c r="P6499" s="3"/>
      <c r="Q6499" s="3"/>
    </row>
    <row r="6500" spans="1:17" ht="15" x14ac:dyDescent="0.25">
      <c r="A6500" s="3">
        <f>6493</f>
        <v>6493</v>
      </c>
      <c r="B6500" s="3" t="s">
        <v>6502</v>
      </c>
      <c r="C6500" s="3" t="s">
        <v>10</v>
      </c>
      <c r="D6500" s="3" t="s">
        <v>9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/>
      <c r="P6500" s="3"/>
      <c r="Q6500" s="3"/>
    </row>
    <row r="6501" spans="1:17" ht="15" x14ac:dyDescent="0.25">
      <c r="A6501" s="3">
        <f>6494</f>
        <v>6494</v>
      </c>
      <c r="B6501" s="3" t="s">
        <v>6503</v>
      </c>
      <c r="C6501" s="3" t="s">
        <v>10</v>
      </c>
      <c r="D6501" s="3" t="s">
        <v>9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/>
      <c r="P6501" s="3"/>
      <c r="Q6501" s="3"/>
    </row>
    <row r="6502" spans="1:17" ht="15" x14ac:dyDescent="0.25">
      <c r="A6502" s="3">
        <f>6495</f>
        <v>6495</v>
      </c>
      <c r="B6502" s="3" t="s">
        <v>6504</v>
      </c>
      <c r="C6502" s="3" t="s">
        <v>10</v>
      </c>
      <c r="D6502" s="3" t="s">
        <v>9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/>
      <c r="P6502" s="3"/>
      <c r="Q6502" s="3"/>
    </row>
    <row r="6503" spans="1:17" ht="15" x14ac:dyDescent="0.25">
      <c r="A6503" s="3">
        <f>6496</f>
        <v>6496</v>
      </c>
      <c r="B6503" s="3" t="s">
        <v>6505</v>
      </c>
      <c r="C6503" s="3" t="s">
        <v>10</v>
      </c>
      <c r="D6503" s="3" t="s">
        <v>9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/>
      <c r="P6503" s="3"/>
      <c r="Q6503" s="3"/>
    </row>
    <row r="6504" spans="1:17" ht="15" x14ac:dyDescent="0.25">
      <c r="A6504" s="3">
        <f>6497</f>
        <v>6497</v>
      </c>
      <c r="B6504" s="3" t="s">
        <v>6506</v>
      </c>
      <c r="C6504" s="3" t="s">
        <v>10</v>
      </c>
      <c r="D6504" s="3" t="s">
        <v>9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/>
      <c r="P6504" s="3"/>
      <c r="Q6504" s="3"/>
    </row>
    <row r="6505" spans="1:17" ht="15" x14ac:dyDescent="0.25">
      <c r="A6505" s="3">
        <f>6498</f>
        <v>6498</v>
      </c>
      <c r="B6505" s="3" t="s">
        <v>6507</v>
      </c>
      <c r="C6505" s="3" t="s">
        <v>10</v>
      </c>
      <c r="D6505" s="3" t="s">
        <v>9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/>
      <c r="P6505" s="3"/>
      <c r="Q6505" s="3"/>
    </row>
    <row r="6506" spans="1:17" ht="15" x14ac:dyDescent="0.25">
      <c r="A6506" s="3">
        <f>6499</f>
        <v>6499</v>
      </c>
      <c r="B6506" s="3" t="s">
        <v>6508</v>
      </c>
      <c r="C6506" s="3" t="s">
        <v>10</v>
      </c>
      <c r="D6506" s="3" t="s">
        <v>9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/>
      <c r="P6506" s="3"/>
      <c r="Q6506" s="3"/>
    </row>
    <row r="6507" spans="1:17" ht="15" x14ac:dyDescent="0.25">
      <c r="A6507" s="3">
        <f>6500</f>
        <v>6500</v>
      </c>
      <c r="B6507" s="3" t="s">
        <v>6509</v>
      </c>
      <c r="C6507" s="3" t="s">
        <v>10</v>
      </c>
      <c r="D6507" s="3" t="s">
        <v>9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/>
      <c r="P6507" s="3"/>
      <c r="Q6507" s="3"/>
    </row>
    <row r="6508" spans="1:17" ht="15" x14ac:dyDescent="0.25">
      <c r="A6508" s="3">
        <f>6501</f>
        <v>6501</v>
      </c>
      <c r="B6508" s="3" t="s">
        <v>6510</v>
      </c>
      <c r="C6508" s="3" t="s">
        <v>10</v>
      </c>
      <c r="D6508" s="3" t="s">
        <v>9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/>
      <c r="P6508" s="3"/>
      <c r="Q6508" s="3"/>
    </row>
    <row r="6509" spans="1:17" ht="15" x14ac:dyDescent="0.25">
      <c r="A6509" s="3">
        <f>6502</f>
        <v>6502</v>
      </c>
      <c r="B6509" s="3" t="s">
        <v>6511</v>
      </c>
      <c r="C6509" s="3" t="s">
        <v>10</v>
      </c>
      <c r="D6509" s="3" t="s">
        <v>9</v>
      </c>
      <c r="E6509" s="3">
        <v>1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/>
      <c r="P6509" s="3"/>
      <c r="Q6509" s="3"/>
    </row>
    <row r="6510" spans="1:17" ht="15" x14ac:dyDescent="0.25">
      <c r="A6510" s="3">
        <f>6503</f>
        <v>6503</v>
      </c>
      <c r="B6510" s="3" t="s">
        <v>6512</v>
      </c>
      <c r="C6510" s="3" t="s">
        <v>10</v>
      </c>
      <c r="D6510" s="3" t="s">
        <v>9</v>
      </c>
      <c r="E6510" s="3">
        <v>1</v>
      </c>
      <c r="F6510" s="3">
        <v>0</v>
      </c>
      <c r="G6510" s="3">
        <v>1</v>
      </c>
      <c r="H6510" s="3">
        <v>0</v>
      </c>
      <c r="I6510" s="3">
        <v>0</v>
      </c>
      <c r="J6510" s="3">
        <v>1</v>
      </c>
      <c r="K6510" s="3">
        <v>0</v>
      </c>
      <c r="L6510" s="3">
        <v>1</v>
      </c>
      <c r="M6510" s="3">
        <v>0</v>
      </c>
      <c r="N6510" s="3">
        <v>0</v>
      </c>
      <c r="O6510" s="3"/>
      <c r="P6510" s="3"/>
      <c r="Q6510" s="3"/>
    </row>
    <row r="6511" spans="1:17" ht="15" x14ac:dyDescent="0.25">
      <c r="A6511" s="3">
        <f>6504</f>
        <v>6504</v>
      </c>
      <c r="B6511" s="3" t="s">
        <v>6513</v>
      </c>
      <c r="C6511" s="3" t="s">
        <v>10</v>
      </c>
      <c r="D6511" s="3" t="s">
        <v>9</v>
      </c>
      <c r="E6511" s="3">
        <v>1</v>
      </c>
      <c r="F6511" s="3">
        <v>0</v>
      </c>
      <c r="G6511" s="3">
        <v>1</v>
      </c>
      <c r="H6511" s="3">
        <v>0</v>
      </c>
      <c r="I6511" s="3">
        <v>0</v>
      </c>
      <c r="J6511" s="3">
        <v>1</v>
      </c>
      <c r="K6511" s="3">
        <v>0</v>
      </c>
      <c r="L6511" s="3">
        <v>1</v>
      </c>
      <c r="M6511" s="3">
        <v>0</v>
      </c>
      <c r="N6511" s="3">
        <v>0</v>
      </c>
      <c r="O6511" s="3"/>
      <c r="P6511" s="3"/>
      <c r="Q6511" s="3"/>
    </row>
    <row r="6512" spans="1:17" ht="15" x14ac:dyDescent="0.25">
      <c r="A6512" s="3">
        <f>6505</f>
        <v>6505</v>
      </c>
      <c r="B6512" s="3" t="s">
        <v>6514</v>
      </c>
      <c r="C6512" s="3" t="s">
        <v>10</v>
      </c>
      <c r="D6512" s="3" t="s">
        <v>9</v>
      </c>
      <c r="E6512" s="3">
        <v>1</v>
      </c>
      <c r="F6512" s="3">
        <v>0</v>
      </c>
      <c r="G6512" s="3">
        <v>1</v>
      </c>
      <c r="H6512" s="3">
        <v>0</v>
      </c>
      <c r="I6512" s="3">
        <v>0</v>
      </c>
      <c r="J6512" s="3">
        <v>1</v>
      </c>
      <c r="K6512" s="3">
        <v>0</v>
      </c>
      <c r="L6512" s="3">
        <v>1</v>
      </c>
      <c r="M6512" s="3">
        <v>0</v>
      </c>
      <c r="N6512" s="3">
        <v>0</v>
      </c>
      <c r="O6512" s="3"/>
      <c r="P6512" s="3"/>
      <c r="Q6512" s="3"/>
    </row>
    <row r="6513" spans="1:17" ht="15" x14ac:dyDescent="0.25">
      <c r="A6513" s="3">
        <f>6506</f>
        <v>6506</v>
      </c>
      <c r="B6513" s="3" t="s">
        <v>6515</v>
      </c>
      <c r="C6513" s="3" t="s">
        <v>10</v>
      </c>
      <c r="D6513" s="3" t="s">
        <v>9</v>
      </c>
      <c r="E6513" s="3">
        <v>1</v>
      </c>
      <c r="F6513" s="3">
        <v>0</v>
      </c>
      <c r="G6513" s="3">
        <v>1</v>
      </c>
      <c r="H6513" s="3">
        <v>0</v>
      </c>
      <c r="I6513" s="3">
        <v>0</v>
      </c>
      <c r="J6513" s="3">
        <v>1</v>
      </c>
      <c r="K6513" s="3">
        <v>0</v>
      </c>
      <c r="L6513" s="3">
        <v>1</v>
      </c>
      <c r="M6513" s="3">
        <v>0</v>
      </c>
      <c r="N6513" s="3">
        <v>0</v>
      </c>
      <c r="O6513" s="3"/>
      <c r="P6513" s="3"/>
      <c r="Q6513" s="3"/>
    </row>
    <row r="6514" spans="1:17" ht="15" x14ac:dyDescent="0.25">
      <c r="A6514" s="3">
        <f>6507</f>
        <v>6507</v>
      </c>
      <c r="B6514" s="3" t="s">
        <v>6516</v>
      </c>
      <c r="C6514" s="3" t="s">
        <v>10</v>
      </c>
      <c r="D6514" s="3" t="s">
        <v>9</v>
      </c>
      <c r="E6514" s="3">
        <v>1</v>
      </c>
      <c r="F6514" s="3">
        <v>0</v>
      </c>
      <c r="G6514" s="3">
        <v>1</v>
      </c>
      <c r="H6514" s="3">
        <v>0</v>
      </c>
      <c r="I6514" s="3">
        <v>0</v>
      </c>
      <c r="J6514" s="3">
        <v>1</v>
      </c>
      <c r="K6514" s="3">
        <v>0</v>
      </c>
      <c r="L6514" s="3">
        <v>1</v>
      </c>
      <c r="M6514" s="3">
        <v>0</v>
      </c>
      <c r="N6514" s="3">
        <v>0</v>
      </c>
      <c r="O6514" s="3"/>
      <c r="P6514" s="3"/>
      <c r="Q6514" s="3"/>
    </row>
    <row r="6515" spans="1:17" ht="15" x14ac:dyDescent="0.25">
      <c r="A6515" s="3">
        <f>6508</f>
        <v>6508</v>
      </c>
      <c r="B6515" s="3" t="s">
        <v>6517</v>
      </c>
      <c r="C6515" s="3" t="s">
        <v>10</v>
      </c>
      <c r="D6515" s="3" t="s">
        <v>9</v>
      </c>
      <c r="E6515" s="3">
        <v>1</v>
      </c>
      <c r="F6515" s="3">
        <v>0</v>
      </c>
      <c r="G6515" s="3">
        <v>1</v>
      </c>
      <c r="H6515" s="3">
        <v>0</v>
      </c>
      <c r="I6515" s="3">
        <v>0</v>
      </c>
      <c r="J6515" s="3">
        <v>1</v>
      </c>
      <c r="K6515" s="3">
        <v>0</v>
      </c>
      <c r="L6515" s="3">
        <v>1</v>
      </c>
      <c r="M6515" s="3">
        <v>0</v>
      </c>
      <c r="N6515" s="3">
        <v>0</v>
      </c>
      <c r="O6515" s="3"/>
      <c r="P6515" s="3"/>
      <c r="Q6515" s="3"/>
    </row>
    <row r="6516" spans="1:17" ht="15" x14ac:dyDescent="0.25">
      <c r="A6516" s="3">
        <f>6509</f>
        <v>6509</v>
      </c>
      <c r="B6516" s="3" t="s">
        <v>6518</v>
      </c>
      <c r="C6516" s="3" t="s">
        <v>10</v>
      </c>
      <c r="D6516" s="3" t="s">
        <v>9</v>
      </c>
      <c r="E6516" s="3">
        <v>1</v>
      </c>
      <c r="F6516" s="3">
        <v>0</v>
      </c>
      <c r="G6516" s="3">
        <v>1</v>
      </c>
      <c r="H6516" s="3">
        <v>0</v>
      </c>
      <c r="I6516" s="3">
        <v>0</v>
      </c>
      <c r="J6516" s="3">
        <v>1</v>
      </c>
      <c r="K6516" s="3">
        <v>0</v>
      </c>
      <c r="L6516" s="3">
        <v>1</v>
      </c>
      <c r="M6516" s="3">
        <v>0</v>
      </c>
      <c r="N6516" s="3">
        <v>0</v>
      </c>
      <c r="O6516" s="3"/>
      <c r="P6516" s="3"/>
      <c r="Q6516" s="3"/>
    </row>
    <row r="6517" spans="1:17" ht="15" x14ac:dyDescent="0.25">
      <c r="A6517" s="3">
        <f>6510</f>
        <v>6510</v>
      </c>
      <c r="B6517" s="3" t="s">
        <v>6519</v>
      </c>
      <c r="C6517" s="3" t="s">
        <v>10</v>
      </c>
      <c r="D6517" s="3" t="s">
        <v>9</v>
      </c>
      <c r="E6517" s="3">
        <v>1</v>
      </c>
      <c r="F6517" s="3">
        <v>0</v>
      </c>
      <c r="G6517" s="3">
        <v>1</v>
      </c>
      <c r="H6517" s="3">
        <v>0</v>
      </c>
      <c r="I6517" s="3">
        <v>0</v>
      </c>
      <c r="J6517" s="3">
        <v>1</v>
      </c>
      <c r="K6517" s="3">
        <v>0</v>
      </c>
      <c r="L6517" s="3">
        <v>1</v>
      </c>
      <c r="M6517" s="3">
        <v>0</v>
      </c>
      <c r="N6517" s="3">
        <v>0</v>
      </c>
      <c r="O6517" s="3"/>
      <c r="P6517" s="3"/>
      <c r="Q6517" s="3"/>
    </row>
    <row r="6518" spans="1:17" ht="15" x14ac:dyDescent="0.25">
      <c r="A6518" s="3">
        <f>6511</f>
        <v>6511</v>
      </c>
      <c r="B6518" s="3" t="s">
        <v>6520</v>
      </c>
      <c r="C6518" s="3" t="s">
        <v>10</v>
      </c>
      <c r="D6518" s="3" t="s">
        <v>9</v>
      </c>
      <c r="E6518" s="3">
        <v>1</v>
      </c>
      <c r="F6518" s="3">
        <v>0</v>
      </c>
      <c r="G6518" s="3">
        <v>1</v>
      </c>
      <c r="H6518" s="3">
        <v>0</v>
      </c>
      <c r="I6518" s="3">
        <v>0</v>
      </c>
      <c r="J6518" s="3">
        <v>1</v>
      </c>
      <c r="K6518" s="3">
        <v>0</v>
      </c>
      <c r="L6518" s="3">
        <v>1</v>
      </c>
      <c r="M6518" s="3">
        <v>0</v>
      </c>
      <c r="N6518" s="3">
        <v>0</v>
      </c>
      <c r="O6518" s="3"/>
      <c r="P6518" s="3"/>
      <c r="Q6518" s="3"/>
    </row>
    <row r="6519" spans="1:17" ht="15" x14ac:dyDescent="0.25">
      <c r="A6519" s="3">
        <f>6512</f>
        <v>6512</v>
      </c>
      <c r="B6519" s="3" t="s">
        <v>6521</v>
      </c>
      <c r="C6519" s="3" t="s">
        <v>10</v>
      </c>
      <c r="D6519" s="3" t="s">
        <v>9</v>
      </c>
      <c r="E6519" s="3">
        <v>1</v>
      </c>
      <c r="F6519" s="3">
        <v>0</v>
      </c>
      <c r="G6519" s="3">
        <v>1</v>
      </c>
      <c r="H6519" s="3">
        <v>0</v>
      </c>
      <c r="I6519" s="3">
        <v>0</v>
      </c>
      <c r="J6519" s="3">
        <v>1</v>
      </c>
      <c r="K6519" s="3">
        <v>0</v>
      </c>
      <c r="L6519" s="3">
        <v>1</v>
      </c>
      <c r="M6519" s="3">
        <v>0</v>
      </c>
      <c r="N6519" s="3">
        <v>0</v>
      </c>
      <c r="O6519" s="3"/>
      <c r="P6519" s="3"/>
      <c r="Q6519" s="3"/>
    </row>
    <row r="6520" spans="1:17" ht="15" x14ac:dyDescent="0.25">
      <c r="A6520" s="3">
        <f>6513</f>
        <v>6513</v>
      </c>
      <c r="B6520" s="3" t="s">
        <v>6522</v>
      </c>
      <c r="C6520" s="3" t="s">
        <v>10</v>
      </c>
      <c r="D6520" s="3" t="s">
        <v>9</v>
      </c>
      <c r="E6520" s="3">
        <v>1</v>
      </c>
      <c r="F6520" s="3">
        <v>0</v>
      </c>
      <c r="G6520" s="3">
        <v>1</v>
      </c>
      <c r="H6520" s="3">
        <v>0</v>
      </c>
      <c r="I6520" s="3">
        <v>0</v>
      </c>
      <c r="J6520" s="3">
        <v>1</v>
      </c>
      <c r="K6520" s="3">
        <v>0</v>
      </c>
      <c r="L6520" s="3">
        <v>1</v>
      </c>
      <c r="M6520" s="3">
        <v>0</v>
      </c>
      <c r="N6520" s="3">
        <v>0</v>
      </c>
      <c r="O6520" s="3"/>
      <c r="P6520" s="3"/>
      <c r="Q6520" s="3"/>
    </row>
    <row r="6521" spans="1:17" ht="15" x14ac:dyDescent="0.25">
      <c r="A6521" s="3">
        <f>6514</f>
        <v>6514</v>
      </c>
      <c r="B6521" s="3" t="s">
        <v>6523</v>
      </c>
      <c r="C6521" s="3" t="s">
        <v>10</v>
      </c>
      <c r="D6521" s="3" t="s">
        <v>9</v>
      </c>
      <c r="E6521" s="3">
        <v>1</v>
      </c>
      <c r="F6521" s="3">
        <v>0</v>
      </c>
      <c r="G6521" s="3">
        <v>1</v>
      </c>
      <c r="H6521" s="3">
        <v>0</v>
      </c>
      <c r="I6521" s="3">
        <v>0</v>
      </c>
      <c r="J6521" s="3">
        <v>1</v>
      </c>
      <c r="K6521" s="3">
        <v>0</v>
      </c>
      <c r="L6521" s="3">
        <v>1</v>
      </c>
      <c r="M6521" s="3">
        <v>0</v>
      </c>
      <c r="N6521" s="3">
        <v>0</v>
      </c>
      <c r="O6521" s="3"/>
      <c r="P6521" s="3"/>
      <c r="Q6521" s="3"/>
    </row>
    <row r="6522" spans="1:17" ht="15" x14ac:dyDescent="0.25">
      <c r="A6522" s="3">
        <f>6515</f>
        <v>6515</v>
      </c>
      <c r="B6522" s="3" t="s">
        <v>6524</v>
      </c>
      <c r="C6522" s="3" t="s">
        <v>10</v>
      </c>
      <c r="D6522" s="3" t="s">
        <v>9</v>
      </c>
      <c r="E6522" s="3">
        <v>1</v>
      </c>
      <c r="F6522" s="3">
        <v>0</v>
      </c>
      <c r="G6522" s="3">
        <v>1</v>
      </c>
      <c r="H6522" s="3">
        <v>0</v>
      </c>
      <c r="I6522" s="3">
        <v>0</v>
      </c>
      <c r="J6522" s="3">
        <v>1</v>
      </c>
      <c r="K6522" s="3">
        <v>0</v>
      </c>
      <c r="L6522" s="3">
        <v>1</v>
      </c>
      <c r="M6522" s="3">
        <v>0</v>
      </c>
      <c r="N6522" s="3">
        <v>0</v>
      </c>
      <c r="O6522" s="3"/>
      <c r="P6522" s="3"/>
      <c r="Q6522" s="3"/>
    </row>
    <row r="6523" spans="1:17" ht="15" x14ac:dyDescent="0.25">
      <c r="A6523" s="3">
        <f>6516</f>
        <v>6516</v>
      </c>
      <c r="B6523" s="3" t="s">
        <v>6525</v>
      </c>
      <c r="C6523" s="3" t="s">
        <v>10</v>
      </c>
      <c r="D6523" s="3" t="s">
        <v>9</v>
      </c>
      <c r="E6523" s="3">
        <v>1</v>
      </c>
      <c r="F6523" s="3">
        <v>0</v>
      </c>
      <c r="G6523" s="3">
        <v>1</v>
      </c>
      <c r="H6523" s="3">
        <v>0</v>
      </c>
      <c r="I6523" s="3">
        <v>0</v>
      </c>
      <c r="J6523" s="3">
        <v>1</v>
      </c>
      <c r="K6523" s="3">
        <v>0</v>
      </c>
      <c r="L6523" s="3">
        <v>1</v>
      </c>
      <c r="M6523" s="3">
        <v>0</v>
      </c>
      <c r="N6523" s="3">
        <v>0</v>
      </c>
      <c r="O6523" s="3"/>
      <c r="P6523" s="3"/>
      <c r="Q6523" s="3"/>
    </row>
    <row r="6524" spans="1:17" ht="15" x14ac:dyDescent="0.25">
      <c r="A6524" s="3">
        <f>6517</f>
        <v>6517</v>
      </c>
      <c r="B6524" s="3" t="s">
        <v>6526</v>
      </c>
      <c r="C6524" s="3" t="s">
        <v>10</v>
      </c>
      <c r="D6524" s="3" t="s">
        <v>9</v>
      </c>
      <c r="E6524" s="3">
        <v>1</v>
      </c>
      <c r="F6524" s="3">
        <v>0</v>
      </c>
      <c r="G6524" s="3">
        <v>1</v>
      </c>
      <c r="H6524" s="3">
        <v>0</v>
      </c>
      <c r="I6524" s="3">
        <v>0</v>
      </c>
      <c r="J6524" s="3">
        <v>1</v>
      </c>
      <c r="K6524" s="3">
        <v>0</v>
      </c>
      <c r="L6524" s="3">
        <v>1</v>
      </c>
      <c r="M6524" s="3">
        <v>0</v>
      </c>
      <c r="N6524" s="3">
        <v>0</v>
      </c>
      <c r="O6524" s="3"/>
      <c r="P6524" s="3"/>
      <c r="Q6524" s="3"/>
    </row>
    <row r="6525" spans="1:17" ht="15" x14ac:dyDescent="0.25">
      <c r="A6525" s="3">
        <f>6518</f>
        <v>6518</v>
      </c>
      <c r="B6525" s="3" t="s">
        <v>6527</v>
      </c>
      <c r="C6525" s="3" t="s">
        <v>10</v>
      </c>
      <c r="D6525" s="3" t="s">
        <v>9</v>
      </c>
      <c r="E6525" s="3">
        <v>1</v>
      </c>
      <c r="F6525" s="3">
        <v>0</v>
      </c>
      <c r="G6525" s="3">
        <v>1</v>
      </c>
      <c r="H6525" s="3">
        <v>0</v>
      </c>
      <c r="I6525" s="3">
        <v>0</v>
      </c>
      <c r="J6525" s="3">
        <v>1</v>
      </c>
      <c r="K6525" s="3">
        <v>0</v>
      </c>
      <c r="L6525" s="3">
        <v>1</v>
      </c>
      <c r="M6525" s="3">
        <v>0</v>
      </c>
      <c r="N6525" s="3">
        <v>0</v>
      </c>
      <c r="O6525" s="3"/>
      <c r="P6525" s="3"/>
      <c r="Q6525" s="3"/>
    </row>
    <row r="6526" spans="1:17" ht="15" x14ac:dyDescent="0.25">
      <c r="A6526" s="3">
        <f>6519</f>
        <v>6519</v>
      </c>
      <c r="B6526" s="3" t="s">
        <v>6528</v>
      </c>
      <c r="C6526" s="3" t="s">
        <v>10</v>
      </c>
      <c r="D6526" s="3" t="s">
        <v>9</v>
      </c>
      <c r="E6526" s="3">
        <v>1</v>
      </c>
      <c r="F6526" s="3">
        <v>0</v>
      </c>
      <c r="G6526" s="3">
        <v>1</v>
      </c>
      <c r="H6526" s="3">
        <v>0</v>
      </c>
      <c r="I6526" s="3">
        <v>0</v>
      </c>
      <c r="J6526" s="3">
        <v>1</v>
      </c>
      <c r="K6526" s="3">
        <v>0</v>
      </c>
      <c r="L6526" s="3">
        <v>1</v>
      </c>
      <c r="M6526" s="3">
        <v>0</v>
      </c>
      <c r="N6526" s="3">
        <v>0</v>
      </c>
      <c r="O6526" s="3"/>
      <c r="P6526" s="3"/>
      <c r="Q6526" s="3"/>
    </row>
    <row r="6527" spans="1:17" ht="15" x14ac:dyDescent="0.25">
      <c r="A6527" s="3">
        <f>6520</f>
        <v>6520</v>
      </c>
      <c r="B6527" s="3" t="s">
        <v>6529</v>
      </c>
      <c r="C6527" s="3" t="s">
        <v>10</v>
      </c>
      <c r="D6527" s="3" t="s">
        <v>9</v>
      </c>
      <c r="E6527" s="3">
        <v>1</v>
      </c>
      <c r="F6527" s="3">
        <v>0</v>
      </c>
      <c r="G6527" s="3">
        <v>1</v>
      </c>
      <c r="H6527" s="3">
        <v>0</v>
      </c>
      <c r="I6527" s="3">
        <v>0</v>
      </c>
      <c r="J6527" s="3">
        <v>1</v>
      </c>
      <c r="K6527" s="3">
        <v>0</v>
      </c>
      <c r="L6527" s="3">
        <v>1</v>
      </c>
      <c r="M6527" s="3">
        <v>0</v>
      </c>
      <c r="N6527" s="3">
        <v>0</v>
      </c>
      <c r="O6527" s="3"/>
      <c r="P6527" s="3"/>
      <c r="Q6527" s="3"/>
    </row>
    <row r="6528" spans="1:17" ht="15" x14ac:dyDescent="0.25">
      <c r="A6528" s="3">
        <f>6521</f>
        <v>6521</v>
      </c>
      <c r="B6528" s="3" t="s">
        <v>6530</v>
      </c>
      <c r="C6528" s="3" t="s">
        <v>10</v>
      </c>
      <c r="D6528" s="3" t="s">
        <v>9</v>
      </c>
      <c r="E6528" s="3">
        <v>1</v>
      </c>
      <c r="F6528" s="3">
        <v>0</v>
      </c>
      <c r="G6528" s="3">
        <v>1</v>
      </c>
      <c r="H6528" s="3">
        <v>0</v>
      </c>
      <c r="I6528" s="3">
        <v>0</v>
      </c>
      <c r="J6528" s="3">
        <v>1</v>
      </c>
      <c r="K6528" s="3">
        <v>0</v>
      </c>
      <c r="L6528" s="3">
        <v>1</v>
      </c>
      <c r="M6528" s="3">
        <v>0</v>
      </c>
      <c r="N6528" s="3">
        <v>0</v>
      </c>
      <c r="O6528" s="3"/>
      <c r="P6528" s="3"/>
      <c r="Q6528" s="3"/>
    </row>
    <row r="6529" spans="1:17" ht="15" x14ac:dyDescent="0.25">
      <c r="A6529" s="3">
        <f>6522</f>
        <v>6522</v>
      </c>
      <c r="B6529" s="3" t="s">
        <v>6531</v>
      </c>
      <c r="C6529" s="3" t="s">
        <v>10</v>
      </c>
      <c r="D6529" s="3" t="s">
        <v>9</v>
      </c>
      <c r="E6529" s="3">
        <v>1</v>
      </c>
      <c r="F6529" s="3">
        <v>0</v>
      </c>
      <c r="G6529" s="3">
        <v>1</v>
      </c>
      <c r="H6529" s="3">
        <v>0</v>
      </c>
      <c r="I6529" s="3">
        <v>0</v>
      </c>
      <c r="J6529" s="3">
        <v>1</v>
      </c>
      <c r="K6529" s="3">
        <v>0</v>
      </c>
      <c r="L6529" s="3">
        <v>1</v>
      </c>
      <c r="M6529" s="3">
        <v>0</v>
      </c>
      <c r="N6529" s="3">
        <v>0</v>
      </c>
      <c r="O6529" s="3"/>
      <c r="P6529" s="3"/>
      <c r="Q6529" s="3"/>
    </row>
    <row r="6530" spans="1:17" ht="15" x14ac:dyDescent="0.25">
      <c r="A6530" s="3">
        <f>6523</f>
        <v>6523</v>
      </c>
      <c r="B6530" s="3" t="s">
        <v>6532</v>
      </c>
      <c r="C6530" s="3" t="s">
        <v>10</v>
      </c>
      <c r="D6530" s="3" t="s">
        <v>9</v>
      </c>
      <c r="E6530" s="3">
        <v>1</v>
      </c>
      <c r="F6530" s="3">
        <v>0</v>
      </c>
      <c r="G6530" s="3">
        <v>1</v>
      </c>
      <c r="H6530" s="3">
        <v>0</v>
      </c>
      <c r="I6530" s="3">
        <v>0</v>
      </c>
      <c r="J6530" s="3">
        <v>1</v>
      </c>
      <c r="K6530" s="3">
        <v>0</v>
      </c>
      <c r="L6530" s="3">
        <v>1</v>
      </c>
      <c r="M6530" s="3">
        <v>0</v>
      </c>
      <c r="N6530" s="3">
        <v>0</v>
      </c>
      <c r="O6530" s="3"/>
      <c r="P6530" s="3"/>
      <c r="Q6530" s="3"/>
    </row>
    <row r="6531" spans="1:17" ht="15" x14ac:dyDescent="0.25">
      <c r="A6531" s="3">
        <f>6524</f>
        <v>6524</v>
      </c>
      <c r="B6531" s="3" t="s">
        <v>6533</v>
      </c>
      <c r="C6531" s="3" t="s">
        <v>10</v>
      </c>
      <c r="D6531" s="3" t="s">
        <v>9</v>
      </c>
      <c r="E6531" s="3">
        <v>1</v>
      </c>
      <c r="F6531" s="3">
        <v>0</v>
      </c>
      <c r="G6531" s="3">
        <v>1</v>
      </c>
      <c r="H6531" s="3">
        <v>0</v>
      </c>
      <c r="I6531" s="3">
        <v>0</v>
      </c>
      <c r="J6531" s="3">
        <v>1</v>
      </c>
      <c r="K6531" s="3">
        <v>0</v>
      </c>
      <c r="L6531" s="3">
        <v>1</v>
      </c>
      <c r="M6531" s="3">
        <v>0</v>
      </c>
      <c r="N6531" s="3">
        <v>0</v>
      </c>
      <c r="O6531" s="3"/>
      <c r="P6531" s="3"/>
      <c r="Q6531" s="3"/>
    </row>
    <row r="6532" spans="1:17" ht="15" x14ac:dyDescent="0.25">
      <c r="A6532" s="3">
        <f>6525</f>
        <v>6525</v>
      </c>
      <c r="B6532" s="3" t="s">
        <v>6534</v>
      </c>
      <c r="C6532" s="3" t="s">
        <v>10</v>
      </c>
      <c r="D6532" s="3" t="s">
        <v>9</v>
      </c>
      <c r="E6532" s="3">
        <v>1</v>
      </c>
      <c r="F6532" s="3">
        <v>0</v>
      </c>
      <c r="G6532" s="3">
        <v>1</v>
      </c>
      <c r="H6532" s="3">
        <v>0</v>
      </c>
      <c r="I6532" s="3">
        <v>0</v>
      </c>
      <c r="J6532" s="3">
        <v>1</v>
      </c>
      <c r="K6532" s="3">
        <v>0</v>
      </c>
      <c r="L6532" s="3">
        <v>1</v>
      </c>
      <c r="M6532" s="3">
        <v>0</v>
      </c>
      <c r="N6532" s="3">
        <v>0</v>
      </c>
      <c r="O6532" s="3"/>
      <c r="P6532" s="3"/>
      <c r="Q6532" s="3"/>
    </row>
    <row r="6533" spans="1:17" ht="15" x14ac:dyDescent="0.25">
      <c r="A6533" s="3">
        <f>6526</f>
        <v>6526</v>
      </c>
      <c r="B6533" s="3" t="s">
        <v>6535</v>
      </c>
      <c r="C6533" s="3" t="s">
        <v>10</v>
      </c>
      <c r="D6533" s="3" t="s">
        <v>9</v>
      </c>
      <c r="E6533" s="3">
        <v>1</v>
      </c>
      <c r="F6533" s="3">
        <v>0</v>
      </c>
      <c r="G6533" s="3">
        <v>1</v>
      </c>
      <c r="H6533" s="3">
        <v>0</v>
      </c>
      <c r="I6533" s="3">
        <v>0</v>
      </c>
      <c r="J6533" s="3">
        <v>1</v>
      </c>
      <c r="K6533" s="3">
        <v>0</v>
      </c>
      <c r="L6533" s="3">
        <v>1</v>
      </c>
      <c r="M6533" s="3">
        <v>0</v>
      </c>
      <c r="N6533" s="3">
        <v>0</v>
      </c>
      <c r="O6533" s="3"/>
      <c r="P6533" s="3"/>
      <c r="Q6533" s="3"/>
    </row>
    <row r="6534" spans="1:17" ht="15" x14ac:dyDescent="0.25">
      <c r="A6534" s="3">
        <f>6527</f>
        <v>6527</v>
      </c>
      <c r="B6534" s="3" t="s">
        <v>6536</v>
      </c>
      <c r="C6534" s="3" t="s">
        <v>10</v>
      </c>
      <c r="D6534" s="3" t="s">
        <v>9</v>
      </c>
      <c r="E6534" s="3">
        <v>1</v>
      </c>
      <c r="F6534" s="3">
        <v>0</v>
      </c>
      <c r="G6534" s="3">
        <v>1</v>
      </c>
      <c r="H6534" s="3">
        <v>0</v>
      </c>
      <c r="I6534" s="3">
        <v>0</v>
      </c>
      <c r="J6534" s="3">
        <v>1</v>
      </c>
      <c r="K6534" s="3">
        <v>0</v>
      </c>
      <c r="L6534" s="3">
        <v>1</v>
      </c>
      <c r="M6534" s="3">
        <v>0</v>
      </c>
      <c r="N6534" s="3">
        <v>0</v>
      </c>
      <c r="O6534" s="3"/>
      <c r="P6534" s="3"/>
      <c r="Q6534" s="3"/>
    </row>
    <row r="6535" spans="1:17" ht="15" x14ac:dyDescent="0.25">
      <c r="A6535" s="3">
        <f>6528</f>
        <v>6528</v>
      </c>
      <c r="B6535" s="3" t="s">
        <v>6537</v>
      </c>
      <c r="C6535" s="3" t="s">
        <v>10</v>
      </c>
      <c r="D6535" s="3" t="s">
        <v>9</v>
      </c>
      <c r="E6535" s="3">
        <v>1</v>
      </c>
      <c r="F6535" s="3">
        <v>0</v>
      </c>
      <c r="G6535" s="3">
        <v>1</v>
      </c>
      <c r="H6535" s="3">
        <v>0</v>
      </c>
      <c r="I6535" s="3">
        <v>0</v>
      </c>
      <c r="J6535" s="3">
        <v>1</v>
      </c>
      <c r="K6535" s="3">
        <v>0</v>
      </c>
      <c r="L6535" s="3">
        <v>1</v>
      </c>
      <c r="M6535" s="3">
        <v>0</v>
      </c>
      <c r="N6535" s="3">
        <v>0</v>
      </c>
      <c r="O6535" s="3"/>
      <c r="P6535" s="3"/>
      <c r="Q6535" s="3"/>
    </row>
    <row r="6536" spans="1:17" ht="15" x14ac:dyDescent="0.25">
      <c r="A6536" s="3">
        <f>6529</f>
        <v>6529</v>
      </c>
      <c r="B6536" s="3" t="s">
        <v>6538</v>
      </c>
      <c r="C6536" s="3" t="s">
        <v>10</v>
      </c>
      <c r="D6536" s="3" t="s">
        <v>9</v>
      </c>
      <c r="E6536" s="3">
        <v>1</v>
      </c>
      <c r="F6536" s="3">
        <v>0</v>
      </c>
      <c r="G6536" s="3">
        <v>1</v>
      </c>
      <c r="H6536" s="3">
        <v>0</v>
      </c>
      <c r="I6536" s="3">
        <v>0</v>
      </c>
      <c r="J6536" s="3">
        <v>1</v>
      </c>
      <c r="K6536" s="3">
        <v>0</v>
      </c>
      <c r="L6536" s="3">
        <v>1</v>
      </c>
      <c r="M6536" s="3">
        <v>0</v>
      </c>
      <c r="N6536" s="3">
        <v>0</v>
      </c>
      <c r="O6536" s="3"/>
      <c r="P6536" s="3"/>
      <c r="Q6536" s="3"/>
    </row>
    <row r="6537" spans="1:17" ht="15" x14ac:dyDescent="0.25">
      <c r="A6537" s="3">
        <f>6530</f>
        <v>6530</v>
      </c>
      <c r="B6537" s="3" t="s">
        <v>6539</v>
      </c>
      <c r="C6537" s="3" t="s">
        <v>10</v>
      </c>
      <c r="D6537" s="3" t="s">
        <v>9</v>
      </c>
      <c r="E6537" s="3">
        <v>1</v>
      </c>
      <c r="F6537" s="3">
        <v>0</v>
      </c>
      <c r="G6537" s="3">
        <v>1</v>
      </c>
      <c r="H6537" s="3">
        <v>0</v>
      </c>
      <c r="I6537" s="3">
        <v>0</v>
      </c>
      <c r="J6537" s="3">
        <v>1</v>
      </c>
      <c r="K6537" s="3">
        <v>0</v>
      </c>
      <c r="L6537" s="3">
        <v>1</v>
      </c>
      <c r="M6537" s="3">
        <v>0</v>
      </c>
      <c r="N6537" s="3">
        <v>0</v>
      </c>
      <c r="O6537" s="3"/>
      <c r="P6537" s="3"/>
      <c r="Q6537" s="3"/>
    </row>
    <row r="6538" spans="1:17" ht="15" x14ac:dyDescent="0.25">
      <c r="A6538" s="3">
        <f>6531</f>
        <v>6531</v>
      </c>
      <c r="B6538" s="3" t="s">
        <v>6540</v>
      </c>
      <c r="C6538" s="3" t="s">
        <v>10</v>
      </c>
      <c r="D6538" s="3" t="s">
        <v>9</v>
      </c>
      <c r="E6538" s="3">
        <v>1</v>
      </c>
      <c r="F6538" s="3">
        <v>0</v>
      </c>
      <c r="G6538" s="3">
        <v>1</v>
      </c>
      <c r="H6538" s="3">
        <v>0</v>
      </c>
      <c r="I6538" s="3">
        <v>0</v>
      </c>
      <c r="J6538" s="3">
        <v>1</v>
      </c>
      <c r="K6538" s="3">
        <v>0</v>
      </c>
      <c r="L6538" s="3">
        <v>1</v>
      </c>
      <c r="M6538" s="3">
        <v>0</v>
      </c>
      <c r="N6538" s="3">
        <v>0</v>
      </c>
      <c r="O6538" s="3"/>
      <c r="P6538" s="3"/>
      <c r="Q6538" s="3"/>
    </row>
    <row r="6539" spans="1:17" ht="15" x14ac:dyDescent="0.25">
      <c r="A6539" s="3">
        <f>6532</f>
        <v>6532</v>
      </c>
      <c r="B6539" s="3" t="s">
        <v>6541</v>
      </c>
      <c r="C6539" s="3" t="s">
        <v>10</v>
      </c>
      <c r="D6539" s="3" t="s">
        <v>9</v>
      </c>
      <c r="E6539" s="3">
        <v>1</v>
      </c>
      <c r="F6539" s="3">
        <v>0</v>
      </c>
      <c r="G6539" s="3">
        <v>1</v>
      </c>
      <c r="H6539" s="3">
        <v>0</v>
      </c>
      <c r="I6539" s="3">
        <v>0</v>
      </c>
      <c r="J6539" s="3">
        <v>1</v>
      </c>
      <c r="K6539" s="3">
        <v>0</v>
      </c>
      <c r="L6539" s="3">
        <v>1</v>
      </c>
      <c r="M6539" s="3">
        <v>0</v>
      </c>
      <c r="N6539" s="3">
        <v>0</v>
      </c>
      <c r="O6539" s="3"/>
      <c r="P6539" s="3"/>
      <c r="Q6539" s="3"/>
    </row>
    <row r="6540" spans="1:17" ht="15" x14ac:dyDescent="0.25">
      <c r="A6540" s="3">
        <f>6533</f>
        <v>6533</v>
      </c>
      <c r="B6540" s="3" t="s">
        <v>6542</v>
      </c>
      <c r="C6540" s="3" t="s">
        <v>10</v>
      </c>
      <c r="D6540" s="3" t="s">
        <v>9</v>
      </c>
      <c r="E6540" s="3">
        <v>1</v>
      </c>
      <c r="F6540" s="3">
        <v>0</v>
      </c>
      <c r="G6540" s="3">
        <v>1</v>
      </c>
      <c r="H6540" s="3">
        <v>0</v>
      </c>
      <c r="I6540" s="3">
        <v>0</v>
      </c>
      <c r="J6540" s="3">
        <v>1</v>
      </c>
      <c r="K6540" s="3">
        <v>0</v>
      </c>
      <c r="L6540" s="3">
        <v>1</v>
      </c>
      <c r="M6540" s="3">
        <v>0</v>
      </c>
      <c r="N6540" s="3">
        <v>0</v>
      </c>
      <c r="O6540" s="3"/>
      <c r="P6540" s="3"/>
      <c r="Q6540" s="3"/>
    </row>
    <row r="6541" spans="1:17" ht="15" x14ac:dyDescent="0.25">
      <c r="A6541" s="3">
        <f>6534</f>
        <v>6534</v>
      </c>
      <c r="B6541" s="3" t="s">
        <v>6543</v>
      </c>
      <c r="C6541" s="3" t="s">
        <v>10</v>
      </c>
      <c r="D6541" s="3" t="s">
        <v>9</v>
      </c>
      <c r="E6541" s="3">
        <v>1</v>
      </c>
      <c r="F6541" s="3">
        <v>0</v>
      </c>
      <c r="G6541" s="3">
        <v>1</v>
      </c>
      <c r="H6541" s="3">
        <v>0</v>
      </c>
      <c r="I6541" s="3">
        <v>0</v>
      </c>
      <c r="J6541" s="3">
        <v>1</v>
      </c>
      <c r="K6541" s="3">
        <v>0</v>
      </c>
      <c r="L6541" s="3">
        <v>1</v>
      </c>
      <c r="M6541" s="3">
        <v>0</v>
      </c>
      <c r="N6541" s="3">
        <v>0</v>
      </c>
      <c r="O6541" s="3"/>
      <c r="P6541" s="3"/>
      <c r="Q6541" s="3"/>
    </row>
    <row r="6542" spans="1:17" ht="15" x14ac:dyDescent="0.25">
      <c r="A6542" s="3">
        <f>6535</f>
        <v>6535</v>
      </c>
      <c r="B6542" s="3" t="s">
        <v>6544</v>
      </c>
      <c r="C6542" s="3" t="s">
        <v>10</v>
      </c>
      <c r="D6542" s="3" t="s">
        <v>9</v>
      </c>
      <c r="E6542" s="3">
        <v>1</v>
      </c>
      <c r="F6542" s="3">
        <v>0</v>
      </c>
      <c r="G6542" s="3">
        <v>1</v>
      </c>
      <c r="H6542" s="3">
        <v>0</v>
      </c>
      <c r="I6542" s="3">
        <v>0</v>
      </c>
      <c r="J6542" s="3">
        <v>1</v>
      </c>
      <c r="K6542" s="3">
        <v>0</v>
      </c>
      <c r="L6542" s="3">
        <v>1</v>
      </c>
      <c r="M6542" s="3">
        <v>0</v>
      </c>
      <c r="N6542" s="3">
        <v>0</v>
      </c>
      <c r="O6542" s="3"/>
      <c r="P6542" s="3"/>
      <c r="Q6542" s="3"/>
    </row>
    <row r="6543" spans="1:17" ht="15" x14ac:dyDescent="0.25">
      <c r="A6543" s="3">
        <f>6536</f>
        <v>6536</v>
      </c>
      <c r="B6543" s="3" t="s">
        <v>6545</v>
      </c>
      <c r="C6543" s="3" t="s">
        <v>10</v>
      </c>
      <c r="D6543" s="3" t="s">
        <v>9</v>
      </c>
      <c r="E6543" s="3">
        <v>1</v>
      </c>
      <c r="F6543" s="3">
        <v>0</v>
      </c>
      <c r="G6543" s="3">
        <v>1</v>
      </c>
      <c r="H6543" s="3">
        <v>0</v>
      </c>
      <c r="I6543" s="3">
        <v>0</v>
      </c>
      <c r="J6543" s="3">
        <v>1</v>
      </c>
      <c r="K6543" s="3">
        <v>0</v>
      </c>
      <c r="L6543" s="3">
        <v>1</v>
      </c>
      <c r="M6543" s="3">
        <v>0</v>
      </c>
      <c r="N6543" s="3">
        <v>0</v>
      </c>
      <c r="O6543" s="3"/>
      <c r="P6543" s="3"/>
      <c r="Q6543" s="3"/>
    </row>
    <row r="6544" spans="1:17" ht="15" x14ac:dyDescent="0.25">
      <c r="A6544" s="3">
        <f>6537</f>
        <v>6537</v>
      </c>
      <c r="B6544" s="3" t="s">
        <v>6546</v>
      </c>
      <c r="C6544" s="3" t="s">
        <v>10</v>
      </c>
      <c r="D6544" s="3" t="s">
        <v>9</v>
      </c>
      <c r="E6544" s="3">
        <v>1</v>
      </c>
      <c r="F6544" s="3">
        <v>0</v>
      </c>
      <c r="G6544" s="3">
        <v>1</v>
      </c>
      <c r="H6544" s="3">
        <v>0</v>
      </c>
      <c r="I6544" s="3">
        <v>0</v>
      </c>
      <c r="J6544" s="3">
        <v>1</v>
      </c>
      <c r="K6544" s="3">
        <v>0</v>
      </c>
      <c r="L6544" s="3">
        <v>1</v>
      </c>
      <c r="M6544" s="3">
        <v>0</v>
      </c>
      <c r="N6544" s="3">
        <v>0</v>
      </c>
      <c r="O6544" s="3"/>
      <c r="P6544" s="3"/>
      <c r="Q6544" s="3"/>
    </row>
    <row r="6545" spans="1:17" ht="15" x14ac:dyDescent="0.25">
      <c r="A6545" s="3">
        <f>6538</f>
        <v>6538</v>
      </c>
      <c r="B6545" s="3" t="s">
        <v>6547</v>
      </c>
      <c r="C6545" s="3" t="s">
        <v>10</v>
      </c>
      <c r="D6545" s="3" t="s">
        <v>9</v>
      </c>
      <c r="E6545" s="3">
        <v>1</v>
      </c>
      <c r="F6545" s="3">
        <v>0</v>
      </c>
      <c r="G6545" s="3">
        <v>1</v>
      </c>
      <c r="H6545" s="3">
        <v>0</v>
      </c>
      <c r="I6545" s="3">
        <v>0</v>
      </c>
      <c r="J6545" s="3">
        <v>1</v>
      </c>
      <c r="K6545" s="3">
        <v>0</v>
      </c>
      <c r="L6545" s="3">
        <v>1</v>
      </c>
      <c r="M6545" s="3">
        <v>0</v>
      </c>
      <c r="N6545" s="3">
        <v>0</v>
      </c>
      <c r="O6545" s="3"/>
      <c r="P6545" s="3"/>
      <c r="Q6545" s="3"/>
    </row>
    <row r="6546" spans="1:17" ht="15" x14ac:dyDescent="0.25">
      <c r="A6546" s="3">
        <f>6539</f>
        <v>6539</v>
      </c>
      <c r="B6546" s="3" t="s">
        <v>6548</v>
      </c>
      <c r="C6546" s="3" t="s">
        <v>10</v>
      </c>
      <c r="D6546" s="3" t="s">
        <v>9</v>
      </c>
      <c r="E6546" s="3">
        <v>1</v>
      </c>
      <c r="F6546" s="3">
        <v>0</v>
      </c>
      <c r="G6546" s="3">
        <v>1</v>
      </c>
      <c r="H6546" s="3">
        <v>0</v>
      </c>
      <c r="I6546" s="3">
        <v>0</v>
      </c>
      <c r="J6546" s="3">
        <v>1</v>
      </c>
      <c r="K6546" s="3">
        <v>0</v>
      </c>
      <c r="L6546" s="3">
        <v>1</v>
      </c>
      <c r="M6546" s="3">
        <v>0</v>
      </c>
      <c r="N6546" s="3">
        <v>0</v>
      </c>
      <c r="O6546" s="3"/>
      <c r="P6546" s="3"/>
      <c r="Q6546" s="3"/>
    </row>
    <row r="6547" spans="1:17" ht="15" x14ac:dyDescent="0.25">
      <c r="A6547" s="3">
        <f>6540</f>
        <v>6540</v>
      </c>
      <c r="B6547" s="3" t="s">
        <v>6549</v>
      </c>
      <c r="C6547" s="3" t="s">
        <v>10</v>
      </c>
      <c r="D6547" s="3" t="s">
        <v>9</v>
      </c>
      <c r="E6547" s="3">
        <v>1</v>
      </c>
      <c r="F6547" s="3">
        <v>0</v>
      </c>
      <c r="G6547" s="3">
        <v>1</v>
      </c>
      <c r="H6547" s="3">
        <v>0</v>
      </c>
      <c r="I6547" s="3">
        <v>0</v>
      </c>
      <c r="J6547" s="3">
        <v>1</v>
      </c>
      <c r="K6547" s="3">
        <v>0</v>
      </c>
      <c r="L6547" s="3">
        <v>1</v>
      </c>
      <c r="M6547" s="3">
        <v>0</v>
      </c>
      <c r="N6547" s="3">
        <v>0</v>
      </c>
      <c r="O6547" s="3"/>
      <c r="P6547" s="3"/>
      <c r="Q6547" s="3"/>
    </row>
    <row r="6548" spans="1:17" ht="15" x14ac:dyDescent="0.25">
      <c r="A6548" s="3">
        <f>6541</f>
        <v>6541</v>
      </c>
      <c r="B6548" s="3" t="s">
        <v>6550</v>
      </c>
      <c r="C6548" s="3" t="s">
        <v>10</v>
      </c>
      <c r="D6548" s="3" t="s">
        <v>9</v>
      </c>
      <c r="E6548" s="3">
        <v>1</v>
      </c>
      <c r="F6548" s="3">
        <v>0</v>
      </c>
      <c r="G6548" s="3">
        <v>1</v>
      </c>
      <c r="H6548" s="3">
        <v>0</v>
      </c>
      <c r="I6548" s="3">
        <v>0</v>
      </c>
      <c r="J6548" s="3">
        <v>1</v>
      </c>
      <c r="K6548" s="3">
        <v>0</v>
      </c>
      <c r="L6548" s="3">
        <v>1</v>
      </c>
      <c r="M6548" s="3">
        <v>0</v>
      </c>
      <c r="N6548" s="3">
        <v>0</v>
      </c>
      <c r="O6548" s="3"/>
      <c r="P6548" s="3"/>
      <c r="Q6548" s="3"/>
    </row>
    <row r="6549" spans="1:17" ht="15" x14ac:dyDescent="0.25">
      <c r="A6549" s="3">
        <f>6542</f>
        <v>6542</v>
      </c>
      <c r="B6549" s="3" t="s">
        <v>6551</v>
      </c>
      <c r="C6549" s="3" t="s">
        <v>10</v>
      </c>
      <c r="D6549" s="3" t="s">
        <v>9</v>
      </c>
      <c r="E6549" s="3">
        <v>1</v>
      </c>
      <c r="F6549" s="3">
        <v>0</v>
      </c>
      <c r="G6549" s="3">
        <v>1</v>
      </c>
      <c r="H6549" s="3">
        <v>0</v>
      </c>
      <c r="I6549" s="3">
        <v>0</v>
      </c>
      <c r="J6549" s="3">
        <v>1</v>
      </c>
      <c r="K6549" s="3">
        <v>0</v>
      </c>
      <c r="L6549" s="3">
        <v>1</v>
      </c>
      <c r="M6549" s="3">
        <v>0</v>
      </c>
      <c r="N6549" s="3">
        <v>0</v>
      </c>
      <c r="O6549" s="3"/>
      <c r="P6549" s="3"/>
      <c r="Q6549" s="3"/>
    </row>
    <row r="6550" spans="1:17" ht="15" x14ac:dyDescent="0.25">
      <c r="A6550" s="3">
        <f>6543</f>
        <v>6543</v>
      </c>
      <c r="B6550" s="3" t="s">
        <v>6552</v>
      </c>
      <c r="C6550" s="3" t="s">
        <v>10</v>
      </c>
      <c r="D6550" s="3" t="s">
        <v>9</v>
      </c>
      <c r="E6550" s="3">
        <v>1</v>
      </c>
      <c r="F6550" s="3">
        <v>0</v>
      </c>
      <c r="G6550" s="3">
        <v>1</v>
      </c>
      <c r="H6550" s="3">
        <v>0</v>
      </c>
      <c r="I6550" s="3">
        <v>0</v>
      </c>
      <c r="J6550" s="3">
        <v>1</v>
      </c>
      <c r="K6550" s="3">
        <v>0</v>
      </c>
      <c r="L6550" s="3">
        <v>1</v>
      </c>
      <c r="M6550" s="3">
        <v>0</v>
      </c>
      <c r="N6550" s="3">
        <v>0</v>
      </c>
      <c r="O6550" s="3"/>
      <c r="P6550" s="3"/>
      <c r="Q6550" s="3"/>
    </row>
    <row r="6551" spans="1:17" ht="15" x14ac:dyDescent="0.25">
      <c r="A6551" s="3">
        <f>6544</f>
        <v>6544</v>
      </c>
      <c r="B6551" s="3" t="s">
        <v>6553</v>
      </c>
      <c r="C6551" s="3" t="s">
        <v>10</v>
      </c>
      <c r="D6551" s="3" t="s">
        <v>9</v>
      </c>
      <c r="E6551" s="3">
        <v>1</v>
      </c>
      <c r="F6551" s="3">
        <v>0</v>
      </c>
      <c r="G6551" s="3">
        <v>1</v>
      </c>
      <c r="H6551" s="3">
        <v>0</v>
      </c>
      <c r="I6551" s="3">
        <v>0</v>
      </c>
      <c r="J6551" s="3">
        <v>1</v>
      </c>
      <c r="K6551" s="3">
        <v>0</v>
      </c>
      <c r="L6551" s="3">
        <v>1</v>
      </c>
      <c r="M6551" s="3">
        <v>0</v>
      </c>
      <c r="N6551" s="3">
        <v>0</v>
      </c>
      <c r="O6551" s="3"/>
      <c r="P6551" s="3"/>
      <c r="Q6551" s="3"/>
    </row>
    <row r="6552" spans="1:17" ht="15" x14ac:dyDescent="0.25">
      <c r="A6552" s="3">
        <f>6545</f>
        <v>6545</v>
      </c>
      <c r="B6552" s="3" t="s">
        <v>6554</v>
      </c>
      <c r="C6552" s="3" t="s">
        <v>10</v>
      </c>
      <c r="D6552" s="3" t="s">
        <v>9</v>
      </c>
      <c r="E6552" s="3">
        <v>1</v>
      </c>
      <c r="F6552" s="3">
        <v>0</v>
      </c>
      <c r="G6552" s="3">
        <v>1</v>
      </c>
      <c r="H6552" s="3">
        <v>0</v>
      </c>
      <c r="I6552" s="3">
        <v>0</v>
      </c>
      <c r="J6552" s="3">
        <v>1</v>
      </c>
      <c r="K6552" s="3">
        <v>0</v>
      </c>
      <c r="L6552" s="3">
        <v>1</v>
      </c>
      <c r="M6552" s="3">
        <v>0</v>
      </c>
      <c r="N6552" s="3">
        <v>0</v>
      </c>
      <c r="O6552" s="3"/>
      <c r="P6552" s="3"/>
      <c r="Q6552" s="3"/>
    </row>
    <row r="6553" spans="1:17" ht="15" x14ac:dyDescent="0.25">
      <c r="A6553" s="3">
        <f>6546</f>
        <v>6546</v>
      </c>
      <c r="B6553" s="3" t="s">
        <v>6555</v>
      </c>
      <c r="C6553" s="3" t="s">
        <v>10</v>
      </c>
      <c r="D6553" s="3" t="s">
        <v>9</v>
      </c>
      <c r="E6553" s="3">
        <v>1</v>
      </c>
      <c r="F6553" s="3">
        <v>0</v>
      </c>
      <c r="G6553" s="3">
        <v>1</v>
      </c>
      <c r="H6553" s="3">
        <v>0</v>
      </c>
      <c r="I6553" s="3">
        <v>0</v>
      </c>
      <c r="J6553" s="3">
        <v>1</v>
      </c>
      <c r="K6553" s="3">
        <v>0</v>
      </c>
      <c r="L6553" s="3">
        <v>1</v>
      </c>
      <c r="M6553" s="3">
        <v>0</v>
      </c>
      <c r="N6553" s="3">
        <v>0</v>
      </c>
      <c r="O6553" s="3"/>
      <c r="P6553" s="3"/>
      <c r="Q6553" s="3"/>
    </row>
    <row r="6554" spans="1:17" ht="15" x14ac:dyDescent="0.25">
      <c r="A6554" s="3">
        <f>6547</f>
        <v>6547</v>
      </c>
      <c r="B6554" s="3" t="s">
        <v>6556</v>
      </c>
      <c r="C6554" s="3" t="s">
        <v>10</v>
      </c>
      <c r="D6554" s="3" t="s">
        <v>9</v>
      </c>
      <c r="E6554" s="3">
        <v>1</v>
      </c>
      <c r="F6554" s="3">
        <v>0</v>
      </c>
      <c r="G6554" s="3">
        <v>1</v>
      </c>
      <c r="H6554" s="3">
        <v>0</v>
      </c>
      <c r="I6554" s="3">
        <v>0</v>
      </c>
      <c r="J6554" s="3">
        <v>1</v>
      </c>
      <c r="K6554" s="3">
        <v>0</v>
      </c>
      <c r="L6554" s="3">
        <v>1</v>
      </c>
      <c r="M6554" s="3">
        <v>0</v>
      </c>
      <c r="N6554" s="3">
        <v>0</v>
      </c>
      <c r="O6554" s="3"/>
      <c r="P6554" s="3"/>
      <c r="Q6554" s="3"/>
    </row>
    <row r="6555" spans="1:17" ht="15" x14ac:dyDescent="0.25">
      <c r="A6555" s="3">
        <f>6548</f>
        <v>6548</v>
      </c>
      <c r="B6555" s="3" t="s">
        <v>6557</v>
      </c>
      <c r="C6555" s="3" t="s">
        <v>10</v>
      </c>
      <c r="D6555" s="3" t="s">
        <v>9</v>
      </c>
      <c r="E6555" s="3">
        <v>1</v>
      </c>
      <c r="F6555" s="3">
        <v>0</v>
      </c>
      <c r="G6555" s="3">
        <v>1</v>
      </c>
      <c r="H6555" s="3">
        <v>0</v>
      </c>
      <c r="I6555" s="3">
        <v>0</v>
      </c>
      <c r="J6555" s="3">
        <v>1</v>
      </c>
      <c r="K6555" s="3">
        <v>0</v>
      </c>
      <c r="L6555" s="3">
        <v>1</v>
      </c>
      <c r="M6555" s="3">
        <v>0</v>
      </c>
      <c r="N6555" s="3">
        <v>0</v>
      </c>
      <c r="O6555" s="3"/>
      <c r="P6555" s="3"/>
      <c r="Q6555" s="3"/>
    </row>
    <row r="6556" spans="1:17" ht="15" x14ac:dyDescent="0.25">
      <c r="A6556" s="3">
        <f>6549</f>
        <v>6549</v>
      </c>
      <c r="B6556" s="3" t="s">
        <v>6558</v>
      </c>
      <c r="C6556" s="3" t="s">
        <v>10</v>
      </c>
      <c r="D6556" s="3" t="s">
        <v>9</v>
      </c>
      <c r="E6556" s="3">
        <v>1</v>
      </c>
      <c r="F6556" s="3">
        <v>0</v>
      </c>
      <c r="G6556" s="3">
        <v>1</v>
      </c>
      <c r="H6556" s="3">
        <v>0</v>
      </c>
      <c r="I6556" s="3">
        <v>0</v>
      </c>
      <c r="J6556" s="3">
        <v>1</v>
      </c>
      <c r="K6556" s="3">
        <v>0</v>
      </c>
      <c r="L6556" s="3">
        <v>1</v>
      </c>
      <c r="M6556" s="3">
        <v>0</v>
      </c>
      <c r="N6556" s="3">
        <v>0</v>
      </c>
      <c r="O6556" s="3"/>
      <c r="P6556" s="3"/>
      <c r="Q6556" s="3"/>
    </row>
    <row r="6557" spans="1:17" ht="15" x14ac:dyDescent="0.25">
      <c r="A6557" s="3">
        <f>6550</f>
        <v>6550</v>
      </c>
      <c r="B6557" s="3" t="s">
        <v>6559</v>
      </c>
      <c r="C6557" s="3" t="s">
        <v>10</v>
      </c>
      <c r="D6557" s="3" t="s">
        <v>9</v>
      </c>
      <c r="E6557" s="3">
        <v>1</v>
      </c>
      <c r="F6557" s="3">
        <v>0</v>
      </c>
      <c r="G6557" s="3">
        <v>1</v>
      </c>
      <c r="H6557" s="3">
        <v>0</v>
      </c>
      <c r="I6557" s="3">
        <v>0</v>
      </c>
      <c r="J6557" s="3">
        <v>1</v>
      </c>
      <c r="K6557" s="3">
        <v>0</v>
      </c>
      <c r="L6557" s="3">
        <v>1</v>
      </c>
      <c r="M6557" s="3">
        <v>0</v>
      </c>
      <c r="N6557" s="3">
        <v>0</v>
      </c>
      <c r="O6557" s="3"/>
      <c r="P6557" s="3"/>
      <c r="Q6557" s="3"/>
    </row>
    <row r="6558" spans="1:17" ht="15" x14ac:dyDescent="0.25">
      <c r="A6558" s="3">
        <f>6551</f>
        <v>6551</v>
      </c>
      <c r="B6558" s="3" t="s">
        <v>6560</v>
      </c>
      <c r="C6558" s="3" t="s">
        <v>10</v>
      </c>
      <c r="D6558" s="3" t="s">
        <v>9</v>
      </c>
      <c r="E6558" s="3">
        <v>1</v>
      </c>
      <c r="F6558" s="3">
        <v>0</v>
      </c>
      <c r="G6558" s="3">
        <v>1</v>
      </c>
      <c r="H6558" s="3">
        <v>0</v>
      </c>
      <c r="I6558" s="3">
        <v>0</v>
      </c>
      <c r="J6558" s="3">
        <v>1</v>
      </c>
      <c r="K6558" s="3">
        <v>0</v>
      </c>
      <c r="L6558" s="3">
        <v>1</v>
      </c>
      <c r="M6558" s="3">
        <v>0</v>
      </c>
      <c r="N6558" s="3">
        <v>0</v>
      </c>
      <c r="O6558" s="3"/>
      <c r="P6558" s="3"/>
      <c r="Q6558" s="3"/>
    </row>
    <row r="6559" spans="1:17" ht="15" x14ac:dyDescent="0.25">
      <c r="A6559" s="3">
        <f>6552</f>
        <v>6552</v>
      </c>
      <c r="B6559" s="3" t="s">
        <v>6561</v>
      </c>
      <c r="C6559" s="3" t="s">
        <v>10</v>
      </c>
      <c r="D6559" s="3" t="s">
        <v>9</v>
      </c>
      <c r="E6559" s="3">
        <v>1</v>
      </c>
      <c r="F6559" s="3">
        <v>0</v>
      </c>
      <c r="G6559" s="3">
        <v>1</v>
      </c>
      <c r="H6559" s="3">
        <v>0</v>
      </c>
      <c r="I6559" s="3">
        <v>0</v>
      </c>
      <c r="J6559" s="3">
        <v>1</v>
      </c>
      <c r="K6559" s="3">
        <v>0</v>
      </c>
      <c r="L6559" s="3">
        <v>1</v>
      </c>
      <c r="M6559" s="3">
        <v>0</v>
      </c>
      <c r="N6559" s="3">
        <v>0</v>
      </c>
      <c r="O6559" s="3"/>
      <c r="P6559" s="3"/>
      <c r="Q6559" s="3"/>
    </row>
    <row r="6560" spans="1:17" ht="15" x14ac:dyDescent="0.25">
      <c r="A6560" s="3">
        <f>6553</f>
        <v>6553</v>
      </c>
      <c r="B6560" s="3" t="s">
        <v>6562</v>
      </c>
      <c r="C6560" s="3" t="s">
        <v>10</v>
      </c>
      <c r="D6560" s="3" t="s">
        <v>9</v>
      </c>
      <c r="E6560" s="3">
        <v>1</v>
      </c>
      <c r="F6560" s="3">
        <v>0</v>
      </c>
      <c r="G6560" s="3">
        <v>1</v>
      </c>
      <c r="H6560" s="3">
        <v>0</v>
      </c>
      <c r="I6560" s="3">
        <v>0</v>
      </c>
      <c r="J6560" s="3">
        <v>1</v>
      </c>
      <c r="K6560" s="3">
        <v>0</v>
      </c>
      <c r="L6560" s="3">
        <v>1</v>
      </c>
      <c r="M6560" s="3">
        <v>0</v>
      </c>
      <c r="N6560" s="3">
        <v>0</v>
      </c>
      <c r="O6560" s="3"/>
      <c r="P6560" s="3"/>
      <c r="Q6560" s="3"/>
    </row>
    <row r="6561" spans="1:17" ht="15" x14ac:dyDescent="0.25">
      <c r="A6561" s="3">
        <f>6554</f>
        <v>6554</v>
      </c>
      <c r="B6561" s="3" t="s">
        <v>6563</v>
      </c>
      <c r="C6561" s="3" t="s">
        <v>10</v>
      </c>
      <c r="D6561" s="3" t="s">
        <v>9</v>
      </c>
      <c r="E6561" s="3">
        <v>1</v>
      </c>
      <c r="F6561" s="3">
        <v>0</v>
      </c>
      <c r="G6561" s="3">
        <v>1</v>
      </c>
      <c r="H6561" s="3">
        <v>0</v>
      </c>
      <c r="I6561" s="3">
        <v>0</v>
      </c>
      <c r="J6561" s="3">
        <v>1</v>
      </c>
      <c r="K6561" s="3">
        <v>0</v>
      </c>
      <c r="L6561" s="3">
        <v>1</v>
      </c>
      <c r="M6561" s="3">
        <v>0</v>
      </c>
      <c r="N6561" s="3">
        <v>0</v>
      </c>
      <c r="O6561" s="3"/>
      <c r="P6561" s="3"/>
      <c r="Q6561" s="3"/>
    </row>
    <row r="6562" spans="1:17" ht="15" x14ac:dyDescent="0.25">
      <c r="A6562" s="3">
        <f>6555</f>
        <v>6555</v>
      </c>
      <c r="B6562" s="3" t="s">
        <v>6564</v>
      </c>
      <c r="C6562" s="3" t="s">
        <v>10</v>
      </c>
      <c r="D6562" s="3" t="s">
        <v>9</v>
      </c>
      <c r="E6562" s="3">
        <v>1</v>
      </c>
      <c r="F6562" s="3">
        <v>0</v>
      </c>
      <c r="G6562" s="3">
        <v>1</v>
      </c>
      <c r="H6562" s="3">
        <v>0</v>
      </c>
      <c r="I6562" s="3">
        <v>0</v>
      </c>
      <c r="J6562" s="3">
        <v>1</v>
      </c>
      <c r="K6562" s="3">
        <v>0</v>
      </c>
      <c r="L6562" s="3">
        <v>1</v>
      </c>
      <c r="M6562" s="3">
        <v>0</v>
      </c>
      <c r="N6562" s="3">
        <v>0</v>
      </c>
      <c r="O6562" s="3"/>
      <c r="P6562" s="3"/>
      <c r="Q6562" s="3"/>
    </row>
    <row r="6563" spans="1:17" ht="15" x14ac:dyDescent="0.25">
      <c r="A6563" s="3">
        <f>6556</f>
        <v>6556</v>
      </c>
      <c r="B6563" s="3" t="s">
        <v>6565</v>
      </c>
      <c r="C6563" s="3" t="s">
        <v>10</v>
      </c>
      <c r="D6563" s="3" t="s">
        <v>9</v>
      </c>
      <c r="E6563" s="3">
        <v>1</v>
      </c>
      <c r="F6563" s="3">
        <v>0</v>
      </c>
      <c r="G6563" s="3">
        <v>1</v>
      </c>
      <c r="H6563" s="3">
        <v>0</v>
      </c>
      <c r="I6563" s="3">
        <v>0</v>
      </c>
      <c r="J6563" s="3">
        <v>1</v>
      </c>
      <c r="K6563" s="3">
        <v>0</v>
      </c>
      <c r="L6563" s="3">
        <v>1</v>
      </c>
      <c r="M6563" s="3">
        <v>0</v>
      </c>
      <c r="N6563" s="3">
        <v>0</v>
      </c>
      <c r="O6563" s="3"/>
      <c r="P6563" s="3"/>
      <c r="Q6563" s="3"/>
    </row>
    <row r="6564" spans="1:17" ht="15" x14ac:dyDescent="0.25">
      <c r="A6564" s="3">
        <f>6557</f>
        <v>6557</v>
      </c>
      <c r="B6564" s="3" t="s">
        <v>6566</v>
      </c>
      <c r="C6564" s="3" t="s">
        <v>10</v>
      </c>
      <c r="D6564" s="3" t="s">
        <v>9</v>
      </c>
      <c r="E6564" s="3">
        <v>1</v>
      </c>
      <c r="F6564" s="3">
        <v>0</v>
      </c>
      <c r="G6564" s="3">
        <v>1</v>
      </c>
      <c r="H6564" s="3">
        <v>0</v>
      </c>
      <c r="I6564" s="3">
        <v>0</v>
      </c>
      <c r="J6564" s="3">
        <v>1</v>
      </c>
      <c r="K6564" s="3">
        <v>0</v>
      </c>
      <c r="L6564" s="3">
        <v>1</v>
      </c>
      <c r="M6564" s="3">
        <v>0</v>
      </c>
      <c r="N6564" s="3">
        <v>0</v>
      </c>
      <c r="O6564" s="3"/>
      <c r="P6564" s="3"/>
      <c r="Q6564" s="3"/>
    </row>
    <row r="6565" spans="1:17" ht="15" x14ac:dyDescent="0.25">
      <c r="A6565" s="3">
        <f>6558</f>
        <v>6558</v>
      </c>
      <c r="B6565" s="3" t="s">
        <v>6567</v>
      </c>
      <c r="C6565" s="3" t="s">
        <v>10</v>
      </c>
      <c r="D6565" s="3" t="s">
        <v>9</v>
      </c>
      <c r="E6565" s="3">
        <v>1</v>
      </c>
      <c r="F6565" s="3">
        <v>0</v>
      </c>
      <c r="G6565" s="3">
        <v>1</v>
      </c>
      <c r="H6565" s="3">
        <v>0</v>
      </c>
      <c r="I6565" s="3">
        <v>0</v>
      </c>
      <c r="J6565" s="3">
        <v>1</v>
      </c>
      <c r="K6565" s="3">
        <v>0</v>
      </c>
      <c r="L6565" s="3">
        <v>1</v>
      </c>
      <c r="M6565" s="3">
        <v>0</v>
      </c>
      <c r="N6565" s="3">
        <v>0</v>
      </c>
      <c r="O6565" s="3"/>
      <c r="P6565" s="3"/>
      <c r="Q6565" s="3"/>
    </row>
    <row r="6566" spans="1:17" ht="15" x14ac:dyDescent="0.25">
      <c r="A6566" s="3">
        <f>6559</f>
        <v>6559</v>
      </c>
      <c r="B6566" s="3" t="s">
        <v>6568</v>
      </c>
      <c r="C6566" s="3" t="s">
        <v>10</v>
      </c>
      <c r="D6566" s="3" t="s">
        <v>9</v>
      </c>
      <c r="E6566" s="3">
        <v>1</v>
      </c>
      <c r="F6566" s="3">
        <v>0</v>
      </c>
      <c r="G6566" s="3">
        <v>1</v>
      </c>
      <c r="H6566" s="3">
        <v>0</v>
      </c>
      <c r="I6566" s="3">
        <v>0</v>
      </c>
      <c r="J6566" s="3">
        <v>1</v>
      </c>
      <c r="K6566" s="3">
        <v>0</v>
      </c>
      <c r="L6566" s="3">
        <v>1</v>
      </c>
      <c r="M6566" s="3">
        <v>0</v>
      </c>
      <c r="N6566" s="3">
        <v>0</v>
      </c>
      <c r="O6566" s="3"/>
      <c r="P6566" s="3"/>
      <c r="Q6566" s="3"/>
    </row>
    <row r="6567" spans="1:17" ht="15" x14ac:dyDescent="0.25">
      <c r="A6567" s="3">
        <f>6560</f>
        <v>6560</v>
      </c>
      <c r="B6567" s="3" t="s">
        <v>6569</v>
      </c>
      <c r="C6567" s="3" t="s">
        <v>10</v>
      </c>
      <c r="D6567" s="3" t="s">
        <v>9</v>
      </c>
      <c r="E6567" s="3">
        <v>1</v>
      </c>
      <c r="F6567" s="3">
        <v>0</v>
      </c>
      <c r="G6567" s="3">
        <v>1</v>
      </c>
      <c r="H6567" s="3">
        <v>0</v>
      </c>
      <c r="I6567" s="3">
        <v>0</v>
      </c>
      <c r="J6567" s="3">
        <v>1</v>
      </c>
      <c r="K6567" s="3">
        <v>0</v>
      </c>
      <c r="L6567" s="3">
        <v>1</v>
      </c>
      <c r="M6567" s="3">
        <v>0</v>
      </c>
      <c r="N6567" s="3">
        <v>0</v>
      </c>
      <c r="O6567" s="3"/>
      <c r="P6567" s="3"/>
      <c r="Q6567" s="3"/>
    </row>
    <row r="6568" spans="1:17" ht="15" x14ac:dyDescent="0.25">
      <c r="A6568" s="3">
        <f>6561</f>
        <v>6561</v>
      </c>
      <c r="B6568" s="3" t="s">
        <v>6570</v>
      </c>
      <c r="C6568" s="3" t="s">
        <v>10</v>
      </c>
      <c r="D6568" s="3" t="s">
        <v>9</v>
      </c>
      <c r="E6568" s="3">
        <v>1</v>
      </c>
      <c r="F6568" s="3">
        <v>0</v>
      </c>
      <c r="G6568" s="3">
        <v>1</v>
      </c>
      <c r="H6568" s="3">
        <v>0</v>
      </c>
      <c r="I6568" s="3">
        <v>0</v>
      </c>
      <c r="J6568" s="3">
        <v>1</v>
      </c>
      <c r="K6568" s="3">
        <v>0</v>
      </c>
      <c r="L6568" s="3">
        <v>1</v>
      </c>
      <c r="M6568" s="3">
        <v>0</v>
      </c>
      <c r="N6568" s="3">
        <v>0</v>
      </c>
      <c r="O6568" s="3"/>
      <c r="P6568" s="3"/>
      <c r="Q6568" s="3"/>
    </row>
    <row r="6569" spans="1:17" ht="15" x14ac:dyDescent="0.25">
      <c r="A6569" s="3">
        <f>6562</f>
        <v>6562</v>
      </c>
      <c r="B6569" s="3" t="s">
        <v>6571</v>
      </c>
      <c r="C6569" s="3" t="s">
        <v>10</v>
      </c>
      <c r="D6569" s="3" t="s">
        <v>9</v>
      </c>
      <c r="E6569" s="3">
        <v>1</v>
      </c>
      <c r="F6569" s="3">
        <v>0</v>
      </c>
      <c r="G6569" s="3">
        <v>1</v>
      </c>
      <c r="H6569" s="3">
        <v>0</v>
      </c>
      <c r="I6569" s="3">
        <v>0</v>
      </c>
      <c r="J6569" s="3">
        <v>1</v>
      </c>
      <c r="K6569" s="3">
        <v>0</v>
      </c>
      <c r="L6569" s="3">
        <v>1</v>
      </c>
      <c r="M6569" s="3">
        <v>0</v>
      </c>
      <c r="N6569" s="3">
        <v>0</v>
      </c>
      <c r="O6569" s="3"/>
      <c r="P6569" s="3"/>
      <c r="Q6569" s="3"/>
    </row>
    <row r="6570" spans="1:17" ht="15" x14ac:dyDescent="0.25">
      <c r="A6570" s="3">
        <f>6563</f>
        <v>6563</v>
      </c>
      <c r="B6570" s="3" t="s">
        <v>6572</v>
      </c>
      <c r="C6570" s="3" t="s">
        <v>10</v>
      </c>
      <c r="D6570" s="3" t="s">
        <v>9</v>
      </c>
      <c r="E6570" s="3">
        <v>1</v>
      </c>
      <c r="F6570" s="3">
        <v>0</v>
      </c>
      <c r="G6570" s="3">
        <v>1</v>
      </c>
      <c r="H6570" s="3">
        <v>0</v>
      </c>
      <c r="I6570" s="3">
        <v>0</v>
      </c>
      <c r="J6570" s="3">
        <v>1</v>
      </c>
      <c r="K6570" s="3">
        <v>0</v>
      </c>
      <c r="L6570" s="3">
        <v>1</v>
      </c>
      <c r="M6570" s="3">
        <v>0</v>
      </c>
      <c r="N6570" s="3">
        <v>0</v>
      </c>
      <c r="O6570" s="3"/>
      <c r="P6570" s="3"/>
      <c r="Q6570" s="3"/>
    </row>
    <row r="6571" spans="1:17" ht="15" x14ac:dyDescent="0.25">
      <c r="A6571" s="3">
        <f>6564</f>
        <v>6564</v>
      </c>
      <c r="B6571" s="3" t="s">
        <v>6573</v>
      </c>
      <c r="C6571" s="3" t="s">
        <v>10</v>
      </c>
      <c r="D6571" s="3" t="s">
        <v>9</v>
      </c>
      <c r="E6571" s="3">
        <v>1</v>
      </c>
      <c r="F6571" s="3">
        <v>0</v>
      </c>
      <c r="G6571" s="3">
        <v>1</v>
      </c>
      <c r="H6571" s="3">
        <v>0</v>
      </c>
      <c r="I6571" s="3">
        <v>0</v>
      </c>
      <c r="J6571" s="3">
        <v>1</v>
      </c>
      <c r="K6571" s="3">
        <v>0</v>
      </c>
      <c r="L6571" s="3">
        <v>1</v>
      </c>
      <c r="M6571" s="3">
        <v>0</v>
      </c>
      <c r="N6571" s="3">
        <v>0</v>
      </c>
      <c r="O6571" s="3"/>
      <c r="P6571" s="3"/>
      <c r="Q6571" s="3"/>
    </row>
    <row r="6572" spans="1:17" ht="15" x14ac:dyDescent="0.25">
      <c r="A6572" s="3">
        <f>6565</f>
        <v>6565</v>
      </c>
      <c r="B6572" s="3" t="s">
        <v>6574</v>
      </c>
      <c r="C6572" s="3" t="s">
        <v>10</v>
      </c>
      <c r="D6572" s="3" t="s">
        <v>9</v>
      </c>
      <c r="E6572" s="3">
        <v>1</v>
      </c>
      <c r="F6572" s="3">
        <v>0</v>
      </c>
      <c r="G6572" s="3">
        <v>1</v>
      </c>
      <c r="H6572" s="3">
        <v>0</v>
      </c>
      <c r="I6572" s="3">
        <v>0</v>
      </c>
      <c r="J6572" s="3">
        <v>1</v>
      </c>
      <c r="K6572" s="3">
        <v>0</v>
      </c>
      <c r="L6572" s="3">
        <v>1</v>
      </c>
      <c r="M6572" s="3">
        <v>0</v>
      </c>
      <c r="N6572" s="3">
        <v>0</v>
      </c>
      <c r="O6572" s="3"/>
      <c r="P6572" s="3"/>
      <c r="Q6572" s="3"/>
    </row>
    <row r="6573" spans="1:17" ht="15" x14ac:dyDescent="0.25">
      <c r="A6573" s="3">
        <f>6566</f>
        <v>6566</v>
      </c>
      <c r="B6573" s="3" t="s">
        <v>6575</v>
      </c>
      <c r="C6573" s="3" t="s">
        <v>10</v>
      </c>
      <c r="D6573" s="3" t="s">
        <v>9</v>
      </c>
      <c r="E6573" s="3">
        <v>1</v>
      </c>
      <c r="F6573" s="3">
        <v>0</v>
      </c>
      <c r="G6573" s="3">
        <v>1</v>
      </c>
      <c r="H6573" s="3">
        <v>0</v>
      </c>
      <c r="I6573" s="3">
        <v>0</v>
      </c>
      <c r="J6573" s="3">
        <v>1</v>
      </c>
      <c r="K6573" s="3">
        <v>0</v>
      </c>
      <c r="L6573" s="3">
        <v>1</v>
      </c>
      <c r="M6573" s="3">
        <v>0</v>
      </c>
      <c r="N6573" s="3">
        <v>0</v>
      </c>
      <c r="O6573" s="3"/>
      <c r="P6573" s="3"/>
      <c r="Q6573" s="3"/>
    </row>
    <row r="6574" spans="1:17" ht="15" x14ac:dyDescent="0.25">
      <c r="A6574" s="3">
        <f>6567</f>
        <v>6567</v>
      </c>
      <c r="B6574" s="3" t="s">
        <v>6576</v>
      </c>
      <c r="C6574" s="3" t="s">
        <v>10</v>
      </c>
      <c r="D6574" s="3" t="s">
        <v>9</v>
      </c>
      <c r="E6574" s="3">
        <v>1</v>
      </c>
      <c r="F6574" s="3">
        <v>0</v>
      </c>
      <c r="G6574" s="3">
        <v>1</v>
      </c>
      <c r="H6574" s="3">
        <v>0</v>
      </c>
      <c r="I6574" s="3">
        <v>0</v>
      </c>
      <c r="J6574" s="3">
        <v>1</v>
      </c>
      <c r="K6574" s="3">
        <v>0</v>
      </c>
      <c r="L6574" s="3">
        <v>1</v>
      </c>
      <c r="M6574" s="3">
        <v>0</v>
      </c>
      <c r="N6574" s="3">
        <v>0</v>
      </c>
      <c r="O6574" s="3"/>
      <c r="P6574" s="3"/>
      <c r="Q6574" s="3"/>
    </row>
    <row r="6575" spans="1:17" ht="15" x14ac:dyDescent="0.25">
      <c r="A6575" s="3">
        <f>6568</f>
        <v>6568</v>
      </c>
      <c r="B6575" s="3" t="s">
        <v>6577</v>
      </c>
      <c r="C6575" s="3" t="s">
        <v>10</v>
      </c>
      <c r="D6575" s="3" t="s">
        <v>9</v>
      </c>
      <c r="E6575" s="3">
        <v>1</v>
      </c>
      <c r="F6575" s="3">
        <v>0</v>
      </c>
      <c r="G6575" s="3">
        <v>1</v>
      </c>
      <c r="H6575" s="3">
        <v>0</v>
      </c>
      <c r="I6575" s="3">
        <v>0</v>
      </c>
      <c r="J6575" s="3">
        <v>1</v>
      </c>
      <c r="K6575" s="3">
        <v>0</v>
      </c>
      <c r="L6575" s="3">
        <v>1</v>
      </c>
      <c r="M6575" s="3">
        <v>0</v>
      </c>
      <c r="N6575" s="3">
        <v>0</v>
      </c>
      <c r="O6575" s="3"/>
      <c r="P6575" s="3"/>
      <c r="Q6575" s="3"/>
    </row>
    <row r="6576" spans="1:17" ht="15" x14ac:dyDescent="0.25">
      <c r="A6576" s="3">
        <f>6569</f>
        <v>6569</v>
      </c>
      <c r="B6576" s="3" t="s">
        <v>6578</v>
      </c>
      <c r="C6576" s="3" t="s">
        <v>10</v>
      </c>
      <c r="D6576" s="3" t="s">
        <v>9</v>
      </c>
      <c r="E6576" s="3">
        <v>1</v>
      </c>
      <c r="F6576" s="3">
        <v>0</v>
      </c>
      <c r="G6576" s="3">
        <v>1</v>
      </c>
      <c r="H6576" s="3">
        <v>0</v>
      </c>
      <c r="I6576" s="3">
        <v>0</v>
      </c>
      <c r="J6576" s="3">
        <v>1</v>
      </c>
      <c r="K6576" s="3">
        <v>0</v>
      </c>
      <c r="L6576" s="3">
        <v>1</v>
      </c>
      <c r="M6576" s="3">
        <v>0</v>
      </c>
      <c r="N6576" s="3">
        <v>0</v>
      </c>
      <c r="O6576" s="3"/>
      <c r="P6576" s="3"/>
      <c r="Q6576" s="3"/>
    </row>
    <row r="6577" spans="1:17" ht="15" x14ac:dyDescent="0.25">
      <c r="A6577" s="3">
        <f>6570</f>
        <v>6570</v>
      </c>
      <c r="B6577" s="3" t="s">
        <v>6579</v>
      </c>
      <c r="C6577" s="3" t="s">
        <v>10</v>
      </c>
      <c r="D6577" s="3" t="s">
        <v>9</v>
      </c>
      <c r="E6577" s="3">
        <v>1</v>
      </c>
      <c r="F6577" s="3">
        <v>0</v>
      </c>
      <c r="G6577" s="3">
        <v>1</v>
      </c>
      <c r="H6577" s="3">
        <v>0</v>
      </c>
      <c r="I6577" s="3">
        <v>0</v>
      </c>
      <c r="J6577" s="3">
        <v>1</v>
      </c>
      <c r="K6577" s="3">
        <v>0</v>
      </c>
      <c r="L6577" s="3">
        <v>1</v>
      </c>
      <c r="M6577" s="3">
        <v>0</v>
      </c>
      <c r="N6577" s="3">
        <v>0</v>
      </c>
      <c r="O6577" s="3"/>
      <c r="P6577" s="3"/>
      <c r="Q6577" s="3"/>
    </row>
    <row r="6578" spans="1:17" ht="15" x14ac:dyDescent="0.25">
      <c r="A6578" s="3">
        <f>6571</f>
        <v>6571</v>
      </c>
      <c r="B6578" s="3" t="s">
        <v>6580</v>
      </c>
      <c r="C6578" s="3" t="s">
        <v>10</v>
      </c>
      <c r="D6578" s="3" t="s">
        <v>9</v>
      </c>
      <c r="E6578" s="3">
        <v>1</v>
      </c>
      <c r="F6578" s="3">
        <v>0</v>
      </c>
      <c r="G6578" s="3">
        <v>1</v>
      </c>
      <c r="H6578" s="3">
        <v>0</v>
      </c>
      <c r="I6578" s="3">
        <v>0</v>
      </c>
      <c r="J6578" s="3">
        <v>1</v>
      </c>
      <c r="K6578" s="3">
        <v>0</v>
      </c>
      <c r="L6578" s="3">
        <v>1</v>
      </c>
      <c r="M6578" s="3">
        <v>0</v>
      </c>
      <c r="N6578" s="3">
        <v>0</v>
      </c>
      <c r="O6578" s="3"/>
      <c r="P6578" s="3"/>
      <c r="Q6578" s="3"/>
    </row>
    <row r="6579" spans="1:17" ht="15" x14ac:dyDescent="0.25">
      <c r="A6579" s="3">
        <f>6572</f>
        <v>6572</v>
      </c>
      <c r="B6579" s="3" t="s">
        <v>6581</v>
      </c>
      <c r="C6579" s="3" t="s">
        <v>10</v>
      </c>
      <c r="D6579" s="3" t="s">
        <v>9</v>
      </c>
      <c r="E6579" s="3">
        <v>1</v>
      </c>
      <c r="F6579" s="3">
        <v>0</v>
      </c>
      <c r="G6579" s="3">
        <v>1</v>
      </c>
      <c r="H6579" s="3">
        <v>0</v>
      </c>
      <c r="I6579" s="3">
        <v>0</v>
      </c>
      <c r="J6579" s="3">
        <v>1</v>
      </c>
      <c r="K6579" s="3">
        <v>0</v>
      </c>
      <c r="L6579" s="3">
        <v>1</v>
      </c>
      <c r="M6579" s="3">
        <v>0</v>
      </c>
      <c r="N6579" s="3">
        <v>0</v>
      </c>
      <c r="O6579" s="3"/>
      <c r="P6579" s="3"/>
      <c r="Q6579" s="3"/>
    </row>
    <row r="6580" spans="1:17" ht="15" x14ac:dyDescent="0.25">
      <c r="A6580" s="3">
        <f>6573</f>
        <v>6573</v>
      </c>
      <c r="B6580" s="3" t="s">
        <v>6582</v>
      </c>
      <c r="C6580" s="3" t="s">
        <v>10</v>
      </c>
      <c r="D6580" s="3" t="s">
        <v>9</v>
      </c>
      <c r="E6580" s="3">
        <v>1</v>
      </c>
      <c r="F6580" s="3">
        <v>0</v>
      </c>
      <c r="G6580" s="3">
        <v>1</v>
      </c>
      <c r="H6580" s="3">
        <v>0</v>
      </c>
      <c r="I6580" s="3">
        <v>0</v>
      </c>
      <c r="J6580" s="3">
        <v>1</v>
      </c>
      <c r="K6580" s="3">
        <v>0</v>
      </c>
      <c r="L6580" s="3">
        <v>1</v>
      </c>
      <c r="M6580" s="3">
        <v>0</v>
      </c>
      <c r="N6580" s="3">
        <v>0</v>
      </c>
      <c r="O6580" s="3"/>
      <c r="P6580" s="3"/>
      <c r="Q6580" s="3"/>
    </row>
    <row r="6581" spans="1:17" ht="15" x14ac:dyDescent="0.25">
      <c r="A6581" s="3">
        <f>6574</f>
        <v>6574</v>
      </c>
      <c r="B6581" s="3" t="s">
        <v>6583</v>
      </c>
      <c r="C6581" s="3" t="s">
        <v>10</v>
      </c>
      <c r="D6581" s="3" t="s">
        <v>9</v>
      </c>
      <c r="E6581" s="3">
        <v>1</v>
      </c>
      <c r="F6581" s="3">
        <v>0</v>
      </c>
      <c r="G6581" s="3">
        <v>1</v>
      </c>
      <c r="H6581" s="3">
        <v>0</v>
      </c>
      <c r="I6581" s="3">
        <v>0</v>
      </c>
      <c r="J6581" s="3">
        <v>1</v>
      </c>
      <c r="K6581" s="3">
        <v>0</v>
      </c>
      <c r="L6581" s="3">
        <v>1</v>
      </c>
      <c r="M6581" s="3">
        <v>0</v>
      </c>
      <c r="N6581" s="3">
        <v>0</v>
      </c>
      <c r="O6581" s="3"/>
      <c r="P6581" s="3"/>
      <c r="Q6581" s="3"/>
    </row>
    <row r="6582" spans="1:17" ht="15" x14ac:dyDescent="0.25">
      <c r="A6582" s="3">
        <f>6575</f>
        <v>6575</v>
      </c>
      <c r="B6582" s="3" t="s">
        <v>6584</v>
      </c>
      <c r="C6582" s="3" t="s">
        <v>10</v>
      </c>
      <c r="D6582" s="3" t="s">
        <v>9</v>
      </c>
      <c r="E6582" s="3">
        <v>1</v>
      </c>
      <c r="F6582" s="3">
        <v>0</v>
      </c>
      <c r="G6582" s="3">
        <v>1</v>
      </c>
      <c r="H6582" s="3">
        <v>0</v>
      </c>
      <c r="I6582" s="3">
        <v>0</v>
      </c>
      <c r="J6582" s="3">
        <v>1</v>
      </c>
      <c r="K6582" s="3">
        <v>0</v>
      </c>
      <c r="L6582" s="3">
        <v>1</v>
      </c>
      <c r="M6582" s="3">
        <v>0</v>
      </c>
      <c r="N6582" s="3">
        <v>0</v>
      </c>
      <c r="O6582" s="3"/>
      <c r="P6582" s="3"/>
      <c r="Q6582" s="3"/>
    </row>
    <row r="6583" spans="1:17" ht="15" x14ac:dyDescent="0.25">
      <c r="A6583" s="3">
        <f>6576</f>
        <v>6576</v>
      </c>
      <c r="B6583" s="3" t="s">
        <v>6585</v>
      </c>
      <c r="C6583" s="3" t="s">
        <v>10</v>
      </c>
      <c r="D6583" s="3" t="s">
        <v>9</v>
      </c>
      <c r="E6583" s="3">
        <v>1</v>
      </c>
      <c r="F6583" s="3">
        <v>0</v>
      </c>
      <c r="G6583" s="3">
        <v>1</v>
      </c>
      <c r="H6583" s="3">
        <v>0</v>
      </c>
      <c r="I6583" s="3">
        <v>0</v>
      </c>
      <c r="J6583" s="3">
        <v>1</v>
      </c>
      <c r="K6583" s="3">
        <v>0</v>
      </c>
      <c r="L6583" s="3">
        <v>1</v>
      </c>
      <c r="M6583" s="3">
        <v>0</v>
      </c>
      <c r="N6583" s="3">
        <v>0</v>
      </c>
      <c r="O6583" s="3"/>
      <c r="P6583" s="3"/>
      <c r="Q6583" s="3"/>
    </row>
    <row r="6584" spans="1:17" ht="15" x14ac:dyDescent="0.25">
      <c r="A6584" s="3">
        <f>6577</f>
        <v>6577</v>
      </c>
      <c r="B6584" s="3" t="s">
        <v>6586</v>
      </c>
      <c r="C6584" s="3" t="s">
        <v>10</v>
      </c>
      <c r="D6584" s="3" t="s">
        <v>9</v>
      </c>
      <c r="E6584" s="3">
        <v>1</v>
      </c>
      <c r="F6584" s="3">
        <v>0</v>
      </c>
      <c r="G6584" s="3">
        <v>1</v>
      </c>
      <c r="H6584" s="3">
        <v>0</v>
      </c>
      <c r="I6584" s="3">
        <v>0</v>
      </c>
      <c r="J6584" s="3">
        <v>1</v>
      </c>
      <c r="K6584" s="3">
        <v>0</v>
      </c>
      <c r="L6584" s="3">
        <v>1</v>
      </c>
      <c r="M6584" s="3">
        <v>0</v>
      </c>
      <c r="N6584" s="3">
        <v>0</v>
      </c>
      <c r="O6584" s="3"/>
      <c r="P6584" s="3"/>
      <c r="Q6584" s="3"/>
    </row>
    <row r="6585" spans="1:17" ht="15" x14ac:dyDescent="0.25">
      <c r="A6585" s="3">
        <f>6578</f>
        <v>6578</v>
      </c>
      <c r="B6585" s="3" t="s">
        <v>6587</v>
      </c>
      <c r="C6585" s="3" t="s">
        <v>10</v>
      </c>
      <c r="D6585" s="3" t="s">
        <v>9</v>
      </c>
      <c r="E6585" s="3">
        <v>1</v>
      </c>
      <c r="F6585" s="3">
        <v>0</v>
      </c>
      <c r="G6585" s="3">
        <v>1</v>
      </c>
      <c r="H6585" s="3">
        <v>0</v>
      </c>
      <c r="I6585" s="3">
        <v>0</v>
      </c>
      <c r="J6585" s="3">
        <v>1</v>
      </c>
      <c r="K6585" s="3">
        <v>0</v>
      </c>
      <c r="L6585" s="3">
        <v>1</v>
      </c>
      <c r="M6585" s="3">
        <v>0</v>
      </c>
      <c r="N6585" s="3">
        <v>0</v>
      </c>
      <c r="O6585" s="3"/>
      <c r="P6585" s="3"/>
      <c r="Q6585" s="3"/>
    </row>
    <row r="6586" spans="1:17" ht="15" x14ac:dyDescent="0.25">
      <c r="A6586" s="3">
        <f>6579</f>
        <v>6579</v>
      </c>
      <c r="B6586" s="3" t="s">
        <v>6588</v>
      </c>
      <c r="C6586" s="3" t="s">
        <v>10</v>
      </c>
      <c r="D6586" s="3" t="s">
        <v>9</v>
      </c>
      <c r="E6586" s="3">
        <v>1</v>
      </c>
      <c r="F6586" s="3">
        <v>0</v>
      </c>
      <c r="G6586" s="3">
        <v>1</v>
      </c>
      <c r="H6586" s="3">
        <v>0</v>
      </c>
      <c r="I6586" s="3">
        <v>0</v>
      </c>
      <c r="J6586" s="3">
        <v>1</v>
      </c>
      <c r="K6586" s="3">
        <v>0</v>
      </c>
      <c r="L6586" s="3">
        <v>1</v>
      </c>
      <c r="M6586" s="3">
        <v>0</v>
      </c>
      <c r="N6586" s="3">
        <v>0</v>
      </c>
      <c r="O6586" s="3"/>
      <c r="P6586" s="3"/>
      <c r="Q6586" s="3"/>
    </row>
    <row r="6587" spans="1:17" ht="15" x14ac:dyDescent="0.25">
      <c r="A6587" s="3">
        <f>6580</f>
        <v>6580</v>
      </c>
      <c r="B6587" s="3" t="s">
        <v>6589</v>
      </c>
      <c r="C6587" s="3" t="s">
        <v>10</v>
      </c>
      <c r="D6587" s="3" t="s">
        <v>9</v>
      </c>
      <c r="E6587" s="3">
        <v>1</v>
      </c>
      <c r="F6587" s="3">
        <v>0</v>
      </c>
      <c r="G6587" s="3">
        <v>1</v>
      </c>
      <c r="H6587" s="3">
        <v>0</v>
      </c>
      <c r="I6587" s="3">
        <v>0</v>
      </c>
      <c r="J6587" s="3">
        <v>1</v>
      </c>
      <c r="K6587" s="3">
        <v>0</v>
      </c>
      <c r="L6587" s="3">
        <v>1</v>
      </c>
      <c r="M6587" s="3">
        <v>0</v>
      </c>
      <c r="N6587" s="3">
        <v>0</v>
      </c>
      <c r="O6587" s="3"/>
      <c r="P6587" s="3"/>
      <c r="Q6587" s="3"/>
    </row>
    <row r="6588" spans="1:17" ht="15" x14ac:dyDescent="0.25">
      <c r="A6588" s="3">
        <f>6581</f>
        <v>6581</v>
      </c>
      <c r="B6588" s="3" t="s">
        <v>6590</v>
      </c>
      <c r="C6588" s="3" t="s">
        <v>10</v>
      </c>
      <c r="D6588" s="3" t="s">
        <v>9</v>
      </c>
      <c r="E6588" s="3">
        <v>1</v>
      </c>
      <c r="F6588" s="3">
        <v>0</v>
      </c>
      <c r="G6588" s="3">
        <v>1</v>
      </c>
      <c r="H6588" s="3">
        <v>0</v>
      </c>
      <c r="I6588" s="3">
        <v>0</v>
      </c>
      <c r="J6588" s="3">
        <v>1</v>
      </c>
      <c r="K6588" s="3">
        <v>0</v>
      </c>
      <c r="L6588" s="3">
        <v>1</v>
      </c>
      <c r="M6588" s="3">
        <v>0</v>
      </c>
      <c r="N6588" s="3">
        <v>0</v>
      </c>
      <c r="O6588" s="3"/>
      <c r="P6588" s="3"/>
      <c r="Q6588" s="3"/>
    </row>
    <row r="6589" spans="1:17" ht="15" x14ac:dyDescent="0.25">
      <c r="A6589" s="3">
        <f>6582</f>
        <v>6582</v>
      </c>
      <c r="B6589" s="3" t="s">
        <v>6591</v>
      </c>
      <c r="C6589" s="3" t="s">
        <v>10</v>
      </c>
      <c r="D6589" s="3" t="s">
        <v>9</v>
      </c>
      <c r="E6589" s="3">
        <v>1</v>
      </c>
      <c r="F6589" s="3">
        <v>0</v>
      </c>
      <c r="G6589" s="3">
        <v>1</v>
      </c>
      <c r="H6589" s="3">
        <v>0</v>
      </c>
      <c r="I6589" s="3">
        <v>0</v>
      </c>
      <c r="J6589" s="3">
        <v>1</v>
      </c>
      <c r="K6589" s="3">
        <v>0</v>
      </c>
      <c r="L6589" s="3">
        <v>1</v>
      </c>
      <c r="M6589" s="3">
        <v>0</v>
      </c>
      <c r="N6589" s="3">
        <v>0</v>
      </c>
      <c r="O6589" s="3"/>
      <c r="P6589" s="3"/>
      <c r="Q6589" s="3"/>
    </row>
    <row r="6590" spans="1:17" ht="15" x14ac:dyDescent="0.25">
      <c r="A6590" s="3">
        <f>6583</f>
        <v>6583</v>
      </c>
      <c r="B6590" s="3" t="s">
        <v>6592</v>
      </c>
      <c r="C6590" s="3" t="s">
        <v>10</v>
      </c>
      <c r="D6590" s="3" t="s">
        <v>9</v>
      </c>
      <c r="E6590" s="3">
        <v>1</v>
      </c>
      <c r="F6590" s="3">
        <v>0</v>
      </c>
      <c r="G6590" s="3">
        <v>1</v>
      </c>
      <c r="H6590" s="3">
        <v>0</v>
      </c>
      <c r="I6590" s="3">
        <v>0</v>
      </c>
      <c r="J6590" s="3">
        <v>1</v>
      </c>
      <c r="K6590" s="3">
        <v>0</v>
      </c>
      <c r="L6590" s="3">
        <v>1</v>
      </c>
      <c r="M6590" s="3">
        <v>0</v>
      </c>
      <c r="N6590" s="3">
        <v>0</v>
      </c>
      <c r="O6590" s="3"/>
      <c r="P6590" s="3"/>
      <c r="Q6590" s="3"/>
    </row>
    <row r="6591" spans="1:17" ht="15" x14ac:dyDescent="0.25">
      <c r="A6591" s="3">
        <f>6584</f>
        <v>6584</v>
      </c>
      <c r="B6591" s="3" t="s">
        <v>6593</v>
      </c>
      <c r="C6591" s="3" t="s">
        <v>10</v>
      </c>
      <c r="D6591" s="3" t="s">
        <v>9</v>
      </c>
      <c r="E6591" s="3">
        <v>1</v>
      </c>
      <c r="F6591" s="3">
        <v>0</v>
      </c>
      <c r="G6591" s="3">
        <v>1</v>
      </c>
      <c r="H6591" s="3">
        <v>0</v>
      </c>
      <c r="I6591" s="3">
        <v>0</v>
      </c>
      <c r="J6591" s="3">
        <v>1</v>
      </c>
      <c r="K6591" s="3">
        <v>0</v>
      </c>
      <c r="L6591" s="3">
        <v>1</v>
      </c>
      <c r="M6591" s="3">
        <v>0</v>
      </c>
      <c r="N6591" s="3">
        <v>0</v>
      </c>
      <c r="O6591" s="3"/>
      <c r="P6591" s="3"/>
      <c r="Q6591" s="3"/>
    </row>
    <row r="6592" spans="1:17" ht="15" x14ac:dyDescent="0.25">
      <c r="A6592" s="3">
        <f>6585</f>
        <v>6585</v>
      </c>
      <c r="B6592" s="3" t="s">
        <v>6594</v>
      </c>
      <c r="C6592" s="3" t="s">
        <v>10</v>
      </c>
      <c r="D6592" s="3" t="s">
        <v>9</v>
      </c>
      <c r="E6592" s="3">
        <v>1</v>
      </c>
      <c r="F6592" s="3">
        <v>0</v>
      </c>
      <c r="G6592" s="3">
        <v>1</v>
      </c>
      <c r="H6592" s="3">
        <v>0</v>
      </c>
      <c r="I6592" s="3">
        <v>0</v>
      </c>
      <c r="J6592" s="3">
        <v>1</v>
      </c>
      <c r="K6592" s="3">
        <v>0</v>
      </c>
      <c r="L6592" s="3">
        <v>1</v>
      </c>
      <c r="M6592" s="3">
        <v>0</v>
      </c>
      <c r="N6592" s="3">
        <v>0</v>
      </c>
      <c r="O6592" s="3"/>
      <c r="P6592" s="3"/>
      <c r="Q6592" s="3"/>
    </row>
    <row r="6593" spans="1:17" ht="15" x14ac:dyDescent="0.25">
      <c r="A6593" s="3">
        <f>6586</f>
        <v>6586</v>
      </c>
      <c r="B6593" s="3" t="s">
        <v>6595</v>
      </c>
      <c r="C6593" s="3" t="s">
        <v>10</v>
      </c>
      <c r="D6593" s="3" t="s">
        <v>9</v>
      </c>
      <c r="E6593" s="3">
        <v>1</v>
      </c>
      <c r="F6593" s="3">
        <v>0</v>
      </c>
      <c r="G6593" s="3">
        <v>1</v>
      </c>
      <c r="H6593" s="3">
        <v>0</v>
      </c>
      <c r="I6593" s="3">
        <v>0</v>
      </c>
      <c r="J6593" s="3">
        <v>1</v>
      </c>
      <c r="K6593" s="3">
        <v>0</v>
      </c>
      <c r="L6593" s="3">
        <v>1</v>
      </c>
      <c r="M6593" s="3">
        <v>0</v>
      </c>
      <c r="N6593" s="3">
        <v>0</v>
      </c>
      <c r="O6593" s="3"/>
      <c r="P6593" s="3"/>
      <c r="Q6593" s="3"/>
    </row>
    <row r="6594" spans="1:17" ht="15" x14ac:dyDescent="0.25">
      <c r="A6594" s="3">
        <f>6587</f>
        <v>6587</v>
      </c>
      <c r="B6594" s="3" t="s">
        <v>6596</v>
      </c>
      <c r="C6594" s="3" t="s">
        <v>10</v>
      </c>
      <c r="D6594" s="3" t="s">
        <v>9</v>
      </c>
      <c r="E6594" s="3">
        <v>1</v>
      </c>
      <c r="F6594" s="3">
        <v>0</v>
      </c>
      <c r="G6594" s="3">
        <v>1</v>
      </c>
      <c r="H6594" s="3">
        <v>0</v>
      </c>
      <c r="I6594" s="3">
        <v>0</v>
      </c>
      <c r="J6594" s="3">
        <v>1</v>
      </c>
      <c r="K6594" s="3">
        <v>0</v>
      </c>
      <c r="L6594" s="3">
        <v>1</v>
      </c>
      <c r="M6594" s="3">
        <v>0</v>
      </c>
      <c r="N6594" s="3">
        <v>0</v>
      </c>
      <c r="O6594" s="3"/>
      <c r="P6594" s="3"/>
      <c r="Q6594" s="3"/>
    </row>
    <row r="6595" spans="1:17" ht="15" x14ac:dyDescent="0.25">
      <c r="A6595" s="3">
        <f>6588</f>
        <v>6588</v>
      </c>
      <c r="B6595" s="3" t="s">
        <v>6597</v>
      </c>
      <c r="C6595" s="3" t="s">
        <v>10</v>
      </c>
      <c r="D6595" s="3" t="s">
        <v>9</v>
      </c>
      <c r="E6595" s="3">
        <v>1</v>
      </c>
      <c r="F6595" s="3">
        <v>0</v>
      </c>
      <c r="G6595" s="3">
        <v>1</v>
      </c>
      <c r="H6595" s="3">
        <v>0</v>
      </c>
      <c r="I6595" s="3">
        <v>0</v>
      </c>
      <c r="J6595" s="3">
        <v>1</v>
      </c>
      <c r="K6595" s="3">
        <v>0</v>
      </c>
      <c r="L6595" s="3">
        <v>1</v>
      </c>
      <c r="M6595" s="3">
        <v>0</v>
      </c>
      <c r="N6595" s="3">
        <v>0</v>
      </c>
      <c r="O6595" s="3"/>
      <c r="P6595" s="3"/>
      <c r="Q6595" s="3"/>
    </row>
    <row r="6596" spans="1:17" ht="15" x14ac:dyDescent="0.25">
      <c r="A6596" s="3">
        <f>6589</f>
        <v>6589</v>
      </c>
      <c r="B6596" s="3" t="s">
        <v>6598</v>
      </c>
      <c r="C6596" s="3" t="s">
        <v>10</v>
      </c>
      <c r="D6596" s="3" t="s">
        <v>9</v>
      </c>
      <c r="E6596" s="3">
        <v>1</v>
      </c>
      <c r="F6596" s="3">
        <v>0</v>
      </c>
      <c r="G6596" s="3">
        <v>1</v>
      </c>
      <c r="H6596" s="3">
        <v>0</v>
      </c>
      <c r="I6596" s="3">
        <v>0</v>
      </c>
      <c r="J6596" s="3">
        <v>1</v>
      </c>
      <c r="K6596" s="3">
        <v>0</v>
      </c>
      <c r="L6596" s="3">
        <v>1</v>
      </c>
      <c r="M6596" s="3">
        <v>0</v>
      </c>
      <c r="N6596" s="3">
        <v>0</v>
      </c>
      <c r="O6596" s="3"/>
      <c r="P6596" s="3"/>
      <c r="Q6596" s="3"/>
    </row>
    <row r="6597" spans="1:17" ht="15" x14ac:dyDescent="0.25">
      <c r="A6597" s="3">
        <f>6590</f>
        <v>6590</v>
      </c>
      <c r="B6597" s="3" t="s">
        <v>6599</v>
      </c>
      <c r="C6597" s="3" t="s">
        <v>10</v>
      </c>
      <c r="D6597" s="3" t="s">
        <v>9</v>
      </c>
      <c r="E6597" s="3">
        <v>1</v>
      </c>
      <c r="F6597" s="3">
        <v>0</v>
      </c>
      <c r="G6597" s="3">
        <v>1</v>
      </c>
      <c r="H6597" s="3">
        <v>0</v>
      </c>
      <c r="I6597" s="3">
        <v>0</v>
      </c>
      <c r="J6597" s="3">
        <v>1</v>
      </c>
      <c r="K6597" s="3">
        <v>0</v>
      </c>
      <c r="L6597" s="3">
        <v>1</v>
      </c>
      <c r="M6597" s="3">
        <v>0</v>
      </c>
      <c r="N6597" s="3">
        <v>0</v>
      </c>
      <c r="O6597" s="3"/>
      <c r="P6597" s="3"/>
      <c r="Q6597" s="3"/>
    </row>
    <row r="6598" spans="1:17" ht="15" x14ac:dyDescent="0.25">
      <c r="A6598" s="3">
        <f>6591</f>
        <v>6591</v>
      </c>
      <c r="B6598" s="3" t="s">
        <v>6600</v>
      </c>
      <c r="C6598" s="3" t="s">
        <v>10</v>
      </c>
      <c r="D6598" s="3" t="s">
        <v>9</v>
      </c>
      <c r="E6598" s="3">
        <v>1</v>
      </c>
      <c r="F6598" s="3">
        <v>0</v>
      </c>
      <c r="G6598" s="3">
        <v>1</v>
      </c>
      <c r="H6598" s="3">
        <v>0</v>
      </c>
      <c r="I6598" s="3">
        <v>0</v>
      </c>
      <c r="J6598" s="3">
        <v>1</v>
      </c>
      <c r="K6598" s="3">
        <v>0</v>
      </c>
      <c r="L6598" s="3">
        <v>1</v>
      </c>
      <c r="M6598" s="3">
        <v>0</v>
      </c>
      <c r="N6598" s="3">
        <v>0</v>
      </c>
      <c r="O6598" s="3"/>
      <c r="P6598" s="3"/>
      <c r="Q6598" s="3"/>
    </row>
    <row r="6599" spans="1:17" ht="15" x14ac:dyDescent="0.25">
      <c r="A6599" s="3">
        <f>6592</f>
        <v>6592</v>
      </c>
      <c r="B6599" s="3" t="s">
        <v>6601</v>
      </c>
      <c r="C6599" s="3" t="s">
        <v>10</v>
      </c>
      <c r="D6599" s="3" t="s">
        <v>9</v>
      </c>
      <c r="E6599" s="3">
        <v>1</v>
      </c>
      <c r="F6599" s="3">
        <v>0</v>
      </c>
      <c r="G6599" s="3">
        <v>1</v>
      </c>
      <c r="H6599" s="3">
        <v>0</v>
      </c>
      <c r="I6599" s="3">
        <v>0</v>
      </c>
      <c r="J6599" s="3">
        <v>1</v>
      </c>
      <c r="K6599" s="3">
        <v>0</v>
      </c>
      <c r="L6599" s="3">
        <v>1</v>
      </c>
      <c r="M6599" s="3">
        <v>0</v>
      </c>
      <c r="N6599" s="3">
        <v>0</v>
      </c>
      <c r="O6599" s="3"/>
      <c r="P6599" s="3"/>
      <c r="Q6599" s="3"/>
    </row>
    <row r="6600" spans="1:17" ht="15" x14ac:dyDescent="0.25">
      <c r="A6600" s="3">
        <f>6593</f>
        <v>6593</v>
      </c>
      <c r="B6600" s="3" t="s">
        <v>6602</v>
      </c>
      <c r="C6600" s="3" t="s">
        <v>10</v>
      </c>
      <c r="D6600" s="3" t="s">
        <v>9</v>
      </c>
      <c r="E6600" s="3">
        <v>1</v>
      </c>
      <c r="F6600" s="3">
        <v>0</v>
      </c>
      <c r="G6600" s="3">
        <v>1</v>
      </c>
      <c r="H6600" s="3">
        <v>0</v>
      </c>
      <c r="I6600" s="3">
        <v>0</v>
      </c>
      <c r="J6600" s="3">
        <v>1</v>
      </c>
      <c r="K6600" s="3">
        <v>0</v>
      </c>
      <c r="L6600" s="3">
        <v>1</v>
      </c>
      <c r="M6600" s="3">
        <v>0</v>
      </c>
      <c r="N6600" s="3">
        <v>0</v>
      </c>
      <c r="O6600" s="3"/>
      <c r="P6600" s="3"/>
      <c r="Q6600" s="3"/>
    </row>
    <row r="6601" spans="1:17" ht="15" x14ac:dyDescent="0.25">
      <c r="A6601" s="3">
        <f>6594</f>
        <v>6594</v>
      </c>
      <c r="B6601" s="3" t="s">
        <v>6603</v>
      </c>
      <c r="C6601" s="3" t="s">
        <v>10</v>
      </c>
      <c r="D6601" s="3" t="s">
        <v>9</v>
      </c>
      <c r="E6601" s="3">
        <v>1</v>
      </c>
      <c r="F6601" s="3">
        <v>0</v>
      </c>
      <c r="G6601" s="3">
        <v>1</v>
      </c>
      <c r="H6601" s="3">
        <v>0</v>
      </c>
      <c r="I6601" s="3">
        <v>0</v>
      </c>
      <c r="J6601" s="3">
        <v>1</v>
      </c>
      <c r="K6601" s="3">
        <v>0</v>
      </c>
      <c r="L6601" s="3">
        <v>1</v>
      </c>
      <c r="M6601" s="3">
        <v>0</v>
      </c>
      <c r="N6601" s="3">
        <v>0</v>
      </c>
      <c r="O6601" s="3"/>
      <c r="P6601" s="3"/>
      <c r="Q6601" s="3"/>
    </row>
    <row r="6602" spans="1:17" ht="15" x14ac:dyDescent="0.25">
      <c r="A6602" s="3">
        <f>6595</f>
        <v>6595</v>
      </c>
      <c r="B6602" s="3" t="s">
        <v>6604</v>
      </c>
      <c r="C6602" s="3" t="s">
        <v>10</v>
      </c>
      <c r="D6602" s="3" t="s">
        <v>9</v>
      </c>
      <c r="E6602" s="3">
        <v>1</v>
      </c>
      <c r="F6602" s="3">
        <v>0</v>
      </c>
      <c r="G6602" s="3">
        <v>1</v>
      </c>
      <c r="H6602" s="3">
        <v>0</v>
      </c>
      <c r="I6602" s="3">
        <v>0</v>
      </c>
      <c r="J6602" s="3">
        <v>1</v>
      </c>
      <c r="K6602" s="3">
        <v>0</v>
      </c>
      <c r="L6602" s="3">
        <v>1</v>
      </c>
      <c r="M6602" s="3">
        <v>0</v>
      </c>
      <c r="N6602" s="3">
        <v>0</v>
      </c>
      <c r="O6602" s="3"/>
      <c r="P6602" s="3"/>
      <c r="Q6602" s="3"/>
    </row>
    <row r="6603" spans="1:17" ht="15" x14ac:dyDescent="0.25">
      <c r="A6603" s="3">
        <f>6596</f>
        <v>6596</v>
      </c>
      <c r="B6603" s="3" t="s">
        <v>6605</v>
      </c>
      <c r="C6603" s="3" t="s">
        <v>10</v>
      </c>
      <c r="D6603" s="3" t="s">
        <v>9</v>
      </c>
      <c r="E6603" s="3">
        <v>1</v>
      </c>
      <c r="F6603" s="3">
        <v>0</v>
      </c>
      <c r="G6603" s="3">
        <v>1</v>
      </c>
      <c r="H6603" s="3">
        <v>0</v>
      </c>
      <c r="I6603" s="3">
        <v>0</v>
      </c>
      <c r="J6603" s="3">
        <v>1</v>
      </c>
      <c r="K6603" s="3">
        <v>0</v>
      </c>
      <c r="L6603" s="3">
        <v>1</v>
      </c>
      <c r="M6603" s="3">
        <v>0</v>
      </c>
      <c r="N6603" s="3">
        <v>0</v>
      </c>
      <c r="O6603" s="3"/>
      <c r="P6603" s="3"/>
      <c r="Q6603" s="3"/>
    </row>
    <row r="6604" spans="1:17" ht="15" x14ac:dyDescent="0.25">
      <c r="A6604" s="3">
        <f>6597</f>
        <v>6597</v>
      </c>
      <c r="B6604" s="3" t="s">
        <v>6606</v>
      </c>
      <c r="C6604" s="3" t="s">
        <v>10</v>
      </c>
      <c r="D6604" s="3" t="s">
        <v>9</v>
      </c>
      <c r="E6604" s="3">
        <v>1</v>
      </c>
      <c r="F6604" s="3">
        <v>0</v>
      </c>
      <c r="G6604" s="3">
        <v>1</v>
      </c>
      <c r="H6604" s="3">
        <v>0</v>
      </c>
      <c r="I6604" s="3">
        <v>0</v>
      </c>
      <c r="J6604" s="3">
        <v>1</v>
      </c>
      <c r="K6604" s="3">
        <v>0</v>
      </c>
      <c r="L6604" s="3">
        <v>1</v>
      </c>
      <c r="M6604" s="3">
        <v>0</v>
      </c>
      <c r="N6604" s="3">
        <v>0</v>
      </c>
      <c r="O6604" s="3"/>
      <c r="P6604" s="3"/>
      <c r="Q6604" s="3"/>
    </row>
    <row r="6605" spans="1:17" ht="15" x14ac:dyDescent="0.25">
      <c r="A6605" s="3">
        <f>6598</f>
        <v>6598</v>
      </c>
      <c r="B6605" s="3" t="s">
        <v>6607</v>
      </c>
      <c r="C6605" s="3" t="s">
        <v>10</v>
      </c>
      <c r="D6605" s="3" t="s">
        <v>9</v>
      </c>
      <c r="E6605" s="3">
        <v>1</v>
      </c>
      <c r="F6605" s="3">
        <v>0</v>
      </c>
      <c r="G6605" s="3">
        <v>1</v>
      </c>
      <c r="H6605" s="3">
        <v>0</v>
      </c>
      <c r="I6605" s="3">
        <v>0</v>
      </c>
      <c r="J6605" s="3">
        <v>1</v>
      </c>
      <c r="K6605" s="3">
        <v>0</v>
      </c>
      <c r="L6605" s="3">
        <v>1</v>
      </c>
      <c r="M6605" s="3">
        <v>0</v>
      </c>
      <c r="N6605" s="3">
        <v>0</v>
      </c>
      <c r="O6605" s="3"/>
      <c r="P6605" s="3"/>
      <c r="Q6605" s="3"/>
    </row>
    <row r="6606" spans="1:17" ht="15" x14ac:dyDescent="0.25">
      <c r="A6606" s="3">
        <f>6599</f>
        <v>6599</v>
      </c>
      <c r="B6606" s="3" t="s">
        <v>6608</v>
      </c>
      <c r="C6606" s="3" t="s">
        <v>10</v>
      </c>
      <c r="D6606" s="3" t="s">
        <v>9</v>
      </c>
      <c r="E6606" s="3">
        <v>1</v>
      </c>
      <c r="F6606" s="3">
        <v>0</v>
      </c>
      <c r="G6606" s="3">
        <v>1</v>
      </c>
      <c r="H6606" s="3">
        <v>0</v>
      </c>
      <c r="I6606" s="3">
        <v>0</v>
      </c>
      <c r="J6606" s="3">
        <v>1</v>
      </c>
      <c r="K6606" s="3">
        <v>0</v>
      </c>
      <c r="L6606" s="3">
        <v>1</v>
      </c>
      <c r="M6606" s="3">
        <v>0</v>
      </c>
      <c r="N6606" s="3">
        <v>0</v>
      </c>
      <c r="O6606" s="3"/>
      <c r="P6606" s="3"/>
      <c r="Q6606" s="3"/>
    </row>
    <row r="6607" spans="1:17" ht="15" x14ac:dyDescent="0.25">
      <c r="A6607" s="3">
        <f>6600</f>
        <v>6600</v>
      </c>
      <c r="B6607" s="3" t="s">
        <v>6609</v>
      </c>
      <c r="C6607" s="3" t="s">
        <v>10</v>
      </c>
      <c r="D6607" s="3" t="s">
        <v>9</v>
      </c>
      <c r="E6607" s="3">
        <v>1</v>
      </c>
      <c r="F6607" s="3">
        <v>0</v>
      </c>
      <c r="G6607" s="3">
        <v>1</v>
      </c>
      <c r="H6607" s="3">
        <v>0</v>
      </c>
      <c r="I6607" s="3">
        <v>0</v>
      </c>
      <c r="J6607" s="3">
        <v>1</v>
      </c>
      <c r="K6607" s="3">
        <v>0</v>
      </c>
      <c r="L6607" s="3">
        <v>1</v>
      </c>
      <c r="M6607" s="3">
        <v>0</v>
      </c>
      <c r="N6607" s="3">
        <v>0</v>
      </c>
      <c r="O6607" s="3"/>
      <c r="P6607" s="3"/>
      <c r="Q6607" s="3"/>
    </row>
    <row r="6608" spans="1:17" ht="15" x14ac:dyDescent="0.25">
      <c r="A6608" s="3">
        <f>6601</f>
        <v>6601</v>
      </c>
      <c r="B6608" s="3" t="s">
        <v>6610</v>
      </c>
      <c r="C6608" s="3" t="s">
        <v>10</v>
      </c>
      <c r="D6608" s="3" t="s">
        <v>9</v>
      </c>
      <c r="E6608" s="3">
        <v>1</v>
      </c>
      <c r="F6608" s="3">
        <v>0</v>
      </c>
      <c r="G6608" s="3">
        <v>1</v>
      </c>
      <c r="H6608" s="3">
        <v>0</v>
      </c>
      <c r="I6608" s="3">
        <v>0</v>
      </c>
      <c r="J6608" s="3">
        <v>1</v>
      </c>
      <c r="K6608" s="3">
        <v>0</v>
      </c>
      <c r="L6608" s="3">
        <v>1</v>
      </c>
      <c r="M6608" s="3">
        <v>0</v>
      </c>
      <c r="N6608" s="3">
        <v>0</v>
      </c>
      <c r="O6608" s="3"/>
      <c r="P6608" s="3"/>
      <c r="Q6608" s="3"/>
    </row>
    <row r="6609" spans="1:17" ht="15" x14ac:dyDescent="0.25">
      <c r="A6609" s="3">
        <f>6602</f>
        <v>6602</v>
      </c>
      <c r="B6609" s="3" t="s">
        <v>6611</v>
      </c>
      <c r="C6609" s="3" t="s">
        <v>10</v>
      </c>
      <c r="D6609" s="3" t="s">
        <v>9</v>
      </c>
      <c r="E6609" s="3">
        <v>1</v>
      </c>
      <c r="F6609" s="3">
        <v>0</v>
      </c>
      <c r="G6609" s="3">
        <v>1</v>
      </c>
      <c r="H6609" s="3">
        <v>0</v>
      </c>
      <c r="I6609" s="3">
        <v>0</v>
      </c>
      <c r="J6609" s="3">
        <v>1</v>
      </c>
      <c r="K6609" s="3">
        <v>0</v>
      </c>
      <c r="L6609" s="3">
        <v>1</v>
      </c>
      <c r="M6609" s="3">
        <v>0</v>
      </c>
      <c r="N6609" s="3">
        <v>0</v>
      </c>
      <c r="O6609" s="3"/>
      <c r="P6609" s="3"/>
      <c r="Q6609" s="3"/>
    </row>
    <row r="6610" spans="1:17" ht="15" x14ac:dyDescent="0.25">
      <c r="A6610" s="3">
        <f>6603</f>
        <v>6603</v>
      </c>
      <c r="B6610" s="3" t="s">
        <v>6612</v>
      </c>
      <c r="C6610" s="3" t="s">
        <v>10</v>
      </c>
      <c r="D6610" s="3" t="s">
        <v>9</v>
      </c>
      <c r="E6610" s="3">
        <v>1</v>
      </c>
      <c r="F6610" s="3">
        <v>0</v>
      </c>
      <c r="G6610" s="3">
        <v>1</v>
      </c>
      <c r="H6610" s="3">
        <v>0</v>
      </c>
      <c r="I6610" s="3">
        <v>0</v>
      </c>
      <c r="J6610" s="3">
        <v>1</v>
      </c>
      <c r="K6610" s="3">
        <v>0</v>
      </c>
      <c r="L6610" s="3">
        <v>1</v>
      </c>
      <c r="M6610" s="3">
        <v>0</v>
      </c>
      <c r="N6610" s="3">
        <v>0</v>
      </c>
      <c r="O6610" s="3"/>
      <c r="P6610" s="3"/>
      <c r="Q6610" s="3"/>
    </row>
    <row r="6611" spans="1:17" ht="15" x14ac:dyDescent="0.25">
      <c r="A6611" s="3">
        <f>6604</f>
        <v>6604</v>
      </c>
      <c r="B6611" s="3" t="s">
        <v>6613</v>
      </c>
      <c r="C6611" s="3" t="s">
        <v>10</v>
      </c>
      <c r="D6611" s="3" t="s">
        <v>9</v>
      </c>
      <c r="E6611" s="3">
        <v>1</v>
      </c>
      <c r="F6611" s="3">
        <v>0</v>
      </c>
      <c r="G6611" s="3">
        <v>1</v>
      </c>
      <c r="H6611" s="3">
        <v>0</v>
      </c>
      <c r="I6611" s="3">
        <v>0</v>
      </c>
      <c r="J6611" s="3">
        <v>1</v>
      </c>
      <c r="K6611" s="3">
        <v>0</v>
      </c>
      <c r="L6611" s="3">
        <v>1</v>
      </c>
      <c r="M6611" s="3">
        <v>0</v>
      </c>
      <c r="N6611" s="3">
        <v>0</v>
      </c>
      <c r="O6611" s="3"/>
      <c r="P6611" s="3"/>
      <c r="Q6611" s="3"/>
    </row>
    <row r="6612" spans="1:17" ht="15" x14ac:dyDescent="0.25">
      <c r="A6612" s="3">
        <f>6605</f>
        <v>6605</v>
      </c>
      <c r="B6612" s="3" t="s">
        <v>6614</v>
      </c>
      <c r="C6612" s="3" t="s">
        <v>10</v>
      </c>
      <c r="D6612" s="3" t="s">
        <v>9</v>
      </c>
      <c r="E6612" s="3">
        <v>1</v>
      </c>
      <c r="F6612" s="3">
        <v>0</v>
      </c>
      <c r="G6612" s="3">
        <v>1</v>
      </c>
      <c r="H6612" s="3">
        <v>0</v>
      </c>
      <c r="I6612" s="3">
        <v>0</v>
      </c>
      <c r="J6612" s="3">
        <v>1</v>
      </c>
      <c r="K6612" s="3">
        <v>0</v>
      </c>
      <c r="L6612" s="3">
        <v>1</v>
      </c>
      <c r="M6612" s="3">
        <v>0</v>
      </c>
      <c r="N6612" s="3">
        <v>0</v>
      </c>
      <c r="O6612" s="3"/>
      <c r="P6612" s="3"/>
      <c r="Q6612" s="3"/>
    </row>
    <row r="6613" spans="1:17" ht="15" x14ac:dyDescent="0.25">
      <c r="A6613" s="3">
        <f>6606</f>
        <v>6606</v>
      </c>
      <c r="B6613" s="3" t="s">
        <v>6615</v>
      </c>
      <c r="C6613" s="3" t="s">
        <v>10</v>
      </c>
      <c r="D6613" s="3" t="s">
        <v>9</v>
      </c>
      <c r="E6613" s="3">
        <v>1</v>
      </c>
      <c r="F6613" s="3">
        <v>0</v>
      </c>
      <c r="G6613" s="3">
        <v>1</v>
      </c>
      <c r="H6613" s="3">
        <v>0</v>
      </c>
      <c r="I6613" s="3">
        <v>0</v>
      </c>
      <c r="J6613" s="3">
        <v>1</v>
      </c>
      <c r="K6613" s="3">
        <v>0</v>
      </c>
      <c r="L6613" s="3">
        <v>1</v>
      </c>
      <c r="M6613" s="3">
        <v>0</v>
      </c>
      <c r="N6613" s="3">
        <v>0</v>
      </c>
      <c r="O6613" s="3"/>
      <c r="P6613" s="3"/>
      <c r="Q6613" s="3"/>
    </row>
    <row r="6614" spans="1:17" ht="15" x14ac:dyDescent="0.25">
      <c r="A6614" s="3">
        <f>6607</f>
        <v>6607</v>
      </c>
      <c r="B6614" s="3" t="s">
        <v>6616</v>
      </c>
      <c r="C6614" s="3" t="s">
        <v>10</v>
      </c>
      <c r="D6614" s="3" t="s">
        <v>9</v>
      </c>
      <c r="E6614" s="3">
        <v>1</v>
      </c>
      <c r="F6614" s="3">
        <v>0</v>
      </c>
      <c r="G6614" s="3">
        <v>1</v>
      </c>
      <c r="H6614" s="3">
        <v>0</v>
      </c>
      <c r="I6614" s="3">
        <v>0</v>
      </c>
      <c r="J6614" s="3">
        <v>1</v>
      </c>
      <c r="K6614" s="3">
        <v>0</v>
      </c>
      <c r="L6614" s="3">
        <v>1</v>
      </c>
      <c r="M6614" s="3">
        <v>0</v>
      </c>
      <c r="N6614" s="3">
        <v>0</v>
      </c>
      <c r="O6614" s="3"/>
      <c r="P6614" s="3"/>
      <c r="Q6614" s="3"/>
    </row>
    <row r="6615" spans="1:17" ht="15" x14ac:dyDescent="0.25">
      <c r="A6615" s="3">
        <f>6608</f>
        <v>6608</v>
      </c>
      <c r="B6615" s="3" t="s">
        <v>6617</v>
      </c>
      <c r="C6615" s="3" t="s">
        <v>10</v>
      </c>
      <c r="D6615" s="3" t="s">
        <v>9</v>
      </c>
      <c r="E6615" s="3">
        <v>1</v>
      </c>
      <c r="F6615" s="3">
        <v>0</v>
      </c>
      <c r="G6615" s="3">
        <v>1</v>
      </c>
      <c r="H6615" s="3">
        <v>0</v>
      </c>
      <c r="I6615" s="3">
        <v>0</v>
      </c>
      <c r="J6615" s="3">
        <v>1</v>
      </c>
      <c r="K6615" s="3">
        <v>0</v>
      </c>
      <c r="L6615" s="3">
        <v>1</v>
      </c>
      <c r="M6615" s="3">
        <v>0</v>
      </c>
      <c r="N6615" s="3">
        <v>0</v>
      </c>
      <c r="O6615" s="3"/>
      <c r="P6615" s="3"/>
      <c r="Q6615" s="3"/>
    </row>
    <row r="6616" spans="1:17" ht="15" x14ac:dyDescent="0.25">
      <c r="A6616" s="3">
        <f>6609</f>
        <v>6609</v>
      </c>
      <c r="B6616" s="3" t="s">
        <v>6618</v>
      </c>
      <c r="C6616" s="3" t="s">
        <v>10</v>
      </c>
      <c r="D6616" s="3" t="s">
        <v>9</v>
      </c>
      <c r="E6616" s="3">
        <v>1</v>
      </c>
      <c r="F6616" s="3">
        <v>0</v>
      </c>
      <c r="G6616" s="3">
        <v>1</v>
      </c>
      <c r="H6616" s="3">
        <v>0</v>
      </c>
      <c r="I6616" s="3">
        <v>0</v>
      </c>
      <c r="J6616" s="3">
        <v>1</v>
      </c>
      <c r="K6616" s="3">
        <v>0</v>
      </c>
      <c r="L6616" s="3">
        <v>1</v>
      </c>
      <c r="M6616" s="3">
        <v>0</v>
      </c>
      <c r="N6616" s="3">
        <v>0</v>
      </c>
      <c r="O6616" s="3"/>
      <c r="P6616" s="3"/>
      <c r="Q6616" s="3"/>
    </row>
    <row r="6617" spans="1:17" ht="15" x14ac:dyDescent="0.25">
      <c r="A6617" s="3">
        <f>6610</f>
        <v>6610</v>
      </c>
      <c r="B6617" s="3" t="s">
        <v>6619</v>
      </c>
      <c r="C6617" s="3" t="s">
        <v>10</v>
      </c>
      <c r="D6617" s="3" t="s">
        <v>9</v>
      </c>
      <c r="E6617" s="3">
        <v>1</v>
      </c>
      <c r="F6617" s="3">
        <v>0</v>
      </c>
      <c r="G6617" s="3">
        <v>1</v>
      </c>
      <c r="H6617" s="3">
        <v>0</v>
      </c>
      <c r="I6617" s="3">
        <v>0</v>
      </c>
      <c r="J6617" s="3">
        <v>1</v>
      </c>
      <c r="K6617" s="3">
        <v>0</v>
      </c>
      <c r="L6617" s="3">
        <v>1</v>
      </c>
      <c r="M6617" s="3">
        <v>0</v>
      </c>
      <c r="N6617" s="3">
        <v>0</v>
      </c>
      <c r="O6617" s="3"/>
      <c r="P6617" s="3"/>
      <c r="Q6617" s="3"/>
    </row>
    <row r="6618" spans="1:17" ht="15" x14ac:dyDescent="0.25">
      <c r="A6618" s="3">
        <f>6611</f>
        <v>6611</v>
      </c>
      <c r="B6618" s="3" t="s">
        <v>6620</v>
      </c>
      <c r="C6618" s="3" t="s">
        <v>10</v>
      </c>
      <c r="D6618" s="3" t="s">
        <v>9</v>
      </c>
      <c r="E6618" s="3">
        <v>1</v>
      </c>
      <c r="F6618" s="3">
        <v>0</v>
      </c>
      <c r="G6618" s="3">
        <v>1</v>
      </c>
      <c r="H6618" s="3">
        <v>0</v>
      </c>
      <c r="I6618" s="3">
        <v>0</v>
      </c>
      <c r="J6618" s="3">
        <v>1</v>
      </c>
      <c r="K6618" s="3">
        <v>0</v>
      </c>
      <c r="L6618" s="3">
        <v>1</v>
      </c>
      <c r="M6618" s="3">
        <v>0</v>
      </c>
      <c r="N6618" s="3">
        <v>0</v>
      </c>
      <c r="O6618" s="3"/>
      <c r="P6618" s="3"/>
      <c r="Q6618" s="3"/>
    </row>
    <row r="6619" spans="1:17" ht="15" x14ac:dyDescent="0.25">
      <c r="A6619" s="3">
        <f>6612</f>
        <v>6612</v>
      </c>
      <c r="B6619" s="3" t="s">
        <v>6621</v>
      </c>
      <c r="C6619" s="3" t="s">
        <v>10</v>
      </c>
      <c r="D6619" s="3" t="s">
        <v>9</v>
      </c>
      <c r="E6619" s="3">
        <v>1</v>
      </c>
      <c r="F6619" s="3">
        <v>0</v>
      </c>
      <c r="G6619" s="3">
        <v>1</v>
      </c>
      <c r="H6619" s="3">
        <v>0</v>
      </c>
      <c r="I6619" s="3">
        <v>0</v>
      </c>
      <c r="J6619" s="3">
        <v>1</v>
      </c>
      <c r="K6619" s="3">
        <v>0</v>
      </c>
      <c r="L6619" s="3">
        <v>1</v>
      </c>
      <c r="M6619" s="3">
        <v>0</v>
      </c>
      <c r="N6619" s="3">
        <v>0</v>
      </c>
      <c r="O6619" s="3"/>
      <c r="P6619" s="3"/>
      <c r="Q6619" s="3"/>
    </row>
    <row r="6620" spans="1:17" ht="15" x14ac:dyDescent="0.25">
      <c r="A6620" s="3">
        <f>6613</f>
        <v>6613</v>
      </c>
      <c r="B6620" s="3" t="s">
        <v>6622</v>
      </c>
      <c r="C6620" s="3" t="s">
        <v>10</v>
      </c>
      <c r="D6620" s="3" t="s">
        <v>9</v>
      </c>
      <c r="E6620" s="3">
        <v>1</v>
      </c>
      <c r="F6620" s="3">
        <v>0</v>
      </c>
      <c r="G6620" s="3">
        <v>1</v>
      </c>
      <c r="H6620" s="3">
        <v>0</v>
      </c>
      <c r="I6620" s="3">
        <v>0</v>
      </c>
      <c r="J6620" s="3">
        <v>1</v>
      </c>
      <c r="K6620" s="3">
        <v>0</v>
      </c>
      <c r="L6620" s="3">
        <v>1</v>
      </c>
      <c r="M6620" s="3">
        <v>0</v>
      </c>
      <c r="N6620" s="3">
        <v>0</v>
      </c>
      <c r="O6620" s="3"/>
      <c r="P6620" s="3"/>
      <c r="Q6620" s="3"/>
    </row>
    <row r="6621" spans="1:17" ht="15" x14ac:dyDescent="0.25">
      <c r="A6621" s="3">
        <f>6614</f>
        <v>6614</v>
      </c>
      <c r="B6621" s="3" t="s">
        <v>6623</v>
      </c>
      <c r="C6621" s="3" t="s">
        <v>10</v>
      </c>
      <c r="D6621" s="3" t="s">
        <v>9</v>
      </c>
      <c r="E6621" s="3">
        <v>1</v>
      </c>
      <c r="F6621" s="3">
        <v>0</v>
      </c>
      <c r="G6621" s="3">
        <v>1</v>
      </c>
      <c r="H6621" s="3">
        <v>0</v>
      </c>
      <c r="I6621" s="3">
        <v>0</v>
      </c>
      <c r="J6621" s="3">
        <v>1</v>
      </c>
      <c r="K6621" s="3">
        <v>0</v>
      </c>
      <c r="L6621" s="3">
        <v>1</v>
      </c>
      <c r="M6621" s="3">
        <v>0</v>
      </c>
      <c r="N6621" s="3">
        <v>0</v>
      </c>
      <c r="O6621" s="3"/>
      <c r="P6621" s="3"/>
      <c r="Q6621" s="3"/>
    </row>
    <row r="6622" spans="1:17" ht="15" x14ac:dyDescent="0.25">
      <c r="A6622" s="3">
        <f>6615</f>
        <v>6615</v>
      </c>
      <c r="B6622" s="3" t="s">
        <v>6624</v>
      </c>
      <c r="C6622" s="3" t="s">
        <v>10</v>
      </c>
      <c r="D6622" s="3" t="s">
        <v>9</v>
      </c>
      <c r="E6622" s="3">
        <v>1</v>
      </c>
      <c r="F6622" s="3">
        <v>0</v>
      </c>
      <c r="G6622" s="3">
        <v>1</v>
      </c>
      <c r="H6622" s="3">
        <v>0</v>
      </c>
      <c r="I6622" s="3">
        <v>0</v>
      </c>
      <c r="J6622" s="3">
        <v>1</v>
      </c>
      <c r="K6622" s="3">
        <v>0</v>
      </c>
      <c r="L6622" s="3">
        <v>1</v>
      </c>
      <c r="M6622" s="3">
        <v>0</v>
      </c>
      <c r="N6622" s="3">
        <v>0</v>
      </c>
      <c r="O6622" s="3"/>
      <c r="P6622" s="3"/>
      <c r="Q6622" s="3"/>
    </row>
    <row r="6623" spans="1:17" ht="15" x14ac:dyDescent="0.25">
      <c r="A6623" s="3">
        <f>6616</f>
        <v>6616</v>
      </c>
      <c r="B6623" s="3" t="s">
        <v>6625</v>
      </c>
      <c r="C6623" s="3" t="s">
        <v>10</v>
      </c>
      <c r="D6623" s="3" t="s">
        <v>9</v>
      </c>
      <c r="E6623" s="3">
        <v>1</v>
      </c>
      <c r="F6623" s="3">
        <v>0</v>
      </c>
      <c r="G6623" s="3">
        <v>1</v>
      </c>
      <c r="H6623" s="3">
        <v>0</v>
      </c>
      <c r="I6623" s="3">
        <v>0</v>
      </c>
      <c r="J6623" s="3">
        <v>1</v>
      </c>
      <c r="K6623" s="3">
        <v>0</v>
      </c>
      <c r="L6623" s="3">
        <v>1</v>
      </c>
      <c r="M6623" s="3">
        <v>0</v>
      </c>
      <c r="N6623" s="3">
        <v>0</v>
      </c>
      <c r="O6623" s="3"/>
      <c r="P6623" s="3"/>
      <c r="Q6623" s="3"/>
    </row>
    <row r="6624" spans="1:17" ht="15" x14ac:dyDescent="0.25">
      <c r="A6624" s="3">
        <f>6617</f>
        <v>6617</v>
      </c>
      <c r="B6624" s="3" t="s">
        <v>6626</v>
      </c>
      <c r="C6624" s="3" t="s">
        <v>10</v>
      </c>
      <c r="D6624" s="3" t="s">
        <v>9</v>
      </c>
      <c r="E6624" s="3">
        <v>1</v>
      </c>
      <c r="F6624" s="3">
        <v>0</v>
      </c>
      <c r="G6624" s="3">
        <v>1</v>
      </c>
      <c r="H6624" s="3">
        <v>0</v>
      </c>
      <c r="I6624" s="3">
        <v>0</v>
      </c>
      <c r="J6624" s="3">
        <v>1</v>
      </c>
      <c r="K6624" s="3">
        <v>0</v>
      </c>
      <c r="L6624" s="3">
        <v>1</v>
      </c>
      <c r="M6624" s="3">
        <v>0</v>
      </c>
      <c r="N6624" s="3">
        <v>0</v>
      </c>
      <c r="O6624" s="3"/>
      <c r="P6624" s="3"/>
      <c r="Q6624" s="3"/>
    </row>
    <row r="6625" spans="1:17" ht="15" x14ac:dyDescent="0.25">
      <c r="A6625" s="3">
        <f>6618</f>
        <v>6618</v>
      </c>
      <c r="B6625" s="3" t="s">
        <v>6627</v>
      </c>
      <c r="C6625" s="3" t="s">
        <v>10</v>
      </c>
      <c r="D6625" s="3" t="s">
        <v>9</v>
      </c>
      <c r="E6625" s="3">
        <v>1</v>
      </c>
      <c r="F6625" s="3">
        <v>0</v>
      </c>
      <c r="G6625" s="3">
        <v>1</v>
      </c>
      <c r="H6625" s="3">
        <v>0</v>
      </c>
      <c r="I6625" s="3">
        <v>0</v>
      </c>
      <c r="J6625" s="3">
        <v>1</v>
      </c>
      <c r="K6625" s="3">
        <v>0</v>
      </c>
      <c r="L6625" s="3">
        <v>1</v>
      </c>
      <c r="M6625" s="3">
        <v>0</v>
      </c>
      <c r="N6625" s="3">
        <v>0</v>
      </c>
      <c r="O6625" s="3"/>
      <c r="P6625" s="3"/>
      <c r="Q6625" s="3"/>
    </row>
    <row r="6626" spans="1:17" ht="15" x14ac:dyDescent="0.25">
      <c r="A6626" s="3">
        <f>6619</f>
        <v>6619</v>
      </c>
      <c r="B6626" s="3" t="s">
        <v>6628</v>
      </c>
      <c r="C6626" s="3" t="s">
        <v>10</v>
      </c>
      <c r="D6626" s="3" t="s">
        <v>9</v>
      </c>
      <c r="E6626" s="3">
        <v>1</v>
      </c>
      <c r="F6626" s="3">
        <v>0</v>
      </c>
      <c r="G6626" s="3">
        <v>1</v>
      </c>
      <c r="H6626" s="3">
        <v>0</v>
      </c>
      <c r="I6626" s="3">
        <v>0</v>
      </c>
      <c r="J6626" s="3">
        <v>1</v>
      </c>
      <c r="K6626" s="3">
        <v>0</v>
      </c>
      <c r="L6626" s="3">
        <v>1</v>
      </c>
      <c r="M6626" s="3">
        <v>0</v>
      </c>
      <c r="N6626" s="3">
        <v>0</v>
      </c>
      <c r="O6626" s="3"/>
      <c r="P6626" s="3"/>
      <c r="Q6626" s="3"/>
    </row>
    <row r="6627" spans="1:17" ht="15" x14ac:dyDescent="0.25">
      <c r="A6627" s="3">
        <f>6620</f>
        <v>6620</v>
      </c>
      <c r="B6627" s="3" t="s">
        <v>6629</v>
      </c>
      <c r="C6627" s="3" t="s">
        <v>10</v>
      </c>
      <c r="D6627" s="3" t="s">
        <v>9</v>
      </c>
      <c r="E6627" s="3">
        <v>1</v>
      </c>
      <c r="F6627" s="3">
        <v>0</v>
      </c>
      <c r="G6627" s="3">
        <v>1</v>
      </c>
      <c r="H6627" s="3">
        <v>0</v>
      </c>
      <c r="I6627" s="3">
        <v>0</v>
      </c>
      <c r="J6627" s="3">
        <v>1</v>
      </c>
      <c r="K6627" s="3">
        <v>0</v>
      </c>
      <c r="L6627" s="3">
        <v>1</v>
      </c>
      <c r="M6627" s="3">
        <v>0</v>
      </c>
      <c r="N6627" s="3">
        <v>0</v>
      </c>
      <c r="O6627" s="3"/>
      <c r="P6627" s="3"/>
      <c r="Q6627" s="3"/>
    </row>
    <row r="6628" spans="1:17" ht="15" x14ac:dyDescent="0.25">
      <c r="A6628" s="3">
        <f>6621</f>
        <v>6621</v>
      </c>
      <c r="B6628" s="3" t="s">
        <v>6630</v>
      </c>
      <c r="C6628" s="3" t="s">
        <v>10</v>
      </c>
      <c r="D6628" s="3" t="s">
        <v>9</v>
      </c>
      <c r="E6628" s="3">
        <v>1</v>
      </c>
      <c r="F6628" s="3">
        <v>0</v>
      </c>
      <c r="G6628" s="3">
        <v>1</v>
      </c>
      <c r="H6628" s="3">
        <v>0</v>
      </c>
      <c r="I6628" s="3">
        <v>0</v>
      </c>
      <c r="J6628" s="3">
        <v>1</v>
      </c>
      <c r="K6628" s="3">
        <v>0</v>
      </c>
      <c r="L6628" s="3">
        <v>1</v>
      </c>
      <c r="M6628" s="3">
        <v>0</v>
      </c>
      <c r="N6628" s="3">
        <v>0</v>
      </c>
      <c r="O6628" s="3"/>
      <c r="P6628" s="3"/>
      <c r="Q6628" s="3"/>
    </row>
    <row r="6629" spans="1:17" ht="15" x14ac:dyDescent="0.25">
      <c r="A6629" s="3">
        <f>6622</f>
        <v>6622</v>
      </c>
      <c r="B6629" s="3" t="s">
        <v>6631</v>
      </c>
      <c r="C6629" s="3" t="s">
        <v>10</v>
      </c>
      <c r="D6629" s="3" t="s">
        <v>9</v>
      </c>
      <c r="E6629" s="3">
        <v>1</v>
      </c>
      <c r="F6629" s="3">
        <v>0</v>
      </c>
      <c r="G6629" s="3">
        <v>1</v>
      </c>
      <c r="H6629" s="3">
        <v>0</v>
      </c>
      <c r="I6629" s="3">
        <v>0</v>
      </c>
      <c r="J6629" s="3">
        <v>1</v>
      </c>
      <c r="K6629" s="3">
        <v>0</v>
      </c>
      <c r="L6629" s="3">
        <v>1</v>
      </c>
      <c r="M6629" s="3">
        <v>0</v>
      </c>
      <c r="N6629" s="3">
        <v>0</v>
      </c>
      <c r="O6629" s="3"/>
      <c r="P6629" s="3"/>
      <c r="Q6629" s="3"/>
    </row>
    <row r="6630" spans="1:17" ht="15" x14ac:dyDescent="0.25">
      <c r="A6630" s="3">
        <f>6623</f>
        <v>6623</v>
      </c>
      <c r="B6630" s="3" t="s">
        <v>6632</v>
      </c>
      <c r="C6630" s="3" t="s">
        <v>10</v>
      </c>
      <c r="D6630" s="3" t="s">
        <v>9</v>
      </c>
      <c r="E6630" s="3">
        <v>1</v>
      </c>
      <c r="F6630" s="3">
        <v>0</v>
      </c>
      <c r="G6630" s="3">
        <v>1</v>
      </c>
      <c r="H6630" s="3">
        <v>0</v>
      </c>
      <c r="I6630" s="3">
        <v>0</v>
      </c>
      <c r="J6630" s="3">
        <v>1</v>
      </c>
      <c r="K6630" s="3">
        <v>0</v>
      </c>
      <c r="L6630" s="3">
        <v>1</v>
      </c>
      <c r="M6630" s="3">
        <v>0</v>
      </c>
      <c r="N6630" s="3">
        <v>0</v>
      </c>
      <c r="O6630" s="3"/>
      <c r="P6630" s="3"/>
      <c r="Q6630" s="3"/>
    </row>
    <row r="6631" spans="1:17" ht="15" x14ac:dyDescent="0.25">
      <c r="A6631" s="3">
        <f>6624</f>
        <v>6624</v>
      </c>
      <c r="B6631" s="3" t="s">
        <v>6633</v>
      </c>
      <c r="C6631" s="3" t="s">
        <v>10</v>
      </c>
      <c r="D6631" s="3" t="s">
        <v>9</v>
      </c>
      <c r="E6631" s="3">
        <v>1</v>
      </c>
      <c r="F6631" s="3">
        <v>0</v>
      </c>
      <c r="G6631" s="3">
        <v>1</v>
      </c>
      <c r="H6631" s="3">
        <v>0</v>
      </c>
      <c r="I6631" s="3">
        <v>0</v>
      </c>
      <c r="J6631" s="3">
        <v>1</v>
      </c>
      <c r="K6631" s="3">
        <v>0</v>
      </c>
      <c r="L6631" s="3">
        <v>1</v>
      </c>
      <c r="M6631" s="3">
        <v>0</v>
      </c>
      <c r="N6631" s="3">
        <v>0</v>
      </c>
      <c r="O6631" s="3"/>
      <c r="P6631" s="3"/>
      <c r="Q6631" s="3"/>
    </row>
    <row r="6632" spans="1:17" ht="15" x14ac:dyDescent="0.25">
      <c r="A6632" s="3">
        <f>6625</f>
        <v>6625</v>
      </c>
      <c r="B6632" s="3" t="s">
        <v>6634</v>
      </c>
      <c r="C6632" s="3" t="s">
        <v>10</v>
      </c>
      <c r="D6632" s="3" t="s">
        <v>9</v>
      </c>
      <c r="E6632" s="3">
        <v>1</v>
      </c>
      <c r="F6632" s="3">
        <v>0</v>
      </c>
      <c r="G6632" s="3">
        <v>1</v>
      </c>
      <c r="H6632" s="3">
        <v>0</v>
      </c>
      <c r="I6632" s="3">
        <v>0</v>
      </c>
      <c r="J6632" s="3">
        <v>1</v>
      </c>
      <c r="K6632" s="3">
        <v>0</v>
      </c>
      <c r="L6632" s="3">
        <v>1</v>
      </c>
      <c r="M6632" s="3">
        <v>0</v>
      </c>
      <c r="N6632" s="3">
        <v>0</v>
      </c>
      <c r="O6632" s="3"/>
      <c r="P6632" s="3"/>
      <c r="Q6632" s="3"/>
    </row>
    <row r="6633" spans="1:17" ht="15" x14ac:dyDescent="0.25">
      <c r="A6633" s="3">
        <f>6626</f>
        <v>6626</v>
      </c>
      <c r="B6633" s="3" t="s">
        <v>6635</v>
      </c>
      <c r="C6633" s="3" t="s">
        <v>10</v>
      </c>
      <c r="D6633" s="3" t="s">
        <v>9</v>
      </c>
      <c r="E6633" s="3">
        <v>1</v>
      </c>
      <c r="F6633" s="3">
        <v>0</v>
      </c>
      <c r="G6633" s="3">
        <v>1</v>
      </c>
      <c r="H6633" s="3">
        <v>0</v>
      </c>
      <c r="I6633" s="3">
        <v>0</v>
      </c>
      <c r="J6633" s="3">
        <v>1</v>
      </c>
      <c r="K6633" s="3">
        <v>0</v>
      </c>
      <c r="L6633" s="3">
        <v>1</v>
      </c>
      <c r="M6633" s="3">
        <v>0</v>
      </c>
      <c r="N6633" s="3">
        <v>0</v>
      </c>
      <c r="O6633" s="3"/>
      <c r="P6633" s="3"/>
      <c r="Q6633" s="3"/>
    </row>
    <row r="6634" spans="1:17" ht="15" x14ac:dyDescent="0.25">
      <c r="A6634" s="3">
        <f>6627</f>
        <v>6627</v>
      </c>
      <c r="B6634" s="3" t="s">
        <v>6636</v>
      </c>
      <c r="C6634" s="3" t="s">
        <v>10</v>
      </c>
      <c r="D6634" s="3" t="s">
        <v>9</v>
      </c>
      <c r="E6634" s="3">
        <v>1</v>
      </c>
      <c r="F6634" s="3">
        <v>0</v>
      </c>
      <c r="G6634" s="3">
        <v>1</v>
      </c>
      <c r="H6634" s="3">
        <v>0</v>
      </c>
      <c r="I6634" s="3">
        <v>0</v>
      </c>
      <c r="J6634" s="3">
        <v>1</v>
      </c>
      <c r="K6634" s="3">
        <v>0</v>
      </c>
      <c r="L6634" s="3">
        <v>1</v>
      </c>
      <c r="M6634" s="3">
        <v>0</v>
      </c>
      <c r="N6634" s="3">
        <v>0</v>
      </c>
      <c r="O6634" s="3"/>
      <c r="P6634" s="3"/>
      <c r="Q6634" s="3"/>
    </row>
    <row r="6635" spans="1:17" ht="15" x14ac:dyDescent="0.25">
      <c r="A6635" s="3">
        <f>6628</f>
        <v>6628</v>
      </c>
      <c r="B6635" s="3" t="s">
        <v>6637</v>
      </c>
      <c r="C6635" s="3" t="s">
        <v>10</v>
      </c>
      <c r="D6635" s="3" t="s">
        <v>9</v>
      </c>
      <c r="E6635" s="3">
        <v>1</v>
      </c>
      <c r="F6635" s="3">
        <v>0</v>
      </c>
      <c r="G6635" s="3">
        <v>1</v>
      </c>
      <c r="H6635" s="3">
        <v>0</v>
      </c>
      <c r="I6635" s="3">
        <v>0</v>
      </c>
      <c r="J6635" s="3">
        <v>1</v>
      </c>
      <c r="K6635" s="3">
        <v>0</v>
      </c>
      <c r="L6635" s="3">
        <v>1</v>
      </c>
      <c r="M6635" s="3">
        <v>0</v>
      </c>
      <c r="N6635" s="3">
        <v>0</v>
      </c>
      <c r="O6635" s="3"/>
      <c r="P6635" s="3"/>
      <c r="Q6635" s="3"/>
    </row>
    <row r="6636" spans="1:17" ht="15" x14ac:dyDescent="0.25">
      <c r="A6636" s="3">
        <f>6629</f>
        <v>6629</v>
      </c>
      <c r="B6636" s="3" t="s">
        <v>6638</v>
      </c>
      <c r="C6636" s="3" t="s">
        <v>10</v>
      </c>
      <c r="D6636" s="3" t="s">
        <v>9</v>
      </c>
      <c r="E6636" s="3">
        <v>1</v>
      </c>
      <c r="F6636" s="3">
        <v>0</v>
      </c>
      <c r="G6636" s="3">
        <v>1</v>
      </c>
      <c r="H6636" s="3">
        <v>0</v>
      </c>
      <c r="I6636" s="3">
        <v>0</v>
      </c>
      <c r="J6636" s="3">
        <v>1</v>
      </c>
      <c r="K6636" s="3">
        <v>0</v>
      </c>
      <c r="L6636" s="3">
        <v>1</v>
      </c>
      <c r="M6636" s="3">
        <v>0</v>
      </c>
      <c r="N6636" s="3">
        <v>0</v>
      </c>
      <c r="O6636" s="3"/>
      <c r="P6636" s="3"/>
      <c r="Q6636" s="3"/>
    </row>
    <row r="6637" spans="1:17" ht="15" x14ac:dyDescent="0.25">
      <c r="A6637" s="3">
        <f>6630</f>
        <v>6630</v>
      </c>
      <c r="B6637" s="3" t="s">
        <v>6639</v>
      </c>
      <c r="C6637" s="3" t="s">
        <v>10</v>
      </c>
      <c r="D6637" s="3" t="s">
        <v>9</v>
      </c>
      <c r="E6637" s="3">
        <v>1</v>
      </c>
      <c r="F6637" s="3">
        <v>0</v>
      </c>
      <c r="G6637" s="3">
        <v>1</v>
      </c>
      <c r="H6637" s="3">
        <v>0</v>
      </c>
      <c r="I6637" s="3">
        <v>0</v>
      </c>
      <c r="J6637" s="3">
        <v>1</v>
      </c>
      <c r="K6637" s="3">
        <v>0</v>
      </c>
      <c r="L6637" s="3">
        <v>1</v>
      </c>
      <c r="M6637" s="3">
        <v>0</v>
      </c>
      <c r="N6637" s="3">
        <v>0</v>
      </c>
      <c r="O6637" s="3"/>
      <c r="P6637" s="3"/>
      <c r="Q6637" s="3"/>
    </row>
    <row r="6638" spans="1:17" ht="15" x14ac:dyDescent="0.25">
      <c r="A6638" s="3">
        <f>6631</f>
        <v>6631</v>
      </c>
      <c r="B6638" s="3" t="s">
        <v>6640</v>
      </c>
      <c r="C6638" s="3" t="s">
        <v>10</v>
      </c>
      <c r="D6638" s="3" t="s">
        <v>9</v>
      </c>
      <c r="E6638" s="3">
        <v>1</v>
      </c>
      <c r="F6638" s="3">
        <v>0</v>
      </c>
      <c r="G6638" s="3">
        <v>1</v>
      </c>
      <c r="H6638" s="3">
        <v>0</v>
      </c>
      <c r="I6638" s="3">
        <v>0</v>
      </c>
      <c r="J6638" s="3">
        <v>1</v>
      </c>
      <c r="K6638" s="3">
        <v>0</v>
      </c>
      <c r="L6638" s="3">
        <v>1</v>
      </c>
      <c r="M6638" s="3">
        <v>0</v>
      </c>
      <c r="N6638" s="3">
        <v>0</v>
      </c>
      <c r="O6638" s="3"/>
      <c r="P6638" s="3"/>
      <c r="Q6638" s="3"/>
    </row>
    <row r="6639" spans="1:17" ht="15" x14ac:dyDescent="0.25">
      <c r="A6639" s="3">
        <f>6632</f>
        <v>6632</v>
      </c>
      <c r="B6639" s="3" t="s">
        <v>6641</v>
      </c>
      <c r="C6639" s="3" t="s">
        <v>10</v>
      </c>
      <c r="D6639" s="3" t="s">
        <v>9</v>
      </c>
      <c r="E6639" s="3">
        <v>1</v>
      </c>
      <c r="F6639" s="3">
        <v>0</v>
      </c>
      <c r="G6639" s="3">
        <v>1</v>
      </c>
      <c r="H6639" s="3">
        <v>0</v>
      </c>
      <c r="I6639" s="3">
        <v>0</v>
      </c>
      <c r="J6639" s="3">
        <v>1</v>
      </c>
      <c r="K6639" s="3">
        <v>0</v>
      </c>
      <c r="L6639" s="3">
        <v>1</v>
      </c>
      <c r="M6639" s="3">
        <v>0</v>
      </c>
      <c r="N6639" s="3">
        <v>0</v>
      </c>
      <c r="O6639" s="3"/>
      <c r="P6639" s="3"/>
      <c r="Q6639" s="3"/>
    </row>
    <row r="6640" spans="1:17" ht="15" x14ac:dyDescent="0.25">
      <c r="A6640" s="3">
        <f>6633</f>
        <v>6633</v>
      </c>
      <c r="B6640" s="3" t="s">
        <v>6642</v>
      </c>
      <c r="C6640" s="3" t="s">
        <v>10</v>
      </c>
      <c r="D6640" s="3" t="s">
        <v>9</v>
      </c>
      <c r="E6640" s="3">
        <v>1</v>
      </c>
      <c r="F6640" s="3">
        <v>0</v>
      </c>
      <c r="G6640" s="3">
        <v>1</v>
      </c>
      <c r="H6640" s="3">
        <v>0</v>
      </c>
      <c r="I6640" s="3">
        <v>0</v>
      </c>
      <c r="J6640" s="3">
        <v>1</v>
      </c>
      <c r="K6640" s="3">
        <v>0</v>
      </c>
      <c r="L6640" s="3">
        <v>1</v>
      </c>
      <c r="M6640" s="3">
        <v>0</v>
      </c>
      <c r="N6640" s="3">
        <v>0</v>
      </c>
      <c r="O6640" s="3"/>
      <c r="P6640" s="3"/>
      <c r="Q6640" s="3"/>
    </row>
    <row r="6641" spans="1:17" ht="15" x14ac:dyDescent="0.25">
      <c r="A6641" s="3">
        <f>6634</f>
        <v>6634</v>
      </c>
      <c r="B6641" s="3" t="s">
        <v>6643</v>
      </c>
      <c r="C6641" s="3" t="s">
        <v>10</v>
      </c>
      <c r="D6641" s="3" t="s">
        <v>9</v>
      </c>
      <c r="E6641" s="3">
        <v>1</v>
      </c>
      <c r="F6641" s="3">
        <v>0</v>
      </c>
      <c r="G6641" s="3">
        <v>1</v>
      </c>
      <c r="H6641" s="3">
        <v>0</v>
      </c>
      <c r="I6641" s="3">
        <v>0</v>
      </c>
      <c r="J6641" s="3">
        <v>1</v>
      </c>
      <c r="K6641" s="3">
        <v>0</v>
      </c>
      <c r="L6641" s="3">
        <v>1</v>
      </c>
      <c r="M6641" s="3">
        <v>0</v>
      </c>
      <c r="N6641" s="3">
        <v>0</v>
      </c>
      <c r="O6641" s="3"/>
      <c r="P6641" s="3"/>
      <c r="Q6641" s="3"/>
    </row>
    <row r="6642" spans="1:17" ht="15" x14ac:dyDescent="0.25">
      <c r="A6642" s="3">
        <f>6635</f>
        <v>6635</v>
      </c>
      <c r="B6642" s="3" t="s">
        <v>6644</v>
      </c>
      <c r="C6642" s="3" t="s">
        <v>10</v>
      </c>
      <c r="D6642" s="3" t="s">
        <v>9</v>
      </c>
      <c r="E6642" s="3">
        <v>1</v>
      </c>
      <c r="F6642" s="3">
        <v>0</v>
      </c>
      <c r="G6642" s="3">
        <v>1</v>
      </c>
      <c r="H6642" s="3">
        <v>0</v>
      </c>
      <c r="I6642" s="3">
        <v>0</v>
      </c>
      <c r="J6642" s="3">
        <v>1</v>
      </c>
      <c r="K6642" s="3">
        <v>0</v>
      </c>
      <c r="L6642" s="3">
        <v>1</v>
      </c>
      <c r="M6642" s="3">
        <v>0</v>
      </c>
      <c r="N6642" s="3">
        <v>0</v>
      </c>
      <c r="O6642" s="3"/>
      <c r="P6642" s="3"/>
      <c r="Q6642" s="3"/>
    </row>
    <row r="6643" spans="1:17" ht="15" x14ac:dyDescent="0.25">
      <c r="A6643" s="3">
        <f>6636</f>
        <v>6636</v>
      </c>
      <c r="B6643" s="3" t="s">
        <v>6645</v>
      </c>
      <c r="C6643" s="3" t="s">
        <v>10</v>
      </c>
      <c r="D6643" s="3" t="s">
        <v>9</v>
      </c>
      <c r="E6643" s="3">
        <v>1</v>
      </c>
      <c r="F6643" s="3">
        <v>0</v>
      </c>
      <c r="G6643" s="3">
        <v>1</v>
      </c>
      <c r="H6643" s="3">
        <v>0</v>
      </c>
      <c r="I6643" s="3">
        <v>0</v>
      </c>
      <c r="J6643" s="3">
        <v>1</v>
      </c>
      <c r="K6643" s="3">
        <v>0</v>
      </c>
      <c r="L6643" s="3">
        <v>1</v>
      </c>
      <c r="M6643" s="3">
        <v>0</v>
      </c>
      <c r="N6643" s="3">
        <v>0</v>
      </c>
      <c r="O6643" s="3"/>
      <c r="P6643" s="3"/>
      <c r="Q6643" s="3"/>
    </row>
    <row r="6644" spans="1:17" ht="15" x14ac:dyDescent="0.25">
      <c r="A6644" s="3">
        <f>6637</f>
        <v>6637</v>
      </c>
      <c r="B6644" s="3" t="s">
        <v>6646</v>
      </c>
      <c r="C6644" s="3" t="s">
        <v>10</v>
      </c>
      <c r="D6644" s="3" t="s">
        <v>9</v>
      </c>
      <c r="E6644" s="3">
        <v>1</v>
      </c>
      <c r="F6644" s="3">
        <v>0</v>
      </c>
      <c r="G6644" s="3">
        <v>1</v>
      </c>
      <c r="H6644" s="3">
        <v>0</v>
      </c>
      <c r="I6644" s="3">
        <v>0</v>
      </c>
      <c r="J6644" s="3">
        <v>1</v>
      </c>
      <c r="K6644" s="3">
        <v>0</v>
      </c>
      <c r="L6644" s="3">
        <v>1</v>
      </c>
      <c r="M6644" s="3">
        <v>0</v>
      </c>
      <c r="N6644" s="3">
        <v>0</v>
      </c>
      <c r="O6644" s="3"/>
      <c r="P6644" s="3"/>
      <c r="Q6644" s="3"/>
    </row>
    <row r="6645" spans="1:17" ht="15" x14ac:dyDescent="0.25">
      <c r="A6645" s="3">
        <f>6638</f>
        <v>6638</v>
      </c>
      <c r="B6645" s="3" t="s">
        <v>6647</v>
      </c>
      <c r="C6645" s="3" t="s">
        <v>10</v>
      </c>
      <c r="D6645" s="3" t="s">
        <v>9</v>
      </c>
      <c r="E6645" s="3">
        <v>1</v>
      </c>
      <c r="F6645" s="3">
        <v>0</v>
      </c>
      <c r="G6645" s="3">
        <v>1</v>
      </c>
      <c r="H6645" s="3">
        <v>0</v>
      </c>
      <c r="I6645" s="3">
        <v>0</v>
      </c>
      <c r="J6645" s="3">
        <v>1</v>
      </c>
      <c r="K6645" s="3">
        <v>0</v>
      </c>
      <c r="L6645" s="3">
        <v>1</v>
      </c>
      <c r="M6645" s="3">
        <v>0</v>
      </c>
      <c r="N6645" s="3">
        <v>0</v>
      </c>
      <c r="O6645" s="3"/>
      <c r="P6645" s="3"/>
      <c r="Q6645" s="3"/>
    </row>
    <row r="6646" spans="1:17" ht="15" x14ac:dyDescent="0.25">
      <c r="A6646" s="3">
        <f>6639</f>
        <v>6639</v>
      </c>
      <c r="B6646" s="3" t="s">
        <v>6648</v>
      </c>
      <c r="C6646" s="3" t="s">
        <v>10</v>
      </c>
      <c r="D6646" s="3" t="s">
        <v>9</v>
      </c>
      <c r="E6646" s="3">
        <v>1</v>
      </c>
      <c r="F6646" s="3">
        <v>0</v>
      </c>
      <c r="G6646" s="3">
        <v>1</v>
      </c>
      <c r="H6646" s="3">
        <v>0</v>
      </c>
      <c r="I6646" s="3">
        <v>0</v>
      </c>
      <c r="J6646" s="3">
        <v>1</v>
      </c>
      <c r="K6646" s="3">
        <v>0</v>
      </c>
      <c r="L6646" s="3">
        <v>1</v>
      </c>
      <c r="M6646" s="3">
        <v>0</v>
      </c>
      <c r="N6646" s="3">
        <v>0</v>
      </c>
      <c r="O6646" s="3"/>
      <c r="P6646" s="3"/>
      <c r="Q6646" s="3"/>
    </row>
    <row r="6647" spans="1:17" ht="15" x14ac:dyDescent="0.25">
      <c r="A6647" s="3">
        <f>6640</f>
        <v>6640</v>
      </c>
      <c r="B6647" s="3" t="s">
        <v>6649</v>
      </c>
      <c r="C6647" s="3" t="s">
        <v>10</v>
      </c>
      <c r="D6647" s="3" t="s">
        <v>9</v>
      </c>
      <c r="E6647" s="3">
        <v>1</v>
      </c>
      <c r="F6647" s="3">
        <v>0</v>
      </c>
      <c r="G6647" s="3">
        <v>1</v>
      </c>
      <c r="H6647" s="3">
        <v>0</v>
      </c>
      <c r="I6647" s="3">
        <v>0</v>
      </c>
      <c r="J6647" s="3">
        <v>1</v>
      </c>
      <c r="K6647" s="3">
        <v>0</v>
      </c>
      <c r="L6647" s="3">
        <v>1</v>
      </c>
      <c r="M6647" s="3">
        <v>0</v>
      </c>
      <c r="N6647" s="3">
        <v>0</v>
      </c>
      <c r="O6647" s="3"/>
      <c r="P6647" s="3"/>
      <c r="Q6647" s="3"/>
    </row>
    <row r="6648" spans="1:17" ht="15" x14ac:dyDescent="0.25">
      <c r="A6648" s="3">
        <f>6641</f>
        <v>6641</v>
      </c>
      <c r="B6648" s="3" t="s">
        <v>6650</v>
      </c>
      <c r="C6648" s="3" t="s">
        <v>10</v>
      </c>
      <c r="D6648" s="3" t="s">
        <v>9</v>
      </c>
      <c r="E6648" s="3">
        <v>1</v>
      </c>
      <c r="F6648" s="3">
        <v>0</v>
      </c>
      <c r="G6648" s="3">
        <v>1</v>
      </c>
      <c r="H6648" s="3">
        <v>0</v>
      </c>
      <c r="I6648" s="3">
        <v>0</v>
      </c>
      <c r="J6648" s="3">
        <v>1</v>
      </c>
      <c r="K6648" s="3">
        <v>0</v>
      </c>
      <c r="L6648" s="3">
        <v>1</v>
      </c>
      <c r="M6648" s="3">
        <v>0</v>
      </c>
      <c r="N6648" s="3">
        <v>0</v>
      </c>
      <c r="O6648" s="3"/>
      <c r="P6648" s="3"/>
      <c r="Q6648" s="3"/>
    </row>
    <row r="6649" spans="1:17" ht="15" x14ac:dyDescent="0.25">
      <c r="A6649" s="3">
        <f>6642</f>
        <v>6642</v>
      </c>
      <c r="B6649" s="3" t="s">
        <v>6651</v>
      </c>
      <c r="C6649" s="3" t="s">
        <v>10</v>
      </c>
      <c r="D6649" s="3" t="s">
        <v>9</v>
      </c>
      <c r="E6649" s="3">
        <v>1</v>
      </c>
      <c r="F6649" s="3">
        <v>0</v>
      </c>
      <c r="G6649" s="3">
        <v>1</v>
      </c>
      <c r="H6649" s="3">
        <v>0</v>
      </c>
      <c r="I6649" s="3">
        <v>0</v>
      </c>
      <c r="J6649" s="3">
        <v>1</v>
      </c>
      <c r="K6649" s="3">
        <v>0</v>
      </c>
      <c r="L6649" s="3">
        <v>1</v>
      </c>
      <c r="M6649" s="3">
        <v>0</v>
      </c>
      <c r="N6649" s="3">
        <v>0</v>
      </c>
      <c r="O6649" s="3"/>
      <c r="P6649" s="3"/>
      <c r="Q6649" s="3"/>
    </row>
    <row r="6650" spans="1:17" ht="15" x14ac:dyDescent="0.25">
      <c r="A6650" s="3">
        <f>6643</f>
        <v>6643</v>
      </c>
      <c r="B6650" s="3" t="s">
        <v>6652</v>
      </c>
      <c r="C6650" s="3" t="s">
        <v>10</v>
      </c>
      <c r="D6650" s="3" t="s">
        <v>9</v>
      </c>
      <c r="E6650" s="3">
        <v>1</v>
      </c>
      <c r="F6650" s="3">
        <v>0</v>
      </c>
      <c r="G6650" s="3">
        <v>1</v>
      </c>
      <c r="H6650" s="3">
        <v>0</v>
      </c>
      <c r="I6650" s="3">
        <v>0</v>
      </c>
      <c r="J6650" s="3">
        <v>1</v>
      </c>
      <c r="K6650" s="3">
        <v>0</v>
      </c>
      <c r="L6650" s="3">
        <v>1</v>
      </c>
      <c r="M6650" s="3">
        <v>0</v>
      </c>
      <c r="N6650" s="3">
        <v>0</v>
      </c>
      <c r="O6650" s="3"/>
      <c r="P6650" s="3"/>
      <c r="Q6650" s="3"/>
    </row>
    <row r="6651" spans="1:17" ht="15" x14ac:dyDescent="0.25">
      <c r="A6651" s="3">
        <f>6644</f>
        <v>6644</v>
      </c>
      <c r="B6651" s="3" t="s">
        <v>6653</v>
      </c>
      <c r="C6651" s="3" t="s">
        <v>10</v>
      </c>
      <c r="D6651" s="3" t="s">
        <v>9</v>
      </c>
      <c r="E6651" s="3">
        <v>1</v>
      </c>
      <c r="F6651" s="3">
        <v>0</v>
      </c>
      <c r="G6651" s="3">
        <v>1</v>
      </c>
      <c r="H6651" s="3">
        <v>0</v>
      </c>
      <c r="I6651" s="3">
        <v>0</v>
      </c>
      <c r="J6651" s="3">
        <v>1</v>
      </c>
      <c r="K6651" s="3">
        <v>0</v>
      </c>
      <c r="L6651" s="3">
        <v>1</v>
      </c>
      <c r="M6651" s="3">
        <v>0</v>
      </c>
      <c r="N6651" s="3">
        <v>0</v>
      </c>
      <c r="O6651" s="3"/>
      <c r="P6651" s="3"/>
      <c r="Q6651" s="3"/>
    </row>
    <row r="6652" spans="1:17" ht="15" x14ac:dyDescent="0.25">
      <c r="A6652" s="3">
        <f>6645</f>
        <v>6645</v>
      </c>
      <c r="B6652" s="3" t="s">
        <v>6654</v>
      </c>
      <c r="C6652" s="3" t="s">
        <v>10</v>
      </c>
      <c r="D6652" s="3" t="s">
        <v>9</v>
      </c>
      <c r="E6652" s="3">
        <v>1</v>
      </c>
      <c r="F6652" s="3">
        <v>0</v>
      </c>
      <c r="G6652" s="3">
        <v>1</v>
      </c>
      <c r="H6652" s="3">
        <v>0</v>
      </c>
      <c r="I6652" s="3">
        <v>0</v>
      </c>
      <c r="J6652" s="3">
        <v>1</v>
      </c>
      <c r="K6652" s="3">
        <v>0</v>
      </c>
      <c r="L6652" s="3">
        <v>1</v>
      </c>
      <c r="M6652" s="3">
        <v>0</v>
      </c>
      <c r="N6652" s="3">
        <v>0</v>
      </c>
      <c r="O6652" s="3"/>
      <c r="P6652" s="3"/>
      <c r="Q6652" s="3"/>
    </row>
    <row r="6653" spans="1:17" ht="15" x14ac:dyDescent="0.25">
      <c r="A6653" s="3">
        <f>6646</f>
        <v>6646</v>
      </c>
      <c r="B6653" s="3" t="s">
        <v>6655</v>
      </c>
      <c r="C6653" s="3" t="s">
        <v>10</v>
      </c>
      <c r="D6653" s="3" t="s">
        <v>9</v>
      </c>
      <c r="E6653" s="3">
        <v>1</v>
      </c>
      <c r="F6653" s="3">
        <v>0</v>
      </c>
      <c r="G6653" s="3">
        <v>1</v>
      </c>
      <c r="H6653" s="3">
        <v>0</v>
      </c>
      <c r="I6653" s="3">
        <v>0</v>
      </c>
      <c r="J6653" s="3">
        <v>1</v>
      </c>
      <c r="K6653" s="3">
        <v>0</v>
      </c>
      <c r="L6653" s="3">
        <v>1</v>
      </c>
      <c r="M6653" s="3">
        <v>0</v>
      </c>
      <c r="N6653" s="3">
        <v>0</v>
      </c>
      <c r="O6653" s="3"/>
      <c r="P6653" s="3"/>
      <c r="Q6653" s="3"/>
    </row>
    <row r="6654" spans="1:17" ht="15" x14ac:dyDescent="0.25">
      <c r="A6654" s="3">
        <f>6647</f>
        <v>6647</v>
      </c>
      <c r="B6654" s="3" t="s">
        <v>6656</v>
      </c>
      <c r="C6654" s="3" t="s">
        <v>10</v>
      </c>
      <c r="D6654" s="3" t="s">
        <v>9</v>
      </c>
      <c r="E6654" s="3">
        <v>1</v>
      </c>
      <c r="F6654" s="3">
        <v>0</v>
      </c>
      <c r="G6654" s="3">
        <v>1</v>
      </c>
      <c r="H6654" s="3">
        <v>0</v>
      </c>
      <c r="I6654" s="3">
        <v>0</v>
      </c>
      <c r="J6654" s="3">
        <v>1</v>
      </c>
      <c r="K6654" s="3">
        <v>0</v>
      </c>
      <c r="L6654" s="3">
        <v>1</v>
      </c>
      <c r="M6654" s="3">
        <v>0</v>
      </c>
      <c r="N6654" s="3">
        <v>0</v>
      </c>
      <c r="O6654" s="3"/>
      <c r="P6654" s="3"/>
      <c r="Q6654" s="3"/>
    </row>
    <row r="6655" spans="1:17" ht="15" x14ac:dyDescent="0.25">
      <c r="A6655" s="3">
        <f>6648</f>
        <v>6648</v>
      </c>
      <c r="B6655" s="3" t="s">
        <v>6657</v>
      </c>
      <c r="C6655" s="3" t="s">
        <v>10</v>
      </c>
      <c r="D6655" s="3" t="s">
        <v>9</v>
      </c>
      <c r="E6655" s="3">
        <v>1</v>
      </c>
      <c r="F6655" s="3">
        <v>0</v>
      </c>
      <c r="G6655" s="3">
        <v>1</v>
      </c>
      <c r="H6655" s="3">
        <v>0</v>
      </c>
      <c r="I6655" s="3">
        <v>0</v>
      </c>
      <c r="J6655" s="3">
        <v>1</v>
      </c>
      <c r="K6655" s="3">
        <v>0</v>
      </c>
      <c r="L6655" s="3">
        <v>1</v>
      </c>
      <c r="M6655" s="3">
        <v>0</v>
      </c>
      <c r="N6655" s="3">
        <v>0</v>
      </c>
      <c r="O6655" s="3"/>
      <c r="P6655" s="3"/>
      <c r="Q6655" s="3"/>
    </row>
    <row r="6656" spans="1:17" ht="15" x14ac:dyDescent="0.25">
      <c r="A6656" s="3">
        <f>6649</f>
        <v>6649</v>
      </c>
      <c r="B6656" s="3" t="s">
        <v>6658</v>
      </c>
      <c r="C6656" s="3" t="s">
        <v>10</v>
      </c>
      <c r="D6656" s="3" t="s">
        <v>9</v>
      </c>
      <c r="E6656" s="3">
        <v>1</v>
      </c>
      <c r="F6656" s="3">
        <v>0</v>
      </c>
      <c r="G6656" s="3">
        <v>1</v>
      </c>
      <c r="H6656" s="3">
        <v>0</v>
      </c>
      <c r="I6656" s="3">
        <v>0</v>
      </c>
      <c r="J6656" s="3">
        <v>1</v>
      </c>
      <c r="K6656" s="3">
        <v>0</v>
      </c>
      <c r="L6656" s="3">
        <v>1</v>
      </c>
      <c r="M6656" s="3">
        <v>0</v>
      </c>
      <c r="N6656" s="3">
        <v>0</v>
      </c>
      <c r="O6656" s="3"/>
      <c r="P6656" s="3"/>
      <c r="Q6656" s="3"/>
    </row>
    <row r="6657" spans="1:17" ht="15" x14ac:dyDescent="0.25">
      <c r="A6657" s="3">
        <f>6650</f>
        <v>6650</v>
      </c>
      <c r="B6657" s="3" t="s">
        <v>6659</v>
      </c>
      <c r="C6657" s="3" t="s">
        <v>10</v>
      </c>
      <c r="D6657" s="3" t="s">
        <v>9</v>
      </c>
      <c r="E6657" s="3">
        <v>1</v>
      </c>
      <c r="F6657" s="3">
        <v>0</v>
      </c>
      <c r="G6657" s="3">
        <v>1</v>
      </c>
      <c r="H6657" s="3">
        <v>0</v>
      </c>
      <c r="I6657" s="3">
        <v>0</v>
      </c>
      <c r="J6657" s="3">
        <v>1</v>
      </c>
      <c r="K6657" s="3">
        <v>0</v>
      </c>
      <c r="L6657" s="3">
        <v>1</v>
      </c>
      <c r="M6657" s="3">
        <v>0</v>
      </c>
      <c r="N6657" s="3">
        <v>0</v>
      </c>
      <c r="O6657" s="3"/>
      <c r="P6657" s="3"/>
      <c r="Q6657" s="3"/>
    </row>
    <row r="6658" spans="1:17" ht="15" x14ac:dyDescent="0.25">
      <c r="A6658" s="3">
        <f>6651</f>
        <v>6651</v>
      </c>
      <c r="B6658" s="3" t="s">
        <v>6660</v>
      </c>
      <c r="C6658" s="3" t="s">
        <v>10</v>
      </c>
      <c r="D6658" s="3" t="s">
        <v>9</v>
      </c>
      <c r="E6658" s="3">
        <v>1</v>
      </c>
      <c r="F6658" s="3">
        <v>0</v>
      </c>
      <c r="G6658" s="3">
        <v>1</v>
      </c>
      <c r="H6658" s="3">
        <v>0</v>
      </c>
      <c r="I6658" s="3">
        <v>0</v>
      </c>
      <c r="J6658" s="3">
        <v>1</v>
      </c>
      <c r="K6658" s="3">
        <v>0</v>
      </c>
      <c r="L6658" s="3">
        <v>1</v>
      </c>
      <c r="M6658" s="3">
        <v>0</v>
      </c>
      <c r="N6658" s="3">
        <v>0</v>
      </c>
      <c r="O6658" s="3"/>
      <c r="P6658" s="3"/>
      <c r="Q6658" s="3"/>
    </row>
    <row r="6659" spans="1:17" ht="15" x14ac:dyDescent="0.25">
      <c r="A6659" s="3">
        <f>6652</f>
        <v>6652</v>
      </c>
      <c r="B6659" s="3" t="s">
        <v>6661</v>
      </c>
      <c r="C6659" s="3" t="s">
        <v>10</v>
      </c>
      <c r="D6659" s="3" t="s">
        <v>9</v>
      </c>
      <c r="E6659" s="3">
        <v>1</v>
      </c>
      <c r="F6659" s="3">
        <v>0</v>
      </c>
      <c r="G6659" s="3">
        <v>1</v>
      </c>
      <c r="H6659" s="3">
        <v>0</v>
      </c>
      <c r="I6659" s="3">
        <v>0</v>
      </c>
      <c r="J6659" s="3">
        <v>1</v>
      </c>
      <c r="K6659" s="3">
        <v>0</v>
      </c>
      <c r="L6659" s="3">
        <v>1</v>
      </c>
      <c r="M6659" s="3">
        <v>0</v>
      </c>
      <c r="N6659" s="3">
        <v>0</v>
      </c>
      <c r="O6659" s="3"/>
      <c r="P6659" s="3"/>
      <c r="Q6659" s="3"/>
    </row>
    <row r="6660" spans="1:17" ht="15" x14ac:dyDescent="0.25">
      <c r="A6660" s="3">
        <f>6653</f>
        <v>6653</v>
      </c>
      <c r="B6660" s="3" t="s">
        <v>6662</v>
      </c>
      <c r="C6660" s="3" t="s">
        <v>10</v>
      </c>
      <c r="D6660" s="3" t="s">
        <v>9</v>
      </c>
      <c r="E6660" s="3">
        <v>1</v>
      </c>
      <c r="F6660" s="3">
        <v>0</v>
      </c>
      <c r="G6660" s="3">
        <v>1</v>
      </c>
      <c r="H6660" s="3">
        <v>0</v>
      </c>
      <c r="I6660" s="3">
        <v>0</v>
      </c>
      <c r="J6660" s="3">
        <v>1</v>
      </c>
      <c r="K6660" s="3">
        <v>0</v>
      </c>
      <c r="L6660" s="3">
        <v>1</v>
      </c>
      <c r="M6660" s="3">
        <v>0</v>
      </c>
      <c r="N6660" s="3">
        <v>0</v>
      </c>
      <c r="O6660" s="3"/>
      <c r="P6660" s="3"/>
      <c r="Q6660" s="3"/>
    </row>
    <row r="6661" spans="1:17" ht="15" x14ac:dyDescent="0.25">
      <c r="A6661" s="3">
        <f>6654</f>
        <v>6654</v>
      </c>
      <c r="B6661" s="3" t="s">
        <v>6663</v>
      </c>
      <c r="C6661" s="3" t="s">
        <v>10</v>
      </c>
      <c r="D6661" s="3" t="s">
        <v>9</v>
      </c>
      <c r="E6661" s="3">
        <v>1</v>
      </c>
      <c r="F6661" s="3">
        <v>0</v>
      </c>
      <c r="G6661" s="3">
        <v>1</v>
      </c>
      <c r="H6661" s="3">
        <v>0</v>
      </c>
      <c r="I6661" s="3">
        <v>0</v>
      </c>
      <c r="J6661" s="3">
        <v>1</v>
      </c>
      <c r="K6661" s="3">
        <v>0</v>
      </c>
      <c r="L6661" s="3">
        <v>1</v>
      </c>
      <c r="M6661" s="3">
        <v>0</v>
      </c>
      <c r="N6661" s="3">
        <v>0</v>
      </c>
      <c r="O6661" s="3"/>
      <c r="P6661" s="3"/>
      <c r="Q6661" s="3"/>
    </row>
    <row r="6662" spans="1:17" ht="15" x14ac:dyDescent="0.25">
      <c r="A6662" s="3">
        <f>6655</f>
        <v>6655</v>
      </c>
      <c r="B6662" s="3" t="s">
        <v>6664</v>
      </c>
      <c r="C6662" s="3" t="s">
        <v>10</v>
      </c>
      <c r="D6662" s="3" t="s">
        <v>9</v>
      </c>
      <c r="E6662" s="3">
        <v>1</v>
      </c>
      <c r="F6662" s="3">
        <v>0</v>
      </c>
      <c r="G6662" s="3">
        <v>1</v>
      </c>
      <c r="H6662" s="3">
        <v>0</v>
      </c>
      <c r="I6662" s="3">
        <v>0</v>
      </c>
      <c r="J6662" s="3">
        <v>1</v>
      </c>
      <c r="K6662" s="3">
        <v>0</v>
      </c>
      <c r="L6662" s="3">
        <v>1</v>
      </c>
      <c r="M6662" s="3">
        <v>0</v>
      </c>
      <c r="N6662" s="3">
        <v>0</v>
      </c>
      <c r="O6662" s="3"/>
      <c r="P6662" s="3"/>
      <c r="Q6662" s="3"/>
    </row>
    <row r="6663" spans="1:17" ht="15" x14ac:dyDescent="0.25">
      <c r="A6663" s="3">
        <f>6656</f>
        <v>6656</v>
      </c>
      <c r="B6663" s="3" t="s">
        <v>6665</v>
      </c>
      <c r="C6663" s="3" t="s">
        <v>10</v>
      </c>
      <c r="D6663" s="3" t="s">
        <v>9</v>
      </c>
      <c r="E6663" s="3">
        <v>1</v>
      </c>
      <c r="F6663" s="3">
        <v>0</v>
      </c>
      <c r="G6663" s="3">
        <v>1</v>
      </c>
      <c r="H6663" s="3">
        <v>0</v>
      </c>
      <c r="I6663" s="3">
        <v>0</v>
      </c>
      <c r="J6663" s="3">
        <v>1</v>
      </c>
      <c r="K6663" s="3">
        <v>0</v>
      </c>
      <c r="L6663" s="3">
        <v>1</v>
      </c>
      <c r="M6663" s="3">
        <v>0</v>
      </c>
      <c r="N6663" s="3">
        <v>0</v>
      </c>
      <c r="O6663" s="3"/>
      <c r="P6663" s="3"/>
      <c r="Q6663" s="3"/>
    </row>
    <row r="6664" spans="1:17" ht="15" x14ac:dyDescent="0.25">
      <c r="A6664" s="3">
        <f>6657</f>
        <v>6657</v>
      </c>
      <c r="B6664" s="3" t="s">
        <v>6666</v>
      </c>
      <c r="C6664" s="3" t="s">
        <v>10</v>
      </c>
      <c r="D6664" s="3" t="s">
        <v>9</v>
      </c>
      <c r="E6664" s="3">
        <v>1</v>
      </c>
      <c r="F6664" s="3">
        <v>0</v>
      </c>
      <c r="G6664" s="3">
        <v>1</v>
      </c>
      <c r="H6664" s="3">
        <v>0</v>
      </c>
      <c r="I6664" s="3">
        <v>0</v>
      </c>
      <c r="J6664" s="3">
        <v>1</v>
      </c>
      <c r="K6664" s="3">
        <v>0</v>
      </c>
      <c r="L6664" s="3">
        <v>1</v>
      </c>
      <c r="M6664" s="3">
        <v>0</v>
      </c>
      <c r="N6664" s="3">
        <v>0</v>
      </c>
      <c r="O6664" s="3"/>
      <c r="P6664" s="3"/>
      <c r="Q6664" s="3"/>
    </row>
    <row r="6665" spans="1:17" ht="15" x14ac:dyDescent="0.25">
      <c r="A6665" s="3">
        <f>6658</f>
        <v>6658</v>
      </c>
      <c r="B6665" s="3" t="s">
        <v>6667</v>
      </c>
      <c r="C6665" s="3" t="s">
        <v>10</v>
      </c>
      <c r="D6665" s="3" t="s">
        <v>9</v>
      </c>
      <c r="E6665" s="3">
        <v>1</v>
      </c>
      <c r="F6665" s="3">
        <v>0</v>
      </c>
      <c r="G6665" s="3">
        <v>1</v>
      </c>
      <c r="H6665" s="3">
        <v>0</v>
      </c>
      <c r="I6665" s="3">
        <v>0</v>
      </c>
      <c r="J6665" s="3">
        <v>1</v>
      </c>
      <c r="K6665" s="3">
        <v>0</v>
      </c>
      <c r="L6665" s="3">
        <v>1</v>
      </c>
      <c r="M6665" s="3">
        <v>0</v>
      </c>
      <c r="N6665" s="3">
        <v>0</v>
      </c>
      <c r="O6665" s="3"/>
      <c r="P6665" s="3"/>
      <c r="Q6665" s="3"/>
    </row>
    <row r="6666" spans="1:17" ht="15" x14ac:dyDescent="0.25">
      <c r="A6666" s="3">
        <f>6659</f>
        <v>6659</v>
      </c>
      <c r="B6666" s="3" t="s">
        <v>6668</v>
      </c>
      <c r="C6666" s="3" t="s">
        <v>10</v>
      </c>
      <c r="D6666" s="3" t="s">
        <v>9</v>
      </c>
      <c r="E6666" s="3">
        <v>1</v>
      </c>
      <c r="F6666" s="3">
        <v>0</v>
      </c>
      <c r="G6666" s="3">
        <v>1</v>
      </c>
      <c r="H6666" s="3">
        <v>0</v>
      </c>
      <c r="I6666" s="3">
        <v>0</v>
      </c>
      <c r="J6666" s="3">
        <v>1</v>
      </c>
      <c r="K6666" s="3">
        <v>0</v>
      </c>
      <c r="L6666" s="3">
        <v>1</v>
      </c>
      <c r="M6666" s="3">
        <v>0</v>
      </c>
      <c r="N6666" s="3">
        <v>0</v>
      </c>
      <c r="O6666" s="3"/>
      <c r="P6666" s="3"/>
      <c r="Q6666" s="3"/>
    </row>
    <row r="6667" spans="1:17" ht="15" x14ac:dyDescent="0.25">
      <c r="A6667" s="3">
        <f>6660</f>
        <v>6660</v>
      </c>
      <c r="B6667" s="3" t="s">
        <v>6669</v>
      </c>
      <c r="C6667" s="3" t="s">
        <v>10</v>
      </c>
      <c r="D6667" s="3" t="s">
        <v>9</v>
      </c>
      <c r="E6667" s="3">
        <v>22</v>
      </c>
      <c r="F6667" s="3">
        <v>0</v>
      </c>
      <c r="G6667" s="3">
        <v>1</v>
      </c>
      <c r="H6667" s="3">
        <v>0</v>
      </c>
      <c r="I6667" s="3">
        <v>0</v>
      </c>
      <c r="J6667" s="3">
        <v>1</v>
      </c>
      <c r="K6667" s="3">
        <v>0</v>
      </c>
      <c r="L6667" s="3">
        <v>1</v>
      </c>
      <c r="M6667" s="3">
        <v>0</v>
      </c>
      <c r="N6667" s="3">
        <v>0</v>
      </c>
      <c r="O6667" s="3"/>
      <c r="P6667" s="3"/>
      <c r="Q6667" s="3"/>
    </row>
    <row r="6668" spans="1:17" ht="15" x14ac:dyDescent="0.25">
      <c r="A6668" s="3">
        <f>6661</f>
        <v>6661</v>
      </c>
      <c r="B6668" s="3" t="s">
        <v>6670</v>
      </c>
      <c r="C6668" s="3" t="s">
        <v>10</v>
      </c>
      <c r="D6668" s="3" t="s">
        <v>9</v>
      </c>
      <c r="E6668" s="3">
        <v>22</v>
      </c>
      <c r="F6668" s="3">
        <v>0</v>
      </c>
      <c r="G6668" s="3">
        <v>1</v>
      </c>
      <c r="H6668" s="3">
        <v>0</v>
      </c>
      <c r="I6668" s="3">
        <v>0</v>
      </c>
      <c r="J6668" s="3">
        <v>1</v>
      </c>
      <c r="K6668" s="3">
        <v>0</v>
      </c>
      <c r="L6668" s="3">
        <v>1</v>
      </c>
      <c r="M6668" s="3">
        <v>0</v>
      </c>
      <c r="N6668" s="3">
        <v>0</v>
      </c>
      <c r="O6668" s="3"/>
      <c r="P6668" s="3"/>
      <c r="Q6668" s="3"/>
    </row>
    <row r="6669" spans="1:17" ht="15" x14ac:dyDescent="0.25">
      <c r="A6669" s="3">
        <f>6662</f>
        <v>6662</v>
      </c>
      <c r="B6669" s="3" t="s">
        <v>6671</v>
      </c>
      <c r="C6669" s="3" t="s">
        <v>10</v>
      </c>
      <c r="D6669" s="3" t="s">
        <v>9</v>
      </c>
      <c r="E6669" s="3">
        <v>22</v>
      </c>
      <c r="F6669" s="3">
        <v>0</v>
      </c>
      <c r="G6669" s="3">
        <v>1</v>
      </c>
      <c r="H6669" s="3">
        <v>0</v>
      </c>
      <c r="I6669" s="3">
        <v>0</v>
      </c>
      <c r="J6669" s="3">
        <v>1</v>
      </c>
      <c r="K6669" s="3">
        <v>0</v>
      </c>
      <c r="L6669" s="3">
        <v>1</v>
      </c>
      <c r="M6669" s="3">
        <v>0</v>
      </c>
      <c r="N6669" s="3">
        <v>0</v>
      </c>
      <c r="O6669" s="3"/>
      <c r="P6669" s="3"/>
      <c r="Q6669" s="3"/>
    </row>
    <row r="6670" spans="1:17" ht="15" x14ac:dyDescent="0.25">
      <c r="A6670" s="3">
        <f>6663</f>
        <v>6663</v>
      </c>
      <c r="B6670" s="3" t="s">
        <v>6672</v>
      </c>
      <c r="C6670" s="3" t="s">
        <v>10</v>
      </c>
      <c r="D6670" s="3" t="s">
        <v>9</v>
      </c>
      <c r="E6670" s="3">
        <v>22</v>
      </c>
      <c r="F6670" s="3">
        <v>0</v>
      </c>
      <c r="G6670" s="3">
        <v>1</v>
      </c>
      <c r="H6670" s="3">
        <v>0</v>
      </c>
      <c r="I6670" s="3">
        <v>0</v>
      </c>
      <c r="J6670" s="3">
        <v>1</v>
      </c>
      <c r="K6670" s="3">
        <v>0</v>
      </c>
      <c r="L6670" s="3">
        <v>1</v>
      </c>
      <c r="M6670" s="3">
        <v>0</v>
      </c>
      <c r="N6670" s="3">
        <v>0</v>
      </c>
      <c r="O6670" s="3"/>
      <c r="P6670" s="3"/>
      <c r="Q6670" s="3"/>
    </row>
    <row r="6671" spans="1:17" ht="15" x14ac:dyDescent="0.25">
      <c r="A6671" s="3">
        <f>6664</f>
        <v>6664</v>
      </c>
      <c r="B6671" s="3" t="s">
        <v>6673</v>
      </c>
      <c r="C6671" s="3" t="s">
        <v>10</v>
      </c>
      <c r="D6671" s="3" t="s">
        <v>9</v>
      </c>
      <c r="E6671" s="3">
        <v>22</v>
      </c>
      <c r="F6671" s="3">
        <v>0</v>
      </c>
      <c r="G6671" s="3">
        <v>1</v>
      </c>
      <c r="H6671" s="3">
        <v>0</v>
      </c>
      <c r="I6671" s="3">
        <v>0</v>
      </c>
      <c r="J6671" s="3">
        <v>1</v>
      </c>
      <c r="K6671" s="3">
        <v>0</v>
      </c>
      <c r="L6671" s="3">
        <v>1</v>
      </c>
      <c r="M6671" s="3">
        <v>0</v>
      </c>
      <c r="N6671" s="3">
        <v>0</v>
      </c>
      <c r="O6671" s="3"/>
      <c r="P6671" s="3"/>
      <c r="Q6671" s="3"/>
    </row>
    <row r="6672" spans="1:17" ht="15" x14ac:dyDescent="0.25">
      <c r="A6672" s="3">
        <f>6665</f>
        <v>6665</v>
      </c>
      <c r="B6672" s="3" t="s">
        <v>6674</v>
      </c>
      <c r="C6672" s="3" t="s">
        <v>10</v>
      </c>
      <c r="D6672" s="3" t="s">
        <v>9</v>
      </c>
      <c r="E6672" s="3">
        <v>22</v>
      </c>
      <c r="F6672" s="3">
        <v>0</v>
      </c>
      <c r="G6672" s="3">
        <v>1</v>
      </c>
      <c r="H6672" s="3">
        <v>0</v>
      </c>
      <c r="I6672" s="3">
        <v>26</v>
      </c>
      <c r="J6672" s="3">
        <v>1</v>
      </c>
      <c r="K6672" s="3">
        <v>23</v>
      </c>
      <c r="L6672" s="3">
        <v>1</v>
      </c>
      <c r="M6672" s="3">
        <v>0</v>
      </c>
      <c r="N6672" s="3">
        <v>21</v>
      </c>
      <c r="O6672" s="3"/>
      <c r="P6672" s="3"/>
      <c r="Q6672" s="3"/>
    </row>
    <row r="6673" spans="1:17" ht="15" x14ac:dyDescent="0.25">
      <c r="A6673" s="3">
        <f>6666</f>
        <v>6666</v>
      </c>
      <c r="B6673" s="3" t="s">
        <v>6675</v>
      </c>
      <c r="C6673" s="3" t="s">
        <v>10</v>
      </c>
      <c r="D6673" s="3" t="s">
        <v>9</v>
      </c>
      <c r="E6673" s="3">
        <v>22</v>
      </c>
      <c r="F6673" s="3">
        <v>0</v>
      </c>
      <c r="G6673" s="3">
        <v>1</v>
      </c>
      <c r="H6673" s="3">
        <v>0</v>
      </c>
      <c r="I6673" s="3">
        <v>26</v>
      </c>
      <c r="J6673" s="3">
        <v>1</v>
      </c>
      <c r="K6673" s="3">
        <v>23</v>
      </c>
      <c r="L6673" s="3">
        <v>1</v>
      </c>
      <c r="M6673" s="3">
        <v>0</v>
      </c>
      <c r="N6673" s="3">
        <v>21</v>
      </c>
      <c r="O6673" s="3"/>
      <c r="P6673" s="3"/>
      <c r="Q6673" s="3"/>
    </row>
    <row r="6674" spans="1:17" ht="15" x14ac:dyDescent="0.25">
      <c r="A6674" s="3">
        <f>6667</f>
        <v>6667</v>
      </c>
      <c r="B6674" s="3" t="s">
        <v>6676</v>
      </c>
      <c r="C6674" s="3" t="s">
        <v>10</v>
      </c>
      <c r="D6674" s="3" t="s">
        <v>9</v>
      </c>
      <c r="E6674" s="3">
        <v>22</v>
      </c>
      <c r="F6674" s="3">
        <v>0</v>
      </c>
      <c r="G6674" s="3">
        <v>1</v>
      </c>
      <c r="H6674" s="3">
        <v>0</v>
      </c>
      <c r="I6674" s="3">
        <v>26</v>
      </c>
      <c r="J6674" s="3">
        <v>1</v>
      </c>
      <c r="K6674" s="3">
        <v>23</v>
      </c>
      <c r="L6674" s="3">
        <v>1</v>
      </c>
      <c r="M6674" s="3">
        <v>0</v>
      </c>
      <c r="N6674" s="3">
        <v>21</v>
      </c>
      <c r="O6674" s="3"/>
      <c r="P6674" s="3"/>
      <c r="Q6674" s="3"/>
    </row>
    <row r="6675" spans="1:17" ht="15" x14ac:dyDescent="0.25">
      <c r="A6675" s="3">
        <f>6668</f>
        <v>6668</v>
      </c>
      <c r="B6675" s="3" t="s">
        <v>6677</v>
      </c>
      <c r="C6675" s="3" t="s">
        <v>10</v>
      </c>
      <c r="D6675" s="3" t="s">
        <v>9</v>
      </c>
      <c r="E6675" s="3">
        <v>22</v>
      </c>
      <c r="F6675" s="3">
        <v>0</v>
      </c>
      <c r="G6675" s="3">
        <v>1</v>
      </c>
      <c r="H6675" s="3">
        <v>0</v>
      </c>
      <c r="I6675" s="3">
        <v>26</v>
      </c>
      <c r="J6675" s="3">
        <v>1</v>
      </c>
      <c r="K6675" s="3">
        <v>23</v>
      </c>
      <c r="L6675" s="3">
        <v>1</v>
      </c>
      <c r="M6675" s="3">
        <v>0</v>
      </c>
      <c r="N6675" s="3">
        <v>21</v>
      </c>
      <c r="O6675" s="3"/>
      <c r="P6675" s="3"/>
      <c r="Q6675" s="3"/>
    </row>
    <row r="6676" spans="1:17" ht="15" x14ac:dyDescent="0.25">
      <c r="A6676" s="3">
        <f>6669</f>
        <v>6669</v>
      </c>
      <c r="B6676" s="3" t="s">
        <v>6678</v>
      </c>
      <c r="C6676" s="3" t="s">
        <v>10</v>
      </c>
      <c r="D6676" s="3" t="s">
        <v>9</v>
      </c>
      <c r="E6676" s="3">
        <v>22</v>
      </c>
      <c r="F6676" s="3">
        <v>0</v>
      </c>
      <c r="G6676" s="3">
        <v>1</v>
      </c>
      <c r="H6676" s="3">
        <v>0</v>
      </c>
      <c r="I6676" s="3">
        <v>20</v>
      </c>
      <c r="J6676" s="3">
        <v>1</v>
      </c>
      <c r="K6676" s="3">
        <v>24</v>
      </c>
      <c r="L6676" s="3">
        <v>1</v>
      </c>
      <c r="M6676" s="3">
        <v>0</v>
      </c>
      <c r="N6676" s="3">
        <v>21</v>
      </c>
      <c r="O6676" s="3"/>
      <c r="P6676" s="3"/>
      <c r="Q6676" s="3"/>
    </row>
    <row r="6677" spans="1:17" ht="15" x14ac:dyDescent="0.25">
      <c r="A6677" s="3">
        <f>6670</f>
        <v>6670</v>
      </c>
      <c r="B6677" s="3" t="s">
        <v>6679</v>
      </c>
      <c r="C6677" s="3" t="s">
        <v>10</v>
      </c>
      <c r="D6677" s="3" t="s">
        <v>9</v>
      </c>
      <c r="E6677" s="3">
        <v>26</v>
      </c>
      <c r="F6677" s="3">
        <v>0</v>
      </c>
      <c r="G6677" s="3">
        <v>1</v>
      </c>
      <c r="H6677" s="3">
        <v>0</v>
      </c>
      <c r="I6677" s="3">
        <v>20</v>
      </c>
      <c r="J6677" s="3">
        <v>1</v>
      </c>
      <c r="K6677" s="3">
        <v>24</v>
      </c>
      <c r="L6677" s="3">
        <v>1</v>
      </c>
      <c r="M6677" s="3">
        <v>0</v>
      </c>
      <c r="N6677" s="3">
        <v>23</v>
      </c>
      <c r="O6677" s="3"/>
      <c r="P6677" s="3"/>
      <c r="Q6677" s="3"/>
    </row>
    <row r="6678" spans="1:17" ht="15" x14ac:dyDescent="0.25">
      <c r="A6678" s="3">
        <f>6671</f>
        <v>6671</v>
      </c>
      <c r="B6678" s="3" t="s">
        <v>6680</v>
      </c>
      <c r="C6678" s="3" t="s">
        <v>10</v>
      </c>
      <c r="D6678" s="3" t="s">
        <v>9</v>
      </c>
      <c r="E6678" s="3">
        <v>26</v>
      </c>
      <c r="F6678" s="3">
        <v>0</v>
      </c>
      <c r="G6678" s="3">
        <v>1</v>
      </c>
      <c r="H6678" s="3">
        <v>0</v>
      </c>
      <c r="I6678" s="3">
        <v>20</v>
      </c>
      <c r="J6678" s="3">
        <v>1</v>
      </c>
      <c r="K6678" s="3">
        <v>24</v>
      </c>
      <c r="L6678" s="3">
        <v>1</v>
      </c>
      <c r="M6678" s="3">
        <v>0</v>
      </c>
      <c r="N6678" s="3">
        <v>23</v>
      </c>
      <c r="O6678" s="3"/>
      <c r="P6678" s="3"/>
      <c r="Q6678" s="3"/>
    </row>
    <row r="6679" spans="1:17" ht="15" x14ac:dyDescent="0.25">
      <c r="A6679" s="3">
        <f>6672</f>
        <v>6672</v>
      </c>
      <c r="B6679" s="3" t="s">
        <v>6681</v>
      </c>
      <c r="C6679" s="3" t="s">
        <v>10</v>
      </c>
      <c r="D6679" s="3" t="s">
        <v>9</v>
      </c>
      <c r="E6679" s="3">
        <v>26</v>
      </c>
      <c r="F6679" s="3">
        <v>0</v>
      </c>
      <c r="G6679" s="3">
        <v>1</v>
      </c>
      <c r="H6679" s="3">
        <v>0</v>
      </c>
      <c r="I6679" s="3">
        <v>20</v>
      </c>
      <c r="J6679" s="3">
        <v>1</v>
      </c>
      <c r="K6679" s="3">
        <v>24</v>
      </c>
      <c r="L6679" s="3">
        <v>1</v>
      </c>
      <c r="M6679" s="3">
        <v>0</v>
      </c>
      <c r="N6679" s="3">
        <v>23</v>
      </c>
      <c r="O6679" s="3"/>
      <c r="P6679" s="3"/>
      <c r="Q6679" s="3"/>
    </row>
    <row r="6680" spans="1:17" ht="15" x14ac:dyDescent="0.25">
      <c r="A6680" s="3">
        <f>6673</f>
        <v>6673</v>
      </c>
      <c r="B6680" s="3" t="s">
        <v>6682</v>
      </c>
      <c r="C6680" s="3" t="s">
        <v>10</v>
      </c>
      <c r="D6680" s="3" t="s">
        <v>9</v>
      </c>
      <c r="E6680" s="3">
        <v>26</v>
      </c>
      <c r="F6680" s="3">
        <v>0</v>
      </c>
      <c r="G6680" s="3">
        <v>1</v>
      </c>
      <c r="H6680" s="3">
        <v>0</v>
      </c>
      <c r="I6680" s="3">
        <v>20</v>
      </c>
      <c r="J6680" s="3">
        <v>1</v>
      </c>
      <c r="K6680" s="3">
        <v>24</v>
      </c>
      <c r="L6680" s="3">
        <v>1</v>
      </c>
      <c r="M6680" s="3">
        <v>0</v>
      </c>
      <c r="N6680" s="3">
        <v>23</v>
      </c>
      <c r="O6680" s="3"/>
      <c r="P6680" s="3"/>
      <c r="Q6680" s="3"/>
    </row>
    <row r="6681" spans="1:17" ht="15" x14ac:dyDescent="0.25">
      <c r="A6681" s="3">
        <f>6674</f>
        <v>6674</v>
      </c>
      <c r="B6681" s="3" t="s">
        <v>6683</v>
      </c>
      <c r="C6681" s="3" t="s">
        <v>10</v>
      </c>
      <c r="D6681" s="3" t="s">
        <v>9</v>
      </c>
      <c r="E6681" s="3">
        <v>26</v>
      </c>
      <c r="F6681" s="3">
        <v>0</v>
      </c>
      <c r="G6681" s="3">
        <v>1</v>
      </c>
      <c r="H6681" s="3">
        <v>0</v>
      </c>
      <c r="I6681" s="3">
        <v>20</v>
      </c>
      <c r="J6681" s="3">
        <v>1</v>
      </c>
      <c r="K6681" s="3">
        <v>24</v>
      </c>
      <c r="L6681" s="3">
        <v>1</v>
      </c>
      <c r="M6681" s="3">
        <v>0</v>
      </c>
      <c r="N6681" s="3">
        <v>23</v>
      </c>
      <c r="O6681" s="3"/>
      <c r="P6681" s="3"/>
      <c r="Q6681" s="3"/>
    </row>
    <row r="6682" spans="1:17" ht="15" x14ac:dyDescent="0.25">
      <c r="A6682" s="3">
        <f>6675</f>
        <v>6675</v>
      </c>
      <c r="B6682" s="3" t="s">
        <v>6684</v>
      </c>
      <c r="C6682" s="3" t="s">
        <v>10</v>
      </c>
      <c r="D6682" s="3" t="s">
        <v>9</v>
      </c>
      <c r="E6682" s="3">
        <v>26</v>
      </c>
      <c r="F6682" s="3">
        <v>0</v>
      </c>
      <c r="G6682" s="3">
        <v>1</v>
      </c>
      <c r="H6682" s="3">
        <v>0</v>
      </c>
      <c r="I6682" s="3">
        <v>20</v>
      </c>
      <c r="J6682" s="3">
        <v>1</v>
      </c>
      <c r="K6682" s="3">
        <v>24</v>
      </c>
      <c r="L6682" s="3">
        <v>1</v>
      </c>
      <c r="M6682" s="3">
        <v>0</v>
      </c>
      <c r="N6682" s="3">
        <v>23</v>
      </c>
      <c r="O6682" s="3"/>
      <c r="P6682" s="3"/>
      <c r="Q6682" s="3"/>
    </row>
    <row r="6683" spans="1:17" ht="15" x14ac:dyDescent="0.25">
      <c r="A6683" s="3">
        <f>6676</f>
        <v>6676</v>
      </c>
      <c r="B6683" s="3" t="s">
        <v>6685</v>
      </c>
      <c r="C6683" s="3" t="s">
        <v>10</v>
      </c>
      <c r="D6683" s="3" t="s">
        <v>9</v>
      </c>
      <c r="E6683" s="3">
        <v>26</v>
      </c>
      <c r="F6683" s="3">
        <v>0</v>
      </c>
      <c r="G6683" s="3">
        <v>1</v>
      </c>
      <c r="H6683" s="3">
        <v>0</v>
      </c>
      <c r="I6683" s="3">
        <v>20</v>
      </c>
      <c r="J6683" s="3">
        <v>1</v>
      </c>
      <c r="K6683" s="3">
        <v>24</v>
      </c>
      <c r="L6683" s="3">
        <v>1</v>
      </c>
      <c r="M6683" s="3">
        <v>0</v>
      </c>
      <c r="N6683" s="3">
        <v>23</v>
      </c>
      <c r="O6683" s="3"/>
      <c r="P6683" s="3"/>
      <c r="Q6683" s="3"/>
    </row>
    <row r="6684" spans="1:17" ht="15" x14ac:dyDescent="0.25">
      <c r="A6684" s="3">
        <f>6677</f>
        <v>6677</v>
      </c>
      <c r="B6684" s="3" t="s">
        <v>6686</v>
      </c>
      <c r="C6684" s="3" t="s">
        <v>10</v>
      </c>
      <c r="D6684" s="3" t="s">
        <v>9</v>
      </c>
      <c r="E6684" s="3">
        <v>26</v>
      </c>
      <c r="F6684" s="3">
        <v>0</v>
      </c>
      <c r="G6684" s="3">
        <v>1</v>
      </c>
      <c r="H6684" s="3">
        <v>0</v>
      </c>
      <c r="I6684" s="3">
        <v>20</v>
      </c>
      <c r="J6684" s="3">
        <v>1</v>
      </c>
      <c r="K6684" s="3">
        <v>24</v>
      </c>
      <c r="L6684" s="3">
        <v>1</v>
      </c>
      <c r="M6684" s="3">
        <v>0</v>
      </c>
      <c r="N6684" s="3">
        <v>23</v>
      </c>
      <c r="O6684" s="3"/>
      <c r="P6684" s="3"/>
      <c r="Q6684" s="3"/>
    </row>
    <row r="6685" spans="1:17" ht="15" x14ac:dyDescent="0.25">
      <c r="A6685" s="3">
        <f>6678</f>
        <v>6678</v>
      </c>
      <c r="B6685" s="3" t="s">
        <v>6687</v>
      </c>
      <c r="C6685" s="3" t="s">
        <v>10</v>
      </c>
      <c r="D6685" s="3" t="s">
        <v>9</v>
      </c>
      <c r="E6685" s="3">
        <v>26</v>
      </c>
      <c r="F6685" s="3">
        <v>0</v>
      </c>
      <c r="G6685" s="3">
        <v>1</v>
      </c>
      <c r="H6685" s="3">
        <v>0</v>
      </c>
      <c r="I6685" s="3">
        <v>20</v>
      </c>
      <c r="J6685" s="3">
        <v>1</v>
      </c>
      <c r="K6685" s="3">
        <v>24</v>
      </c>
      <c r="L6685" s="3">
        <v>1</v>
      </c>
      <c r="M6685" s="3">
        <v>0</v>
      </c>
      <c r="N6685" s="3">
        <v>23</v>
      </c>
      <c r="O6685" s="3"/>
      <c r="P6685" s="3"/>
      <c r="Q6685" s="3"/>
    </row>
    <row r="6686" spans="1:17" ht="15" x14ac:dyDescent="0.25">
      <c r="A6686" s="3">
        <f>6679</f>
        <v>6679</v>
      </c>
      <c r="B6686" s="3" t="s">
        <v>6688</v>
      </c>
      <c r="C6686" s="3" t="s">
        <v>10</v>
      </c>
      <c r="D6686" s="3" t="s">
        <v>9</v>
      </c>
      <c r="E6686" s="3">
        <v>26</v>
      </c>
      <c r="F6686" s="3">
        <v>0</v>
      </c>
      <c r="G6686" s="3">
        <v>1</v>
      </c>
      <c r="H6686" s="3">
        <v>0</v>
      </c>
      <c r="I6686" s="3">
        <v>20</v>
      </c>
      <c r="J6686" s="3">
        <v>1</v>
      </c>
      <c r="K6686" s="3">
        <v>24</v>
      </c>
      <c r="L6686" s="3">
        <v>1</v>
      </c>
      <c r="M6686" s="3">
        <v>0</v>
      </c>
      <c r="N6686" s="3">
        <v>23</v>
      </c>
      <c r="O6686" s="3"/>
      <c r="P6686" s="3"/>
      <c r="Q6686" s="3"/>
    </row>
    <row r="6687" spans="1:17" ht="15" x14ac:dyDescent="0.25">
      <c r="A6687" s="3">
        <f>6680</f>
        <v>6680</v>
      </c>
      <c r="B6687" s="3" t="s">
        <v>6689</v>
      </c>
      <c r="C6687" s="3" t="s">
        <v>10</v>
      </c>
      <c r="D6687" s="3" t="s">
        <v>9</v>
      </c>
      <c r="E6687" s="3">
        <v>26</v>
      </c>
      <c r="F6687" s="3">
        <v>0</v>
      </c>
      <c r="G6687" s="3">
        <v>1</v>
      </c>
      <c r="H6687" s="3">
        <v>0</v>
      </c>
      <c r="I6687" s="3">
        <v>20</v>
      </c>
      <c r="J6687" s="3">
        <v>1</v>
      </c>
      <c r="K6687" s="3">
        <v>24</v>
      </c>
      <c r="L6687" s="3">
        <v>1</v>
      </c>
      <c r="M6687" s="3">
        <v>0</v>
      </c>
      <c r="N6687" s="3">
        <v>23</v>
      </c>
      <c r="O6687" s="3"/>
      <c r="P6687" s="3"/>
      <c r="Q6687" s="3"/>
    </row>
    <row r="6688" spans="1:17" ht="15" x14ac:dyDescent="0.25">
      <c r="A6688" s="3">
        <f>6681</f>
        <v>6681</v>
      </c>
      <c r="B6688" s="3" t="s">
        <v>6690</v>
      </c>
      <c r="C6688" s="3" t="s">
        <v>10</v>
      </c>
      <c r="D6688" s="3" t="s">
        <v>9</v>
      </c>
      <c r="E6688" s="3">
        <v>26</v>
      </c>
      <c r="F6688" s="3">
        <v>0</v>
      </c>
      <c r="G6688" s="3">
        <v>1</v>
      </c>
      <c r="H6688" s="3">
        <v>0</v>
      </c>
      <c r="I6688" s="3">
        <v>20</v>
      </c>
      <c r="J6688" s="3">
        <v>1</v>
      </c>
      <c r="K6688" s="3">
        <v>24</v>
      </c>
      <c r="L6688" s="3">
        <v>1</v>
      </c>
      <c r="M6688" s="3">
        <v>0</v>
      </c>
      <c r="N6688" s="3">
        <v>23</v>
      </c>
      <c r="O6688" s="3"/>
      <c r="P6688" s="3"/>
      <c r="Q6688" s="3"/>
    </row>
    <row r="6689" spans="1:17" ht="15" x14ac:dyDescent="0.25">
      <c r="A6689" s="3">
        <f>6682</f>
        <v>6682</v>
      </c>
      <c r="B6689" s="3" t="s">
        <v>6691</v>
      </c>
      <c r="C6689" s="3" t="s">
        <v>10</v>
      </c>
      <c r="D6689" s="3" t="s">
        <v>9</v>
      </c>
      <c r="E6689" s="3">
        <v>26</v>
      </c>
      <c r="F6689" s="3">
        <v>0</v>
      </c>
      <c r="G6689" s="3">
        <v>1</v>
      </c>
      <c r="H6689" s="3">
        <v>0</v>
      </c>
      <c r="I6689" s="3">
        <v>20</v>
      </c>
      <c r="J6689" s="3">
        <v>1</v>
      </c>
      <c r="K6689" s="3">
        <v>24</v>
      </c>
      <c r="L6689" s="3">
        <v>1</v>
      </c>
      <c r="M6689" s="3">
        <v>0</v>
      </c>
      <c r="N6689" s="3">
        <v>23</v>
      </c>
      <c r="O6689" s="3"/>
      <c r="P6689" s="3"/>
      <c r="Q6689" s="3"/>
    </row>
    <row r="6690" spans="1:17" ht="15" x14ac:dyDescent="0.25">
      <c r="A6690" s="3">
        <f>6683</f>
        <v>6683</v>
      </c>
      <c r="B6690" s="3" t="s">
        <v>6692</v>
      </c>
      <c r="C6690" s="3" t="s">
        <v>10</v>
      </c>
      <c r="D6690" s="3" t="s">
        <v>9</v>
      </c>
      <c r="E6690" s="3">
        <v>26</v>
      </c>
      <c r="F6690" s="3">
        <v>0</v>
      </c>
      <c r="G6690" s="3">
        <v>1</v>
      </c>
      <c r="H6690" s="3">
        <v>0</v>
      </c>
      <c r="I6690" s="3">
        <v>20</v>
      </c>
      <c r="J6690" s="3">
        <v>1</v>
      </c>
      <c r="K6690" s="3">
        <v>24</v>
      </c>
      <c r="L6690" s="3">
        <v>1</v>
      </c>
      <c r="M6690" s="3">
        <v>0</v>
      </c>
      <c r="N6690" s="3">
        <v>23</v>
      </c>
      <c r="O6690" s="3"/>
      <c r="P6690" s="3"/>
      <c r="Q6690" s="3"/>
    </row>
    <row r="6691" spans="1:17" ht="15" x14ac:dyDescent="0.25">
      <c r="A6691" s="3">
        <f>6684</f>
        <v>6684</v>
      </c>
      <c r="B6691" s="3" t="s">
        <v>6693</v>
      </c>
      <c r="C6691" s="3" t="s">
        <v>10</v>
      </c>
      <c r="D6691" s="3" t="s">
        <v>9</v>
      </c>
      <c r="E6691" s="3">
        <v>26</v>
      </c>
      <c r="F6691" s="3">
        <v>0</v>
      </c>
      <c r="G6691" s="3">
        <v>1</v>
      </c>
      <c r="H6691" s="3">
        <v>0</v>
      </c>
      <c r="I6691" s="3">
        <v>20</v>
      </c>
      <c r="J6691" s="3">
        <v>1</v>
      </c>
      <c r="K6691" s="3">
        <v>24</v>
      </c>
      <c r="L6691" s="3">
        <v>1</v>
      </c>
      <c r="M6691" s="3">
        <v>0</v>
      </c>
      <c r="N6691" s="3">
        <v>23</v>
      </c>
      <c r="O6691" s="3"/>
      <c r="P6691" s="3"/>
      <c r="Q6691" s="3"/>
    </row>
    <row r="6692" spans="1:17" ht="15" x14ac:dyDescent="0.25">
      <c r="A6692" s="3">
        <f>6685</f>
        <v>6685</v>
      </c>
      <c r="B6692" s="3" t="s">
        <v>6694</v>
      </c>
      <c r="C6692" s="3" t="s">
        <v>10</v>
      </c>
      <c r="D6692" s="3" t="s">
        <v>9</v>
      </c>
      <c r="E6692" s="3">
        <v>26</v>
      </c>
      <c r="F6692" s="3">
        <v>0</v>
      </c>
      <c r="G6692" s="3">
        <v>1</v>
      </c>
      <c r="H6692" s="3">
        <v>0</v>
      </c>
      <c r="I6692" s="3">
        <v>20</v>
      </c>
      <c r="J6692" s="3">
        <v>1</v>
      </c>
      <c r="K6692" s="3">
        <v>24</v>
      </c>
      <c r="L6692" s="3">
        <v>1</v>
      </c>
      <c r="M6692" s="3">
        <v>0</v>
      </c>
      <c r="N6692" s="3">
        <v>23</v>
      </c>
      <c r="O6692" s="3"/>
      <c r="P6692" s="3"/>
      <c r="Q6692" s="3"/>
    </row>
    <row r="6693" spans="1:17" ht="15" x14ac:dyDescent="0.25">
      <c r="A6693" s="3">
        <f>6686</f>
        <v>6686</v>
      </c>
      <c r="B6693" s="3" t="s">
        <v>6695</v>
      </c>
      <c r="C6693" s="3" t="s">
        <v>10</v>
      </c>
      <c r="D6693" s="3" t="s">
        <v>9</v>
      </c>
      <c r="E6693" s="3">
        <v>26</v>
      </c>
      <c r="F6693" s="3">
        <v>0</v>
      </c>
      <c r="G6693" s="3">
        <v>1</v>
      </c>
      <c r="H6693" s="3">
        <v>0</v>
      </c>
      <c r="I6693" s="3">
        <v>20</v>
      </c>
      <c r="J6693" s="3">
        <v>1</v>
      </c>
      <c r="K6693" s="3">
        <v>24</v>
      </c>
      <c r="L6693" s="3">
        <v>1</v>
      </c>
      <c r="M6693" s="3">
        <v>0</v>
      </c>
      <c r="N6693" s="3">
        <v>23</v>
      </c>
      <c r="O6693" s="3"/>
      <c r="P6693" s="3"/>
      <c r="Q6693" s="3"/>
    </row>
    <row r="6694" spans="1:17" ht="15" x14ac:dyDescent="0.25">
      <c r="A6694" s="3">
        <f>6687</f>
        <v>6687</v>
      </c>
      <c r="B6694" s="3" t="s">
        <v>6696</v>
      </c>
      <c r="C6694" s="3" t="s">
        <v>10</v>
      </c>
      <c r="D6694" s="3" t="s">
        <v>9</v>
      </c>
      <c r="E6694" s="3">
        <v>26</v>
      </c>
      <c r="F6694" s="3">
        <v>0</v>
      </c>
      <c r="G6694" s="3">
        <v>1</v>
      </c>
      <c r="H6694" s="3">
        <v>0</v>
      </c>
      <c r="I6694" s="3">
        <v>20</v>
      </c>
      <c r="J6694" s="3">
        <v>1</v>
      </c>
      <c r="K6694" s="3">
        <v>24</v>
      </c>
      <c r="L6694" s="3">
        <v>1</v>
      </c>
      <c r="M6694" s="3">
        <v>0</v>
      </c>
      <c r="N6694" s="3">
        <v>23</v>
      </c>
      <c r="O6694" s="3"/>
      <c r="P6694" s="3"/>
      <c r="Q6694" s="3"/>
    </row>
    <row r="6695" spans="1:17" ht="15" x14ac:dyDescent="0.25">
      <c r="A6695" s="3">
        <f>6688</f>
        <v>6688</v>
      </c>
      <c r="B6695" s="3" t="s">
        <v>6697</v>
      </c>
      <c r="C6695" s="3" t="s">
        <v>10</v>
      </c>
      <c r="D6695" s="3" t="s">
        <v>9</v>
      </c>
      <c r="E6695" s="3">
        <v>26</v>
      </c>
      <c r="F6695" s="3">
        <v>0</v>
      </c>
      <c r="G6695" s="3">
        <v>1</v>
      </c>
      <c r="H6695" s="3">
        <v>0</v>
      </c>
      <c r="I6695" s="3">
        <v>20</v>
      </c>
      <c r="J6695" s="3">
        <v>1</v>
      </c>
      <c r="K6695" s="3">
        <v>24</v>
      </c>
      <c r="L6695" s="3">
        <v>1</v>
      </c>
      <c r="M6695" s="3">
        <v>0</v>
      </c>
      <c r="N6695" s="3">
        <v>23</v>
      </c>
      <c r="O6695" s="3"/>
      <c r="P6695" s="3"/>
      <c r="Q6695" s="3"/>
    </row>
    <row r="6696" spans="1:17" ht="15" x14ac:dyDescent="0.25">
      <c r="A6696" s="3">
        <f>6689</f>
        <v>6689</v>
      </c>
      <c r="B6696" s="3" t="s">
        <v>6698</v>
      </c>
      <c r="C6696" s="3" t="s">
        <v>9</v>
      </c>
      <c r="D6696" s="3" t="s">
        <v>10</v>
      </c>
      <c r="E6696" s="3">
        <v>26</v>
      </c>
      <c r="F6696" s="3">
        <v>0</v>
      </c>
      <c r="G6696" s="3">
        <v>1</v>
      </c>
      <c r="H6696" s="3">
        <v>0</v>
      </c>
      <c r="I6696" s="3">
        <v>20</v>
      </c>
      <c r="J6696" s="3">
        <v>1</v>
      </c>
      <c r="K6696" s="3">
        <v>24</v>
      </c>
      <c r="L6696" s="3">
        <v>1</v>
      </c>
      <c r="M6696" s="3">
        <v>0</v>
      </c>
      <c r="N6696" s="3">
        <v>23</v>
      </c>
      <c r="O6696" s="3"/>
      <c r="P6696" s="3"/>
      <c r="Q6696" s="3"/>
    </row>
    <row r="6697" spans="1:17" ht="15" x14ac:dyDescent="0.25">
      <c r="A6697" s="3">
        <f>6690</f>
        <v>6690</v>
      </c>
      <c r="B6697" s="3" t="s">
        <v>6699</v>
      </c>
      <c r="C6697" s="3" t="s">
        <v>9</v>
      </c>
      <c r="D6697" s="3" t="s">
        <v>10</v>
      </c>
      <c r="E6697" s="3">
        <v>26</v>
      </c>
      <c r="F6697" s="3">
        <v>0</v>
      </c>
      <c r="G6697" s="3">
        <v>1</v>
      </c>
      <c r="H6697" s="3">
        <v>0</v>
      </c>
      <c r="I6697" s="3">
        <v>20</v>
      </c>
      <c r="J6697" s="3">
        <v>1</v>
      </c>
      <c r="K6697" s="3">
        <v>24</v>
      </c>
      <c r="L6697" s="3">
        <v>1</v>
      </c>
      <c r="M6697" s="3">
        <v>0</v>
      </c>
      <c r="N6697" s="3">
        <v>23</v>
      </c>
      <c r="O6697" s="3"/>
      <c r="P6697" s="3"/>
      <c r="Q6697" s="3"/>
    </row>
    <row r="6698" spans="1:17" ht="15" x14ac:dyDescent="0.25">
      <c r="A6698" s="3">
        <f>6691</f>
        <v>6691</v>
      </c>
      <c r="B6698" s="3" t="s">
        <v>6700</v>
      </c>
      <c r="C6698" s="3" t="s">
        <v>9</v>
      </c>
      <c r="D6698" s="3" t="s">
        <v>10</v>
      </c>
      <c r="E6698" s="3">
        <v>26</v>
      </c>
      <c r="F6698" s="3">
        <v>0</v>
      </c>
      <c r="G6698" s="3">
        <v>1</v>
      </c>
      <c r="H6698" s="3">
        <v>0</v>
      </c>
      <c r="I6698" s="3">
        <v>20</v>
      </c>
      <c r="J6698" s="3">
        <v>1</v>
      </c>
      <c r="K6698" s="3">
        <v>24</v>
      </c>
      <c r="L6698" s="3">
        <v>1</v>
      </c>
      <c r="M6698" s="3">
        <v>0</v>
      </c>
      <c r="N6698" s="3">
        <v>23</v>
      </c>
      <c r="O6698" s="3"/>
      <c r="P6698" s="3"/>
      <c r="Q6698" s="3"/>
    </row>
    <row r="6699" spans="1:17" ht="15" x14ac:dyDescent="0.25">
      <c r="A6699" s="3">
        <f>6692</f>
        <v>6692</v>
      </c>
      <c r="B6699" s="3" t="s">
        <v>6701</v>
      </c>
      <c r="C6699" s="3" t="s">
        <v>9</v>
      </c>
      <c r="D6699" s="3" t="s">
        <v>10</v>
      </c>
      <c r="E6699" s="3">
        <v>26</v>
      </c>
      <c r="F6699" s="3">
        <v>0</v>
      </c>
      <c r="G6699" s="3">
        <v>1</v>
      </c>
      <c r="H6699" s="3">
        <v>0</v>
      </c>
      <c r="I6699" s="3">
        <v>20</v>
      </c>
      <c r="J6699" s="3">
        <v>1</v>
      </c>
      <c r="K6699" s="3">
        <v>24</v>
      </c>
      <c r="L6699" s="3">
        <v>1</v>
      </c>
      <c r="M6699" s="3">
        <v>0</v>
      </c>
      <c r="N6699" s="3">
        <v>23</v>
      </c>
      <c r="O6699" s="3"/>
      <c r="P6699" s="3"/>
      <c r="Q6699" s="3"/>
    </row>
    <row r="6700" spans="1:17" ht="15" x14ac:dyDescent="0.25">
      <c r="A6700" s="3">
        <f>6693</f>
        <v>6693</v>
      </c>
      <c r="B6700" s="3" t="s">
        <v>6702</v>
      </c>
      <c r="C6700" s="3" t="s">
        <v>9</v>
      </c>
      <c r="D6700" s="3" t="s">
        <v>10</v>
      </c>
      <c r="E6700" s="3">
        <v>22</v>
      </c>
      <c r="F6700" s="3">
        <v>0</v>
      </c>
      <c r="G6700" s="3">
        <v>1</v>
      </c>
      <c r="H6700" s="3">
        <v>0</v>
      </c>
      <c r="I6700" s="3">
        <v>20</v>
      </c>
      <c r="J6700" s="3">
        <v>1</v>
      </c>
      <c r="K6700" s="3">
        <v>24</v>
      </c>
      <c r="L6700" s="3">
        <v>1</v>
      </c>
      <c r="M6700" s="3">
        <v>0</v>
      </c>
      <c r="N6700" s="3">
        <v>23</v>
      </c>
      <c r="O6700" s="3"/>
      <c r="P6700" s="3"/>
      <c r="Q6700" s="3"/>
    </row>
    <row r="6701" spans="1:17" ht="15" x14ac:dyDescent="0.25">
      <c r="A6701" s="3">
        <f>6694</f>
        <v>6694</v>
      </c>
      <c r="B6701" s="3" t="s">
        <v>6703</v>
      </c>
      <c r="C6701" s="3" t="s">
        <v>9</v>
      </c>
      <c r="D6701" s="3" t="s">
        <v>10</v>
      </c>
      <c r="E6701" s="3">
        <v>22</v>
      </c>
      <c r="F6701" s="3">
        <v>0</v>
      </c>
      <c r="G6701" s="3">
        <v>1</v>
      </c>
      <c r="H6701" s="3">
        <v>0</v>
      </c>
      <c r="I6701" s="3">
        <v>20</v>
      </c>
      <c r="J6701" s="3">
        <v>1</v>
      </c>
      <c r="K6701" s="3">
        <v>24</v>
      </c>
      <c r="L6701" s="3">
        <v>1</v>
      </c>
      <c r="M6701" s="3">
        <v>0</v>
      </c>
      <c r="N6701" s="3">
        <v>23</v>
      </c>
      <c r="O6701" s="3"/>
      <c r="P6701" s="3"/>
      <c r="Q6701" s="3"/>
    </row>
    <row r="6702" spans="1:17" ht="15" x14ac:dyDescent="0.25">
      <c r="A6702" s="3">
        <f>6695</f>
        <v>6695</v>
      </c>
      <c r="B6702" s="3" t="s">
        <v>6704</v>
      </c>
      <c r="C6702" s="3" t="s">
        <v>9</v>
      </c>
      <c r="D6702" s="3" t="s">
        <v>10</v>
      </c>
      <c r="E6702" s="3">
        <v>22</v>
      </c>
      <c r="F6702" s="3">
        <v>0</v>
      </c>
      <c r="G6702" s="3">
        <v>1</v>
      </c>
      <c r="H6702" s="3">
        <v>0</v>
      </c>
      <c r="I6702" s="3">
        <v>21</v>
      </c>
      <c r="J6702" s="3">
        <v>1</v>
      </c>
      <c r="K6702" s="3">
        <v>23</v>
      </c>
      <c r="L6702" s="3">
        <v>1</v>
      </c>
      <c r="M6702" s="3">
        <v>0</v>
      </c>
      <c r="N6702" s="3">
        <v>25</v>
      </c>
      <c r="O6702" s="3"/>
      <c r="P6702" s="3"/>
      <c r="Q6702" s="3"/>
    </row>
    <row r="6703" spans="1:17" ht="15" x14ac:dyDescent="0.25">
      <c r="A6703" s="3">
        <f>6696</f>
        <v>6696</v>
      </c>
      <c r="B6703" s="3" t="s">
        <v>6705</v>
      </c>
      <c r="C6703" s="3" t="s">
        <v>9</v>
      </c>
      <c r="D6703" s="3" t="s">
        <v>10</v>
      </c>
      <c r="E6703" s="3">
        <v>23</v>
      </c>
      <c r="F6703" s="3">
        <v>0</v>
      </c>
      <c r="G6703" s="3">
        <v>1</v>
      </c>
      <c r="H6703" s="3">
        <v>0</v>
      </c>
      <c r="I6703" s="3">
        <v>21</v>
      </c>
      <c r="J6703" s="3">
        <v>1</v>
      </c>
      <c r="K6703" s="3">
        <v>23</v>
      </c>
      <c r="L6703" s="3">
        <v>1</v>
      </c>
      <c r="M6703" s="3">
        <v>0</v>
      </c>
      <c r="N6703" s="3">
        <v>21</v>
      </c>
      <c r="O6703" s="3"/>
      <c r="P6703" s="3"/>
      <c r="Q6703" s="3"/>
    </row>
    <row r="6704" spans="1:17" ht="15" x14ac:dyDescent="0.25">
      <c r="A6704" s="3">
        <f>6697</f>
        <v>6697</v>
      </c>
      <c r="B6704" s="3" t="s">
        <v>6706</v>
      </c>
      <c r="C6704" s="3" t="s">
        <v>9</v>
      </c>
      <c r="D6704" s="3" t="s">
        <v>10</v>
      </c>
      <c r="E6704" s="3">
        <v>23</v>
      </c>
      <c r="F6704" s="3">
        <v>0</v>
      </c>
      <c r="G6704" s="3">
        <v>1</v>
      </c>
      <c r="H6704" s="3">
        <v>0</v>
      </c>
      <c r="I6704" s="3">
        <v>21</v>
      </c>
      <c r="J6704" s="3">
        <v>1</v>
      </c>
      <c r="K6704" s="3">
        <v>23</v>
      </c>
      <c r="L6704" s="3">
        <v>1</v>
      </c>
      <c r="M6704" s="3">
        <v>0</v>
      </c>
      <c r="N6704" s="3">
        <v>21</v>
      </c>
      <c r="O6704" s="3"/>
      <c r="P6704" s="3"/>
      <c r="Q6704" s="3"/>
    </row>
    <row r="6705" spans="1:17" ht="15" x14ac:dyDescent="0.25">
      <c r="A6705" s="3">
        <f>6698</f>
        <v>6698</v>
      </c>
      <c r="B6705" s="3" t="s">
        <v>6707</v>
      </c>
      <c r="C6705" s="3" t="s">
        <v>9</v>
      </c>
      <c r="D6705" s="3" t="s">
        <v>10</v>
      </c>
      <c r="E6705" s="3">
        <v>23</v>
      </c>
      <c r="F6705" s="3">
        <v>0</v>
      </c>
      <c r="G6705" s="3">
        <v>1</v>
      </c>
      <c r="H6705" s="3">
        <v>0</v>
      </c>
      <c r="I6705" s="3">
        <v>21</v>
      </c>
      <c r="J6705" s="3">
        <v>1</v>
      </c>
      <c r="K6705" s="3">
        <v>23</v>
      </c>
      <c r="L6705" s="3">
        <v>1</v>
      </c>
      <c r="M6705" s="3">
        <v>0</v>
      </c>
      <c r="N6705" s="3">
        <v>21</v>
      </c>
      <c r="O6705" s="3"/>
      <c r="P6705" s="3"/>
      <c r="Q6705" s="3"/>
    </row>
    <row r="6706" spans="1:17" ht="15" x14ac:dyDescent="0.25">
      <c r="A6706" s="3">
        <f>6699</f>
        <v>6699</v>
      </c>
      <c r="B6706" s="3" t="s">
        <v>6708</v>
      </c>
      <c r="C6706" s="3" t="s">
        <v>9</v>
      </c>
      <c r="D6706" s="3" t="s">
        <v>10</v>
      </c>
      <c r="E6706" s="3">
        <v>23</v>
      </c>
      <c r="F6706" s="3">
        <v>0</v>
      </c>
      <c r="G6706" s="3">
        <v>1</v>
      </c>
      <c r="H6706" s="3">
        <v>0</v>
      </c>
      <c r="I6706" s="3">
        <v>21</v>
      </c>
      <c r="J6706" s="3">
        <v>1</v>
      </c>
      <c r="K6706" s="3">
        <v>23</v>
      </c>
      <c r="L6706" s="3">
        <v>1</v>
      </c>
      <c r="M6706" s="3">
        <v>0</v>
      </c>
      <c r="N6706" s="3">
        <v>21</v>
      </c>
      <c r="O6706" s="3"/>
      <c r="P6706" s="3"/>
      <c r="Q6706" s="3"/>
    </row>
    <row r="6707" spans="1:17" ht="15" x14ac:dyDescent="0.25">
      <c r="A6707" s="3">
        <f>6700</f>
        <v>6700</v>
      </c>
      <c r="B6707" s="3" t="s">
        <v>6709</v>
      </c>
      <c r="C6707" s="3" t="s">
        <v>9</v>
      </c>
      <c r="D6707" s="3" t="s">
        <v>10</v>
      </c>
      <c r="E6707" s="3">
        <v>23</v>
      </c>
      <c r="F6707" s="3">
        <v>0</v>
      </c>
      <c r="G6707" s="3">
        <v>1</v>
      </c>
      <c r="H6707" s="3">
        <v>0</v>
      </c>
      <c r="I6707" s="3">
        <v>21</v>
      </c>
      <c r="J6707" s="3">
        <v>1</v>
      </c>
      <c r="K6707" s="3">
        <v>23</v>
      </c>
      <c r="L6707" s="3">
        <v>1</v>
      </c>
      <c r="M6707" s="3">
        <v>0</v>
      </c>
      <c r="N6707" s="3">
        <v>21</v>
      </c>
      <c r="O6707" s="3"/>
      <c r="P6707" s="3"/>
      <c r="Q6707" s="3"/>
    </row>
    <row r="6708" spans="1:17" ht="15" x14ac:dyDescent="0.25">
      <c r="A6708" s="3">
        <f>6701</f>
        <v>6701</v>
      </c>
      <c r="B6708" s="3" t="s">
        <v>6710</v>
      </c>
      <c r="C6708" s="3" t="s">
        <v>9</v>
      </c>
      <c r="D6708" s="3" t="s">
        <v>10</v>
      </c>
      <c r="E6708" s="3">
        <v>23</v>
      </c>
      <c r="F6708" s="3">
        <v>0</v>
      </c>
      <c r="G6708" s="3">
        <v>1</v>
      </c>
      <c r="H6708" s="3">
        <v>0</v>
      </c>
      <c r="I6708" s="3">
        <v>21</v>
      </c>
      <c r="J6708" s="3">
        <v>1</v>
      </c>
      <c r="K6708" s="3">
        <v>23</v>
      </c>
      <c r="L6708" s="3">
        <v>1</v>
      </c>
      <c r="M6708" s="3">
        <v>0</v>
      </c>
      <c r="N6708" s="3">
        <v>21</v>
      </c>
      <c r="O6708" s="3"/>
      <c r="P6708" s="3"/>
      <c r="Q6708" s="3"/>
    </row>
    <row r="6709" spans="1:17" ht="15" x14ac:dyDescent="0.25">
      <c r="A6709" s="3">
        <f>6702</f>
        <v>6702</v>
      </c>
      <c r="B6709" s="3" t="s">
        <v>6711</v>
      </c>
      <c r="C6709" s="3" t="s">
        <v>9</v>
      </c>
      <c r="D6709" s="3" t="s">
        <v>10</v>
      </c>
      <c r="E6709" s="3">
        <v>19</v>
      </c>
      <c r="F6709" s="3">
        <v>0</v>
      </c>
      <c r="G6709" s="3">
        <v>1</v>
      </c>
      <c r="H6709" s="3">
        <v>0</v>
      </c>
      <c r="I6709" s="3">
        <v>21</v>
      </c>
      <c r="J6709" s="3">
        <v>1</v>
      </c>
      <c r="K6709" s="3">
        <v>23</v>
      </c>
      <c r="L6709" s="3">
        <v>1</v>
      </c>
      <c r="M6709" s="3">
        <v>0</v>
      </c>
      <c r="N6709" s="3">
        <v>21</v>
      </c>
      <c r="O6709" s="3"/>
      <c r="P6709" s="3"/>
      <c r="Q6709" s="3"/>
    </row>
    <row r="6710" spans="1:17" ht="15" x14ac:dyDescent="0.25">
      <c r="A6710" s="3">
        <f>6703</f>
        <v>6703</v>
      </c>
      <c r="B6710" s="3" t="s">
        <v>6712</v>
      </c>
      <c r="C6710" s="3" t="s">
        <v>9</v>
      </c>
      <c r="D6710" s="3" t="s">
        <v>10</v>
      </c>
      <c r="E6710" s="3">
        <v>19</v>
      </c>
      <c r="F6710" s="3">
        <v>0</v>
      </c>
      <c r="G6710" s="3">
        <v>1</v>
      </c>
      <c r="H6710" s="3">
        <v>0</v>
      </c>
      <c r="I6710" s="3">
        <v>21</v>
      </c>
      <c r="J6710" s="3">
        <v>1</v>
      </c>
      <c r="K6710" s="3">
        <v>23</v>
      </c>
      <c r="L6710" s="3">
        <v>1</v>
      </c>
      <c r="M6710" s="3">
        <v>0</v>
      </c>
      <c r="N6710" s="3">
        <v>21</v>
      </c>
      <c r="O6710" s="3"/>
      <c r="P6710" s="3"/>
      <c r="Q6710" s="3"/>
    </row>
    <row r="6711" spans="1:17" ht="15" x14ac:dyDescent="0.25">
      <c r="A6711" s="3">
        <f>6704</f>
        <v>6704</v>
      </c>
      <c r="B6711" s="3" t="s">
        <v>6713</v>
      </c>
      <c r="C6711" s="3" t="s">
        <v>9</v>
      </c>
      <c r="D6711" s="3" t="s">
        <v>10</v>
      </c>
      <c r="E6711" s="3">
        <v>19</v>
      </c>
      <c r="F6711" s="3">
        <v>0</v>
      </c>
      <c r="G6711" s="3">
        <v>1</v>
      </c>
      <c r="H6711" s="3">
        <v>0</v>
      </c>
      <c r="I6711" s="3">
        <v>21</v>
      </c>
      <c r="J6711" s="3">
        <v>1</v>
      </c>
      <c r="K6711" s="3">
        <v>23</v>
      </c>
      <c r="L6711" s="3">
        <v>1</v>
      </c>
      <c r="M6711" s="3">
        <v>0</v>
      </c>
      <c r="N6711" s="3">
        <v>21</v>
      </c>
      <c r="O6711" s="3"/>
      <c r="P6711" s="3"/>
      <c r="Q6711" s="3"/>
    </row>
    <row r="6712" spans="1:17" ht="15" x14ac:dyDescent="0.25">
      <c r="A6712" s="3">
        <f>6705</f>
        <v>6705</v>
      </c>
      <c r="B6712" s="3" t="s">
        <v>6714</v>
      </c>
      <c r="C6712" s="3" t="s">
        <v>9</v>
      </c>
      <c r="D6712" s="3" t="s">
        <v>10</v>
      </c>
      <c r="E6712" s="3">
        <v>19</v>
      </c>
      <c r="F6712" s="3">
        <v>0</v>
      </c>
      <c r="G6712" s="3">
        <v>1</v>
      </c>
      <c r="H6712" s="3">
        <v>0</v>
      </c>
      <c r="I6712" s="3">
        <v>21</v>
      </c>
      <c r="J6712" s="3">
        <v>1</v>
      </c>
      <c r="K6712" s="3">
        <v>23</v>
      </c>
      <c r="L6712" s="3">
        <v>1</v>
      </c>
      <c r="M6712" s="3">
        <v>0</v>
      </c>
      <c r="N6712" s="3">
        <v>21</v>
      </c>
      <c r="O6712" s="3"/>
      <c r="P6712" s="3"/>
      <c r="Q6712" s="3"/>
    </row>
    <row r="6713" spans="1:17" ht="15" x14ac:dyDescent="0.25">
      <c r="A6713" s="3">
        <f>6706</f>
        <v>6706</v>
      </c>
      <c r="B6713" s="3" t="s">
        <v>6715</v>
      </c>
      <c r="C6713" s="3" t="s">
        <v>9</v>
      </c>
      <c r="D6713" s="3" t="s">
        <v>10</v>
      </c>
      <c r="E6713" s="3">
        <v>19</v>
      </c>
      <c r="F6713" s="3">
        <v>0</v>
      </c>
      <c r="G6713" s="3">
        <v>1</v>
      </c>
      <c r="H6713" s="3">
        <v>0</v>
      </c>
      <c r="I6713" s="3">
        <v>21</v>
      </c>
      <c r="J6713" s="3">
        <v>1</v>
      </c>
      <c r="K6713" s="3">
        <v>23</v>
      </c>
      <c r="L6713" s="3">
        <v>1</v>
      </c>
      <c r="M6713" s="3">
        <v>0</v>
      </c>
      <c r="N6713" s="3">
        <v>21</v>
      </c>
      <c r="O6713" s="3"/>
      <c r="P6713" s="3"/>
      <c r="Q6713" s="3"/>
    </row>
    <row r="6714" spans="1:17" ht="15" x14ac:dyDescent="0.25">
      <c r="A6714" s="3">
        <f>6707</f>
        <v>6707</v>
      </c>
      <c r="B6714" s="3" t="s">
        <v>6716</v>
      </c>
      <c r="C6714" s="3" t="s">
        <v>10</v>
      </c>
      <c r="D6714" s="3" t="s">
        <v>9</v>
      </c>
      <c r="E6714" s="3">
        <v>19</v>
      </c>
      <c r="F6714" s="3">
        <v>0</v>
      </c>
      <c r="G6714" s="3">
        <v>1</v>
      </c>
      <c r="H6714" s="3">
        <v>0</v>
      </c>
      <c r="I6714" s="3">
        <v>21</v>
      </c>
      <c r="J6714" s="3">
        <v>1</v>
      </c>
      <c r="K6714" s="3">
        <v>23</v>
      </c>
      <c r="L6714" s="3">
        <v>1</v>
      </c>
      <c r="M6714" s="3">
        <v>0</v>
      </c>
      <c r="N6714" s="3">
        <v>21</v>
      </c>
      <c r="O6714" s="3"/>
      <c r="P6714" s="3"/>
      <c r="Q6714" s="3"/>
    </row>
    <row r="6715" spans="1:17" ht="15" x14ac:dyDescent="0.25">
      <c r="A6715" s="3">
        <f>6708</f>
        <v>6708</v>
      </c>
      <c r="B6715" s="3" t="s">
        <v>6717</v>
      </c>
      <c r="C6715" s="3" t="s">
        <v>10</v>
      </c>
      <c r="D6715" s="3" t="s">
        <v>9</v>
      </c>
      <c r="E6715" s="3">
        <v>19</v>
      </c>
      <c r="F6715" s="3">
        <v>0</v>
      </c>
      <c r="G6715" s="3">
        <v>1</v>
      </c>
      <c r="H6715" s="3">
        <v>0</v>
      </c>
      <c r="I6715" s="3">
        <v>21</v>
      </c>
      <c r="J6715" s="3">
        <v>1</v>
      </c>
      <c r="K6715" s="3">
        <v>23</v>
      </c>
      <c r="L6715" s="3">
        <v>1</v>
      </c>
      <c r="M6715" s="3">
        <v>0</v>
      </c>
      <c r="N6715" s="3">
        <v>21</v>
      </c>
      <c r="O6715" s="3"/>
      <c r="P6715" s="3"/>
      <c r="Q6715" s="3"/>
    </row>
    <row r="6716" spans="1:17" ht="15" x14ac:dyDescent="0.25">
      <c r="A6716" s="3">
        <f>6709</f>
        <v>6709</v>
      </c>
      <c r="B6716" s="3" t="s">
        <v>6718</v>
      </c>
      <c r="C6716" s="3" t="s">
        <v>10</v>
      </c>
      <c r="D6716" s="3" t="s">
        <v>9</v>
      </c>
      <c r="E6716" s="3">
        <v>19</v>
      </c>
      <c r="F6716" s="3">
        <v>0</v>
      </c>
      <c r="G6716" s="3">
        <v>1</v>
      </c>
      <c r="H6716" s="3">
        <v>0</v>
      </c>
      <c r="I6716" s="3">
        <v>21</v>
      </c>
      <c r="J6716" s="3">
        <v>1</v>
      </c>
      <c r="K6716" s="3">
        <v>23</v>
      </c>
      <c r="L6716" s="3">
        <v>1</v>
      </c>
      <c r="M6716" s="3">
        <v>0</v>
      </c>
      <c r="N6716" s="3">
        <v>21</v>
      </c>
      <c r="O6716" s="3"/>
      <c r="P6716" s="3"/>
      <c r="Q6716" s="3"/>
    </row>
    <row r="6717" spans="1:17" ht="15" x14ac:dyDescent="0.25">
      <c r="A6717" s="3">
        <f>6710</f>
        <v>6710</v>
      </c>
      <c r="B6717" s="3" t="s">
        <v>6719</v>
      </c>
      <c r="C6717" s="3" t="s">
        <v>10</v>
      </c>
      <c r="D6717" s="3" t="s">
        <v>9</v>
      </c>
      <c r="E6717" s="3">
        <v>19</v>
      </c>
      <c r="F6717" s="3">
        <v>0</v>
      </c>
      <c r="G6717" s="3">
        <v>1</v>
      </c>
      <c r="H6717" s="3">
        <v>0</v>
      </c>
      <c r="I6717" s="3">
        <v>21</v>
      </c>
      <c r="J6717" s="3">
        <v>1</v>
      </c>
      <c r="K6717" s="3">
        <v>23</v>
      </c>
      <c r="L6717" s="3">
        <v>1</v>
      </c>
      <c r="M6717" s="3">
        <v>0</v>
      </c>
      <c r="N6717" s="3">
        <v>21</v>
      </c>
      <c r="O6717" s="3"/>
      <c r="P6717" s="3"/>
      <c r="Q6717" s="3"/>
    </row>
    <row r="6718" spans="1:17" ht="15" x14ac:dyDescent="0.25">
      <c r="A6718" s="3">
        <f>6711</f>
        <v>6711</v>
      </c>
      <c r="B6718" s="3" t="s">
        <v>6720</v>
      </c>
      <c r="C6718" s="3" t="s">
        <v>10</v>
      </c>
      <c r="D6718" s="3" t="s">
        <v>9</v>
      </c>
      <c r="E6718" s="3">
        <v>19</v>
      </c>
      <c r="F6718" s="3">
        <v>0</v>
      </c>
      <c r="G6718" s="3">
        <v>1</v>
      </c>
      <c r="H6718" s="3">
        <v>0</v>
      </c>
      <c r="I6718" s="3">
        <v>21</v>
      </c>
      <c r="J6718" s="3">
        <v>1</v>
      </c>
      <c r="K6718" s="3">
        <v>23</v>
      </c>
      <c r="L6718" s="3">
        <v>1</v>
      </c>
      <c r="M6718" s="3">
        <v>0</v>
      </c>
      <c r="N6718" s="3">
        <v>21</v>
      </c>
      <c r="O6718" s="3"/>
      <c r="P6718" s="3"/>
      <c r="Q6718" s="3"/>
    </row>
    <row r="6719" spans="1:17" ht="15" x14ac:dyDescent="0.25">
      <c r="A6719" s="3">
        <f>6712</f>
        <v>6712</v>
      </c>
      <c r="B6719" s="3" t="s">
        <v>6721</v>
      </c>
      <c r="C6719" s="3" t="s">
        <v>10</v>
      </c>
      <c r="D6719" s="3" t="s">
        <v>9</v>
      </c>
      <c r="E6719" s="3">
        <v>19</v>
      </c>
      <c r="F6719" s="3">
        <v>0</v>
      </c>
      <c r="G6719" s="3">
        <v>1</v>
      </c>
      <c r="H6719" s="3">
        <v>0</v>
      </c>
      <c r="I6719" s="3">
        <v>21</v>
      </c>
      <c r="J6719" s="3">
        <v>1</v>
      </c>
      <c r="K6719" s="3">
        <v>23</v>
      </c>
      <c r="L6719" s="3">
        <v>1</v>
      </c>
      <c r="M6719" s="3">
        <v>0</v>
      </c>
      <c r="N6719" s="3">
        <v>21</v>
      </c>
      <c r="O6719" s="3"/>
      <c r="P6719" s="3"/>
      <c r="Q6719" s="3"/>
    </row>
    <row r="6720" spans="1:17" ht="15" x14ac:dyDescent="0.25">
      <c r="A6720" s="3">
        <f>6713</f>
        <v>6713</v>
      </c>
      <c r="B6720" s="3" t="s">
        <v>6722</v>
      </c>
      <c r="C6720" s="3" t="s">
        <v>9</v>
      </c>
      <c r="D6720" s="3" t="s">
        <v>10</v>
      </c>
      <c r="E6720" s="3">
        <v>19</v>
      </c>
      <c r="F6720" s="3">
        <v>0</v>
      </c>
      <c r="G6720" s="3">
        <v>1</v>
      </c>
      <c r="H6720" s="3">
        <v>0</v>
      </c>
      <c r="I6720" s="3">
        <v>21</v>
      </c>
      <c r="J6720" s="3">
        <v>1</v>
      </c>
      <c r="K6720" s="3">
        <v>23</v>
      </c>
      <c r="L6720" s="3">
        <v>1</v>
      </c>
      <c r="M6720" s="3">
        <v>0</v>
      </c>
      <c r="N6720" s="3">
        <v>21</v>
      </c>
      <c r="O6720" s="3"/>
      <c r="P6720" s="3"/>
      <c r="Q6720" s="3"/>
    </row>
    <row r="6721" spans="1:17" ht="15" x14ac:dyDescent="0.25">
      <c r="A6721" s="3">
        <f>6714</f>
        <v>6714</v>
      </c>
      <c r="B6721" s="3" t="s">
        <v>6723</v>
      </c>
      <c r="C6721" s="3" t="s">
        <v>9</v>
      </c>
      <c r="D6721" s="3" t="s">
        <v>10</v>
      </c>
      <c r="E6721" s="3">
        <v>19</v>
      </c>
      <c r="F6721" s="3">
        <v>0</v>
      </c>
      <c r="G6721" s="3">
        <v>1</v>
      </c>
      <c r="H6721" s="3">
        <v>0</v>
      </c>
      <c r="I6721" s="3">
        <v>21</v>
      </c>
      <c r="J6721" s="3">
        <v>1</v>
      </c>
      <c r="K6721" s="3">
        <v>23</v>
      </c>
      <c r="L6721" s="3">
        <v>1</v>
      </c>
      <c r="M6721" s="3">
        <v>0</v>
      </c>
      <c r="N6721" s="3">
        <v>21</v>
      </c>
      <c r="O6721" s="3"/>
      <c r="P6721" s="3"/>
      <c r="Q6721" s="3"/>
    </row>
    <row r="6722" spans="1:17" ht="15" x14ac:dyDescent="0.25">
      <c r="A6722" s="3">
        <f>6715</f>
        <v>6715</v>
      </c>
      <c r="B6722" s="3" t="s">
        <v>6724</v>
      </c>
      <c r="C6722" s="3" t="s">
        <v>9</v>
      </c>
      <c r="D6722" s="3" t="s">
        <v>10</v>
      </c>
      <c r="E6722" s="3">
        <v>19</v>
      </c>
      <c r="F6722" s="3">
        <v>0</v>
      </c>
      <c r="G6722" s="3">
        <v>1</v>
      </c>
      <c r="H6722" s="3">
        <v>0</v>
      </c>
      <c r="I6722" s="3">
        <v>21</v>
      </c>
      <c r="J6722" s="3">
        <v>1</v>
      </c>
      <c r="K6722" s="3">
        <v>23</v>
      </c>
      <c r="L6722" s="3">
        <v>1</v>
      </c>
      <c r="M6722" s="3">
        <v>0</v>
      </c>
      <c r="N6722" s="3">
        <v>21</v>
      </c>
      <c r="O6722" s="3"/>
      <c r="P6722" s="3"/>
      <c r="Q6722" s="3"/>
    </row>
    <row r="6723" spans="1:17" ht="15" x14ac:dyDescent="0.25">
      <c r="A6723" s="3">
        <f>6716</f>
        <v>6716</v>
      </c>
      <c r="B6723" s="3" t="s">
        <v>6725</v>
      </c>
      <c r="C6723" s="3" t="s">
        <v>9</v>
      </c>
      <c r="D6723" s="3" t="s">
        <v>10</v>
      </c>
      <c r="E6723" s="3">
        <v>19</v>
      </c>
      <c r="F6723" s="3">
        <v>0</v>
      </c>
      <c r="G6723" s="3">
        <v>1</v>
      </c>
      <c r="H6723" s="3">
        <v>0</v>
      </c>
      <c r="I6723" s="3">
        <v>21</v>
      </c>
      <c r="J6723" s="3">
        <v>1</v>
      </c>
      <c r="K6723" s="3">
        <v>23</v>
      </c>
      <c r="L6723" s="3">
        <v>1</v>
      </c>
      <c r="M6723" s="3">
        <v>0</v>
      </c>
      <c r="N6723" s="3">
        <v>21</v>
      </c>
      <c r="O6723" s="3"/>
      <c r="P6723" s="3"/>
      <c r="Q6723" s="3"/>
    </row>
    <row r="6724" spans="1:17" ht="15" x14ac:dyDescent="0.25">
      <c r="A6724" s="3">
        <f>6717</f>
        <v>6717</v>
      </c>
      <c r="B6724" s="3" t="s">
        <v>6726</v>
      </c>
      <c r="C6724" s="3" t="s">
        <v>9</v>
      </c>
      <c r="D6724" s="3" t="s">
        <v>10</v>
      </c>
      <c r="E6724" s="3">
        <v>19</v>
      </c>
      <c r="F6724" s="3">
        <v>0</v>
      </c>
      <c r="G6724" s="3">
        <v>1</v>
      </c>
      <c r="H6724" s="3">
        <v>0</v>
      </c>
      <c r="I6724" s="3">
        <v>21</v>
      </c>
      <c r="J6724" s="3">
        <v>1</v>
      </c>
      <c r="K6724" s="3">
        <v>23</v>
      </c>
      <c r="L6724" s="3">
        <v>1</v>
      </c>
      <c r="M6724" s="3">
        <v>0</v>
      </c>
      <c r="N6724" s="3">
        <v>21</v>
      </c>
      <c r="O6724" s="3"/>
      <c r="P6724" s="3"/>
      <c r="Q6724" s="3"/>
    </row>
    <row r="6725" spans="1:17" ht="15" x14ac:dyDescent="0.25">
      <c r="A6725" s="3">
        <f>6718</f>
        <v>6718</v>
      </c>
      <c r="B6725" s="3" t="s">
        <v>6727</v>
      </c>
      <c r="C6725" s="3" t="s">
        <v>9</v>
      </c>
      <c r="D6725" s="3" t="s">
        <v>10</v>
      </c>
      <c r="E6725" s="3">
        <v>19</v>
      </c>
      <c r="F6725" s="3">
        <v>0</v>
      </c>
      <c r="G6725" s="3">
        <v>1</v>
      </c>
      <c r="H6725" s="3">
        <v>0</v>
      </c>
      <c r="I6725" s="3">
        <v>21</v>
      </c>
      <c r="J6725" s="3">
        <v>1</v>
      </c>
      <c r="K6725" s="3">
        <v>23</v>
      </c>
      <c r="L6725" s="3">
        <v>1</v>
      </c>
      <c r="M6725" s="3">
        <v>0</v>
      </c>
      <c r="N6725" s="3">
        <v>21</v>
      </c>
      <c r="O6725" s="3"/>
      <c r="P6725" s="3"/>
      <c r="Q6725" s="3"/>
    </row>
    <row r="6726" spans="1:17" ht="15" x14ac:dyDescent="0.25">
      <c r="A6726" s="3">
        <f>6719</f>
        <v>6719</v>
      </c>
      <c r="B6726" s="3" t="s">
        <v>6728</v>
      </c>
      <c r="C6726" s="3" t="s">
        <v>9</v>
      </c>
      <c r="D6726" s="3" t="s">
        <v>10</v>
      </c>
      <c r="E6726" s="3">
        <v>19</v>
      </c>
      <c r="F6726" s="3">
        <v>0</v>
      </c>
      <c r="G6726" s="3">
        <v>1</v>
      </c>
      <c r="H6726" s="3">
        <v>0</v>
      </c>
      <c r="I6726" s="3">
        <v>21</v>
      </c>
      <c r="J6726" s="3">
        <v>1</v>
      </c>
      <c r="K6726" s="3">
        <v>23</v>
      </c>
      <c r="L6726" s="3">
        <v>1</v>
      </c>
      <c r="M6726" s="3">
        <v>0</v>
      </c>
      <c r="N6726" s="3">
        <v>21</v>
      </c>
      <c r="O6726" s="3"/>
      <c r="P6726" s="3"/>
      <c r="Q6726" s="3"/>
    </row>
    <row r="6727" spans="1:17" ht="15" x14ac:dyDescent="0.25">
      <c r="A6727" s="3">
        <f>6720</f>
        <v>6720</v>
      </c>
      <c r="B6727" s="3" t="s">
        <v>6729</v>
      </c>
      <c r="C6727" s="3" t="s">
        <v>9</v>
      </c>
      <c r="D6727" s="3" t="s">
        <v>10</v>
      </c>
      <c r="E6727" s="3">
        <v>19</v>
      </c>
      <c r="F6727" s="3">
        <v>0</v>
      </c>
      <c r="G6727" s="3">
        <v>1</v>
      </c>
      <c r="H6727" s="3">
        <v>0</v>
      </c>
      <c r="I6727" s="3">
        <v>21</v>
      </c>
      <c r="J6727" s="3">
        <v>1</v>
      </c>
      <c r="K6727" s="3">
        <v>23</v>
      </c>
      <c r="L6727" s="3">
        <v>1</v>
      </c>
      <c r="M6727" s="3">
        <v>0</v>
      </c>
      <c r="N6727" s="3">
        <v>21</v>
      </c>
      <c r="O6727" s="3"/>
      <c r="P6727" s="3"/>
      <c r="Q6727" s="3"/>
    </row>
    <row r="6728" spans="1:17" ht="15" x14ac:dyDescent="0.25">
      <c r="A6728" s="3">
        <f>6721</f>
        <v>6721</v>
      </c>
      <c r="B6728" s="3" t="s">
        <v>6730</v>
      </c>
      <c r="C6728" s="3" t="s">
        <v>9</v>
      </c>
      <c r="D6728" s="3" t="s">
        <v>10</v>
      </c>
      <c r="E6728" s="3">
        <v>19</v>
      </c>
      <c r="F6728" s="3">
        <v>0</v>
      </c>
      <c r="G6728" s="3">
        <v>1</v>
      </c>
      <c r="H6728" s="3">
        <v>0</v>
      </c>
      <c r="I6728" s="3">
        <v>21</v>
      </c>
      <c r="J6728" s="3">
        <v>1</v>
      </c>
      <c r="K6728" s="3">
        <v>23</v>
      </c>
      <c r="L6728" s="3">
        <v>1</v>
      </c>
      <c r="M6728" s="3">
        <v>0</v>
      </c>
      <c r="N6728" s="3">
        <v>21</v>
      </c>
      <c r="O6728" s="3"/>
      <c r="P6728" s="3"/>
      <c r="Q6728" s="3"/>
    </row>
    <row r="6729" spans="1:17" ht="15" x14ac:dyDescent="0.25">
      <c r="A6729" s="3">
        <f>6722</f>
        <v>6722</v>
      </c>
      <c r="B6729" s="3" t="s">
        <v>6731</v>
      </c>
      <c r="C6729" s="3" t="s">
        <v>9</v>
      </c>
      <c r="D6729" s="3" t="s">
        <v>10</v>
      </c>
      <c r="E6729" s="3">
        <v>19</v>
      </c>
      <c r="F6729" s="3">
        <v>0</v>
      </c>
      <c r="G6729" s="3">
        <v>1</v>
      </c>
      <c r="H6729" s="3">
        <v>0</v>
      </c>
      <c r="I6729" s="3">
        <v>21</v>
      </c>
      <c r="J6729" s="3">
        <v>1</v>
      </c>
      <c r="K6729" s="3">
        <v>23</v>
      </c>
      <c r="L6729" s="3">
        <v>1</v>
      </c>
      <c r="M6729" s="3">
        <v>0</v>
      </c>
      <c r="N6729" s="3">
        <v>21</v>
      </c>
      <c r="O6729" s="3"/>
      <c r="P6729" s="3"/>
      <c r="Q6729" s="3"/>
    </row>
    <row r="6730" spans="1:17" ht="15" x14ac:dyDescent="0.25">
      <c r="A6730" s="3">
        <f>6723</f>
        <v>6723</v>
      </c>
      <c r="B6730" s="3" t="s">
        <v>6732</v>
      </c>
      <c r="C6730" s="3" t="s">
        <v>9</v>
      </c>
      <c r="D6730" s="3" t="s">
        <v>10</v>
      </c>
      <c r="E6730" s="3">
        <v>19</v>
      </c>
      <c r="F6730" s="3">
        <v>0</v>
      </c>
      <c r="G6730" s="3">
        <v>1</v>
      </c>
      <c r="H6730" s="3">
        <v>0</v>
      </c>
      <c r="I6730" s="3">
        <v>21</v>
      </c>
      <c r="J6730" s="3">
        <v>1</v>
      </c>
      <c r="K6730" s="3">
        <v>23</v>
      </c>
      <c r="L6730" s="3">
        <v>1</v>
      </c>
      <c r="M6730" s="3">
        <v>0</v>
      </c>
      <c r="N6730" s="3">
        <v>21</v>
      </c>
      <c r="O6730" s="3"/>
      <c r="P6730" s="3"/>
      <c r="Q6730" s="3"/>
    </row>
    <row r="6731" spans="1:17" ht="15" x14ac:dyDescent="0.25">
      <c r="A6731" s="3">
        <f>6724</f>
        <v>6724</v>
      </c>
      <c r="B6731" s="3" t="s">
        <v>6733</v>
      </c>
      <c r="C6731" s="3" t="s">
        <v>9</v>
      </c>
      <c r="D6731" s="3" t="s">
        <v>10</v>
      </c>
      <c r="E6731" s="3">
        <v>19</v>
      </c>
      <c r="F6731" s="3">
        <v>0</v>
      </c>
      <c r="G6731" s="3">
        <v>1</v>
      </c>
      <c r="H6731" s="3">
        <v>0</v>
      </c>
      <c r="I6731" s="3">
        <v>21</v>
      </c>
      <c r="J6731" s="3">
        <v>1</v>
      </c>
      <c r="K6731" s="3">
        <v>23</v>
      </c>
      <c r="L6731" s="3">
        <v>1</v>
      </c>
      <c r="M6731" s="3">
        <v>0</v>
      </c>
      <c r="N6731" s="3">
        <v>21</v>
      </c>
      <c r="O6731" s="3"/>
      <c r="P6731" s="3"/>
      <c r="Q6731" s="3"/>
    </row>
    <row r="6732" spans="1:17" ht="15" x14ac:dyDescent="0.25">
      <c r="A6732" s="3">
        <f>6725</f>
        <v>6725</v>
      </c>
      <c r="B6732" s="3" t="s">
        <v>6734</v>
      </c>
      <c r="C6732" s="3" t="s">
        <v>10</v>
      </c>
      <c r="D6732" s="3" t="s">
        <v>9</v>
      </c>
      <c r="E6732" s="3">
        <v>19</v>
      </c>
      <c r="F6732" s="3">
        <v>0</v>
      </c>
      <c r="G6732" s="3">
        <v>1</v>
      </c>
      <c r="H6732" s="3">
        <v>0</v>
      </c>
      <c r="I6732" s="3">
        <v>21</v>
      </c>
      <c r="J6732" s="3">
        <v>1</v>
      </c>
      <c r="K6732" s="3">
        <v>23</v>
      </c>
      <c r="L6732" s="3">
        <v>1</v>
      </c>
      <c r="M6732" s="3">
        <v>0</v>
      </c>
      <c r="N6732" s="3">
        <v>21</v>
      </c>
      <c r="O6732" s="3"/>
      <c r="P6732" s="3"/>
      <c r="Q6732" s="3"/>
    </row>
    <row r="6733" spans="1:17" ht="15" x14ac:dyDescent="0.25">
      <c r="A6733" s="3">
        <f>6726</f>
        <v>6726</v>
      </c>
      <c r="B6733" s="3" t="s">
        <v>6735</v>
      </c>
      <c r="C6733" s="3" t="s">
        <v>10</v>
      </c>
      <c r="D6733" s="3" t="s">
        <v>9</v>
      </c>
      <c r="E6733" s="3">
        <v>19</v>
      </c>
      <c r="F6733" s="3">
        <v>0</v>
      </c>
      <c r="G6733" s="3">
        <v>1</v>
      </c>
      <c r="H6733" s="3">
        <v>0</v>
      </c>
      <c r="I6733" s="3">
        <v>21</v>
      </c>
      <c r="J6733" s="3">
        <v>1</v>
      </c>
      <c r="K6733" s="3">
        <v>23</v>
      </c>
      <c r="L6733" s="3">
        <v>1</v>
      </c>
      <c r="M6733" s="3">
        <v>0</v>
      </c>
      <c r="N6733" s="3">
        <v>21</v>
      </c>
      <c r="O6733" s="3"/>
      <c r="P6733" s="3"/>
      <c r="Q6733" s="3"/>
    </row>
    <row r="6734" spans="1:17" ht="15" x14ac:dyDescent="0.25">
      <c r="A6734" s="3">
        <f>6727</f>
        <v>6727</v>
      </c>
      <c r="B6734" s="3" t="s">
        <v>6736</v>
      </c>
      <c r="C6734" s="3" t="s">
        <v>10</v>
      </c>
      <c r="D6734" s="3" t="s">
        <v>9</v>
      </c>
      <c r="E6734" s="3">
        <v>19</v>
      </c>
      <c r="F6734" s="3">
        <v>0</v>
      </c>
      <c r="G6734" s="3">
        <v>1</v>
      </c>
      <c r="H6734" s="3">
        <v>0</v>
      </c>
      <c r="I6734" s="3">
        <v>21</v>
      </c>
      <c r="J6734" s="3">
        <v>1</v>
      </c>
      <c r="K6734" s="3">
        <v>23</v>
      </c>
      <c r="L6734" s="3">
        <v>1</v>
      </c>
      <c r="M6734" s="3">
        <v>0</v>
      </c>
      <c r="N6734" s="3">
        <v>21</v>
      </c>
      <c r="O6734" s="3"/>
      <c r="P6734" s="3"/>
      <c r="Q6734" s="3"/>
    </row>
    <row r="6735" spans="1:17" ht="15" x14ac:dyDescent="0.25">
      <c r="A6735" s="3">
        <f>6728</f>
        <v>6728</v>
      </c>
      <c r="B6735" s="3" t="s">
        <v>6737</v>
      </c>
      <c r="C6735" s="3" t="s">
        <v>10</v>
      </c>
      <c r="D6735" s="3" t="s">
        <v>9</v>
      </c>
      <c r="E6735" s="3">
        <v>19</v>
      </c>
      <c r="F6735" s="3">
        <v>0</v>
      </c>
      <c r="G6735" s="3">
        <v>1</v>
      </c>
      <c r="H6735" s="3">
        <v>0</v>
      </c>
      <c r="I6735" s="3">
        <v>21</v>
      </c>
      <c r="J6735" s="3">
        <v>1</v>
      </c>
      <c r="K6735" s="3">
        <v>23</v>
      </c>
      <c r="L6735" s="3">
        <v>1</v>
      </c>
      <c r="M6735" s="3">
        <v>0</v>
      </c>
      <c r="N6735" s="3">
        <v>21</v>
      </c>
      <c r="O6735" s="3"/>
      <c r="P6735" s="3"/>
      <c r="Q6735" s="3"/>
    </row>
    <row r="6736" spans="1:17" ht="15" x14ac:dyDescent="0.25">
      <c r="A6736" s="3">
        <f>6729</f>
        <v>6729</v>
      </c>
      <c r="B6736" s="3" t="s">
        <v>6738</v>
      </c>
      <c r="C6736" s="3" t="s">
        <v>10</v>
      </c>
      <c r="D6736" s="3" t="s">
        <v>9</v>
      </c>
      <c r="E6736" s="3">
        <v>19</v>
      </c>
      <c r="F6736" s="3">
        <v>0</v>
      </c>
      <c r="G6736" s="3">
        <v>1</v>
      </c>
      <c r="H6736" s="3">
        <v>0</v>
      </c>
      <c r="I6736" s="3">
        <v>21</v>
      </c>
      <c r="J6736" s="3">
        <v>1</v>
      </c>
      <c r="K6736" s="3">
        <v>23</v>
      </c>
      <c r="L6736" s="3">
        <v>1</v>
      </c>
      <c r="M6736" s="3">
        <v>0</v>
      </c>
      <c r="N6736" s="3">
        <v>21</v>
      </c>
      <c r="O6736" s="3"/>
      <c r="P6736" s="3"/>
      <c r="Q6736" s="3"/>
    </row>
    <row r="6737" spans="1:17" ht="15" x14ac:dyDescent="0.25">
      <c r="A6737" s="3">
        <f>6730</f>
        <v>6730</v>
      </c>
      <c r="B6737" s="3" t="s">
        <v>6739</v>
      </c>
      <c r="C6737" s="3" t="s">
        <v>10</v>
      </c>
      <c r="D6737" s="3" t="s">
        <v>9</v>
      </c>
      <c r="E6737" s="3">
        <v>19</v>
      </c>
      <c r="F6737" s="3">
        <v>0</v>
      </c>
      <c r="G6737" s="3">
        <v>1</v>
      </c>
      <c r="H6737" s="3">
        <v>0</v>
      </c>
      <c r="I6737" s="3">
        <v>21</v>
      </c>
      <c r="J6737" s="3">
        <v>1</v>
      </c>
      <c r="K6737" s="3">
        <v>23</v>
      </c>
      <c r="L6737" s="3">
        <v>1</v>
      </c>
      <c r="M6737" s="3">
        <v>0</v>
      </c>
      <c r="N6737" s="3">
        <v>21</v>
      </c>
      <c r="O6737" s="3"/>
      <c r="P6737" s="3"/>
      <c r="Q6737" s="3"/>
    </row>
    <row r="6738" spans="1:17" ht="15" x14ac:dyDescent="0.25">
      <c r="A6738" s="3">
        <f>6731</f>
        <v>6731</v>
      </c>
      <c r="B6738" s="3" t="s">
        <v>6740</v>
      </c>
      <c r="C6738" s="3" t="s">
        <v>10</v>
      </c>
      <c r="D6738" s="3" t="s">
        <v>9</v>
      </c>
      <c r="E6738" s="3">
        <v>19</v>
      </c>
      <c r="F6738" s="3">
        <v>0</v>
      </c>
      <c r="G6738" s="3">
        <v>1</v>
      </c>
      <c r="H6738" s="3">
        <v>0</v>
      </c>
      <c r="I6738" s="3">
        <v>21</v>
      </c>
      <c r="J6738" s="3">
        <v>1</v>
      </c>
      <c r="K6738" s="3">
        <v>23</v>
      </c>
      <c r="L6738" s="3">
        <v>1</v>
      </c>
      <c r="M6738" s="3">
        <v>0</v>
      </c>
      <c r="N6738" s="3">
        <v>21</v>
      </c>
      <c r="O6738" s="3"/>
      <c r="P6738" s="3"/>
      <c r="Q6738" s="3"/>
    </row>
    <row r="6739" spans="1:17" ht="15" x14ac:dyDescent="0.25">
      <c r="A6739" s="3">
        <f>6732</f>
        <v>6732</v>
      </c>
      <c r="B6739" s="3" t="s">
        <v>6741</v>
      </c>
      <c r="C6739" s="3" t="s">
        <v>10</v>
      </c>
      <c r="D6739" s="3" t="s">
        <v>9</v>
      </c>
      <c r="E6739" s="3">
        <v>19</v>
      </c>
      <c r="F6739" s="3">
        <v>0</v>
      </c>
      <c r="G6739" s="3">
        <v>1</v>
      </c>
      <c r="H6739" s="3">
        <v>0</v>
      </c>
      <c r="I6739" s="3">
        <v>21</v>
      </c>
      <c r="J6739" s="3">
        <v>1</v>
      </c>
      <c r="K6739" s="3">
        <v>23</v>
      </c>
      <c r="L6739" s="3">
        <v>1</v>
      </c>
      <c r="M6739" s="3">
        <v>0</v>
      </c>
      <c r="N6739" s="3">
        <v>21</v>
      </c>
      <c r="O6739" s="3"/>
      <c r="P6739" s="3"/>
      <c r="Q6739" s="3"/>
    </row>
    <row r="6740" spans="1:17" ht="15" x14ac:dyDescent="0.25">
      <c r="A6740" s="3">
        <f>6733</f>
        <v>6733</v>
      </c>
      <c r="B6740" s="3" t="s">
        <v>6742</v>
      </c>
      <c r="C6740" s="3" t="s">
        <v>10</v>
      </c>
      <c r="D6740" s="3" t="s">
        <v>9</v>
      </c>
      <c r="E6740" s="3">
        <v>19</v>
      </c>
      <c r="F6740" s="3">
        <v>0</v>
      </c>
      <c r="G6740" s="3">
        <v>1</v>
      </c>
      <c r="H6740" s="3">
        <v>0</v>
      </c>
      <c r="I6740" s="3">
        <v>21</v>
      </c>
      <c r="J6740" s="3">
        <v>1</v>
      </c>
      <c r="K6740" s="3">
        <v>23</v>
      </c>
      <c r="L6740" s="3">
        <v>1</v>
      </c>
      <c r="M6740" s="3">
        <v>0</v>
      </c>
      <c r="N6740" s="3">
        <v>21</v>
      </c>
      <c r="O6740" s="3"/>
      <c r="P6740" s="3"/>
      <c r="Q6740" s="3"/>
    </row>
    <row r="6741" spans="1:17" ht="15" x14ac:dyDescent="0.25">
      <c r="A6741" s="3">
        <f>6734</f>
        <v>6734</v>
      </c>
      <c r="B6741" s="3" t="s">
        <v>6743</v>
      </c>
      <c r="C6741" s="3" t="s">
        <v>10</v>
      </c>
      <c r="D6741" s="3" t="s">
        <v>9</v>
      </c>
      <c r="E6741" s="3">
        <v>19</v>
      </c>
      <c r="F6741" s="3">
        <v>0</v>
      </c>
      <c r="G6741" s="3">
        <v>1</v>
      </c>
      <c r="H6741" s="3">
        <v>0</v>
      </c>
      <c r="I6741" s="3">
        <v>21</v>
      </c>
      <c r="J6741" s="3">
        <v>1</v>
      </c>
      <c r="K6741" s="3">
        <v>23</v>
      </c>
      <c r="L6741" s="3">
        <v>1</v>
      </c>
      <c r="M6741" s="3">
        <v>0</v>
      </c>
      <c r="N6741" s="3">
        <v>21</v>
      </c>
      <c r="O6741" s="3"/>
      <c r="P6741" s="3"/>
      <c r="Q6741" s="3"/>
    </row>
    <row r="6742" spans="1:17" ht="15" x14ac:dyDescent="0.25">
      <c r="A6742" s="3">
        <f>6735</f>
        <v>6735</v>
      </c>
      <c r="B6742" s="3" t="s">
        <v>6744</v>
      </c>
      <c r="C6742" s="3" t="s">
        <v>10</v>
      </c>
      <c r="D6742" s="3" t="s">
        <v>9</v>
      </c>
      <c r="E6742" s="3">
        <v>19</v>
      </c>
      <c r="F6742" s="3">
        <v>0</v>
      </c>
      <c r="G6742" s="3">
        <v>1</v>
      </c>
      <c r="H6742" s="3">
        <v>0</v>
      </c>
      <c r="I6742" s="3">
        <v>21</v>
      </c>
      <c r="J6742" s="3">
        <v>1</v>
      </c>
      <c r="K6742" s="3">
        <v>23</v>
      </c>
      <c r="L6742" s="3">
        <v>1</v>
      </c>
      <c r="M6742" s="3">
        <v>0</v>
      </c>
      <c r="N6742" s="3">
        <v>21</v>
      </c>
      <c r="O6742" s="3"/>
      <c r="P6742" s="3"/>
      <c r="Q6742" s="3"/>
    </row>
    <row r="6743" spans="1:17" ht="15" x14ac:dyDescent="0.25">
      <c r="A6743" s="3">
        <f>6736</f>
        <v>6736</v>
      </c>
      <c r="B6743" s="3" t="s">
        <v>6745</v>
      </c>
      <c r="C6743" s="3" t="s">
        <v>10</v>
      </c>
      <c r="D6743" s="3" t="s">
        <v>9</v>
      </c>
      <c r="E6743" s="3">
        <v>19</v>
      </c>
      <c r="F6743" s="3">
        <v>0</v>
      </c>
      <c r="G6743" s="3">
        <v>1</v>
      </c>
      <c r="H6743" s="3">
        <v>0</v>
      </c>
      <c r="I6743" s="3">
        <v>21</v>
      </c>
      <c r="J6743" s="3">
        <v>1</v>
      </c>
      <c r="K6743" s="3">
        <v>23</v>
      </c>
      <c r="L6743" s="3">
        <v>1</v>
      </c>
      <c r="M6743" s="3">
        <v>0</v>
      </c>
      <c r="N6743" s="3">
        <v>21</v>
      </c>
      <c r="O6743" s="3"/>
      <c r="P6743" s="3"/>
      <c r="Q6743" s="3"/>
    </row>
    <row r="6744" spans="1:17" ht="15" x14ac:dyDescent="0.25">
      <c r="A6744" s="3">
        <f>6737</f>
        <v>6737</v>
      </c>
      <c r="B6744" s="3" t="s">
        <v>6746</v>
      </c>
      <c r="C6744" s="3" t="s">
        <v>10</v>
      </c>
      <c r="D6744" s="3" t="s">
        <v>9</v>
      </c>
      <c r="E6744" s="3">
        <v>19</v>
      </c>
      <c r="F6744" s="3">
        <v>0</v>
      </c>
      <c r="G6744" s="3">
        <v>1</v>
      </c>
      <c r="H6744" s="3">
        <v>0</v>
      </c>
      <c r="I6744" s="3">
        <v>21</v>
      </c>
      <c r="J6744" s="3">
        <v>1</v>
      </c>
      <c r="K6744" s="3">
        <v>23</v>
      </c>
      <c r="L6744" s="3">
        <v>1</v>
      </c>
      <c r="M6744" s="3">
        <v>0</v>
      </c>
      <c r="N6744" s="3">
        <v>21</v>
      </c>
      <c r="O6744" s="3"/>
      <c r="P6744" s="3"/>
      <c r="Q6744" s="3"/>
    </row>
    <row r="6745" spans="1:17" ht="15" x14ac:dyDescent="0.25">
      <c r="A6745" s="3">
        <f>6738</f>
        <v>6738</v>
      </c>
      <c r="B6745" s="3" t="s">
        <v>6747</v>
      </c>
      <c r="C6745" s="3" t="s">
        <v>10</v>
      </c>
      <c r="D6745" s="3" t="s">
        <v>9</v>
      </c>
      <c r="E6745" s="3">
        <v>19</v>
      </c>
      <c r="F6745" s="3">
        <v>0</v>
      </c>
      <c r="G6745" s="3">
        <v>1</v>
      </c>
      <c r="H6745" s="3">
        <v>0</v>
      </c>
      <c r="I6745" s="3">
        <v>21</v>
      </c>
      <c r="J6745" s="3">
        <v>1</v>
      </c>
      <c r="K6745" s="3">
        <v>23</v>
      </c>
      <c r="L6745" s="3">
        <v>1</v>
      </c>
      <c r="M6745" s="3">
        <v>0</v>
      </c>
      <c r="N6745" s="3">
        <v>21</v>
      </c>
      <c r="O6745" s="3"/>
      <c r="P6745" s="3"/>
      <c r="Q6745" s="3"/>
    </row>
    <row r="6746" spans="1:17" ht="15" x14ac:dyDescent="0.25">
      <c r="A6746" s="3">
        <f>6739</f>
        <v>6739</v>
      </c>
      <c r="B6746" s="3" t="s">
        <v>6748</v>
      </c>
      <c r="C6746" s="3" t="s">
        <v>10</v>
      </c>
      <c r="D6746" s="3" t="s">
        <v>9</v>
      </c>
      <c r="E6746" s="3">
        <v>19</v>
      </c>
      <c r="F6746" s="3">
        <v>0</v>
      </c>
      <c r="G6746" s="3">
        <v>1</v>
      </c>
      <c r="H6746" s="3">
        <v>0</v>
      </c>
      <c r="I6746" s="3">
        <v>21</v>
      </c>
      <c r="J6746" s="3">
        <v>1</v>
      </c>
      <c r="K6746" s="3">
        <v>23</v>
      </c>
      <c r="L6746" s="3">
        <v>1</v>
      </c>
      <c r="M6746" s="3">
        <v>0</v>
      </c>
      <c r="N6746" s="3">
        <v>21</v>
      </c>
      <c r="O6746" s="3"/>
      <c r="P6746" s="3"/>
      <c r="Q6746" s="3"/>
    </row>
    <row r="6747" spans="1:17" ht="15" x14ac:dyDescent="0.25">
      <c r="A6747" s="3">
        <f>6740</f>
        <v>6740</v>
      </c>
      <c r="B6747" s="3" t="s">
        <v>6749</v>
      </c>
      <c r="C6747" s="3" t="s">
        <v>10</v>
      </c>
      <c r="D6747" s="3" t="s">
        <v>9</v>
      </c>
      <c r="E6747" s="3">
        <v>19</v>
      </c>
      <c r="F6747" s="3">
        <v>0</v>
      </c>
      <c r="G6747" s="3">
        <v>1</v>
      </c>
      <c r="H6747" s="3">
        <v>0</v>
      </c>
      <c r="I6747" s="3">
        <v>21</v>
      </c>
      <c r="J6747" s="3">
        <v>1</v>
      </c>
      <c r="K6747" s="3">
        <v>23</v>
      </c>
      <c r="L6747" s="3">
        <v>1</v>
      </c>
      <c r="M6747" s="3">
        <v>0</v>
      </c>
      <c r="N6747" s="3">
        <v>21</v>
      </c>
      <c r="O6747" s="3"/>
      <c r="P6747" s="3"/>
      <c r="Q6747" s="3"/>
    </row>
    <row r="6748" spans="1:17" ht="15" x14ac:dyDescent="0.25">
      <c r="A6748" s="3">
        <f>6741</f>
        <v>6741</v>
      </c>
      <c r="B6748" s="3" t="s">
        <v>6750</v>
      </c>
      <c r="C6748" s="3" t="s">
        <v>10</v>
      </c>
      <c r="D6748" s="3" t="s">
        <v>9</v>
      </c>
      <c r="E6748" s="3">
        <v>19</v>
      </c>
      <c r="F6748" s="3">
        <v>0</v>
      </c>
      <c r="G6748" s="3">
        <v>1</v>
      </c>
      <c r="H6748" s="3">
        <v>0</v>
      </c>
      <c r="I6748" s="3">
        <v>21</v>
      </c>
      <c r="J6748" s="3">
        <v>1</v>
      </c>
      <c r="K6748" s="3">
        <v>23</v>
      </c>
      <c r="L6748" s="3">
        <v>1</v>
      </c>
      <c r="M6748" s="3">
        <v>0</v>
      </c>
      <c r="N6748" s="3">
        <v>21</v>
      </c>
      <c r="O6748" s="3"/>
      <c r="P6748" s="3"/>
      <c r="Q6748" s="3"/>
    </row>
    <row r="6749" spans="1:17" ht="15" x14ac:dyDescent="0.25">
      <c r="A6749" s="3">
        <f>6742</f>
        <v>6742</v>
      </c>
      <c r="B6749" s="3" t="s">
        <v>6751</v>
      </c>
      <c r="C6749" s="3" t="s">
        <v>10</v>
      </c>
      <c r="D6749" s="3" t="s">
        <v>9</v>
      </c>
      <c r="E6749" s="3">
        <v>19</v>
      </c>
      <c r="F6749" s="3">
        <v>0</v>
      </c>
      <c r="G6749" s="3">
        <v>1</v>
      </c>
      <c r="H6749" s="3">
        <v>0</v>
      </c>
      <c r="I6749" s="3">
        <v>21</v>
      </c>
      <c r="J6749" s="3">
        <v>1</v>
      </c>
      <c r="K6749" s="3">
        <v>23</v>
      </c>
      <c r="L6749" s="3">
        <v>1</v>
      </c>
      <c r="M6749" s="3">
        <v>0</v>
      </c>
      <c r="N6749" s="3">
        <v>21</v>
      </c>
      <c r="O6749" s="3"/>
      <c r="P6749" s="3"/>
      <c r="Q6749" s="3"/>
    </row>
    <row r="6750" spans="1:17" ht="15" x14ac:dyDescent="0.25">
      <c r="A6750" s="3">
        <f>6743</f>
        <v>6743</v>
      </c>
      <c r="B6750" s="3" t="s">
        <v>6752</v>
      </c>
      <c r="C6750" s="3" t="s">
        <v>10</v>
      </c>
      <c r="D6750" s="3" t="s">
        <v>9</v>
      </c>
      <c r="E6750" s="3">
        <v>19</v>
      </c>
      <c r="F6750" s="3">
        <v>0</v>
      </c>
      <c r="G6750" s="3">
        <v>1</v>
      </c>
      <c r="H6750" s="3">
        <v>0</v>
      </c>
      <c r="I6750" s="3">
        <v>21</v>
      </c>
      <c r="J6750" s="3">
        <v>1</v>
      </c>
      <c r="K6750" s="3">
        <v>23</v>
      </c>
      <c r="L6750" s="3">
        <v>1</v>
      </c>
      <c r="M6750" s="3">
        <v>0</v>
      </c>
      <c r="N6750" s="3">
        <v>21</v>
      </c>
      <c r="O6750" s="3"/>
      <c r="P6750" s="3"/>
      <c r="Q6750" s="3"/>
    </row>
    <row r="6751" spans="1:17" ht="15" x14ac:dyDescent="0.25">
      <c r="A6751" s="3">
        <f>6744</f>
        <v>6744</v>
      </c>
      <c r="B6751" s="3" t="s">
        <v>6753</v>
      </c>
      <c r="C6751" s="3" t="s">
        <v>10</v>
      </c>
      <c r="D6751" s="3" t="s">
        <v>9</v>
      </c>
      <c r="E6751" s="3">
        <v>19</v>
      </c>
      <c r="F6751" s="3">
        <v>0</v>
      </c>
      <c r="G6751" s="3">
        <v>1</v>
      </c>
      <c r="H6751" s="3">
        <v>0</v>
      </c>
      <c r="I6751" s="3">
        <v>21</v>
      </c>
      <c r="J6751" s="3">
        <v>1</v>
      </c>
      <c r="K6751" s="3">
        <v>23</v>
      </c>
      <c r="L6751" s="3">
        <v>1</v>
      </c>
      <c r="M6751" s="3">
        <v>0</v>
      </c>
      <c r="N6751" s="3">
        <v>21</v>
      </c>
      <c r="O6751" s="3"/>
      <c r="P6751" s="3"/>
      <c r="Q6751" s="3"/>
    </row>
    <row r="6752" spans="1:17" ht="15" x14ac:dyDescent="0.25">
      <c r="A6752" s="3">
        <f>6745</f>
        <v>6745</v>
      </c>
      <c r="B6752" s="3" t="s">
        <v>6754</v>
      </c>
      <c r="C6752" s="3" t="s">
        <v>10</v>
      </c>
      <c r="D6752" s="3" t="s">
        <v>9</v>
      </c>
      <c r="E6752" s="3">
        <v>19</v>
      </c>
      <c r="F6752" s="3">
        <v>0</v>
      </c>
      <c r="G6752" s="3">
        <v>1</v>
      </c>
      <c r="H6752" s="3">
        <v>0</v>
      </c>
      <c r="I6752" s="3">
        <v>21</v>
      </c>
      <c r="J6752" s="3">
        <v>1</v>
      </c>
      <c r="K6752" s="3">
        <v>23</v>
      </c>
      <c r="L6752" s="3">
        <v>1</v>
      </c>
      <c r="M6752" s="3">
        <v>0</v>
      </c>
      <c r="N6752" s="3">
        <v>21</v>
      </c>
      <c r="O6752" s="3"/>
      <c r="P6752" s="3"/>
      <c r="Q6752" s="3"/>
    </row>
    <row r="6753" spans="1:17" ht="15" x14ac:dyDescent="0.25">
      <c r="A6753" s="3">
        <f>6746</f>
        <v>6746</v>
      </c>
      <c r="B6753" s="3" t="s">
        <v>6755</v>
      </c>
      <c r="C6753" s="3" t="s">
        <v>10</v>
      </c>
      <c r="D6753" s="3" t="s">
        <v>9</v>
      </c>
      <c r="E6753" s="3">
        <v>19</v>
      </c>
      <c r="F6753" s="3">
        <v>0</v>
      </c>
      <c r="G6753" s="3">
        <v>1</v>
      </c>
      <c r="H6753" s="3">
        <v>0</v>
      </c>
      <c r="I6753" s="3">
        <v>21</v>
      </c>
      <c r="J6753" s="3">
        <v>1</v>
      </c>
      <c r="K6753" s="3">
        <v>23</v>
      </c>
      <c r="L6753" s="3">
        <v>1</v>
      </c>
      <c r="M6753" s="3">
        <v>0</v>
      </c>
      <c r="N6753" s="3">
        <v>21</v>
      </c>
      <c r="O6753" s="3"/>
      <c r="P6753" s="3"/>
      <c r="Q6753" s="3"/>
    </row>
    <row r="6754" spans="1:17" ht="15" x14ac:dyDescent="0.25">
      <c r="A6754" s="3">
        <f>6747</f>
        <v>6747</v>
      </c>
      <c r="B6754" s="3" t="s">
        <v>6756</v>
      </c>
      <c r="C6754" s="3" t="s">
        <v>10</v>
      </c>
      <c r="D6754" s="3" t="s">
        <v>9</v>
      </c>
      <c r="E6754" s="3">
        <v>19</v>
      </c>
      <c r="F6754" s="3">
        <v>0</v>
      </c>
      <c r="G6754" s="3">
        <v>1</v>
      </c>
      <c r="H6754" s="3">
        <v>0</v>
      </c>
      <c r="I6754" s="3">
        <v>21</v>
      </c>
      <c r="J6754" s="3">
        <v>1</v>
      </c>
      <c r="K6754" s="3">
        <v>23</v>
      </c>
      <c r="L6754" s="3">
        <v>1</v>
      </c>
      <c r="M6754" s="3">
        <v>0</v>
      </c>
      <c r="N6754" s="3">
        <v>21</v>
      </c>
      <c r="O6754" s="3"/>
      <c r="P6754" s="3"/>
      <c r="Q6754" s="3"/>
    </row>
    <row r="6755" spans="1:17" ht="15" x14ac:dyDescent="0.25">
      <c r="A6755" s="3">
        <f>6748</f>
        <v>6748</v>
      </c>
      <c r="B6755" s="3" t="s">
        <v>6757</v>
      </c>
      <c r="C6755" s="3" t="s">
        <v>10</v>
      </c>
      <c r="D6755" s="3" t="s">
        <v>9</v>
      </c>
      <c r="E6755" s="3">
        <v>19</v>
      </c>
      <c r="F6755" s="3">
        <v>0</v>
      </c>
      <c r="G6755" s="3">
        <v>1</v>
      </c>
      <c r="H6755" s="3">
        <v>0</v>
      </c>
      <c r="I6755" s="3">
        <v>21</v>
      </c>
      <c r="J6755" s="3">
        <v>1</v>
      </c>
      <c r="K6755" s="3">
        <v>23</v>
      </c>
      <c r="L6755" s="3">
        <v>1</v>
      </c>
      <c r="M6755" s="3">
        <v>0</v>
      </c>
      <c r="N6755" s="3">
        <v>21</v>
      </c>
      <c r="O6755" s="3"/>
      <c r="P6755" s="3"/>
      <c r="Q6755" s="3"/>
    </row>
    <row r="6756" spans="1:17" ht="15" x14ac:dyDescent="0.25">
      <c r="A6756" s="3">
        <f>6749</f>
        <v>6749</v>
      </c>
      <c r="B6756" s="3" t="s">
        <v>6758</v>
      </c>
      <c r="C6756" s="3" t="s">
        <v>10</v>
      </c>
      <c r="D6756" s="3" t="s">
        <v>9</v>
      </c>
      <c r="E6756" s="3">
        <v>19</v>
      </c>
      <c r="F6756" s="3">
        <v>0</v>
      </c>
      <c r="G6756" s="3">
        <v>1</v>
      </c>
      <c r="H6756" s="3">
        <v>0</v>
      </c>
      <c r="I6756" s="3">
        <v>21</v>
      </c>
      <c r="J6756" s="3">
        <v>1</v>
      </c>
      <c r="K6756" s="3">
        <v>23</v>
      </c>
      <c r="L6756" s="3">
        <v>1</v>
      </c>
      <c r="M6756" s="3">
        <v>0</v>
      </c>
      <c r="N6756" s="3">
        <v>21</v>
      </c>
      <c r="O6756" s="3"/>
      <c r="P6756" s="3"/>
      <c r="Q6756" s="3"/>
    </row>
    <row r="6757" spans="1:17" ht="15" x14ac:dyDescent="0.25">
      <c r="A6757" s="3">
        <f>6750</f>
        <v>6750</v>
      </c>
      <c r="B6757" s="3" t="s">
        <v>6759</v>
      </c>
      <c r="C6757" s="3" t="s">
        <v>10</v>
      </c>
      <c r="D6757" s="3" t="s">
        <v>9</v>
      </c>
      <c r="E6757" s="3">
        <v>19</v>
      </c>
      <c r="F6757" s="3">
        <v>0</v>
      </c>
      <c r="G6757" s="3">
        <v>1</v>
      </c>
      <c r="H6757" s="3">
        <v>0</v>
      </c>
      <c r="I6757" s="3">
        <v>21</v>
      </c>
      <c r="J6757" s="3">
        <v>1</v>
      </c>
      <c r="K6757" s="3">
        <v>23</v>
      </c>
      <c r="L6757" s="3">
        <v>1</v>
      </c>
      <c r="M6757" s="3">
        <v>0</v>
      </c>
      <c r="N6757" s="3">
        <v>21</v>
      </c>
      <c r="O6757" s="3"/>
      <c r="P6757" s="3"/>
      <c r="Q6757" s="3"/>
    </row>
    <row r="6758" spans="1:17" ht="15" x14ac:dyDescent="0.25">
      <c r="A6758" s="3">
        <f>6751</f>
        <v>6751</v>
      </c>
      <c r="B6758" s="3" t="s">
        <v>6760</v>
      </c>
      <c r="C6758" s="3" t="s">
        <v>10</v>
      </c>
      <c r="D6758" s="3" t="s">
        <v>9</v>
      </c>
      <c r="E6758" s="3">
        <v>19</v>
      </c>
      <c r="F6758" s="3">
        <v>0</v>
      </c>
      <c r="G6758" s="3">
        <v>1</v>
      </c>
      <c r="H6758" s="3">
        <v>0</v>
      </c>
      <c r="I6758" s="3">
        <v>21</v>
      </c>
      <c r="J6758" s="3">
        <v>1</v>
      </c>
      <c r="K6758" s="3">
        <v>23</v>
      </c>
      <c r="L6758" s="3">
        <v>1</v>
      </c>
      <c r="M6758" s="3">
        <v>0</v>
      </c>
      <c r="N6758" s="3">
        <v>21</v>
      </c>
      <c r="O6758" s="3"/>
      <c r="P6758" s="3"/>
      <c r="Q6758" s="3"/>
    </row>
    <row r="6759" spans="1:17" ht="15" x14ac:dyDescent="0.25">
      <c r="A6759" s="3">
        <f>6752</f>
        <v>6752</v>
      </c>
      <c r="B6759" s="3" t="s">
        <v>6761</v>
      </c>
      <c r="C6759" s="3" t="s">
        <v>10</v>
      </c>
      <c r="D6759" s="3" t="s">
        <v>9</v>
      </c>
      <c r="E6759" s="3">
        <v>19</v>
      </c>
      <c r="F6759" s="3">
        <v>0</v>
      </c>
      <c r="G6759" s="3">
        <v>1</v>
      </c>
      <c r="H6759" s="3">
        <v>0</v>
      </c>
      <c r="I6759" s="3">
        <v>21</v>
      </c>
      <c r="J6759" s="3">
        <v>1</v>
      </c>
      <c r="K6759" s="3">
        <v>23</v>
      </c>
      <c r="L6759" s="3">
        <v>1</v>
      </c>
      <c r="M6759" s="3">
        <v>0</v>
      </c>
      <c r="N6759" s="3">
        <v>21</v>
      </c>
      <c r="O6759" s="3"/>
      <c r="P6759" s="3"/>
      <c r="Q6759" s="3"/>
    </row>
    <row r="6760" spans="1:17" ht="15" x14ac:dyDescent="0.25">
      <c r="A6760" s="3">
        <f>6753</f>
        <v>6753</v>
      </c>
      <c r="B6760" s="3" t="s">
        <v>6762</v>
      </c>
      <c r="C6760" s="3" t="s">
        <v>10</v>
      </c>
      <c r="D6760" s="3" t="s">
        <v>9</v>
      </c>
      <c r="E6760" s="3">
        <v>19</v>
      </c>
      <c r="F6760" s="3">
        <v>0</v>
      </c>
      <c r="G6760" s="3">
        <v>1</v>
      </c>
      <c r="H6760" s="3">
        <v>0</v>
      </c>
      <c r="I6760" s="3">
        <v>21</v>
      </c>
      <c r="J6760" s="3">
        <v>1</v>
      </c>
      <c r="K6760" s="3">
        <v>23</v>
      </c>
      <c r="L6760" s="3">
        <v>1</v>
      </c>
      <c r="M6760" s="3">
        <v>0</v>
      </c>
      <c r="N6760" s="3">
        <v>21</v>
      </c>
      <c r="O6760" s="3"/>
      <c r="P6760" s="3"/>
      <c r="Q6760" s="3"/>
    </row>
    <row r="6761" spans="1:17" ht="15" x14ac:dyDescent="0.25">
      <c r="A6761" s="3">
        <f>6754</f>
        <v>6754</v>
      </c>
      <c r="B6761" s="3" t="s">
        <v>6763</v>
      </c>
      <c r="C6761" s="3" t="s">
        <v>10</v>
      </c>
      <c r="D6761" s="3" t="s">
        <v>9</v>
      </c>
      <c r="E6761" s="3">
        <v>19</v>
      </c>
      <c r="F6761" s="3">
        <v>0</v>
      </c>
      <c r="G6761" s="3">
        <v>1</v>
      </c>
      <c r="H6761" s="3">
        <v>0</v>
      </c>
      <c r="I6761" s="3">
        <v>21</v>
      </c>
      <c r="J6761" s="3">
        <v>1</v>
      </c>
      <c r="K6761" s="3">
        <v>23</v>
      </c>
      <c r="L6761" s="3">
        <v>1</v>
      </c>
      <c r="M6761" s="3">
        <v>0</v>
      </c>
      <c r="N6761" s="3">
        <v>21</v>
      </c>
      <c r="O6761" s="3"/>
      <c r="P6761" s="3"/>
      <c r="Q6761" s="3"/>
    </row>
    <row r="6762" spans="1:17" ht="15" x14ac:dyDescent="0.25">
      <c r="A6762" s="3">
        <f>6755</f>
        <v>6755</v>
      </c>
      <c r="B6762" s="3" t="s">
        <v>6764</v>
      </c>
      <c r="C6762" s="3" t="s">
        <v>10</v>
      </c>
      <c r="D6762" s="3" t="s">
        <v>9</v>
      </c>
      <c r="E6762" s="3">
        <v>19</v>
      </c>
      <c r="F6762" s="3">
        <v>0</v>
      </c>
      <c r="G6762" s="3">
        <v>1</v>
      </c>
      <c r="H6762" s="3">
        <v>0</v>
      </c>
      <c r="I6762" s="3">
        <v>21</v>
      </c>
      <c r="J6762" s="3">
        <v>1</v>
      </c>
      <c r="K6762" s="3">
        <v>23</v>
      </c>
      <c r="L6762" s="3">
        <v>1</v>
      </c>
      <c r="M6762" s="3">
        <v>0</v>
      </c>
      <c r="N6762" s="3">
        <v>21</v>
      </c>
      <c r="O6762" s="3"/>
      <c r="P6762" s="3"/>
      <c r="Q6762" s="3"/>
    </row>
    <row r="6763" spans="1:17" ht="15" x14ac:dyDescent="0.25">
      <c r="A6763" s="3">
        <f>6756</f>
        <v>6756</v>
      </c>
      <c r="B6763" s="3" t="s">
        <v>6765</v>
      </c>
      <c r="C6763" s="3" t="s">
        <v>10</v>
      </c>
      <c r="D6763" s="3" t="s">
        <v>9</v>
      </c>
      <c r="E6763" s="3">
        <v>19</v>
      </c>
      <c r="F6763" s="3">
        <v>0</v>
      </c>
      <c r="G6763" s="3">
        <v>1</v>
      </c>
      <c r="H6763" s="3">
        <v>0</v>
      </c>
      <c r="I6763" s="3">
        <v>21</v>
      </c>
      <c r="J6763" s="3">
        <v>1</v>
      </c>
      <c r="K6763" s="3">
        <v>23</v>
      </c>
      <c r="L6763" s="3">
        <v>1</v>
      </c>
      <c r="M6763" s="3">
        <v>0</v>
      </c>
      <c r="N6763" s="3">
        <v>21</v>
      </c>
      <c r="O6763" s="3"/>
      <c r="P6763" s="3"/>
      <c r="Q6763" s="3"/>
    </row>
    <row r="6764" spans="1:17" ht="15" x14ac:dyDescent="0.25">
      <c r="A6764" s="3">
        <f>6757</f>
        <v>6757</v>
      </c>
      <c r="B6764" s="3" t="s">
        <v>6766</v>
      </c>
      <c r="C6764" s="3" t="s">
        <v>10</v>
      </c>
      <c r="D6764" s="3" t="s">
        <v>9</v>
      </c>
      <c r="E6764" s="3">
        <v>19</v>
      </c>
      <c r="F6764" s="3">
        <v>0</v>
      </c>
      <c r="G6764" s="3">
        <v>1</v>
      </c>
      <c r="H6764" s="3">
        <v>0</v>
      </c>
      <c r="I6764" s="3">
        <v>21</v>
      </c>
      <c r="J6764" s="3">
        <v>1</v>
      </c>
      <c r="K6764" s="3">
        <v>23</v>
      </c>
      <c r="L6764" s="3">
        <v>1</v>
      </c>
      <c r="M6764" s="3">
        <v>0</v>
      </c>
      <c r="N6764" s="3">
        <v>21</v>
      </c>
      <c r="O6764" s="3"/>
      <c r="P6764" s="3"/>
      <c r="Q6764" s="3"/>
    </row>
    <row r="6765" spans="1:17" ht="15" x14ac:dyDescent="0.25">
      <c r="A6765" s="3">
        <f>6758</f>
        <v>6758</v>
      </c>
      <c r="B6765" s="3" t="s">
        <v>6767</v>
      </c>
      <c r="C6765" s="3" t="s">
        <v>10</v>
      </c>
      <c r="D6765" s="3" t="s">
        <v>9</v>
      </c>
      <c r="E6765" s="3">
        <v>19</v>
      </c>
      <c r="F6765" s="3">
        <v>0</v>
      </c>
      <c r="G6765" s="3">
        <v>1</v>
      </c>
      <c r="H6765" s="3">
        <v>0</v>
      </c>
      <c r="I6765" s="3">
        <v>21</v>
      </c>
      <c r="J6765" s="3">
        <v>1</v>
      </c>
      <c r="K6765" s="3">
        <v>23</v>
      </c>
      <c r="L6765" s="3">
        <v>1</v>
      </c>
      <c r="M6765" s="3">
        <v>0</v>
      </c>
      <c r="N6765" s="3">
        <v>21</v>
      </c>
      <c r="O6765" s="3"/>
      <c r="P6765" s="3"/>
      <c r="Q6765" s="3"/>
    </row>
    <row r="6766" spans="1:17" ht="15" x14ac:dyDescent="0.25">
      <c r="A6766" s="3">
        <f>6759</f>
        <v>6759</v>
      </c>
      <c r="B6766" s="3" t="s">
        <v>6768</v>
      </c>
      <c r="C6766" s="3" t="s">
        <v>10</v>
      </c>
      <c r="D6766" s="3" t="s">
        <v>9</v>
      </c>
      <c r="E6766" s="3">
        <v>19</v>
      </c>
      <c r="F6766" s="3">
        <v>0</v>
      </c>
      <c r="G6766" s="3">
        <v>1</v>
      </c>
      <c r="H6766" s="3">
        <v>0</v>
      </c>
      <c r="I6766" s="3">
        <v>21</v>
      </c>
      <c r="J6766" s="3">
        <v>1</v>
      </c>
      <c r="K6766" s="3">
        <v>23</v>
      </c>
      <c r="L6766" s="3">
        <v>1</v>
      </c>
      <c r="M6766" s="3">
        <v>0</v>
      </c>
      <c r="N6766" s="3">
        <v>21</v>
      </c>
      <c r="O6766" s="3"/>
      <c r="P6766" s="3"/>
      <c r="Q6766" s="3"/>
    </row>
    <row r="6767" spans="1:17" ht="15" x14ac:dyDescent="0.25">
      <c r="A6767" s="3">
        <f>6760</f>
        <v>6760</v>
      </c>
      <c r="B6767" s="3" t="s">
        <v>6769</v>
      </c>
      <c r="C6767" s="3" t="s">
        <v>10</v>
      </c>
      <c r="D6767" s="3" t="s">
        <v>9</v>
      </c>
      <c r="E6767" s="3">
        <v>19</v>
      </c>
      <c r="F6767" s="3">
        <v>0</v>
      </c>
      <c r="G6767" s="3">
        <v>1</v>
      </c>
      <c r="H6767" s="3">
        <v>0</v>
      </c>
      <c r="I6767" s="3">
        <v>21</v>
      </c>
      <c r="J6767" s="3">
        <v>1</v>
      </c>
      <c r="K6767" s="3">
        <v>23</v>
      </c>
      <c r="L6767" s="3">
        <v>1</v>
      </c>
      <c r="M6767" s="3">
        <v>0</v>
      </c>
      <c r="N6767" s="3">
        <v>21</v>
      </c>
      <c r="O6767" s="3"/>
      <c r="P6767" s="3"/>
      <c r="Q6767" s="3"/>
    </row>
    <row r="6768" spans="1:17" ht="15" x14ac:dyDescent="0.25">
      <c r="A6768" s="3">
        <f>6761</f>
        <v>6761</v>
      </c>
      <c r="B6768" s="3" t="s">
        <v>6770</v>
      </c>
      <c r="C6768" s="3" t="s">
        <v>10</v>
      </c>
      <c r="D6768" s="3" t="s">
        <v>9</v>
      </c>
      <c r="E6768" s="3">
        <v>19</v>
      </c>
      <c r="F6768" s="3">
        <v>0</v>
      </c>
      <c r="G6768" s="3">
        <v>1</v>
      </c>
      <c r="H6768" s="3">
        <v>0</v>
      </c>
      <c r="I6768" s="3">
        <v>21</v>
      </c>
      <c r="J6768" s="3">
        <v>1</v>
      </c>
      <c r="K6768" s="3">
        <v>23</v>
      </c>
      <c r="L6768" s="3">
        <v>1</v>
      </c>
      <c r="M6768" s="3">
        <v>0</v>
      </c>
      <c r="N6768" s="3">
        <v>21</v>
      </c>
      <c r="O6768" s="3"/>
      <c r="P6768" s="3"/>
      <c r="Q6768" s="3"/>
    </row>
    <row r="6769" spans="1:17" ht="15" x14ac:dyDescent="0.25">
      <c r="A6769" s="3">
        <f>6762</f>
        <v>6762</v>
      </c>
      <c r="B6769" s="3" t="s">
        <v>6771</v>
      </c>
      <c r="C6769" s="3" t="s">
        <v>10</v>
      </c>
      <c r="D6769" s="3" t="s">
        <v>9</v>
      </c>
      <c r="E6769" s="3">
        <v>19</v>
      </c>
      <c r="F6769" s="3">
        <v>0</v>
      </c>
      <c r="G6769" s="3">
        <v>1</v>
      </c>
      <c r="H6769" s="3">
        <v>0</v>
      </c>
      <c r="I6769" s="3">
        <v>21</v>
      </c>
      <c r="J6769" s="3">
        <v>1</v>
      </c>
      <c r="K6769" s="3">
        <v>23</v>
      </c>
      <c r="L6769" s="3">
        <v>1</v>
      </c>
      <c r="M6769" s="3">
        <v>0</v>
      </c>
      <c r="N6769" s="3">
        <v>21</v>
      </c>
      <c r="O6769" s="3"/>
      <c r="P6769" s="3"/>
      <c r="Q6769" s="3"/>
    </row>
    <row r="6770" spans="1:17" ht="15" x14ac:dyDescent="0.25">
      <c r="A6770" s="3">
        <f>6763</f>
        <v>6763</v>
      </c>
      <c r="B6770" s="3" t="s">
        <v>6772</v>
      </c>
      <c r="C6770" s="3" t="s">
        <v>10</v>
      </c>
      <c r="D6770" s="3" t="s">
        <v>9</v>
      </c>
      <c r="E6770" s="3">
        <v>19</v>
      </c>
      <c r="F6770" s="3">
        <v>0</v>
      </c>
      <c r="G6770" s="3">
        <v>1</v>
      </c>
      <c r="H6770" s="3">
        <v>0</v>
      </c>
      <c r="I6770" s="3">
        <v>21</v>
      </c>
      <c r="J6770" s="3">
        <v>1</v>
      </c>
      <c r="K6770" s="3">
        <v>23</v>
      </c>
      <c r="L6770" s="3">
        <v>1</v>
      </c>
      <c r="M6770" s="3">
        <v>0</v>
      </c>
      <c r="N6770" s="3">
        <v>21</v>
      </c>
      <c r="O6770" s="3"/>
      <c r="P6770" s="3"/>
      <c r="Q6770" s="3"/>
    </row>
    <row r="6771" spans="1:17" ht="15" x14ac:dyDescent="0.25">
      <c r="A6771" s="3">
        <f>6764</f>
        <v>6764</v>
      </c>
      <c r="B6771" s="3" t="s">
        <v>6773</v>
      </c>
      <c r="C6771" s="3" t="s">
        <v>10</v>
      </c>
      <c r="D6771" s="3" t="s">
        <v>9</v>
      </c>
      <c r="E6771" s="3">
        <v>19</v>
      </c>
      <c r="F6771" s="3">
        <v>0</v>
      </c>
      <c r="G6771" s="3">
        <v>1</v>
      </c>
      <c r="H6771" s="3">
        <v>0</v>
      </c>
      <c r="I6771" s="3">
        <v>21</v>
      </c>
      <c r="J6771" s="3">
        <v>1</v>
      </c>
      <c r="K6771" s="3">
        <v>23</v>
      </c>
      <c r="L6771" s="3">
        <v>1</v>
      </c>
      <c r="M6771" s="3">
        <v>0</v>
      </c>
      <c r="N6771" s="3">
        <v>21</v>
      </c>
      <c r="O6771" s="3"/>
      <c r="P6771" s="3"/>
      <c r="Q6771" s="3"/>
    </row>
    <row r="6772" spans="1:17" ht="15" x14ac:dyDescent="0.25">
      <c r="A6772" s="3">
        <f>6765</f>
        <v>6765</v>
      </c>
      <c r="B6772" s="3" t="s">
        <v>6774</v>
      </c>
      <c r="C6772" s="3" t="s">
        <v>10</v>
      </c>
      <c r="D6772" s="3" t="s">
        <v>9</v>
      </c>
      <c r="E6772" s="3">
        <v>19</v>
      </c>
      <c r="F6772" s="3">
        <v>0</v>
      </c>
      <c r="G6772" s="3">
        <v>1</v>
      </c>
      <c r="H6772" s="3">
        <v>0</v>
      </c>
      <c r="I6772" s="3">
        <v>21</v>
      </c>
      <c r="J6772" s="3">
        <v>1</v>
      </c>
      <c r="K6772" s="3">
        <v>23</v>
      </c>
      <c r="L6772" s="3">
        <v>1</v>
      </c>
      <c r="M6772" s="3">
        <v>0</v>
      </c>
      <c r="N6772" s="3">
        <v>21</v>
      </c>
      <c r="O6772" s="3"/>
      <c r="P6772" s="3"/>
      <c r="Q6772" s="3"/>
    </row>
    <row r="6773" spans="1:17" ht="15" x14ac:dyDescent="0.25">
      <c r="A6773" s="3">
        <f>6766</f>
        <v>6766</v>
      </c>
      <c r="B6773" s="3" t="s">
        <v>6775</v>
      </c>
      <c r="C6773" s="3" t="s">
        <v>10</v>
      </c>
      <c r="D6773" s="3" t="s">
        <v>9</v>
      </c>
      <c r="E6773" s="3">
        <v>19</v>
      </c>
      <c r="F6773" s="3">
        <v>0</v>
      </c>
      <c r="G6773" s="3">
        <v>1</v>
      </c>
      <c r="H6773" s="3">
        <v>0</v>
      </c>
      <c r="I6773" s="3">
        <v>21</v>
      </c>
      <c r="J6773" s="3">
        <v>1</v>
      </c>
      <c r="K6773" s="3">
        <v>23</v>
      </c>
      <c r="L6773" s="3">
        <v>1</v>
      </c>
      <c r="M6773" s="3">
        <v>0</v>
      </c>
      <c r="N6773" s="3">
        <v>21</v>
      </c>
      <c r="O6773" s="3"/>
      <c r="P6773" s="3"/>
      <c r="Q6773" s="3"/>
    </row>
    <row r="6774" spans="1:17" ht="15" x14ac:dyDescent="0.25">
      <c r="A6774" s="3">
        <f>6767</f>
        <v>6767</v>
      </c>
      <c r="B6774" s="3" t="s">
        <v>6776</v>
      </c>
      <c r="C6774" s="3" t="s">
        <v>10</v>
      </c>
      <c r="D6774" s="3" t="s">
        <v>9</v>
      </c>
      <c r="E6774" s="3">
        <v>19</v>
      </c>
      <c r="F6774" s="3">
        <v>0</v>
      </c>
      <c r="G6774" s="3">
        <v>1</v>
      </c>
      <c r="H6774" s="3">
        <v>0</v>
      </c>
      <c r="I6774" s="3">
        <v>21</v>
      </c>
      <c r="J6774" s="3">
        <v>1</v>
      </c>
      <c r="K6774" s="3">
        <v>23</v>
      </c>
      <c r="L6774" s="3">
        <v>1</v>
      </c>
      <c r="M6774" s="3">
        <v>0</v>
      </c>
      <c r="N6774" s="3">
        <v>21</v>
      </c>
      <c r="O6774" s="3"/>
      <c r="P6774" s="3"/>
      <c r="Q6774" s="3"/>
    </row>
    <row r="6775" spans="1:17" ht="15" x14ac:dyDescent="0.25">
      <c r="A6775" s="3">
        <f>6768</f>
        <v>6768</v>
      </c>
      <c r="B6775" s="3" t="s">
        <v>6777</v>
      </c>
      <c r="C6775" s="3" t="s">
        <v>10</v>
      </c>
      <c r="D6775" s="3" t="s">
        <v>9</v>
      </c>
      <c r="E6775" s="3">
        <v>19</v>
      </c>
      <c r="F6775" s="3">
        <v>0</v>
      </c>
      <c r="G6775" s="3">
        <v>1</v>
      </c>
      <c r="H6775" s="3">
        <v>0</v>
      </c>
      <c r="I6775" s="3">
        <v>21</v>
      </c>
      <c r="J6775" s="3">
        <v>1</v>
      </c>
      <c r="K6775" s="3">
        <v>23</v>
      </c>
      <c r="L6775" s="3">
        <v>1</v>
      </c>
      <c r="M6775" s="3">
        <v>0</v>
      </c>
      <c r="N6775" s="3">
        <v>21</v>
      </c>
      <c r="O6775" s="3"/>
      <c r="P6775" s="3"/>
      <c r="Q6775" s="3"/>
    </row>
    <row r="6776" spans="1:17" ht="15" x14ac:dyDescent="0.25">
      <c r="A6776" s="3">
        <f>6769</f>
        <v>6769</v>
      </c>
      <c r="B6776" s="3" t="s">
        <v>6778</v>
      </c>
      <c r="C6776" s="3" t="s">
        <v>10</v>
      </c>
      <c r="D6776" s="3" t="s">
        <v>9</v>
      </c>
      <c r="E6776" s="3">
        <v>19</v>
      </c>
      <c r="F6776" s="3">
        <v>0</v>
      </c>
      <c r="G6776" s="3">
        <v>1</v>
      </c>
      <c r="H6776" s="3">
        <v>0</v>
      </c>
      <c r="I6776" s="3">
        <v>21</v>
      </c>
      <c r="J6776" s="3">
        <v>1</v>
      </c>
      <c r="K6776" s="3">
        <v>23</v>
      </c>
      <c r="L6776" s="3">
        <v>1</v>
      </c>
      <c r="M6776" s="3">
        <v>0</v>
      </c>
      <c r="N6776" s="3">
        <v>21</v>
      </c>
      <c r="O6776" s="3"/>
      <c r="P6776" s="3"/>
      <c r="Q6776" s="3"/>
    </row>
    <row r="6777" spans="1:17" ht="15" x14ac:dyDescent="0.25">
      <c r="A6777" s="3">
        <f>6770</f>
        <v>6770</v>
      </c>
      <c r="B6777" s="3" t="s">
        <v>6779</v>
      </c>
      <c r="C6777" s="3" t="s">
        <v>10</v>
      </c>
      <c r="D6777" s="3" t="s">
        <v>9</v>
      </c>
      <c r="E6777" s="3">
        <v>19</v>
      </c>
      <c r="F6777" s="3">
        <v>0</v>
      </c>
      <c r="G6777" s="3">
        <v>1</v>
      </c>
      <c r="H6777" s="3">
        <v>0</v>
      </c>
      <c r="I6777" s="3">
        <v>21</v>
      </c>
      <c r="J6777" s="3">
        <v>1</v>
      </c>
      <c r="K6777" s="3">
        <v>23</v>
      </c>
      <c r="L6777" s="3">
        <v>1</v>
      </c>
      <c r="M6777" s="3">
        <v>0</v>
      </c>
      <c r="N6777" s="3">
        <v>21</v>
      </c>
      <c r="O6777" s="3"/>
      <c r="P6777" s="3"/>
      <c r="Q6777" s="3"/>
    </row>
    <row r="6778" spans="1:17" ht="15" x14ac:dyDescent="0.25">
      <c r="A6778" s="3">
        <f>6771</f>
        <v>6771</v>
      </c>
      <c r="B6778" s="3" t="s">
        <v>6780</v>
      </c>
      <c r="C6778" s="3" t="s">
        <v>10</v>
      </c>
      <c r="D6778" s="3" t="s">
        <v>9</v>
      </c>
      <c r="E6778" s="3">
        <v>19</v>
      </c>
      <c r="F6778" s="3">
        <v>0</v>
      </c>
      <c r="G6778" s="3">
        <v>1</v>
      </c>
      <c r="H6778" s="3">
        <v>0</v>
      </c>
      <c r="I6778" s="3">
        <v>21</v>
      </c>
      <c r="J6778" s="3">
        <v>1</v>
      </c>
      <c r="K6778" s="3">
        <v>23</v>
      </c>
      <c r="L6778" s="3">
        <v>1</v>
      </c>
      <c r="M6778" s="3">
        <v>0</v>
      </c>
      <c r="N6778" s="3">
        <v>21</v>
      </c>
      <c r="O6778" s="3"/>
      <c r="P6778" s="3"/>
      <c r="Q6778" s="3"/>
    </row>
    <row r="6779" spans="1:17" ht="15" x14ac:dyDescent="0.25">
      <c r="A6779" s="3">
        <f>6772</f>
        <v>6772</v>
      </c>
      <c r="B6779" s="3" t="s">
        <v>6781</v>
      </c>
      <c r="C6779" s="3" t="s">
        <v>10</v>
      </c>
      <c r="D6779" s="3" t="s">
        <v>9</v>
      </c>
      <c r="E6779" s="3">
        <v>19</v>
      </c>
      <c r="F6779" s="3">
        <v>0</v>
      </c>
      <c r="G6779" s="3">
        <v>1</v>
      </c>
      <c r="H6779" s="3">
        <v>0</v>
      </c>
      <c r="I6779" s="3">
        <v>21</v>
      </c>
      <c r="J6779" s="3">
        <v>1</v>
      </c>
      <c r="K6779" s="3">
        <v>23</v>
      </c>
      <c r="L6779" s="3">
        <v>1</v>
      </c>
      <c r="M6779" s="3">
        <v>0</v>
      </c>
      <c r="N6779" s="3">
        <v>21</v>
      </c>
      <c r="O6779" s="3"/>
      <c r="P6779" s="3"/>
      <c r="Q6779" s="3"/>
    </row>
    <row r="6780" spans="1:17" ht="15" x14ac:dyDescent="0.25">
      <c r="A6780" s="3">
        <f>6773</f>
        <v>6773</v>
      </c>
      <c r="B6780" s="3" t="s">
        <v>6782</v>
      </c>
      <c r="C6780" s="3" t="s">
        <v>10</v>
      </c>
      <c r="D6780" s="3" t="s">
        <v>9</v>
      </c>
      <c r="E6780" s="3">
        <v>19</v>
      </c>
      <c r="F6780" s="3">
        <v>0</v>
      </c>
      <c r="G6780" s="3">
        <v>1</v>
      </c>
      <c r="H6780" s="3">
        <v>0</v>
      </c>
      <c r="I6780" s="3">
        <v>21</v>
      </c>
      <c r="J6780" s="3">
        <v>1</v>
      </c>
      <c r="K6780" s="3">
        <v>23</v>
      </c>
      <c r="L6780" s="3">
        <v>1</v>
      </c>
      <c r="M6780" s="3">
        <v>0</v>
      </c>
      <c r="N6780" s="3">
        <v>21</v>
      </c>
      <c r="O6780" s="3"/>
      <c r="P6780" s="3"/>
      <c r="Q6780" s="3"/>
    </row>
    <row r="6781" spans="1:17" ht="15" x14ac:dyDescent="0.25">
      <c r="A6781" s="3">
        <f>6774</f>
        <v>6774</v>
      </c>
      <c r="B6781" s="3" t="s">
        <v>6783</v>
      </c>
      <c r="C6781" s="3" t="s">
        <v>10</v>
      </c>
      <c r="D6781" s="3" t="s">
        <v>9</v>
      </c>
      <c r="E6781" s="3">
        <v>19</v>
      </c>
      <c r="F6781" s="3">
        <v>0</v>
      </c>
      <c r="G6781" s="3">
        <v>1</v>
      </c>
      <c r="H6781" s="3">
        <v>0</v>
      </c>
      <c r="I6781" s="3">
        <v>21</v>
      </c>
      <c r="J6781" s="3">
        <v>1</v>
      </c>
      <c r="K6781" s="3">
        <v>23</v>
      </c>
      <c r="L6781" s="3">
        <v>1</v>
      </c>
      <c r="M6781" s="3">
        <v>0</v>
      </c>
      <c r="N6781" s="3">
        <v>21</v>
      </c>
      <c r="O6781" s="3"/>
      <c r="P6781" s="3"/>
      <c r="Q6781" s="3"/>
    </row>
    <row r="6782" spans="1:17" ht="15" x14ac:dyDescent="0.25">
      <c r="A6782" s="3">
        <f>6775</f>
        <v>6775</v>
      </c>
      <c r="B6782" s="3" t="s">
        <v>6784</v>
      </c>
      <c r="C6782" s="3" t="s">
        <v>10</v>
      </c>
      <c r="D6782" s="3" t="s">
        <v>9</v>
      </c>
      <c r="E6782" s="3">
        <v>19</v>
      </c>
      <c r="F6782" s="3">
        <v>0</v>
      </c>
      <c r="G6782" s="3">
        <v>1</v>
      </c>
      <c r="H6782" s="3">
        <v>0</v>
      </c>
      <c r="I6782" s="3">
        <v>21</v>
      </c>
      <c r="J6782" s="3">
        <v>1</v>
      </c>
      <c r="K6782" s="3">
        <v>23</v>
      </c>
      <c r="L6782" s="3">
        <v>1</v>
      </c>
      <c r="M6782" s="3">
        <v>0</v>
      </c>
      <c r="N6782" s="3">
        <v>21</v>
      </c>
      <c r="O6782" s="3"/>
      <c r="P6782" s="3"/>
      <c r="Q6782" s="3"/>
    </row>
    <row r="6783" spans="1:17" ht="15" x14ac:dyDescent="0.25">
      <c r="A6783" s="3">
        <f>6776</f>
        <v>6776</v>
      </c>
      <c r="B6783" s="3" t="s">
        <v>6785</v>
      </c>
      <c r="C6783" s="3" t="s">
        <v>10</v>
      </c>
      <c r="D6783" s="3" t="s">
        <v>9</v>
      </c>
      <c r="E6783" s="3">
        <v>19</v>
      </c>
      <c r="F6783" s="3">
        <v>0</v>
      </c>
      <c r="G6783" s="3">
        <v>1</v>
      </c>
      <c r="H6783" s="3">
        <v>0</v>
      </c>
      <c r="I6783" s="3">
        <v>21</v>
      </c>
      <c r="J6783" s="3">
        <v>1</v>
      </c>
      <c r="K6783" s="3">
        <v>23</v>
      </c>
      <c r="L6783" s="3">
        <v>1</v>
      </c>
      <c r="M6783" s="3">
        <v>0</v>
      </c>
      <c r="N6783" s="3">
        <v>21</v>
      </c>
      <c r="O6783" s="3"/>
      <c r="P6783" s="3"/>
      <c r="Q6783" s="3"/>
    </row>
    <row r="6784" spans="1:17" ht="15" x14ac:dyDescent="0.25">
      <c r="A6784" s="3">
        <f>6777</f>
        <v>6777</v>
      </c>
      <c r="B6784" s="3" t="s">
        <v>6786</v>
      </c>
      <c r="C6784" s="3" t="s">
        <v>10</v>
      </c>
      <c r="D6784" s="3" t="s">
        <v>9</v>
      </c>
      <c r="E6784" s="3">
        <v>19</v>
      </c>
      <c r="F6784" s="3">
        <v>0</v>
      </c>
      <c r="G6784" s="3">
        <v>1</v>
      </c>
      <c r="H6784" s="3">
        <v>0</v>
      </c>
      <c r="I6784" s="3">
        <v>21</v>
      </c>
      <c r="J6784" s="3">
        <v>1</v>
      </c>
      <c r="K6784" s="3">
        <v>23</v>
      </c>
      <c r="L6784" s="3">
        <v>1</v>
      </c>
      <c r="M6784" s="3">
        <v>0</v>
      </c>
      <c r="N6784" s="3">
        <v>21</v>
      </c>
      <c r="O6784" s="3"/>
      <c r="P6784" s="3"/>
      <c r="Q6784" s="3"/>
    </row>
    <row r="6785" spans="1:17" ht="15" x14ac:dyDescent="0.25">
      <c r="A6785" s="3">
        <f>6778</f>
        <v>6778</v>
      </c>
      <c r="B6785" s="3" t="s">
        <v>6787</v>
      </c>
      <c r="C6785" s="3" t="s">
        <v>10</v>
      </c>
      <c r="D6785" s="3" t="s">
        <v>9</v>
      </c>
      <c r="E6785" s="3">
        <v>19</v>
      </c>
      <c r="F6785" s="3">
        <v>0</v>
      </c>
      <c r="G6785" s="3">
        <v>1</v>
      </c>
      <c r="H6785" s="3">
        <v>0</v>
      </c>
      <c r="I6785" s="3">
        <v>21</v>
      </c>
      <c r="J6785" s="3">
        <v>1</v>
      </c>
      <c r="K6785" s="3">
        <v>23</v>
      </c>
      <c r="L6785" s="3">
        <v>1</v>
      </c>
      <c r="M6785" s="3">
        <v>0</v>
      </c>
      <c r="N6785" s="3">
        <v>21</v>
      </c>
      <c r="O6785" s="3"/>
      <c r="P6785" s="3"/>
      <c r="Q6785" s="3"/>
    </row>
    <row r="6786" spans="1:17" ht="15" x14ac:dyDescent="0.25">
      <c r="A6786" s="3">
        <f>6779</f>
        <v>6779</v>
      </c>
      <c r="B6786" s="3" t="s">
        <v>6788</v>
      </c>
      <c r="C6786" s="3" t="s">
        <v>10</v>
      </c>
      <c r="D6786" s="3" t="s">
        <v>9</v>
      </c>
      <c r="E6786" s="3">
        <v>19</v>
      </c>
      <c r="F6786" s="3">
        <v>0</v>
      </c>
      <c r="G6786" s="3">
        <v>1</v>
      </c>
      <c r="H6786" s="3">
        <v>0</v>
      </c>
      <c r="I6786" s="3">
        <v>21</v>
      </c>
      <c r="J6786" s="3">
        <v>1</v>
      </c>
      <c r="K6786" s="3">
        <v>23</v>
      </c>
      <c r="L6786" s="3">
        <v>1</v>
      </c>
      <c r="M6786" s="3">
        <v>0</v>
      </c>
      <c r="N6786" s="3">
        <v>21</v>
      </c>
      <c r="O6786" s="3"/>
      <c r="P6786" s="3"/>
      <c r="Q6786" s="3"/>
    </row>
    <row r="6787" spans="1:17" ht="15" x14ac:dyDescent="0.25">
      <c r="A6787" s="3">
        <f>6780</f>
        <v>6780</v>
      </c>
      <c r="B6787" s="3" t="s">
        <v>6789</v>
      </c>
      <c r="C6787" s="3" t="s">
        <v>10</v>
      </c>
      <c r="D6787" s="3" t="s">
        <v>9</v>
      </c>
      <c r="E6787" s="3">
        <v>19</v>
      </c>
      <c r="F6787" s="3">
        <v>0</v>
      </c>
      <c r="G6787" s="3">
        <v>1</v>
      </c>
      <c r="H6787" s="3">
        <v>0</v>
      </c>
      <c r="I6787" s="3">
        <v>21</v>
      </c>
      <c r="J6787" s="3">
        <v>1</v>
      </c>
      <c r="K6787" s="3">
        <v>23</v>
      </c>
      <c r="L6787" s="3">
        <v>1</v>
      </c>
      <c r="M6787" s="3">
        <v>0</v>
      </c>
      <c r="N6787" s="3">
        <v>21</v>
      </c>
      <c r="O6787" s="3"/>
      <c r="P6787" s="3"/>
      <c r="Q6787" s="3"/>
    </row>
    <row r="6788" spans="1:17" ht="15" x14ac:dyDescent="0.25">
      <c r="A6788" s="3">
        <f>6781</f>
        <v>6781</v>
      </c>
      <c r="B6788" s="3" t="s">
        <v>6790</v>
      </c>
      <c r="C6788" s="3" t="s">
        <v>10</v>
      </c>
      <c r="D6788" s="3" t="s">
        <v>9</v>
      </c>
      <c r="E6788" s="3">
        <v>19</v>
      </c>
      <c r="F6788" s="3">
        <v>0</v>
      </c>
      <c r="G6788" s="3">
        <v>1</v>
      </c>
      <c r="H6788" s="3">
        <v>0</v>
      </c>
      <c r="I6788" s="3">
        <v>21</v>
      </c>
      <c r="J6788" s="3">
        <v>1</v>
      </c>
      <c r="K6788" s="3">
        <v>23</v>
      </c>
      <c r="L6788" s="3">
        <v>1</v>
      </c>
      <c r="M6788" s="3">
        <v>0</v>
      </c>
      <c r="N6788" s="3">
        <v>21</v>
      </c>
      <c r="O6788" s="3"/>
      <c r="P6788" s="3"/>
      <c r="Q6788" s="3"/>
    </row>
    <row r="6789" spans="1:17" ht="15" x14ac:dyDescent="0.25">
      <c r="A6789" s="3">
        <f>6782</f>
        <v>6782</v>
      </c>
      <c r="B6789" s="3" t="s">
        <v>6791</v>
      </c>
      <c r="C6789" s="3" t="s">
        <v>10</v>
      </c>
      <c r="D6789" s="3" t="s">
        <v>9</v>
      </c>
      <c r="E6789" s="3">
        <v>19</v>
      </c>
      <c r="F6789" s="3">
        <v>0</v>
      </c>
      <c r="G6789" s="3">
        <v>1</v>
      </c>
      <c r="H6789" s="3">
        <v>0</v>
      </c>
      <c r="I6789" s="3">
        <v>21</v>
      </c>
      <c r="J6789" s="3">
        <v>1</v>
      </c>
      <c r="K6789" s="3">
        <v>23</v>
      </c>
      <c r="L6789" s="3">
        <v>1</v>
      </c>
      <c r="M6789" s="3">
        <v>0</v>
      </c>
      <c r="N6789" s="3">
        <v>21</v>
      </c>
      <c r="O6789" s="3"/>
      <c r="P6789" s="3"/>
      <c r="Q6789" s="3"/>
    </row>
    <row r="6790" spans="1:17" ht="15" x14ac:dyDescent="0.25">
      <c r="A6790" s="3">
        <f>6783</f>
        <v>6783</v>
      </c>
      <c r="B6790" s="3" t="s">
        <v>6792</v>
      </c>
      <c r="C6790" s="3" t="s">
        <v>10</v>
      </c>
      <c r="D6790" s="3" t="s">
        <v>9</v>
      </c>
      <c r="E6790" s="3">
        <v>19</v>
      </c>
      <c r="F6790" s="3">
        <v>0</v>
      </c>
      <c r="G6790" s="3">
        <v>1</v>
      </c>
      <c r="H6790" s="3">
        <v>0</v>
      </c>
      <c r="I6790" s="3">
        <v>21</v>
      </c>
      <c r="J6790" s="3">
        <v>1</v>
      </c>
      <c r="K6790" s="3">
        <v>23</v>
      </c>
      <c r="L6790" s="3">
        <v>1</v>
      </c>
      <c r="M6790" s="3">
        <v>0</v>
      </c>
      <c r="N6790" s="3">
        <v>21</v>
      </c>
      <c r="O6790" s="3"/>
      <c r="P6790" s="3"/>
      <c r="Q6790" s="3"/>
    </row>
    <row r="6791" spans="1:17" ht="15" x14ac:dyDescent="0.25">
      <c r="A6791" s="3">
        <f>6784</f>
        <v>6784</v>
      </c>
      <c r="B6791" s="3" t="s">
        <v>6793</v>
      </c>
      <c r="C6791" s="3" t="s">
        <v>10</v>
      </c>
      <c r="D6791" s="3" t="s">
        <v>9</v>
      </c>
      <c r="E6791" s="3">
        <v>19</v>
      </c>
      <c r="F6791" s="3">
        <v>0</v>
      </c>
      <c r="G6791" s="3">
        <v>1</v>
      </c>
      <c r="H6791" s="3">
        <v>0</v>
      </c>
      <c r="I6791" s="3">
        <v>21</v>
      </c>
      <c r="J6791" s="3">
        <v>1</v>
      </c>
      <c r="K6791" s="3">
        <v>23</v>
      </c>
      <c r="L6791" s="3">
        <v>1</v>
      </c>
      <c r="M6791" s="3">
        <v>0</v>
      </c>
      <c r="N6791" s="3">
        <v>21</v>
      </c>
      <c r="O6791" s="3"/>
      <c r="P6791" s="3"/>
      <c r="Q6791" s="3"/>
    </row>
    <row r="6792" spans="1:17" ht="15" x14ac:dyDescent="0.25">
      <c r="A6792" s="3">
        <f>6785</f>
        <v>6785</v>
      </c>
      <c r="B6792" s="3" t="s">
        <v>6794</v>
      </c>
      <c r="C6792" s="3" t="s">
        <v>10</v>
      </c>
      <c r="D6792" s="3" t="s">
        <v>9</v>
      </c>
      <c r="E6792" s="3">
        <v>19</v>
      </c>
      <c r="F6792" s="3">
        <v>0</v>
      </c>
      <c r="G6792" s="3">
        <v>1</v>
      </c>
      <c r="H6792" s="3">
        <v>0</v>
      </c>
      <c r="I6792" s="3">
        <v>21</v>
      </c>
      <c r="J6792" s="3">
        <v>1</v>
      </c>
      <c r="K6792" s="3">
        <v>23</v>
      </c>
      <c r="L6792" s="3">
        <v>1</v>
      </c>
      <c r="M6792" s="3">
        <v>0</v>
      </c>
      <c r="N6792" s="3">
        <v>21</v>
      </c>
      <c r="O6792" s="3"/>
      <c r="P6792" s="3"/>
      <c r="Q6792" s="3"/>
    </row>
    <row r="6793" spans="1:17" ht="15" x14ac:dyDescent="0.25">
      <c r="A6793" s="3">
        <f>6786</f>
        <v>6786</v>
      </c>
      <c r="B6793" s="3" t="s">
        <v>6795</v>
      </c>
      <c r="C6793" s="3" t="s">
        <v>10</v>
      </c>
      <c r="D6793" s="3" t="s">
        <v>9</v>
      </c>
      <c r="E6793" s="3">
        <v>19</v>
      </c>
      <c r="F6793" s="3">
        <v>0</v>
      </c>
      <c r="G6793" s="3">
        <v>1</v>
      </c>
      <c r="H6793" s="3">
        <v>0</v>
      </c>
      <c r="I6793" s="3">
        <v>21</v>
      </c>
      <c r="J6793" s="3">
        <v>1</v>
      </c>
      <c r="K6793" s="3">
        <v>23</v>
      </c>
      <c r="L6793" s="3">
        <v>1</v>
      </c>
      <c r="M6793" s="3">
        <v>0</v>
      </c>
      <c r="N6793" s="3">
        <v>21</v>
      </c>
      <c r="O6793" s="3"/>
      <c r="P6793" s="3"/>
      <c r="Q6793" s="3"/>
    </row>
    <row r="6794" spans="1:17" ht="15" x14ac:dyDescent="0.25">
      <c r="A6794" s="3">
        <f>6787</f>
        <v>6787</v>
      </c>
      <c r="B6794" s="3" t="s">
        <v>6796</v>
      </c>
      <c r="C6794" s="3" t="s">
        <v>10</v>
      </c>
      <c r="D6794" s="3" t="s">
        <v>9</v>
      </c>
      <c r="E6794" s="3">
        <v>19</v>
      </c>
      <c r="F6794" s="3">
        <v>0</v>
      </c>
      <c r="G6794" s="3">
        <v>1</v>
      </c>
      <c r="H6794" s="3">
        <v>0</v>
      </c>
      <c r="I6794" s="3">
        <v>21</v>
      </c>
      <c r="J6794" s="3">
        <v>1</v>
      </c>
      <c r="K6794" s="3">
        <v>23</v>
      </c>
      <c r="L6794" s="3">
        <v>1</v>
      </c>
      <c r="M6794" s="3">
        <v>0</v>
      </c>
      <c r="N6794" s="3">
        <v>21</v>
      </c>
      <c r="O6794" s="3"/>
      <c r="P6794" s="3"/>
      <c r="Q6794" s="3"/>
    </row>
    <row r="6795" spans="1:17" ht="15" x14ac:dyDescent="0.25">
      <c r="A6795" s="3">
        <f>6788</f>
        <v>6788</v>
      </c>
      <c r="B6795" s="3" t="s">
        <v>6797</v>
      </c>
      <c r="C6795" s="3" t="s">
        <v>10</v>
      </c>
      <c r="D6795" s="3" t="s">
        <v>9</v>
      </c>
      <c r="E6795" s="3">
        <v>19</v>
      </c>
      <c r="F6795" s="3">
        <v>0</v>
      </c>
      <c r="G6795" s="3">
        <v>1</v>
      </c>
      <c r="H6795" s="3">
        <v>0</v>
      </c>
      <c r="I6795" s="3">
        <v>21</v>
      </c>
      <c r="J6795" s="3">
        <v>1</v>
      </c>
      <c r="K6795" s="3">
        <v>23</v>
      </c>
      <c r="L6795" s="3">
        <v>1</v>
      </c>
      <c r="M6795" s="3">
        <v>0</v>
      </c>
      <c r="N6795" s="3">
        <v>21</v>
      </c>
      <c r="O6795" s="3"/>
      <c r="P6795" s="3"/>
      <c r="Q6795" s="3"/>
    </row>
    <row r="6796" spans="1:17" ht="15" x14ac:dyDescent="0.25">
      <c r="A6796" s="3">
        <f>6789</f>
        <v>6789</v>
      </c>
      <c r="B6796" s="3" t="s">
        <v>6798</v>
      </c>
      <c r="C6796" s="3" t="s">
        <v>10</v>
      </c>
      <c r="D6796" s="3" t="s">
        <v>9</v>
      </c>
      <c r="E6796" s="3">
        <v>19</v>
      </c>
      <c r="F6796" s="3">
        <v>0</v>
      </c>
      <c r="G6796" s="3">
        <v>1</v>
      </c>
      <c r="H6796" s="3">
        <v>0</v>
      </c>
      <c r="I6796" s="3">
        <v>21</v>
      </c>
      <c r="J6796" s="3">
        <v>1</v>
      </c>
      <c r="K6796" s="3">
        <v>23</v>
      </c>
      <c r="L6796" s="3">
        <v>1</v>
      </c>
      <c r="M6796" s="3">
        <v>0</v>
      </c>
      <c r="N6796" s="3">
        <v>21</v>
      </c>
      <c r="O6796" s="3"/>
      <c r="P6796" s="3"/>
      <c r="Q6796" s="3"/>
    </row>
    <row r="6797" spans="1:17" ht="15" x14ac:dyDescent="0.25">
      <c r="A6797" s="3">
        <f>6790</f>
        <v>6790</v>
      </c>
      <c r="B6797" s="3" t="s">
        <v>6799</v>
      </c>
      <c r="C6797" s="3" t="s">
        <v>10</v>
      </c>
      <c r="D6797" s="3" t="s">
        <v>9</v>
      </c>
      <c r="E6797" s="3">
        <v>19</v>
      </c>
      <c r="F6797" s="3">
        <v>0</v>
      </c>
      <c r="G6797" s="3">
        <v>1</v>
      </c>
      <c r="H6797" s="3">
        <v>0</v>
      </c>
      <c r="I6797" s="3">
        <v>21</v>
      </c>
      <c r="J6797" s="3">
        <v>1</v>
      </c>
      <c r="K6797" s="3">
        <v>23</v>
      </c>
      <c r="L6797" s="3">
        <v>1</v>
      </c>
      <c r="M6797" s="3">
        <v>0</v>
      </c>
      <c r="N6797" s="3">
        <v>21</v>
      </c>
      <c r="O6797" s="3"/>
      <c r="P6797" s="3"/>
      <c r="Q6797" s="3"/>
    </row>
    <row r="6798" spans="1:17" ht="15" x14ac:dyDescent="0.25">
      <c r="A6798" s="3">
        <f>6791</f>
        <v>6791</v>
      </c>
      <c r="B6798" s="3" t="s">
        <v>6800</v>
      </c>
      <c r="C6798" s="3" t="s">
        <v>10</v>
      </c>
      <c r="D6798" s="3" t="s">
        <v>9</v>
      </c>
      <c r="E6798" s="3">
        <v>19</v>
      </c>
      <c r="F6798" s="3">
        <v>0</v>
      </c>
      <c r="G6798" s="3">
        <v>1</v>
      </c>
      <c r="H6798" s="3">
        <v>0</v>
      </c>
      <c r="I6798" s="3">
        <v>21</v>
      </c>
      <c r="J6798" s="3">
        <v>1</v>
      </c>
      <c r="K6798" s="3">
        <v>23</v>
      </c>
      <c r="L6798" s="3">
        <v>1</v>
      </c>
      <c r="M6798" s="3">
        <v>0</v>
      </c>
      <c r="N6798" s="3">
        <v>21</v>
      </c>
      <c r="O6798" s="3"/>
      <c r="P6798" s="3"/>
      <c r="Q6798" s="3"/>
    </row>
    <row r="6799" spans="1:17" ht="15" x14ac:dyDescent="0.25">
      <c r="A6799" s="3">
        <f>6792</f>
        <v>6792</v>
      </c>
      <c r="B6799" s="3" t="s">
        <v>6801</v>
      </c>
      <c r="C6799" s="3" t="s">
        <v>10</v>
      </c>
      <c r="D6799" s="3" t="s">
        <v>9</v>
      </c>
      <c r="E6799" s="3">
        <v>19</v>
      </c>
      <c r="F6799" s="3">
        <v>0</v>
      </c>
      <c r="G6799" s="3">
        <v>1</v>
      </c>
      <c r="H6799" s="3">
        <v>0</v>
      </c>
      <c r="I6799" s="3">
        <v>21</v>
      </c>
      <c r="J6799" s="3">
        <v>1</v>
      </c>
      <c r="K6799" s="3">
        <v>23</v>
      </c>
      <c r="L6799" s="3">
        <v>1</v>
      </c>
      <c r="M6799" s="3">
        <v>0</v>
      </c>
      <c r="N6799" s="3">
        <v>21</v>
      </c>
      <c r="O6799" s="3"/>
      <c r="P6799" s="3"/>
      <c r="Q6799" s="3"/>
    </row>
    <row r="6800" spans="1:17" ht="15" x14ac:dyDescent="0.25">
      <c r="A6800" s="3">
        <f>6793</f>
        <v>6793</v>
      </c>
      <c r="B6800" s="3" t="s">
        <v>6802</v>
      </c>
      <c r="C6800" s="3" t="s">
        <v>10</v>
      </c>
      <c r="D6800" s="3" t="s">
        <v>9</v>
      </c>
      <c r="E6800" s="3">
        <v>19</v>
      </c>
      <c r="F6800" s="3">
        <v>0</v>
      </c>
      <c r="G6800" s="3">
        <v>1</v>
      </c>
      <c r="H6800" s="3">
        <v>0</v>
      </c>
      <c r="I6800" s="3">
        <v>21</v>
      </c>
      <c r="J6800" s="3">
        <v>1</v>
      </c>
      <c r="K6800" s="3">
        <v>23</v>
      </c>
      <c r="L6800" s="3">
        <v>1</v>
      </c>
      <c r="M6800" s="3">
        <v>0</v>
      </c>
      <c r="N6800" s="3">
        <v>21</v>
      </c>
      <c r="O6800" s="3"/>
      <c r="P6800" s="3"/>
      <c r="Q6800" s="3"/>
    </row>
    <row r="6801" spans="1:17" ht="15" x14ac:dyDescent="0.25">
      <c r="A6801" s="3">
        <f>6794</f>
        <v>6794</v>
      </c>
      <c r="B6801" s="3" t="s">
        <v>6803</v>
      </c>
      <c r="C6801" s="3" t="s">
        <v>10</v>
      </c>
      <c r="D6801" s="3" t="s">
        <v>9</v>
      </c>
      <c r="E6801" s="3">
        <v>19</v>
      </c>
      <c r="F6801" s="3">
        <v>0</v>
      </c>
      <c r="G6801" s="3">
        <v>1</v>
      </c>
      <c r="H6801" s="3">
        <v>0</v>
      </c>
      <c r="I6801" s="3">
        <v>21</v>
      </c>
      <c r="J6801" s="3">
        <v>1</v>
      </c>
      <c r="K6801" s="3">
        <v>23</v>
      </c>
      <c r="L6801" s="3">
        <v>1</v>
      </c>
      <c r="M6801" s="3">
        <v>0</v>
      </c>
      <c r="N6801" s="3">
        <v>21</v>
      </c>
      <c r="O6801" s="3"/>
      <c r="P6801" s="3"/>
      <c r="Q6801" s="3"/>
    </row>
    <row r="6802" spans="1:17" ht="15" x14ac:dyDescent="0.25">
      <c r="A6802" s="3">
        <f>6795</f>
        <v>6795</v>
      </c>
      <c r="B6802" s="3" t="s">
        <v>6804</v>
      </c>
      <c r="C6802" s="3" t="s">
        <v>10</v>
      </c>
      <c r="D6802" s="3" t="s">
        <v>9</v>
      </c>
      <c r="E6802" s="3">
        <v>19</v>
      </c>
      <c r="F6802" s="3">
        <v>0</v>
      </c>
      <c r="G6802" s="3">
        <v>1</v>
      </c>
      <c r="H6802" s="3">
        <v>0</v>
      </c>
      <c r="I6802" s="3">
        <v>21</v>
      </c>
      <c r="J6802" s="3">
        <v>1</v>
      </c>
      <c r="K6802" s="3">
        <v>23</v>
      </c>
      <c r="L6802" s="3">
        <v>1</v>
      </c>
      <c r="M6802" s="3">
        <v>0</v>
      </c>
      <c r="N6802" s="3">
        <v>21</v>
      </c>
      <c r="O6802" s="3"/>
      <c r="P6802" s="3"/>
      <c r="Q6802" s="3"/>
    </row>
    <row r="6803" spans="1:17" ht="15" x14ac:dyDescent="0.25">
      <c r="A6803" s="3">
        <f>6796</f>
        <v>6796</v>
      </c>
      <c r="B6803" s="3" t="s">
        <v>6805</v>
      </c>
      <c r="C6803" s="3" t="s">
        <v>10</v>
      </c>
      <c r="D6803" s="3" t="s">
        <v>9</v>
      </c>
      <c r="E6803" s="3">
        <v>19</v>
      </c>
      <c r="F6803" s="3">
        <v>0</v>
      </c>
      <c r="G6803" s="3">
        <v>1</v>
      </c>
      <c r="H6803" s="3">
        <v>0</v>
      </c>
      <c r="I6803" s="3">
        <v>21</v>
      </c>
      <c r="J6803" s="3">
        <v>1</v>
      </c>
      <c r="K6803" s="3">
        <v>23</v>
      </c>
      <c r="L6803" s="3">
        <v>1</v>
      </c>
      <c r="M6803" s="3">
        <v>0</v>
      </c>
      <c r="N6803" s="3">
        <v>21</v>
      </c>
      <c r="O6803" s="3"/>
      <c r="P6803" s="3"/>
      <c r="Q6803" s="3"/>
    </row>
    <row r="6804" spans="1:17" ht="15" x14ac:dyDescent="0.25">
      <c r="A6804" s="3">
        <f>6797</f>
        <v>6797</v>
      </c>
      <c r="B6804" s="3" t="s">
        <v>6806</v>
      </c>
      <c r="C6804" s="3" t="s">
        <v>10</v>
      </c>
      <c r="D6804" s="3" t="s">
        <v>9</v>
      </c>
      <c r="E6804" s="3">
        <v>19</v>
      </c>
      <c r="F6804" s="3">
        <v>0</v>
      </c>
      <c r="G6804" s="3">
        <v>1</v>
      </c>
      <c r="H6804" s="3">
        <v>0</v>
      </c>
      <c r="I6804" s="3">
        <v>21</v>
      </c>
      <c r="J6804" s="3">
        <v>1</v>
      </c>
      <c r="K6804" s="3">
        <v>23</v>
      </c>
      <c r="L6804" s="3">
        <v>1</v>
      </c>
      <c r="M6804" s="3">
        <v>0</v>
      </c>
      <c r="N6804" s="3">
        <v>21</v>
      </c>
      <c r="O6804" s="3"/>
      <c r="P6804" s="3"/>
      <c r="Q6804" s="3"/>
    </row>
    <row r="6805" spans="1:17" ht="15" x14ac:dyDescent="0.25">
      <c r="A6805" s="3">
        <f>6798</f>
        <v>6798</v>
      </c>
      <c r="B6805" s="3" t="s">
        <v>6807</v>
      </c>
      <c r="C6805" s="3" t="s">
        <v>10</v>
      </c>
      <c r="D6805" s="3" t="s">
        <v>9</v>
      </c>
      <c r="E6805" s="3">
        <v>19</v>
      </c>
      <c r="F6805" s="3">
        <v>0</v>
      </c>
      <c r="G6805" s="3">
        <v>1</v>
      </c>
      <c r="H6805" s="3">
        <v>0</v>
      </c>
      <c r="I6805" s="3">
        <v>21</v>
      </c>
      <c r="J6805" s="3">
        <v>1</v>
      </c>
      <c r="K6805" s="3">
        <v>23</v>
      </c>
      <c r="L6805" s="3">
        <v>1</v>
      </c>
      <c r="M6805" s="3">
        <v>0</v>
      </c>
      <c r="N6805" s="3">
        <v>21</v>
      </c>
      <c r="O6805" s="3"/>
      <c r="P6805" s="3"/>
      <c r="Q6805" s="3"/>
    </row>
    <row r="6806" spans="1:17" ht="15" x14ac:dyDescent="0.25">
      <c r="A6806" s="3">
        <f>6799</f>
        <v>6799</v>
      </c>
      <c r="B6806" s="3" t="s">
        <v>6808</v>
      </c>
      <c r="C6806" s="3" t="s">
        <v>10</v>
      </c>
      <c r="D6806" s="3" t="s">
        <v>9</v>
      </c>
      <c r="E6806" s="3">
        <v>19</v>
      </c>
      <c r="F6806" s="3">
        <v>0</v>
      </c>
      <c r="G6806" s="3">
        <v>1</v>
      </c>
      <c r="H6806" s="3">
        <v>0</v>
      </c>
      <c r="I6806" s="3">
        <v>21</v>
      </c>
      <c r="J6806" s="3">
        <v>1</v>
      </c>
      <c r="K6806" s="3">
        <v>23</v>
      </c>
      <c r="L6806" s="3">
        <v>1</v>
      </c>
      <c r="M6806" s="3">
        <v>0</v>
      </c>
      <c r="N6806" s="3">
        <v>21</v>
      </c>
      <c r="O6806" s="3"/>
      <c r="P6806" s="3"/>
      <c r="Q6806" s="3"/>
    </row>
    <row r="6807" spans="1:17" ht="15" x14ac:dyDescent="0.25">
      <c r="A6807" s="3">
        <f>6800</f>
        <v>6800</v>
      </c>
      <c r="B6807" s="3" t="s">
        <v>6809</v>
      </c>
      <c r="C6807" s="3" t="s">
        <v>10</v>
      </c>
      <c r="D6807" s="3" t="s">
        <v>9</v>
      </c>
      <c r="E6807" s="3">
        <v>19</v>
      </c>
      <c r="F6807" s="3">
        <v>0</v>
      </c>
      <c r="G6807" s="3">
        <v>1</v>
      </c>
      <c r="H6807" s="3">
        <v>0</v>
      </c>
      <c r="I6807" s="3">
        <v>21</v>
      </c>
      <c r="J6807" s="3">
        <v>1</v>
      </c>
      <c r="K6807" s="3">
        <v>23</v>
      </c>
      <c r="L6807" s="3">
        <v>1</v>
      </c>
      <c r="M6807" s="3">
        <v>0</v>
      </c>
      <c r="N6807" s="3">
        <v>21</v>
      </c>
      <c r="O6807" s="3"/>
      <c r="P6807" s="3"/>
      <c r="Q6807" s="3"/>
    </row>
    <row r="6808" spans="1:17" ht="15" x14ac:dyDescent="0.25">
      <c r="A6808" s="3">
        <f>6801</f>
        <v>6801</v>
      </c>
      <c r="B6808" s="3" t="s">
        <v>6810</v>
      </c>
      <c r="C6808" s="3" t="s">
        <v>10</v>
      </c>
      <c r="D6808" s="3" t="s">
        <v>9</v>
      </c>
      <c r="E6808" s="3">
        <v>19</v>
      </c>
      <c r="F6808" s="3">
        <v>0</v>
      </c>
      <c r="G6808" s="3">
        <v>1</v>
      </c>
      <c r="H6808" s="3">
        <v>0</v>
      </c>
      <c r="I6808" s="3">
        <v>21</v>
      </c>
      <c r="J6808" s="3">
        <v>1</v>
      </c>
      <c r="K6808" s="3">
        <v>23</v>
      </c>
      <c r="L6808" s="3">
        <v>1</v>
      </c>
      <c r="M6808" s="3">
        <v>0</v>
      </c>
      <c r="N6808" s="3">
        <v>21</v>
      </c>
      <c r="O6808" s="3"/>
      <c r="P6808" s="3"/>
      <c r="Q6808" s="3"/>
    </row>
    <row r="6809" spans="1:17" ht="15" x14ac:dyDescent="0.25">
      <c r="A6809" s="3">
        <f>6802</f>
        <v>6802</v>
      </c>
      <c r="B6809" s="3" t="s">
        <v>6811</v>
      </c>
      <c r="C6809" s="3" t="s">
        <v>10</v>
      </c>
      <c r="D6809" s="3" t="s">
        <v>9</v>
      </c>
      <c r="E6809" s="3">
        <v>19</v>
      </c>
      <c r="F6809" s="3">
        <v>0</v>
      </c>
      <c r="G6809" s="3">
        <v>1</v>
      </c>
      <c r="H6809" s="3">
        <v>0</v>
      </c>
      <c r="I6809" s="3">
        <v>21</v>
      </c>
      <c r="J6809" s="3">
        <v>1</v>
      </c>
      <c r="K6809" s="3">
        <v>23</v>
      </c>
      <c r="L6809" s="3">
        <v>1</v>
      </c>
      <c r="M6809" s="3">
        <v>0</v>
      </c>
      <c r="N6809" s="3">
        <v>21</v>
      </c>
      <c r="O6809" s="3"/>
      <c r="P6809" s="3"/>
      <c r="Q6809" s="3"/>
    </row>
    <row r="6810" spans="1:17" ht="15" x14ac:dyDescent="0.25">
      <c r="A6810" s="3">
        <f>6803</f>
        <v>6803</v>
      </c>
      <c r="B6810" s="3" t="s">
        <v>6812</v>
      </c>
      <c r="C6810" s="3" t="s">
        <v>10</v>
      </c>
      <c r="D6810" s="3" t="s">
        <v>9</v>
      </c>
      <c r="E6810" s="3">
        <v>19</v>
      </c>
      <c r="F6810" s="3">
        <v>0</v>
      </c>
      <c r="G6810" s="3">
        <v>1</v>
      </c>
      <c r="H6810" s="3">
        <v>0</v>
      </c>
      <c r="I6810" s="3">
        <v>21</v>
      </c>
      <c r="J6810" s="3">
        <v>1</v>
      </c>
      <c r="K6810" s="3">
        <v>23</v>
      </c>
      <c r="L6810" s="3">
        <v>1</v>
      </c>
      <c r="M6810" s="3">
        <v>0</v>
      </c>
      <c r="N6810" s="3">
        <v>21</v>
      </c>
      <c r="O6810" s="3"/>
      <c r="P6810" s="3"/>
      <c r="Q6810" s="3"/>
    </row>
    <row r="6811" spans="1:17" ht="15" x14ac:dyDescent="0.25">
      <c r="A6811" s="3">
        <f>6804</f>
        <v>6804</v>
      </c>
      <c r="B6811" s="3" t="s">
        <v>6813</v>
      </c>
      <c r="C6811" s="3" t="s">
        <v>10</v>
      </c>
      <c r="D6811" s="3" t="s">
        <v>9</v>
      </c>
      <c r="E6811" s="3">
        <v>19</v>
      </c>
      <c r="F6811" s="3">
        <v>0</v>
      </c>
      <c r="G6811" s="3">
        <v>1</v>
      </c>
      <c r="H6811" s="3">
        <v>0</v>
      </c>
      <c r="I6811" s="3">
        <v>21</v>
      </c>
      <c r="J6811" s="3">
        <v>1</v>
      </c>
      <c r="K6811" s="3">
        <v>23</v>
      </c>
      <c r="L6811" s="3">
        <v>1</v>
      </c>
      <c r="M6811" s="3">
        <v>0</v>
      </c>
      <c r="N6811" s="3">
        <v>21</v>
      </c>
      <c r="O6811" s="3"/>
      <c r="P6811" s="3"/>
      <c r="Q6811" s="3"/>
    </row>
    <row r="6812" spans="1:17" ht="15" x14ac:dyDescent="0.25">
      <c r="A6812" s="3">
        <f>6805</f>
        <v>6805</v>
      </c>
      <c r="B6812" s="3" t="s">
        <v>6814</v>
      </c>
      <c r="C6812" s="3" t="s">
        <v>10</v>
      </c>
      <c r="D6812" s="3" t="s">
        <v>9</v>
      </c>
      <c r="E6812" s="3">
        <v>19</v>
      </c>
      <c r="F6812" s="3">
        <v>0</v>
      </c>
      <c r="G6812" s="3">
        <v>1</v>
      </c>
      <c r="H6812" s="3">
        <v>0</v>
      </c>
      <c r="I6812" s="3">
        <v>21</v>
      </c>
      <c r="J6812" s="3">
        <v>1</v>
      </c>
      <c r="K6812" s="3">
        <v>23</v>
      </c>
      <c r="L6812" s="3">
        <v>1</v>
      </c>
      <c r="M6812" s="3">
        <v>0</v>
      </c>
      <c r="N6812" s="3">
        <v>21</v>
      </c>
      <c r="O6812" s="3"/>
      <c r="P6812" s="3"/>
      <c r="Q6812" s="3"/>
    </row>
    <row r="6813" spans="1:17" ht="15" x14ac:dyDescent="0.25">
      <c r="A6813" s="3">
        <f>6806</f>
        <v>6806</v>
      </c>
      <c r="B6813" s="3" t="s">
        <v>6815</v>
      </c>
      <c r="C6813" s="3" t="s">
        <v>10</v>
      </c>
      <c r="D6813" s="3" t="s">
        <v>9</v>
      </c>
      <c r="E6813" s="3">
        <v>19</v>
      </c>
      <c r="F6813" s="3">
        <v>0</v>
      </c>
      <c r="G6813" s="3">
        <v>1</v>
      </c>
      <c r="H6813" s="3">
        <v>0</v>
      </c>
      <c r="I6813" s="3">
        <v>21</v>
      </c>
      <c r="J6813" s="3">
        <v>1</v>
      </c>
      <c r="K6813" s="3">
        <v>23</v>
      </c>
      <c r="L6813" s="3">
        <v>1</v>
      </c>
      <c r="M6813" s="3">
        <v>0</v>
      </c>
      <c r="N6813" s="3">
        <v>21</v>
      </c>
      <c r="O6813" s="3"/>
      <c r="P6813" s="3"/>
      <c r="Q6813" s="3"/>
    </row>
    <row r="6814" spans="1:17" ht="15" x14ac:dyDescent="0.25">
      <c r="A6814" s="3">
        <f>6807</f>
        <v>6807</v>
      </c>
      <c r="B6814" s="3" t="s">
        <v>6816</v>
      </c>
      <c r="C6814" s="3" t="s">
        <v>10</v>
      </c>
      <c r="D6814" s="3" t="s">
        <v>9</v>
      </c>
      <c r="E6814" s="3">
        <v>19</v>
      </c>
      <c r="F6814" s="3">
        <v>0</v>
      </c>
      <c r="G6814" s="3">
        <v>1</v>
      </c>
      <c r="H6814" s="3">
        <v>0</v>
      </c>
      <c r="I6814" s="3">
        <v>21</v>
      </c>
      <c r="J6814" s="3">
        <v>1</v>
      </c>
      <c r="K6814" s="3">
        <v>23</v>
      </c>
      <c r="L6814" s="3">
        <v>1</v>
      </c>
      <c r="M6814" s="3">
        <v>0</v>
      </c>
      <c r="N6814" s="3">
        <v>21</v>
      </c>
      <c r="O6814" s="3"/>
      <c r="P6814" s="3"/>
      <c r="Q6814" s="3"/>
    </row>
    <row r="6815" spans="1:17" ht="15" x14ac:dyDescent="0.25">
      <c r="A6815" s="3">
        <f>6808</f>
        <v>6808</v>
      </c>
      <c r="B6815" s="3" t="s">
        <v>6817</v>
      </c>
      <c r="C6815" s="3" t="s">
        <v>10</v>
      </c>
      <c r="D6815" s="3" t="s">
        <v>9</v>
      </c>
      <c r="E6815" s="3">
        <v>19</v>
      </c>
      <c r="F6815" s="3">
        <v>0</v>
      </c>
      <c r="G6815" s="3">
        <v>1</v>
      </c>
      <c r="H6815" s="3">
        <v>0</v>
      </c>
      <c r="I6815" s="3">
        <v>21</v>
      </c>
      <c r="J6815" s="3">
        <v>1</v>
      </c>
      <c r="K6815" s="3">
        <v>23</v>
      </c>
      <c r="L6815" s="3">
        <v>1</v>
      </c>
      <c r="M6815" s="3">
        <v>0</v>
      </c>
      <c r="N6815" s="3">
        <v>21</v>
      </c>
      <c r="O6815" s="3"/>
      <c r="P6815" s="3"/>
      <c r="Q6815" s="3"/>
    </row>
    <row r="6816" spans="1:17" ht="15" x14ac:dyDescent="0.25">
      <c r="A6816" s="3">
        <f>6809</f>
        <v>6809</v>
      </c>
      <c r="B6816" s="3" t="s">
        <v>6818</v>
      </c>
      <c r="C6816" s="3" t="s">
        <v>10</v>
      </c>
      <c r="D6816" s="3" t="s">
        <v>9</v>
      </c>
      <c r="E6816" s="3">
        <v>19</v>
      </c>
      <c r="F6816" s="3">
        <v>0</v>
      </c>
      <c r="G6816" s="3">
        <v>1</v>
      </c>
      <c r="H6816" s="3">
        <v>0</v>
      </c>
      <c r="I6816" s="3">
        <v>21</v>
      </c>
      <c r="J6816" s="3">
        <v>1</v>
      </c>
      <c r="K6816" s="3">
        <v>23</v>
      </c>
      <c r="L6816" s="3">
        <v>1</v>
      </c>
      <c r="M6816" s="3">
        <v>0</v>
      </c>
      <c r="N6816" s="3">
        <v>21</v>
      </c>
      <c r="O6816" s="3"/>
      <c r="P6816" s="3"/>
      <c r="Q6816" s="3"/>
    </row>
    <row r="6817" spans="1:17" ht="15" x14ac:dyDescent="0.25">
      <c r="A6817" s="3">
        <f>6810</f>
        <v>6810</v>
      </c>
      <c r="B6817" s="3" t="s">
        <v>6819</v>
      </c>
      <c r="C6817" s="3" t="s">
        <v>10</v>
      </c>
      <c r="D6817" s="3" t="s">
        <v>9</v>
      </c>
      <c r="E6817" s="3">
        <v>19</v>
      </c>
      <c r="F6817" s="3">
        <v>0</v>
      </c>
      <c r="G6817" s="3">
        <v>1</v>
      </c>
      <c r="H6817" s="3">
        <v>0</v>
      </c>
      <c r="I6817" s="3">
        <v>21</v>
      </c>
      <c r="J6817" s="3">
        <v>1</v>
      </c>
      <c r="K6817" s="3">
        <v>23</v>
      </c>
      <c r="L6817" s="3">
        <v>1</v>
      </c>
      <c r="M6817" s="3">
        <v>0</v>
      </c>
      <c r="N6817" s="3">
        <v>21</v>
      </c>
      <c r="O6817" s="3"/>
      <c r="P6817" s="3"/>
      <c r="Q6817" s="3"/>
    </row>
    <row r="6818" spans="1:17" ht="15" x14ac:dyDescent="0.25">
      <c r="A6818" s="3">
        <f>6811</f>
        <v>6811</v>
      </c>
      <c r="B6818" s="3" t="s">
        <v>6820</v>
      </c>
      <c r="C6818" s="3" t="s">
        <v>10</v>
      </c>
      <c r="D6818" s="3" t="s">
        <v>9</v>
      </c>
      <c r="E6818" s="3">
        <v>19</v>
      </c>
      <c r="F6818" s="3">
        <v>0</v>
      </c>
      <c r="G6818" s="3">
        <v>1</v>
      </c>
      <c r="H6818" s="3">
        <v>0</v>
      </c>
      <c r="I6818" s="3">
        <v>21</v>
      </c>
      <c r="J6818" s="3">
        <v>1</v>
      </c>
      <c r="K6818" s="3">
        <v>23</v>
      </c>
      <c r="L6818" s="3">
        <v>1</v>
      </c>
      <c r="M6818" s="3">
        <v>0</v>
      </c>
      <c r="N6818" s="3">
        <v>21</v>
      </c>
      <c r="O6818" s="3"/>
      <c r="P6818" s="3"/>
      <c r="Q6818" s="3"/>
    </row>
    <row r="6819" spans="1:17" ht="15" x14ac:dyDescent="0.25">
      <c r="A6819" s="3">
        <f>6812</f>
        <v>6812</v>
      </c>
      <c r="B6819" s="3" t="s">
        <v>6821</v>
      </c>
      <c r="C6819" s="3" t="s">
        <v>10</v>
      </c>
      <c r="D6819" s="3" t="s">
        <v>9</v>
      </c>
      <c r="E6819" s="3">
        <v>19</v>
      </c>
      <c r="F6819" s="3">
        <v>0</v>
      </c>
      <c r="G6819" s="3">
        <v>1</v>
      </c>
      <c r="H6819" s="3">
        <v>0</v>
      </c>
      <c r="I6819" s="3">
        <v>21</v>
      </c>
      <c r="J6819" s="3">
        <v>1</v>
      </c>
      <c r="K6819" s="3">
        <v>23</v>
      </c>
      <c r="L6819" s="3">
        <v>1</v>
      </c>
      <c r="M6819" s="3">
        <v>0</v>
      </c>
      <c r="N6819" s="3">
        <v>21</v>
      </c>
      <c r="O6819" s="3"/>
      <c r="P6819" s="3"/>
      <c r="Q6819" s="3"/>
    </row>
    <row r="6820" spans="1:17" ht="15" x14ac:dyDescent="0.25">
      <c r="A6820" s="3">
        <f>6813</f>
        <v>6813</v>
      </c>
      <c r="B6820" s="3" t="s">
        <v>6822</v>
      </c>
      <c r="C6820" s="3" t="s">
        <v>10</v>
      </c>
      <c r="D6820" s="3" t="s">
        <v>9</v>
      </c>
      <c r="E6820" s="3">
        <v>19</v>
      </c>
      <c r="F6820" s="3">
        <v>0</v>
      </c>
      <c r="G6820" s="3">
        <v>1</v>
      </c>
      <c r="H6820" s="3">
        <v>0</v>
      </c>
      <c r="I6820" s="3">
        <v>21</v>
      </c>
      <c r="J6820" s="3">
        <v>1</v>
      </c>
      <c r="K6820" s="3">
        <v>23</v>
      </c>
      <c r="L6820" s="3">
        <v>1</v>
      </c>
      <c r="M6820" s="3">
        <v>0</v>
      </c>
      <c r="N6820" s="3">
        <v>21</v>
      </c>
      <c r="O6820" s="3"/>
      <c r="P6820" s="3"/>
      <c r="Q6820" s="3"/>
    </row>
    <row r="6821" spans="1:17" ht="15" x14ac:dyDescent="0.25">
      <c r="A6821" s="3">
        <f>6814</f>
        <v>6814</v>
      </c>
      <c r="B6821" s="3" t="s">
        <v>6823</v>
      </c>
      <c r="C6821" s="3" t="s">
        <v>10</v>
      </c>
      <c r="D6821" s="3" t="s">
        <v>9</v>
      </c>
      <c r="E6821" s="3">
        <v>19</v>
      </c>
      <c r="F6821" s="3">
        <v>0</v>
      </c>
      <c r="G6821" s="3">
        <v>1</v>
      </c>
      <c r="H6821" s="3">
        <v>0</v>
      </c>
      <c r="I6821" s="3">
        <v>21</v>
      </c>
      <c r="J6821" s="3">
        <v>1</v>
      </c>
      <c r="K6821" s="3">
        <v>23</v>
      </c>
      <c r="L6821" s="3">
        <v>1</v>
      </c>
      <c r="M6821" s="3">
        <v>0</v>
      </c>
      <c r="N6821" s="3">
        <v>21</v>
      </c>
      <c r="O6821" s="3"/>
      <c r="P6821" s="3"/>
      <c r="Q6821" s="3"/>
    </row>
    <row r="6822" spans="1:17" ht="15" x14ac:dyDescent="0.25">
      <c r="A6822" s="3">
        <f>6815</f>
        <v>6815</v>
      </c>
      <c r="B6822" s="3" t="s">
        <v>6824</v>
      </c>
      <c r="C6822" s="3" t="s">
        <v>10</v>
      </c>
      <c r="D6822" s="3" t="s">
        <v>9</v>
      </c>
      <c r="E6822" s="3">
        <v>19</v>
      </c>
      <c r="F6822" s="3">
        <v>0</v>
      </c>
      <c r="G6822" s="3">
        <v>1</v>
      </c>
      <c r="H6822" s="3">
        <v>0</v>
      </c>
      <c r="I6822" s="3">
        <v>21</v>
      </c>
      <c r="J6822" s="3">
        <v>1</v>
      </c>
      <c r="K6822" s="3">
        <v>23</v>
      </c>
      <c r="L6822" s="3">
        <v>1</v>
      </c>
      <c r="M6822" s="3">
        <v>0</v>
      </c>
      <c r="N6822" s="3">
        <v>21</v>
      </c>
      <c r="O6822" s="3"/>
      <c r="P6822" s="3"/>
      <c r="Q6822" s="3"/>
    </row>
    <row r="6823" spans="1:17" ht="15" x14ac:dyDescent="0.25">
      <c r="A6823" s="3">
        <f>6816</f>
        <v>6816</v>
      </c>
      <c r="B6823" s="3" t="s">
        <v>6825</v>
      </c>
      <c r="C6823" s="3" t="s">
        <v>10</v>
      </c>
      <c r="D6823" s="3" t="s">
        <v>9</v>
      </c>
      <c r="E6823" s="3">
        <v>19</v>
      </c>
      <c r="F6823" s="3">
        <v>0</v>
      </c>
      <c r="G6823" s="3">
        <v>1</v>
      </c>
      <c r="H6823" s="3">
        <v>0</v>
      </c>
      <c r="I6823" s="3">
        <v>21</v>
      </c>
      <c r="J6823" s="3">
        <v>1</v>
      </c>
      <c r="K6823" s="3">
        <v>23</v>
      </c>
      <c r="L6823" s="3">
        <v>1</v>
      </c>
      <c r="M6823" s="3">
        <v>0</v>
      </c>
      <c r="N6823" s="3">
        <v>21</v>
      </c>
      <c r="O6823" s="3"/>
      <c r="P6823" s="3"/>
      <c r="Q6823" s="3"/>
    </row>
    <row r="6824" spans="1:17" ht="15" x14ac:dyDescent="0.25">
      <c r="A6824" s="3">
        <f>6817</f>
        <v>6817</v>
      </c>
      <c r="B6824" s="3" t="s">
        <v>6826</v>
      </c>
      <c r="C6824" s="3" t="s">
        <v>10</v>
      </c>
      <c r="D6824" s="3" t="s">
        <v>9</v>
      </c>
      <c r="E6824" s="3">
        <v>19</v>
      </c>
      <c r="F6824" s="3">
        <v>0</v>
      </c>
      <c r="G6824" s="3">
        <v>1</v>
      </c>
      <c r="H6824" s="3">
        <v>0</v>
      </c>
      <c r="I6824" s="3">
        <v>21</v>
      </c>
      <c r="J6824" s="3">
        <v>1</v>
      </c>
      <c r="K6824" s="3">
        <v>23</v>
      </c>
      <c r="L6824" s="3">
        <v>1</v>
      </c>
      <c r="M6824" s="3">
        <v>0</v>
      </c>
      <c r="N6824" s="3">
        <v>21</v>
      </c>
      <c r="O6824" s="3"/>
      <c r="P6824" s="3"/>
      <c r="Q6824" s="3"/>
    </row>
    <row r="6825" spans="1:17" ht="15" x14ac:dyDescent="0.25">
      <c r="A6825" s="3">
        <f>6818</f>
        <v>6818</v>
      </c>
      <c r="B6825" s="3" t="s">
        <v>6827</v>
      </c>
      <c r="C6825" s="3" t="s">
        <v>10</v>
      </c>
      <c r="D6825" s="3" t="s">
        <v>9</v>
      </c>
      <c r="E6825" s="3">
        <v>19</v>
      </c>
      <c r="F6825" s="3">
        <v>0</v>
      </c>
      <c r="G6825" s="3">
        <v>1</v>
      </c>
      <c r="H6825" s="3">
        <v>0</v>
      </c>
      <c r="I6825" s="3">
        <v>21</v>
      </c>
      <c r="J6825" s="3">
        <v>1</v>
      </c>
      <c r="K6825" s="3">
        <v>23</v>
      </c>
      <c r="L6825" s="3">
        <v>1</v>
      </c>
      <c r="M6825" s="3">
        <v>0</v>
      </c>
      <c r="N6825" s="3">
        <v>21</v>
      </c>
      <c r="O6825" s="3"/>
      <c r="P6825" s="3"/>
      <c r="Q6825" s="3"/>
    </row>
    <row r="6826" spans="1:17" ht="15" x14ac:dyDescent="0.25">
      <c r="A6826" s="3">
        <f>6819</f>
        <v>6819</v>
      </c>
      <c r="B6826" s="3" t="s">
        <v>6828</v>
      </c>
      <c r="C6826" s="3" t="s">
        <v>10</v>
      </c>
      <c r="D6826" s="3" t="s">
        <v>9</v>
      </c>
      <c r="E6826" s="3">
        <v>19</v>
      </c>
      <c r="F6826" s="3">
        <v>0</v>
      </c>
      <c r="G6826" s="3">
        <v>1</v>
      </c>
      <c r="H6826" s="3">
        <v>0</v>
      </c>
      <c r="I6826" s="3">
        <v>21</v>
      </c>
      <c r="J6826" s="3">
        <v>1</v>
      </c>
      <c r="K6826" s="3">
        <v>23</v>
      </c>
      <c r="L6826" s="3">
        <v>1</v>
      </c>
      <c r="M6826" s="3">
        <v>0</v>
      </c>
      <c r="N6826" s="3">
        <v>21</v>
      </c>
      <c r="O6826" s="3"/>
      <c r="P6826" s="3"/>
      <c r="Q6826" s="3"/>
    </row>
    <row r="6827" spans="1:17" ht="15" x14ac:dyDescent="0.25">
      <c r="A6827" s="3">
        <f>6820</f>
        <v>6820</v>
      </c>
      <c r="B6827" s="3" t="s">
        <v>6829</v>
      </c>
      <c r="C6827" s="3" t="s">
        <v>10</v>
      </c>
      <c r="D6827" s="3" t="s">
        <v>9</v>
      </c>
      <c r="E6827" s="3">
        <v>19</v>
      </c>
      <c r="F6827" s="3">
        <v>0</v>
      </c>
      <c r="G6827" s="3">
        <v>1</v>
      </c>
      <c r="H6827" s="3">
        <v>0</v>
      </c>
      <c r="I6827" s="3">
        <v>21</v>
      </c>
      <c r="J6827" s="3">
        <v>1</v>
      </c>
      <c r="K6827" s="3">
        <v>23</v>
      </c>
      <c r="L6827" s="3">
        <v>1</v>
      </c>
      <c r="M6827" s="3">
        <v>0</v>
      </c>
      <c r="N6827" s="3">
        <v>21</v>
      </c>
      <c r="O6827" s="3"/>
      <c r="P6827" s="3"/>
      <c r="Q6827" s="3"/>
    </row>
    <row r="6828" spans="1:17" ht="15" x14ac:dyDescent="0.25">
      <c r="A6828" s="3">
        <f>6821</f>
        <v>6821</v>
      </c>
      <c r="B6828" s="3" t="s">
        <v>6830</v>
      </c>
      <c r="C6828" s="3" t="s">
        <v>10</v>
      </c>
      <c r="D6828" s="3" t="s">
        <v>9</v>
      </c>
      <c r="E6828" s="3">
        <v>19</v>
      </c>
      <c r="F6828" s="3">
        <v>0</v>
      </c>
      <c r="G6828" s="3">
        <v>1</v>
      </c>
      <c r="H6828" s="3">
        <v>0</v>
      </c>
      <c r="I6828" s="3">
        <v>21</v>
      </c>
      <c r="J6828" s="3">
        <v>1</v>
      </c>
      <c r="K6828" s="3">
        <v>23</v>
      </c>
      <c r="L6828" s="3">
        <v>1</v>
      </c>
      <c r="M6828" s="3">
        <v>0</v>
      </c>
      <c r="N6828" s="3">
        <v>21</v>
      </c>
      <c r="O6828" s="3"/>
      <c r="P6828" s="3"/>
      <c r="Q6828" s="3"/>
    </row>
    <row r="6829" spans="1:17" ht="15" x14ac:dyDescent="0.25">
      <c r="A6829" s="3">
        <f>6822</f>
        <v>6822</v>
      </c>
      <c r="B6829" s="3" t="s">
        <v>6831</v>
      </c>
      <c r="C6829" s="3" t="s">
        <v>10</v>
      </c>
      <c r="D6829" s="3" t="s">
        <v>9</v>
      </c>
      <c r="E6829" s="3">
        <v>19</v>
      </c>
      <c r="F6829" s="3">
        <v>0</v>
      </c>
      <c r="G6829" s="3">
        <v>1</v>
      </c>
      <c r="H6829" s="3">
        <v>0</v>
      </c>
      <c r="I6829" s="3">
        <v>21</v>
      </c>
      <c r="J6829" s="3">
        <v>1</v>
      </c>
      <c r="K6829" s="3">
        <v>23</v>
      </c>
      <c r="L6829" s="3">
        <v>1</v>
      </c>
      <c r="M6829" s="3">
        <v>0</v>
      </c>
      <c r="N6829" s="3">
        <v>21</v>
      </c>
      <c r="O6829" s="3"/>
      <c r="P6829" s="3"/>
      <c r="Q6829" s="3"/>
    </row>
    <row r="6830" spans="1:17" ht="15" x14ac:dyDescent="0.25">
      <c r="A6830" s="3">
        <f>6823</f>
        <v>6823</v>
      </c>
      <c r="B6830" s="3" t="s">
        <v>6832</v>
      </c>
      <c r="C6830" s="3" t="s">
        <v>10</v>
      </c>
      <c r="D6830" s="3" t="s">
        <v>9</v>
      </c>
      <c r="E6830" s="3">
        <v>19</v>
      </c>
      <c r="F6830" s="3">
        <v>0</v>
      </c>
      <c r="G6830" s="3">
        <v>1</v>
      </c>
      <c r="H6830" s="3">
        <v>0</v>
      </c>
      <c r="I6830" s="3">
        <v>21</v>
      </c>
      <c r="J6830" s="3">
        <v>1</v>
      </c>
      <c r="K6830" s="3">
        <v>23</v>
      </c>
      <c r="L6830" s="3">
        <v>1</v>
      </c>
      <c r="M6830" s="3">
        <v>0</v>
      </c>
      <c r="N6830" s="3">
        <v>21</v>
      </c>
      <c r="O6830" s="3"/>
      <c r="P6830" s="3"/>
      <c r="Q6830" s="3"/>
    </row>
    <row r="6831" spans="1:17" ht="15" x14ac:dyDescent="0.25">
      <c r="A6831" s="3">
        <f>6824</f>
        <v>6824</v>
      </c>
      <c r="B6831" s="3" t="s">
        <v>6833</v>
      </c>
      <c r="C6831" s="3" t="s">
        <v>10</v>
      </c>
      <c r="D6831" s="3" t="s">
        <v>9</v>
      </c>
      <c r="E6831" s="3">
        <v>19</v>
      </c>
      <c r="F6831" s="3">
        <v>0</v>
      </c>
      <c r="G6831" s="3">
        <v>1</v>
      </c>
      <c r="H6831" s="3">
        <v>0</v>
      </c>
      <c r="I6831" s="3">
        <v>21</v>
      </c>
      <c r="J6831" s="3">
        <v>1</v>
      </c>
      <c r="K6831" s="3">
        <v>23</v>
      </c>
      <c r="L6831" s="3">
        <v>1</v>
      </c>
      <c r="M6831" s="3">
        <v>0</v>
      </c>
      <c r="N6831" s="3">
        <v>21</v>
      </c>
      <c r="O6831" s="3"/>
      <c r="P6831" s="3"/>
      <c r="Q6831" s="3"/>
    </row>
    <row r="6832" spans="1:17" ht="15" x14ac:dyDescent="0.25">
      <c r="A6832" s="3">
        <f>6825</f>
        <v>6825</v>
      </c>
      <c r="B6832" s="3" t="s">
        <v>6834</v>
      </c>
      <c r="C6832" s="3" t="s">
        <v>10</v>
      </c>
      <c r="D6832" s="3" t="s">
        <v>9</v>
      </c>
      <c r="E6832" s="3">
        <v>19</v>
      </c>
      <c r="F6832" s="3">
        <v>0</v>
      </c>
      <c r="G6832" s="3">
        <v>1</v>
      </c>
      <c r="H6832" s="3">
        <v>0</v>
      </c>
      <c r="I6832" s="3">
        <v>21</v>
      </c>
      <c r="J6832" s="3">
        <v>1</v>
      </c>
      <c r="K6832" s="3">
        <v>23</v>
      </c>
      <c r="L6832" s="3">
        <v>1</v>
      </c>
      <c r="M6832" s="3">
        <v>0</v>
      </c>
      <c r="N6832" s="3">
        <v>21</v>
      </c>
      <c r="O6832" s="3"/>
      <c r="P6832" s="3"/>
      <c r="Q6832" s="3"/>
    </row>
    <row r="6833" spans="1:17" ht="15" x14ac:dyDescent="0.25">
      <c r="A6833" s="3">
        <f>6826</f>
        <v>6826</v>
      </c>
      <c r="B6833" s="3" t="s">
        <v>6835</v>
      </c>
      <c r="C6833" s="3" t="s">
        <v>10</v>
      </c>
      <c r="D6833" s="3" t="s">
        <v>9</v>
      </c>
      <c r="E6833" s="3">
        <v>19</v>
      </c>
      <c r="F6833" s="3">
        <v>0</v>
      </c>
      <c r="G6833" s="3">
        <v>1</v>
      </c>
      <c r="H6833" s="3">
        <v>0</v>
      </c>
      <c r="I6833" s="3">
        <v>21</v>
      </c>
      <c r="J6833" s="3">
        <v>1</v>
      </c>
      <c r="K6833" s="3">
        <v>23</v>
      </c>
      <c r="L6833" s="3">
        <v>1</v>
      </c>
      <c r="M6833" s="3">
        <v>0</v>
      </c>
      <c r="N6833" s="3">
        <v>21</v>
      </c>
      <c r="O6833" s="3"/>
      <c r="P6833" s="3"/>
      <c r="Q6833" s="3"/>
    </row>
    <row r="6834" spans="1:17" ht="15" x14ac:dyDescent="0.25">
      <c r="A6834" s="3">
        <f>6827</f>
        <v>6827</v>
      </c>
      <c r="B6834" s="3" t="s">
        <v>6836</v>
      </c>
      <c r="C6834" s="3" t="s">
        <v>10</v>
      </c>
      <c r="D6834" s="3" t="s">
        <v>9</v>
      </c>
      <c r="E6834" s="3">
        <v>19</v>
      </c>
      <c r="F6834" s="3">
        <v>0</v>
      </c>
      <c r="G6834" s="3">
        <v>1</v>
      </c>
      <c r="H6834" s="3">
        <v>0</v>
      </c>
      <c r="I6834" s="3">
        <v>21</v>
      </c>
      <c r="J6834" s="3">
        <v>1</v>
      </c>
      <c r="K6834" s="3">
        <v>23</v>
      </c>
      <c r="L6834" s="3">
        <v>1</v>
      </c>
      <c r="M6834" s="3">
        <v>0</v>
      </c>
      <c r="N6834" s="3">
        <v>21</v>
      </c>
      <c r="O6834" s="3"/>
      <c r="P6834" s="3"/>
      <c r="Q6834" s="3"/>
    </row>
    <row r="6835" spans="1:17" ht="15" x14ac:dyDescent="0.25">
      <c r="A6835" s="3">
        <f>6828</f>
        <v>6828</v>
      </c>
      <c r="B6835" s="3" t="s">
        <v>6837</v>
      </c>
      <c r="C6835" s="3" t="s">
        <v>10</v>
      </c>
      <c r="D6835" s="3" t="s">
        <v>9</v>
      </c>
      <c r="E6835" s="3">
        <v>19</v>
      </c>
      <c r="F6835" s="3">
        <v>0</v>
      </c>
      <c r="G6835" s="3">
        <v>1</v>
      </c>
      <c r="H6835" s="3">
        <v>0</v>
      </c>
      <c r="I6835" s="3">
        <v>21</v>
      </c>
      <c r="J6835" s="3">
        <v>1</v>
      </c>
      <c r="K6835" s="3">
        <v>23</v>
      </c>
      <c r="L6835" s="3">
        <v>1</v>
      </c>
      <c r="M6835" s="3">
        <v>0</v>
      </c>
      <c r="N6835" s="3">
        <v>21</v>
      </c>
      <c r="O6835" s="3"/>
      <c r="P6835" s="3"/>
      <c r="Q6835" s="3"/>
    </row>
    <row r="6836" spans="1:17" ht="15" x14ac:dyDescent="0.25">
      <c r="A6836" s="3">
        <f>6829</f>
        <v>6829</v>
      </c>
      <c r="B6836" s="3" t="s">
        <v>6838</v>
      </c>
      <c r="C6836" s="3" t="s">
        <v>10</v>
      </c>
      <c r="D6836" s="3" t="s">
        <v>9</v>
      </c>
      <c r="E6836" s="3">
        <v>19</v>
      </c>
      <c r="F6836" s="3">
        <v>0</v>
      </c>
      <c r="G6836" s="3">
        <v>1</v>
      </c>
      <c r="H6836" s="3">
        <v>0</v>
      </c>
      <c r="I6836" s="3">
        <v>21</v>
      </c>
      <c r="J6836" s="3">
        <v>1</v>
      </c>
      <c r="K6836" s="3">
        <v>23</v>
      </c>
      <c r="L6836" s="3">
        <v>1</v>
      </c>
      <c r="M6836" s="3">
        <v>0</v>
      </c>
      <c r="N6836" s="3">
        <v>21</v>
      </c>
      <c r="O6836" s="3"/>
      <c r="P6836" s="3"/>
      <c r="Q6836" s="3"/>
    </row>
    <row r="6837" spans="1:17" ht="15" x14ac:dyDescent="0.25">
      <c r="A6837" s="3">
        <f>6830</f>
        <v>6830</v>
      </c>
      <c r="B6837" s="3" t="s">
        <v>6839</v>
      </c>
      <c r="C6837" s="3" t="s">
        <v>10</v>
      </c>
      <c r="D6837" s="3" t="s">
        <v>9</v>
      </c>
      <c r="E6837" s="3">
        <v>19</v>
      </c>
      <c r="F6837" s="3">
        <v>0</v>
      </c>
      <c r="G6837" s="3">
        <v>1</v>
      </c>
      <c r="H6837" s="3">
        <v>0</v>
      </c>
      <c r="I6837" s="3">
        <v>21</v>
      </c>
      <c r="J6837" s="3">
        <v>1</v>
      </c>
      <c r="K6837" s="3">
        <v>23</v>
      </c>
      <c r="L6837" s="3">
        <v>1</v>
      </c>
      <c r="M6837" s="3">
        <v>0</v>
      </c>
      <c r="N6837" s="3">
        <v>21</v>
      </c>
      <c r="O6837" s="3"/>
      <c r="P6837" s="3"/>
      <c r="Q6837" s="3"/>
    </row>
    <row r="6838" spans="1:17" ht="15" x14ac:dyDescent="0.25">
      <c r="A6838" s="3">
        <f>6831</f>
        <v>6831</v>
      </c>
      <c r="B6838" s="3" t="s">
        <v>6840</v>
      </c>
      <c r="C6838" s="3" t="s">
        <v>10</v>
      </c>
      <c r="D6838" s="3" t="s">
        <v>9</v>
      </c>
      <c r="E6838" s="3">
        <v>19</v>
      </c>
      <c r="F6838" s="3">
        <v>0</v>
      </c>
      <c r="G6838" s="3">
        <v>1</v>
      </c>
      <c r="H6838" s="3">
        <v>0</v>
      </c>
      <c r="I6838" s="3">
        <v>21</v>
      </c>
      <c r="J6838" s="3">
        <v>1</v>
      </c>
      <c r="K6838" s="3">
        <v>23</v>
      </c>
      <c r="L6838" s="3">
        <v>1</v>
      </c>
      <c r="M6838" s="3">
        <v>0</v>
      </c>
      <c r="N6838" s="3">
        <v>21</v>
      </c>
      <c r="O6838" s="3"/>
      <c r="P6838" s="3"/>
      <c r="Q6838" s="3"/>
    </row>
    <row r="6839" spans="1:17" ht="15" x14ac:dyDescent="0.25">
      <c r="A6839" s="3">
        <f>6832</f>
        <v>6832</v>
      </c>
      <c r="B6839" s="3" t="s">
        <v>6841</v>
      </c>
      <c r="C6839" s="3" t="s">
        <v>10</v>
      </c>
      <c r="D6839" s="3" t="s">
        <v>9</v>
      </c>
      <c r="E6839" s="3">
        <v>19</v>
      </c>
      <c r="F6839" s="3">
        <v>0</v>
      </c>
      <c r="G6839" s="3">
        <v>1</v>
      </c>
      <c r="H6839" s="3">
        <v>0</v>
      </c>
      <c r="I6839" s="3">
        <v>21</v>
      </c>
      <c r="J6839" s="3">
        <v>1</v>
      </c>
      <c r="K6839" s="3">
        <v>23</v>
      </c>
      <c r="L6839" s="3">
        <v>1</v>
      </c>
      <c r="M6839" s="3">
        <v>0</v>
      </c>
      <c r="N6839" s="3">
        <v>21</v>
      </c>
      <c r="O6839" s="3"/>
      <c r="P6839" s="3"/>
      <c r="Q6839" s="3"/>
    </row>
    <row r="6840" spans="1:17" ht="15" x14ac:dyDescent="0.25">
      <c r="A6840" s="3">
        <f>6833</f>
        <v>6833</v>
      </c>
      <c r="B6840" s="3" t="s">
        <v>6842</v>
      </c>
      <c r="C6840" s="3" t="s">
        <v>10</v>
      </c>
      <c r="D6840" s="3" t="s">
        <v>9</v>
      </c>
      <c r="E6840" s="3">
        <v>19</v>
      </c>
      <c r="F6840" s="3">
        <v>0</v>
      </c>
      <c r="G6840" s="3">
        <v>1</v>
      </c>
      <c r="H6840" s="3">
        <v>0</v>
      </c>
      <c r="I6840" s="3">
        <v>21</v>
      </c>
      <c r="J6840" s="3">
        <v>1</v>
      </c>
      <c r="K6840" s="3">
        <v>23</v>
      </c>
      <c r="L6840" s="3">
        <v>1</v>
      </c>
      <c r="M6840" s="3">
        <v>0</v>
      </c>
      <c r="N6840" s="3">
        <v>21</v>
      </c>
      <c r="O6840" s="3"/>
      <c r="P6840" s="3"/>
      <c r="Q6840" s="3"/>
    </row>
    <row r="6841" spans="1:17" ht="15" x14ac:dyDescent="0.25">
      <c r="A6841" s="3">
        <f>6834</f>
        <v>6834</v>
      </c>
      <c r="B6841" s="3" t="s">
        <v>6843</v>
      </c>
      <c r="C6841" s="3" t="s">
        <v>10</v>
      </c>
      <c r="D6841" s="3" t="s">
        <v>9</v>
      </c>
      <c r="E6841" s="3">
        <v>19</v>
      </c>
      <c r="F6841" s="3">
        <v>0</v>
      </c>
      <c r="G6841" s="3">
        <v>1</v>
      </c>
      <c r="H6841" s="3">
        <v>0</v>
      </c>
      <c r="I6841" s="3">
        <v>21</v>
      </c>
      <c r="J6841" s="3">
        <v>1</v>
      </c>
      <c r="K6841" s="3">
        <v>23</v>
      </c>
      <c r="L6841" s="3">
        <v>1</v>
      </c>
      <c r="M6841" s="3">
        <v>0</v>
      </c>
      <c r="N6841" s="3">
        <v>21</v>
      </c>
      <c r="O6841" s="3"/>
      <c r="P6841" s="3"/>
      <c r="Q6841" s="3"/>
    </row>
    <row r="6842" spans="1:17" ht="15" x14ac:dyDescent="0.25">
      <c r="A6842" s="3">
        <f>6835</f>
        <v>6835</v>
      </c>
      <c r="B6842" s="3" t="s">
        <v>6844</v>
      </c>
      <c r="C6842" s="3" t="s">
        <v>10</v>
      </c>
      <c r="D6842" s="3" t="s">
        <v>9</v>
      </c>
      <c r="E6842" s="3">
        <v>19</v>
      </c>
      <c r="F6842" s="3">
        <v>0</v>
      </c>
      <c r="G6842" s="3">
        <v>1</v>
      </c>
      <c r="H6842" s="3">
        <v>0</v>
      </c>
      <c r="I6842" s="3">
        <v>21</v>
      </c>
      <c r="J6842" s="3">
        <v>1</v>
      </c>
      <c r="K6842" s="3">
        <v>23</v>
      </c>
      <c r="L6842" s="3">
        <v>1</v>
      </c>
      <c r="M6842" s="3">
        <v>0</v>
      </c>
      <c r="N6842" s="3">
        <v>21</v>
      </c>
      <c r="O6842" s="3"/>
      <c r="P6842" s="3"/>
      <c r="Q6842" s="3"/>
    </row>
    <row r="6843" spans="1:17" ht="15" x14ac:dyDescent="0.25">
      <c r="A6843" s="3">
        <f>6836</f>
        <v>6836</v>
      </c>
      <c r="B6843" s="3" t="s">
        <v>6845</v>
      </c>
      <c r="C6843" s="3" t="s">
        <v>10</v>
      </c>
      <c r="D6843" s="3" t="s">
        <v>9</v>
      </c>
      <c r="E6843" s="3">
        <v>19</v>
      </c>
      <c r="F6843" s="3">
        <v>0</v>
      </c>
      <c r="G6843" s="3">
        <v>1</v>
      </c>
      <c r="H6843" s="3">
        <v>0</v>
      </c>
      <c r="I6843" s="3">
        <v>21</v>
      </c>
      <c r="J6843" s="3">
        <v>1</v>
      </c>
      <c r="K6843" s="3">
        <v>23</v>
      </c>
      <c r="L6843" s="3">
        <v>1</v>
      </c>
      <c r="M6843" s="3">
        <v>0</v>
      </c>
      <c r="N6843" s="3">
        <v>21</v>
      </c>
      <c r="O6843" s="3"/>
      <c r="P6843" s="3"/>
      <c r="Q6843" s="3"/>
    </row>
    <row r="6844" spans="1:17" ht="15" x14ac:dyDescent="0.25">
      <c r="A6844" s="3">
        <f>6837</f>
        <v>6837</v>
      </c>
      <c r="B6844" s="3" t="s">
        <v>6846</v>
      </c>
      <c r="C6844" s="3" t="s">
        <v>10</v>
      </c>
      <c r="D6844" s="3" t="s">
        <v>9</v>
      </c>
      <c r="E6844" s="3">
        <v>19</v>
      </c>
      <c r="F6844" s="3">
        <v>0</v>
      </c>
      <c r="G6844" s="3">
        <v>1</v>
      </c>
      <c r="H6844" s="3">
        <v>0</v>
      </c>
      <c r="I6844" s="3">
        <v>21</v>
      </c>
      <c r="J6844" s="3">
        <v>1</v>
      </c>
      <c r="K6844" s="3">
        <v>23</v>
      </c>
      <c r="L6844" s="3">
        <v>1</v>
      </c>
      <c r="M6844" s="3">
        <v>0</v>
      </c>
      <c r="N6844" s="3">
        <v>21</v>
      </c>
      <c r="O6844" s="3"/>
      <c r="P6844" s="3"/>
      <c r="Q6844" s="3"/>
    </row>
    <row r="6845" spans="1:17" ht="15" x14ac:dyDescent="0.25">
      <c r="A6845" s="3">
        <f>6838</f>
        <v>6838</v>
      </c>
      <c r="B6845" s="3" t="s">
        <v>6847</v>
      </c>
      <c r="C6845" s="3" t="s">
        <v>10</v>
      </c>
      <c r="D6845" s="3" t="s">
        <v>9</v>
      </c>
      <c r="E6845" s="3">
        <v>19</v>
      </c>
      <c r="F6845" s="3">
        <v>0</v>
      </c>
      <c r="G6845" s="3">
        <v>1</v>
      </c>
      <c r="H6845" s="3">
        <v>0</v>
      </c>
      <c r="I6845" s="3">
        <v>21</v>
      </c>
      <c r="J6845" s="3">
        <v>1</v>
      </c>
      <c r="K6845" s="3">
        <v>23</v>
      </c>
      <c r="L6845" s="3">
        <v>1</v>
      </c>
      <c r="M6845" s="3">
        <v>0</v>
      </c>
      <c r="N6845" s="3">
        <v>21</v>
      </c>
      <c r="O6845" s="3"/>
      <c r="P6845" s="3"/>
      <c r="Q6845" s="3"/>
    </row>
    <row r="6846" spans="1:17" ht="15" x14ac:dyDescent="0.25">
      <c r="A6846" s="3">
        <f>6839</f>
        <v>6839</v>
      </c>
      <c r="B6846" s="3" t="s">
        <v>6848</v>
      </c>
      <c r="C6846" s="3" t="s">
        <v>10</v>
      </c>
      <c r="D6846" s="3" t="s">
        <v>9</v>
      </c>
      <c r="E6846" s="3">
        <v>19</v>
      </c>
      <c r="F6846" s="3">
        <v>0</v>
      </c>
      <c r="G6846" s="3">
        <v>1</v>
      </c>
      <c r="H6846" s="3">
        <v>0</v>
      </c>
      <c r="I6846" s="3">
        <v>21</v>
      </c>
      <c r="J6846" s="3">
        <v>1</v>
      </c>
      <c r="K6846" s="3">
        <v>23</v>
      </c>
      <c r="L6846" s="3">
        <v>1</v>
      </c>
      <c r="M6846" s="3">
        <v>0</v>
      </c>
      <c r="N6846" s="3">
        <v>21</v>
      </c>
      <c r="O6846" s="3"/>
      <c r="P6846" s="3"/>
      <c r="Q6846" s="3"/>
    </row>
    <row r="6847" spans="1:17" ht="15" x14ac:dyDescent="0.25">
      <c r="A6847" s="3">
        <f>6840</f>
        <v>6840</v>
      </c>
      <c r="B6847" s="3" t="s">
        <v>6849</v>
      </c>
      <c r="C6847" s="3" t="s">
        <v>10</v>
      </c>
      <c r="D6847" s="3" t="s">
        <v>9</v>
      </c>
      <c r="E6847" s="3">
        <v>19</v>
      </c>
      <c r="F6847" s="3">
        <v>0</v>
      </c>
      <c r="G6847" s="3">
        <v>1</v>
      </c>
      <c r="H6847" s="3">
        <v>0</v>
      </c>
      <c r="I6847" s="3">
        <v>21</v>
      </c>
      <c r="J6847" s="3">
        <v>1</v>
      </c>
      <c r="K6847" s="3">
        <v>23</v>
      </c>
      <c r="L6847" s="3">
        <v>1</v>
      </c>
      <c r="M6847" s="3">
        <v>0</v>
      </c>
      <c r="N6847" s="3">
        <v>21</v>
      </c>
      <c r="O6847" s="3"/>
      <c r="P6847" s="3"/>
      <c r="Q6847" s="3"/>
    </row>
    <row r="6848" spans="1:17" ht="15" x14ac:dyDescent="0.25">
      <c r="A6848" s="3">
        <f>6841</f>
        <v>6841</v>
      </c>
      <c r="B6848" s="3" t="s">
        <v>6850</v>
      </c>
      <c r="C6848" s="3" t="s">
        <v>10</v>
      </c>
      <c r="D6848" s="3" t="s">
        <v>9</v>
      </c>
      <c r="E6848" s="3">
        <v>19</v>
      </c>
      <c r="F6848" s="3">
        <v>0</v>
      </c>
      <c r="G6848" s="3">
        <v>1</v>
      </c>
      <c r="H6848" s="3">
        <v>0</v>
      </c>
      <c r="I6848" s="3">
        <v>21</v>
      </c>
      <c r="J6848" s="3">
        <v>1</v>
      </c>
      <c r="K6848" s="3">
        <v>23</v>
      </c>
      <c r="L6848" s="3">
        <v>1</v>
      </c>
      <c r="M6848" s="3">
        <v>0</v>
      </c>
      <c r="N6848" s="3">
        <v>21</v>
      </c>
      <c r="O6848" s="3"/>
      <c r="P6848" s="3"/>
      <c r="Q6848" s="3"/>
    </row>
    <row r="6849" spans="1:17" ht="15" x14ac:dyDescent="0.25">
      <c r="A6849" s="3">
        <f>6842</f>
        <v>6842</v>
      </c>
      <c r="B6849" s="3" t="s">
        <v>6851</v>
      </c>
      <c r="C6849" s="3" t="s">
        <v>10</v>
      </c>
      <c r="D6849" s="3" t="s">
        <v>9</v>
      </c>
      <c r="E6849" s="3">
        <v>19</v>
      </c>
      <c r="F6849" s="3">
        <v>0</v>
      </c>
      <c r="G6849" s="3">
        <v>1</v>
      </c>
      <c r="H6849" s="3">
        <v>0</v>
      </c>
      <c r="I6849" s="3">
        <v>21</v>
      </c>
      <c r="J6849" s="3">
        <v>1</v>
      </c>
      <c r="K6849" s="3">
        <v>23</v>
      </c>
      <c r="L6849" s="3">
        <v>1</v>
      </c>
      <c r="M6849" s="3">
        <v>0</v>
      </c>
      <c r="N6849" s="3">
        <v>21</v>
      </c>
      <c r="O6849" s="3"/>
      <c r="P6849" s="3"/>
      <c r="Q6849" s="3"/>
    </row>
    <row r="6850" spans="1:17" ht="15" x14ac:dyDescent="0.25">
      <c r="A6850" s="3">
        <f>6843</f>
        <v>6843</v>
      </c>
      <c r="B6850" s="3" t="s">
        <v>6852</v>
      </c>
      <c r="C6850" s="3" t="s">
        <v>10</v>
      </c>
      <c r="D6850" s="3" t="s">
        <v>9</v>
      </c>
      <c r="E6850" s="3">
        <v>19</v>
      </c>
      <c r="F6850" s="3">
        <v>0</v>
      </c>
      <c r="G6850" s="3">
        <v>1</v>
      </c>
      <c r="H6850" s="3">
        <v>0</v>
      </c>
      <c r="I6850" s="3">
        <v>21</v>
      </c>
      <c r="J6850" s="3">
        <v>1</v>
      </c>
      <c r="K6850" s="3">
        <v>23</v>
      </c>
      <c r="L6850" s="3">
        <v>1</v>
      </c>
      <c r="M6850" s="3">
        <v>0</v>
      </c>
      <c r="N6850" s="3">
        <v>21</v>
      </c>
      <c r="O6850" s="3"/>
      <c r="P6850" s="3"/>
      <c r="Q6850" s="3"/>
    </row>
    <row r="6851" spans="1:17" ht="15" x14ac:dyDescent="0.25">
      <c r="A6851" s="3">
        <f>6844</f>
        <v>6844</v>
      </c>
      <c r="B6851" s="3" t="s">
        <v>6853</v>
      </c>
      <c r="C6851" s="3" t="s">
        <v>10</v>
      </c>
      <c r="D6851" s="3" t="s">
        <v>9</v>
      </c>
      <c r="E6851" s="3">
        <v>19</v>
      </c>
      <c r="F6851" s="3">
        <v>0</v>
      </c>
      <c r="G6851" s="3">
        <v>1</v>
      </c>
      <c r="H6851" s="3">
        <v>0</v>
      </c>
      <c r="I6851" s="3">
        <v>21</v>
      </c>
      <c r="J6851" s="3">
        <v>1</v>
      </c>
      <c r="K6851" s="3">
        <v>23</v>
      </c>
      <c r="L6851" s="3">
        <v>1</v>
      </c>
      <c r="M6851" s="3">
        <v>0</v>
      </c>
      <c r="N6851" s="3">
        <v>21</v>
      </c>
      <c r="O6851" s="3"/>
      <c r="P6851" s="3"/>
      <c r="Q6851" s="3"/>
    </row>
    <row r="6852" spans="1:17" ht="15" x14ac:dyDescent="0.25">
      <c r="A6852" s="3">
        <f>6845</f>
        <v>6845</v>
      </c>
      <c r="B6852" s="3" t="s">
        <v>6854</v>
      </c>
      <c r="C6852" s="3" t="s">
        <v>10</v>
      </c>
      <c r="D6852" s="3" t="s">
        <v>9</v>
      </c>
      <c r="E6852" s="3">
        <v>19</v>
      </c>
      <c r="F6852" s="3">
        <v>0</v>
      </c>
      <c r="G6852" s="3">
        <v>1</v>
      </c>
      <c r="H6852" s="3">
        <v>0</v>
      </c>
      <c r="I6852" s="3">
        <v>21</v>
      </c>
      <c r="J6852" s="3">
        <v>1</v>
      </c>
      <c r="K6852" s="3">
        <v>23</v>
      </c>
      <c r="L6852" s="3">
        <v>1</v>
      </c>
      <c r="M6852" s="3">
        <v>0</v>
      </c>
      <c r="N6852" s="3">
        <v>21</v>
      </c>
      <c r="O6852" s="3"/>
      <c r="P6852" s="3"/>
      <c r="Q6852" s="3"/>
    </row>
    <row r="6853" spans="1:17" ht="15" x14ac:dyDescent="0.25">
      <c r="A6853" s="3">
        <f>6846</f>
        <v>6846</v>
      </c>
      <c r="B6853" s="3" t="s">
        <v>6855</v>
      </c>
      <c r="C6853" s="3" t="s">
        <v>10</v>
      </c>
      <c r="D6853" s="3" t="s">
        <v>9</v>
      </c>
      <c r="E6853" s="3">
        <v>19</v>
      </c>
      <c r="F6853" s="3">
        <v>0</v>
      </c>
      <c r="G6853" s="3">
        <v>1</v>
      </c>
      <c r="H6853" s="3">
        <v>0</v>
      </c>
      <c r="I6853" s="3">
        <v>21</v>
      </c>
      <c r="J6853" s="3">
        <v>1</v>
      </c>
      <c r="K6853" s="3">
        <v>23</v>
      </c>
      <c r="L6853" s="3">
        <v>1</v>
      </c>
      <c r="M6853" s="3">
        <v>0</v>
      </c>
      <c r="N6853" s="3">
        <v>21</v>
      </c>
      <c r="O6853" s="3"/>
      <c r="P6853" s="3"/>
      <c r="Q6853" s="3"/>
    </row>
    <row r="6854" spans="1:17" ht="15" x14ac:dyDescent="0.25">
      <c r="A6854" s="3">
        <f>6847</f>
        <v>6847</v>
      </c>
      <c r="B6854" s="3" t="s">
        <v>6856</v>
      </c>
      <c r="C6854" s="3" t="s">
        <v>10</v>
      </c>
      <c r="D6854" s="3" t="s">
        <v>9</v>
      </c>
      <c r="E6854" s="3">
        <v>19</v>
      </c>
      <c r="F6854" s="3">
        <v>0</v>
      </c>
      <c r="G6854" s="3">
        <v>1</v>
      </c>
      <c r="H6854" s="3">
        <v>0</v>
      </c>
      <c r="I6854" s="3">
        <v>21</v>
      </c>
      <c r="J6854" s="3">
        <v>1</v>
      </c>
      <c r="K6854" s="3">
        <v>23</v>
      </c>
      <c r="L6854" s="3">
        <v>1</v>
      </c>
      <c r="M6854" s="3">
        <v>0</v>
      </c>
      <c r="N6854" s="3">
        <v>21</v>
      </c>
      <c r="O6854" s="3"/>
      <c r="P6854" s="3"/>
      <c r="Q6854" s="3"/>
    </row>
    <row r="6855" spans="1:17" ht="15" x14ac:dyDescent="0.25">
      <c r="A6855" s="3">
        <f>6848</f>
        <v>6848</v>
      </c>
      <c r="B6855" s="3" t="s">
        <v>6857</v>
      </c>
      <c r="C6855" s="3" t="s">
        <v>10</v>
      </c>
      <c r="D6855" s="3" t="s">
        <v>9</v>
      </c>
      <c r="E6855" s="3">
        <v>19</v>
      </c>
      <c r="F6855" s="3">
        <v>0</v>
      </c>
      <c r="G6855" s="3">
        <v>1</v>
      </c>
      <c r="H6855" s="3">
        <v>0</v>
      </c>
      <c r="I6855" s="3">
        <v>21</v>
      </c>
      <c r="J6855" s="3">
        <v>1</v>
      </c>
      <c r="K6855" s="3">
        <v>23</v>
      </c>
      <c r="L6855" s="3">
        <v>1</v>
      </c>
      <c r="M6855" s="3">
        <v>0</v>
      </c>
      <c r="N6855" s="3">
        <v>21</v>
      </c>
      <c r="O6855" s="3"/>
      <c r="P6855" s="3"/>
      <c r="Q6855" s="3"/>
    </row>
    <row r="6856" spans="1:17" ht="15" x14ac:dyDescent="0.25">
      <c r="A6856" s="3">
        <f>6849</f>
        <v>6849</v>
      </c>
      <c r="B6856" s="3" t="s">
        <v>6858</v>
      </c>
      <c r="C6856" s="3" t="s">
        <v>10</v>
      </c>
      <c r="D6856" s="3" t="s">
        <v>9</v>
      </c>
      <c r="E6856" s="3">
        <v>19</v>
      </c>
      <c r="F6856" s="3">
        <v>0</v>
      </c>
      <c r="G6856" s="3">
        <v>1</v>
      </c>
      <c r="H6856" s="3">
        <v>0</v>
      </c>
      <c r="I6856" s="3">
        <v>21</v>
      </c>
      <c r="J6856" s="3">
        <v>1</v>
      </c>
      <c r="K6856" s="3">
        <v>23</v>
      </c>
      <c r="L6856" s="3">
        <v>1</v>
      </c>
      <c r="M6856" s="3">
        <v>0</v>
      </c>
      <c r="N6856" s="3">
        <v>21</v>
      </c>
      <c r="O6856" s="3"/>
      <c r="P6856" s="3"/>
      <c r="Q6856" s="3"/>
    </row>
    <row r="6857" spans="1:17" ht="15" x14ac:dyDescent="0.25">
      <c r="A6857" s="3">
        <f>6850</f>
        <v>6850</v>
      </c>
      <c r="B6857" s="3" t="s">
        <v>6859</v>
      </c>
      <c r="C6857" s="3" t="s">
        <v>10</v>
      </c>
      <c r="D6857" s="3" t="s">
        <v>9</v>
      </c>
      <c r="E6857" s="3">
        <v>19</v>
      </c>
      <c r="F6857" s="3">
        <v>0</v>
      </c>
      <c r="G6857" s="3">
        <v>1</v>
      </c>
      <c r="H6857" s="3">
        <v>0</v>
      </c>
      <c r="I6857" s="3">
        <v>21</v>
      </c>
      <c r="J6857" s="3">
        <v>1</v>
      </c>
      <c r="K6857" s="3">
        <v>23</v>
      </c>
      <c r="L6857" s="3">
        <v>1</v>
      </c>
      <c r="M6857" s="3">
        <v>0</v>
      </c>
      <c r="N6857" s="3">
        <v>21</v>
      </c>
      <c r="O6857" s="3"/>
      <c r="P6857" s="3"/>
      <c r="Q6857" s="3"/>
    </row>
    <row r="6858" spans="1:17" ht="15" x14ac:dyDescent="0.25">
      <c r="A6858" s="3">
        <f>6851</f>
        <v>6851</v>
      </c>
      <c r="B6858" s="3" t="s">
        <v>6860</v>
      </c>
      <c r="C6858" s="3" t="s">
        <v>10</v>
      </c>
      <c r="D6858" s="3" t="s">
        <v>9</v>
      </c>
      <c r="E6858" s="3">
        <v>19</v>
      </c>
      <c r="F6858" s="3">
        <v>0</v>
      </c>
      <c r="G6858" s="3">
        <v>1</v>
      </c>
      <c r="H6858" s="3">
        <v>0</v>
      </c>
      <c r="I6858" s="3">
        <v>21</v>
      </c>
      <c r="J6858" s="3">
        <v>1</v>
      </c>
      <c r="K6858" s="3">
        <v>23</v>
      </c>
      <c r="L6858" s="3">
        <v>1</v>
      </c>
      <c r="M6858" s="3">
        <v>0</v>
      </c>
      <c r="N6858" s="3">
        <v>21</v>
      </c>
      <c r="O6858" s="3"/>
      <c r="P6858" s="3"/>
      <c r="Q6858" s="3"/>
    </row>
    <row r="6859" spans="1:17" ht="15" x14ac:dyDescent="0.25">
      <c r="A6859" s="3">
        <f>6852</f>
        <v>6852</v>
      </c>
      <c r="B6859" s="3" t="s">
        <v>6861</v>
      </c>
      <c r="C6859" s="3" t="s">
        <v>10</v>
      </c>
      <c r="D6859" s="3" t="s">
        <v>9</v>
      </c>
      <c r="E6859" s="3">
        <v>19</v>
      </c>
      <c r="F6859" s="3">
        <v>0</v>
      </c>
      <c r="G6859" s="3">
        <v>1</v>
      </c>
      <c r="H6859" s="3">
        <v>0</v>
      </c>
      <c r="I6859" s="3">
        <v>21</v>
      </c>
      <c r="J6859" s="3">
        <v>1</v>
      </c>
      <c r="K6859" s="3">
        <v>23</v>
      </c>
      <c r="L6859" s="3">
        <v>1</v>
      </c>
      <c r="M6859" s="3">
        <v>0</v>
      </c>
      <c r="N6859" s="3">
        <v>21</v>
      </c>
      <c r="O6859" s="3"/>
      <c r="P6859" s="3"/>
      <c r="Q6859" s="3"/>
    </row>
    <row r="6860" spans="1:17" ht="15" x14ac:dyDescent="0.25">
      <c r="A6860" s="3">
        <f>6853</f>
        <v>6853</v>
      </c>
      <c r="B6860" s="3" t="s">
        <v>6862</v>
      </c>
      <c r="C6860" s="3" t="s">
        <v>10</v>
      </c>
      <c r="D6860" s="3" t="s">
        <v>9</v>
      </c>
      <c r="E6860" s="3">
        <v>19</v>
      </c>
      <c r="F6860" s="3">
        <v>0</v>
      </c>
      <c r="G6860" s="3">
        <v>1</v>
      </c>
      <c r="H6860" s="3">
        <v>0</v>
      </c>
      <c r="I6860" s="3">
        <v>21</v>
      </c>
      <c r="J6860" s="3">
        <v>1</v>
      </c>
      <c r="K6860" s="3">
        <v>23</v>
      </c>
      <c r="L6860" s="3">
        <v>1</v>
      </c>
      <c r="M6860" s="3">
        <v>0</v>
      </c>
      <c r="N6860" s="3">
        <v>21</v>
      </c>
      <c r="O6860" s="3"/>
      <c r="P6860" s="3"/>
      <c r="Q6860" s="3"/>
    </row>
    <row r="6861" spans="1:17" ht="15" x14ac:dyDescent="0.25">
      <c r="A6861" s="3">
        <f>6854</f>
        <v>6854</v>
      </c>
      <c r="B6861" s="3" t="s">
        <v>6863</v>
      </c>
      <c r="C6861" s="3" t="s">
        <v>10</v>
      </c>
      <c r="D6861" s="3" t="s">
        <v>9</v>
      </c>
      <c r="E6861" s="3">
        <v>19</v>
      </c>
      <c r="F6861" s="3">
        <v>0</v>
      </c>
      <c r="G6861" s="3">
        <v>1</v>
      </c>
      <c r="H6861" s="3">
        <v>0</v>
      </c>
      <c r="I6861" s="3">
        <v>21</v>
      </c>
      <c r="J6861" s="3">
        <v>1</v>
      </c>
      <c r="K6861" s="3">
        <v>23</v>
      </c>
      <c r="L6861" s="3">
        <v>1</v>
      </c>
      <c r="M6861" s="3">
        <v>0</v>
      </c>
      <c r="N6861" s="3">
        <v>21</v>
      </c>
      <c r="O6861" s="3"/>
      <c r="P6861" s="3"/>
      <c r="Q6861" s="3"/>
    </row>
    <row r="6862" spans="1:17" ht="15" x14ac:dyDescent="0.25">
      <c r="A6862" s="3">
        <f>6855</f>
        <v>6855</v>
      </c>
      <c r="B6862" s="3" t="s">
        <v>6864</v>
      </c>
      <c r="C6862" s="3" t="s">
        <v>10</v>
      </c>
      <c r="D6862" s="3" t="s">
        <v>9</v>
      </c>
      <c r="E6862" s="3">
        <v>19</v>
      </c>
      <c r="F6862" s="3">
        <v>0</v>
      </c>
      <c r="G6862" s="3">
        <v>1</v>
      </c>
      <c r="H6862" s="3">
        <v>0</v>
      </c>
      <c r="I6862" s="3">
        <v>21</v>
      </c>
      <c r="J6862" s="3">
        <v>1</v>
      </c>
      <c r="K6862" s="3">
        <v>23</v>
      </c>
      <c r="L6862" s="3">
        <v>1</v>
      </c>
      <c r="M6862" s="3">
        <v>0</v>
      </c>
      <c r="N6862" s="3">
        <v>21</v>
      </c>
      <c r="O6862" s="3"/>
      <c r="P6862" s="3"/>
      <c r="Q6862" s="3"/>
    </row>
    <row r="6863" spans="1:17" ht="15" x14ac:dyDescent="0.25">
      <c r="A6863" s="3">
        <f>6856</f>
        <v>6856</v>
      </c>
      <c r="B6863" s="3" t="s">
        <v>6865</v>
      </c>
      <c r="C6863" s="3" t="s">
        <v>10</v>
      </c>
      <c r="D6863" s="3" t="s">
        <v>9</v>
      </c>
      <c r="E6863" s="3">
        <v>19</v>
      </c>
      <c r="F6863" s="3">
        <v>0</v>
      </c>
      <c r="G6863" s="3">
        <v>1</v>
      </c>
      <c r="H6863" s="3">
        <v>0</v>
      </c>
      <c r="I6863" s="3">
        <v>21</v>
      </c>
      <c r="J6863" s="3">
        <v>1</v>
      </c>
      <c r="K6863" s="3">
        <v>23</v>
      </c>
      <c r="L6863" s="3">
        <v>1</v>
      </c>
      <c r="M6863" s="3">
        <v>0</v>
      </c>
      <c r="N6863" s="3">
        <v>21</v>
      </c>
      <c r="O6863" s="3"/>
      <c r="P6863" s="3"/>
      <c r="Q6863" s="3"/>
    </row>
    <row r="6864" spans="1:17" ht="15" x14ac:dyDescent="0.25">
      <c r="A6864" s="3">
        <f>6857</f>
        <v>6857</v>
      </c>
      <c r="B6864" s="3" t="s">
        <v>6866</v>
      </c>
      <c r="C6864" s="3" t="s">
        <v>10</v>
      </c>
      <c r="D6864" s="3" t="s">
        <v>9</v>
      </c>
      <c r="E6864" s="3">
        <v>19</v>
      </c>
      <c r="F6864" s="3">
        <v>0</v>
      </c>
      <c r="G6864" s="3">
        <v>1</v>
      </c>
      <c r="H6864" s="3">
        <v>0</v>
      </c>
      <c r="I6864" s="3">
        <v>21</v>
      </c>
      <c r="J6864" s="3">
        <v>1</v>
      </c>
      <c r="K6864" s="3">
        <v>23</v>
      </c>
      <c r="L6864" s="3">
        <v>1</v>
      </c>
      <c r="M6864" s="3">
        <v>0</v>
      </c>
      <c r="N6864" s="3">
        <v>21</v>
      </c>
      <c r="O6864" s="3"/>
      <c r="P6864" s="3"/>
      <c r="Q6864" s="3"/>
    </row>
    <row r="6865" spans="1:17" ht="15" x14ac:dyDescent="0.25">
      <c r="A6865" s="3">
        <f>6858</f>
        <v>6858</v>
      </c>
      <c r="B6865" s="3" t="s">
        <v>6867</v>
      </c>
      <c r="C6865" s="3" t="s">
        <v>10</v>
      </c>
      <c r="D6865" s="3" t="s">
        <v>9</v>
      </c>
      <c r="E6865" s="3">
        <v>19</v>
      </c>
      <c r="F6865" s="3">
        <v>0</v>
      </c>
      <c r="G6865" s="3">
        <v>1</v>
      </c>
      <c r="H6865" s="3">
        <v>0</v>
      </c>
      <c r="I6865" s="3">
        <v>21</v>
      </c>
      <c r="J6865" s="3">
        <v>1</v>
      </c>
      <c r="K6865" s="3">
        <v>23</v>
      </c>
      <c r="L6865" s="3">
        <v>1</v>
      </c>
      <c r="M6865" s="3">
        <v>0</v>
      </c>
      <c r="N6865" s="3">
        <v>21</v>
      </c>
      <c r="O6865" s="3"/>
      <c r="P6865" s="3"/>
      <c r="Q6865" s="3"/>
    </row>
    <row r="6866" spans="1:17" ht="15" x14ac:dyDescent="0.25">
      <c r="A6866" s="3">
        <f>6859</f>
        <v>6859</v>
      </c>
      <c r="B6866" s="3" t="s">
        <v>6868</v>
      </c>
      <c r="C6866" s="3" t="s">
        <v>10</v>
      </c>
      <c r="D6866" s="3" t="s">
        <v>9</v>
      </c>
      <c r="E6866" s="3">
        <v>19</v>
      </c>
      <c r="F6866" s="3">
        <v>0</v>
      </c>
      <c r="G6866" s="3">
        <v>1</v>
      </c>
      <c r="H6866" s="3">
        <v>0</v>
      </c>
      <c r="I6866" s="3">
        <v>21</v>
      </c>
      <c r="J6866" s="3">
        <v>1</v>
      </c>
      <c r="K6866" s="3">
        <v>23</v>
      </c>
      <c r="L6866" s="3">
        <v>1</v>
      </c>
      <c r="M6866" s="3">
        <v>0</v>
      </c>
      <c r="N6866" s="3">
        <v>21</v>
      </c>
      <c r="O6866" s="3"/>
      <c r="P6866" s="3"/>
      <c r="Q6866" s="3"/>
    </row>
    <row r="6867" spans="1:17" ht="15" x14ac:dyDescent="0.25">
      <c r="A6867" s="3">
        <f>6860</f>
        <v>6860</v>
      </c>
      <c r="B6867" s="3" t="s">
        <v>6869</v>
      </c>
      <c r="C6867" s="3" t="s">
        <v>10</v>
      </c>
      <c r="D6867" s="3" t="s">
        <v>9</v>
      </c>
      <c r="E6867" s="3">
        <v>19</v>
      </c>
      <c r="F6867" s="3">
        <v>0</v>
      </c>
      <c r="G6867" s="3">
        <v>1</v>
      </c>
      <c r="H6867" s="3">
        <v>0</v>
      </c>
      <c r="I6867" s="3">
        <v>21</v>
      </c>
      <c r="J6867" s="3">
        <v>1</v>
      </c>
      <c r="K6867" s="3">
        <v>23</v>
      </c>
      <c r="L6867" s="3">
        <v>1</v>
      </c>
      <c r="M6867" s="3">
        <v>0</v>
      </c>
      <c r="N6867" s="3">
        <v>21</v>
      </c>
      <c r="O6867" s="3"/>
      <c r="P6867" s="3"/>
      <c r="Q6867" s="3"/>
    </row>
    <row r="6868" spans="1:17" ht="15" x14ac:dyDescent="0.25">
      <c r="A6868" s="3">
        <f>6861</f>
        <v>6861</v>
      </c>
      <c r="B6868" s="3" t="s">
        <v>6870</v>
      </c>
      <c r="C6868" s="3" t="s">
        <v>10</v>
      </c>
      <c r="D6868" s="3" t="s">
        <v>9</v>
      </c>
      <c r="E6868" s="3">
        <v>19</v>
      </c>
      <c r="F6868" s="3">
        <v>0</v>
      </c>
      <c r="G6868" s="3">
        <v>1</v>
      </c>
      <c r="H6868" s="3">
        <v>0</v>
      </c>
      <c r="I6868" s="3">
        <v>21</v>
      </c>
      <c r="J6868" s="3">
        <v>1</v>
      </c>
      <c r="K6868" s="3">
        <v>23</v>
      </c>
      <c r="L6868" s="3">
        <v>1</v>
      </c>
      <c r="M6868" s="3">
        <v>0</v>
      </c>
      <c r="N6868" s="3">
        <v>21</v>
      </c>
      <c r="O6868" s="3"/>
      <c r="P6868" s="3"/>
      <c r="Q6868" s="3"/>
    </row>
    <row r="6869" spans="1:17" ht="15" x14ac:dyDescent="0.25">
      <c r="A6869" s="3">
        <f>6862</f>
        <v>6862</v>
      </c>
      <c r="B6869" s="3" t="s">
        <v>6871</v>
      </c>
      <c r="C6869" s="3" t="s">
        <v>10</v>
      </c>
      <c r="D6869" s="3" t="s">
        <v>9</v>
      </c>
      <c r="E6869" s="3">
        <v>19</v>
      </c>
      <c r="F6869" s="3">
        <v>0</v>
      </c>
      <c r="G6869" s="3">
        <v>1</v>
      </c>
      <c r="H6869" s="3">
        <v>0</v>
      </c>
      <c r="I6869" s="3">
        <v>21</v>
      </c>
      <c r="J6869" s="3">
        <v>1</v>
      </c>
      <c r="K6869" s="3">
        <v>23</v>
      </c>
      <c r="L6869" s="3">
        <v>1</v>
      </c>
      <c r="M6869" s="3">
        <v>0</v>
      </c>
      <c r="N6869" s="3">
        <v>21</v>
      </c>
      <c r="O6869" s="3"/>
      <c r="P6869" s="3"/>
      <c r="Q6869" s="3"/>
    </row>
    <row r="6870" spans="1:17" ht="15" x14ac:dyDescent="0.25">
      <c r="A6870" s="3">
        <f>6863</f>
        <v>6863</v>
      </c>
      <c r="B6870" s="3" t="s">
        <v>6872</v>
      </c>
      <c r="C6870" s="3" t="s">
        <v>10</v>
      </c>
      <c r="D6870" s="3" t="s">
        <v>9</v>
      </c>
      <c r="E6870" s="3">
        <v>19</v>
      </c>
      <c r="F6870" s="3">
        <v>0</v>
      </c>
      <c r="G6870" s="3">
        <v>1</v>
      </c>
      <c r="H6870" s="3">
        <v>0</v>
      </c>
      <c r="I6870" s="3">
        <v>21</v>
      </c>
      <c r="J6870" s="3">
        <v>1</v>
      </c>
      <c r="K6870" s="3">
        <v>23</v>
      </c>
      <c r="L6870" s="3">
        <v>1</v>
      </c>
      <c r="M6870" s="3">
        <v>0</v>
      </c>
      <c r="N6870" s="3">
        <v>21</v>
      </c>
      <c r="O6870" s="3"/>
      <c r="P6870" s="3"/>
      <c r="Q6870" s="3"/>
    </row>
    <row r="6871" spans="1:17" ht="15" x14ac:dyDescent="0.25">
      <c r="A6871" s="3">
        <f>6864</f>
        <v>6864</v>
      </c>
      <c r="B6871" s="3" t="s">
        <v>6873</v>
      </c>
      <c r="C6871" s="3" t="s">
        <v>10</v>
      </c>
      <c r="D6871" s="3" t="s">
        <v>9</v>
      </c>
      <c r="E6871" s="3">
        <v>19</v>
      </c>
      <c r="F6871" s="3">
        <v>0</v>
      </c>
      <c r="G6871" s="3">
        <v>1</v>
      </c>
      <c r="H6871" s="3">
        <v>0</v>
      </c>
      <c r="I6871" s="3">
        <v>21</v>
      </c>
      <c r="J6871" s="3">
        <v>1</v>
      </c>
      <c r="K6871" s="3">
        <v>23</v>
      </c>
      <c r="L6871" s="3">
        <v>1</v>
      </c>
      <c r="M6871" s="3">
        <v>0</v>
      </c>
      <c r="N6871" s="3">
        <v>21</v>
      </c>
      <c r="O6871" s="3"/>
      <c r="P6871" s="3"/>
      <c r="Q6871" s="3"/>
    </row>
    <row r="6872" spans="1:17" ht="15" x14ac:dyDescent="0.25">
      <c r="A6872" s="3">
        <f>6865</f>
        <v>6865</v>
      </c>
      <c r="B6872" s="3" t="s">
        <v>6874</v>
      </c>
      <c r="C6872" s="3" t="s">
        <v>10</v>
      </c>
      <c r="D6872" s="3" t="s">
        <v>9</v>
      </c>
      <c r="E6872" s="3">
        <v>19</v>
      </c>
      <c r="F6872" s="3">
        <v>0</v>
      </c>
      <c r="G6872" s="3">
        <v>1</v>
      </c>
      <c r="H6872" s="3">
        <v>0</v>
      </c>
      <c r="I6872" s="3">
        <v>21</v>
      </c>
      <c r="J6872" s="3">
        <v>1</v>
      </c>
      <c r="K6872" s="3">
        <v>23</v>
      </c>
      <c r="L6872" s="3">
        <v>1</v>
      </c>
      <c r="M6872" s="3">
        <v>0</v>
      </c>
      <c r="N6872" s="3">
        <v>21</v>
      </c>
      <c r="O6872" s="3"/>
      <c r="P6872" s="3"/>
      <c r="Q6872" s="3"/>
    </row>
    <row r="6873" spans="1:17" ht="15" x14ac:dyDescent="0.25">
      <c r="A6873" s="3">
        <f>6866</f>
        <v>6866</v>
      </c>
      <c r="B6873" s="3" t="s">
        <v>6875</v>
      </c>
      <c r="C6873" s="3" t="s">
        <v>10</v>
      </c>
      <c r="D6873" s="3" t="s">
        <v>9</v>
      </c>
      <c r="E6873" s="3">
        <v>19</v>
      </c>
      <c r="F6873" s="3">
        <v>0</v>
      </c>
      <c r="G6873" s="3">
        <v>1</v>
      </c>
      <c r="H6873" s="3">
        <v>0</v>
      </c>
      <c r="I6873" s="3">
        <v>21</v>
      </c>
      <c r="J6873" s="3">
        <v>1</v>
      </c>
      <c r="K6873" s="3">
        <v>23</v>
      </c>
      <c r="L6873" s="3">
        <v>1</v>
      </c>
      <c r="M6873" s="3">
        <v>0</v>
      </c>
      <c r="N6873" s="3">
        <v>21</v>
      </c>
      <c r="O6873" s="3"/>
      <c r="P6873" s="3"/>
      <c r="Q6873" s="3"/>
    </row>
    <row r="6874" spans="1:17" ht="15" x14ac:dyDescent="0.25">
      <c r="A6874" s="3">
        <f>6867</f>
        <v>6867</v>
      </c>
      <c r="B6874" s="3" t="s">
        <v>6876</v>
      </c>
      <c r="C6874" s="3" t="s">
        <v>10</v>
      </c>
      <c r="D6874" s="3" t="s">
        <v>9</v>
      </c>
      <c r="E6874" s="3">
        <v>19</v>
      </c>
      <c r="F6874" s="3">
        <v>0</v>
      </c>
      <c r="G6874" s="3">
        <v>1</v>
      </c>
      <c r="H6874" s="3">
        <v>0</v>
      </c>
      <c r="I6874" s="3">
        <v>21</v>
      </c>
      <c r="J6874" s="3">
        <v>1</v>
      </c>
      <c r="K6874" s="3">
        <v>23</v>
      </c>
      <c r="L6874" s="3">
        <v>1</v>
      </c>
      <c r="M6874" s="3">
        <v>0</v>
      </c>
      <c r="N6874" s="3">
        <v>21</v>
      </c>
      <c r="O6874" s="3"/>
      <c r="P6874" s="3"/>
      <c r="Q6874" s="3"/>
    </row>
    <row r="6875" spans="1:17" ht="15" x14ac:dyDescent="0.25">
      <c r="A6875" s="3">
        <f>6868</f>
        <v>6868</v>
      </c>
      <c r="B6875" s="3" t="s">
        <v>6877</v>
      </c>
      <c r="C6875" s="3" t="s">
        <v>10</v>
      </c>
      <c r="D6875" s="3" t="s">
        <v>9</v>
      </c>
      <c r="E6875" s="3">
        <v>19</v>
      </c>
      <c r="F6875" s="3">
        <v>0</v>
      </c>
      <c r="G6875" s="3">
        <v>1</v>
      </c>
      <c r="H6875" s="3">
        <v>0</v>
      </c>
      <c r="I6875" s="3">
        <v>21</v>
      </c>
      <c r="J6875" s="3">
        <v>1</v>
      </c>
      <c r="K6875" s="3">
        <v>23</v>
      </c>
      <c r="L6875" s="3">
        <v>1</v>
      </c>
      <c r="M6875" s="3">
        <v>0</v>
      </c>
      <c r="N6875" s="3">
        <v>21</v>
      </c>
      <c r="O6875" s="3"/>
      <c r="P6875" s="3"/>
      <c r="Q6875" s="3"/>
    </row>
    <row r="6876" spans="1:17" ht="15" x14ac:dyDescent="0.25">
      <c r="A6876" s="3">
        <f>6869</f>
        <v>6869</v>
      </c>
      <c r="B6876" s="3" t="s">
        <v>6878</v>
      </c>
      <c r="C6876" s="3" t="s">
        <v>10</v>
      </c>
      <c r="D6876" s="3" t="s">
        <v>9</v>
      </c>
      <c r="E6876" s="3">
        <v>19</v>
      </c>
      <c r="F6876" s="3">
        <v>0</v>
      </c>
      <c r="G6876" s="3">
        <v>1</v>
      </c>
      <c r="H6876" s="3">
        <v>0</v>
      </c>
      <c r="I6876" s="3">
        <v>21</v>
      </c>
      <c r="J6876" s="3">
        <v>1</v>
      </c>
      <c r="K6876" s="3">
        <v>23</v>
      </c>
      <c r="L6876" s="3">
        <v>1</v>
      </c>
      <c r="M6876" s="3">
        <v>0</v>
      </c>
      <c r="N6876" s="3">
        <v>21</v>
      </c>
      <c r="O6876" s="3"/>
      <c r="P6876" s="3"/>
      <c r="Q6876" s="3"/>
    </row>
    <row r="6877" spans="1:17" ht="15" x14ac:dyDescent="0.25">
      <c r="A6877" s="3">
        <f>6870</f>
        <v>6870</v>
      </c>
      <c r="B6877" s="3" t="s">
        <v>6879</v>
      </c>
      <c r="C6877" s="3" t="s">
        <v>10</v>
      </c>
      <c r="D6877" s="3" t="s">
        <v>9</v>
      </c>
      <c r="E6877" s="3">
        <v>19</v>
      </c>
      <c r="F6877" s="3">
        <v>0</v>
      </c>
      <c r="G6877" s="3">
        <v>1</v>
      </c>
      <c r="H6877" s="3">
        <v>0</v>
      </c>
      <c r="I6877" s="3">
        <v>21</v>
      </c>
      <c r="J6877" s="3">
        <v>1</v>
      </c>
      <c r="K6877" s="3">
        <v>23</v>
      </c>
      <c r="L6877" s="3">
        <v>1</v>
      </c>
      <c r="M6877" s="3">
        <v>0</v>
      </c>
      <c r="N6877" s="3">
        <v>21</v>
      </c>
      <c r="O6877" s="3"/>
      <c r="P6877" s="3"/>
      <c r="Q6877" s="3"/>
    </row>
    <row r="6878" spans="1:17" ht="15" x14ac:dyDescent="0.25">
      <c r="A6878" s="3">
        <f>6871</f>
        <v>6871</v>
      </c>
      <c r="B6878" s="3" t="s">
        <v>6880</v>
      </c>
      <c r="C6878" s="3" t="s">
        <v>10</v>
      </c>
      <c r="D6878" s="3" t="s">
        <v>9</v>
      </c>
      <c r="E6878" s="3">
        <v>19</v>
      </c>
      <c r="F6878" s="3">
        <v>0</v>
      </c>
      <c r="G6878" s="3">
        <v>1</v>
      </c>
      <c r="H6878" s="3">
        <v>0</v>
      </c>
      <c r="I6878" s="3">
        <v>21</v>
      </c>
      <c r="J6878" s="3">
        <v>1</v>
      </c>
      <c r="K6878" s="3">
        <v>23</v>
      </c>
      <c r="L6878" s="3">
        <v>1</v>
      </c>
      <c r="M6878" s="3">
        <v>0</v>
      </c>
      <c r="N6878" s="3">
        <v>21</v>
      </c>
      <c r="O6878" s="3"/>
      <c r="P6878" s="3"/>
      <c r="Q6878" s="3"/>
    </row>
    <row r="6879" spans="1:17" ht="15" x14ac:dyDescent="0.25">
      <c r="A6879" s="3">
        <f>6872</f>
        <v>6872</v>
      </c>
      <c r="B6879" s="3" t="s">
        <v>6881</v>
      </c>
      <c r="C6879" s="3" t="s">
        <v>10</v>
      </c>
      <c r="D6879" s="3" t="s">
        <v>9</v>
      </c>
      <c r="E6879" s="3">
        <v>19</v>
      </c>
      <c r="F6879" s="3">
        <v>0</v>
      </c>
      <c r="G6879" s="3">
        <v>1</v>
      </c>
      <c r="H6879" s="3">
        <v>0</v>
      </c>
      <c r="I6879" s="3">
        <v>21</v>
      </c>
      <c r="J6879" s="3">
        <v>1</v>
      </c>
      <c r="K6879" s="3">
        <v>23</v>
      </c>
      <c r="L6879" s="3">
        <v>1</v>
      </c>
      <c r="M6879" s="3">
        <v>0</v>
      </c>
      <c r="N6879" s="3">
        <v>21</v>
      </c>
      <c r="O6879" s="3"/>
      <c r="P6879" s="3"/>
      <c r="Q6879" s="3"/>
    </row>
    <row r="6880" spans="1:17" ht="15" x14ac:dyDescent="0.25">
      <c r="A6880" s="3">
        <f>6873</f>
        <v>6873</v>
      </c>
      <c r="B6880" s="3" t="s">
        <v>6882</v>
      </c>
      <c r="C6880" s="3" t="s">
        <v>10</v>
      </c>
      <c r="D6880" s="3" t="s">
        <v>9</v>
      </c>
      <c r="E6880" s="3">
        <v>19</v>
      </c>
      <c r="F6880" s="3">
        <v>0</v>
      </c>
      <c r="G6880" s="3">
        <v>1</v>
      </c>
      <c r="H6880" s="3">
        <v>0</v>
      </c>
      <c r="I6880" s="3">
        <v>21</v>
      </c>
      <c r="J6880" s="3">
        <v>1</v>
      </c>
      <c r="K6880" s="3">
        <v>23</v>
      </c>
      <c r="L6880" s="3">
        <v>1</v>
      </c>
      <c r="M6880" s="3">
        <v>0</v>
      </c>
      <c r="N6880" s="3">
        <v>21</v>
      </c>
      <c r="O6880" s="3"/>
      <c r="P6880" s="3"/>
      <c r="Q6880" s="3"/>
    </row>
    <row r="6881" spans="1:17" ht="15" x14ac:dyDescent="0.25">
      <c r="A6881" s="3">
        <f>6874</f>
        <v>6874</v>
      </c>
      <c r="B6881" s="3" t="s">
        <v>6883</v>
      </c>
      <c r="C6881" s="3" t="s">
        <v>10</v>
      </c>
      <c r="D6881" s="3" t="s">
        <v>9</v>
      </c>
      <c r="E6881" s="3">
        <v>19</v>
      </c>
      <c r="F6881" s="3">
        <v>0</v>
      </c>
      <c r="G6881" s="3">
        <v>1</v>
      </c>
      <c r="H6881" s="3">
        <v>0</v>
      </c>
      <c r="I6881" s="3">
        <v>21</v>
      </c>
      <c r="J6881" s="3">
        <v>1</v>
      </c>
      <c r="K6881" s="3">
        <v>23</v>
      </c>
      <c r="L6881" s="3">
        <v>1</v>
      </c>
      <c r="M6881" s="3">
        <v>0</v>
      </c>
      <c r="N6881" s="3">
        <v>21</v>
      </c>
      <c r="O6881" s="3"/>
      <c r="P6881" s="3"/>
      <c r="Q6881" s="3"/>
    </row>
    <row r="6882" spans="1:17" ht="15" x14ac:dyDescent="0.25">
      <c r="A6882" s="3">
        <f>6875</f>
        <v>6875</v>
      </c>
      <c r="B6882" s="3" t="s">
        <v>6884</v>
      </c>
      <c r="C6882" s="3" t="s">
        <v>10</v>
      </c>
      <c r="D6882" s="3" t="s">
        <v>9</v>
      </c>
      <c r="E6882" s="3">
        <v>19</v>
      </c>
      <c r="F6882" s="3">
        <v>0</v>
      </c>
      <c r="G6882" s="3">
        <v>1</v>
      </c>
      <c r="H6882" s="3">
        <v>0</v>
      </c>
      <c r="I6882" s="3">
        <v>21</v>
      </c>
      <c r="J6882" s="3">
        <v>1</v>
      </c>
      <c r="K6882" s="3">
        <v>23</v>
      </c>
      <c r="L6882" s="3">
        <v>1</v>
      </c>
      <c r="M6882" s="3">
        <v>0</v>
      </c>
      <c r="N6882" s="3">
        <v>21</v>
      </c>
      <c r="O6882" s="3"/>
      <c r="P6882" s="3"/>
      <c r="Q6882" s="3"/>
    </row>
    <row r="6883" spans="1:17" ht="15" x14ac:dyDescent="0.25">
      <c r="A6883" s="3">
        <f>6876</f>
        <v>6876</v>
      </c>
      <c r="B6883" s="3" t="s">
        <v>6885</v>
      </c>
      <c r="C6883" s="3" t="s">
        <v>10</v>
      </c>
      <c r="D6883" s="3" t="s">
        <v>9</v>
      </c>
      <c r="E6883" s="3">
        <v>19</v>
      </c>
      <c r="F6883" s="3">
        <v>0</v>
      </c>
      <c r="G6883" s="3">
        <v>1</v>
      </c>
      <c r="H6883" s="3">
        <v>0</v>
      </c>
      <c r="I6883" s="3">
        <v>21</v>
      </c>
      <c r="J6883" s="3">
        <v>1</v>
      </c>
      <c r="K6883" s="3">
        <v>23</v>
      </c>
      <c r="L6883" s="3">
        <v>1</v>
      </c>
      <c r="M6883" s="3">
        <v>0</v>
      </c>
      <c r="N6883" s="3">
        <v>21</v>
      </c>
      <c r="O6883" s="3"/>
      <c r="P6883" s="3"/>
      <c r="Q6883" s="3"/>
    </row>
    <row r="6884" spans="1:17" ht="15" x14ac:dyDescent="0.25">
      <c r="A6884" s="3">
        <f>6877</f>
        <v>6877</v>
      </c>
      <c r="B6884" s="3" t="s">
        <v>6886</v>
      </c>
      <c r="C6884" s="3" t="s">
        <v>10</v>
      </c>
      <c r="D6884" s="3" t="s">
        <v>9</v>
      </c>
      <c r="E6884" s="3">
        <v>19</v>
      </c>
      <c r="F6884" s="3">
        <v>0</v>
      </c>
      <c r="G6884" s="3">
        <v>1</v>
      </c>
      <c r="H6884" s="3">
        <v>0</v>
      </c>
      <c r="I6884" s="3">
        <v>21</v>
      </c>
      <c r="J6884" s="3">
        <v>1</v>
      </c>
      <c r="K6884" s="3">
        <v>23</v>
      </c>
      <c r="L6884" s="3">
        <v>1</v>
      </c>
      <c r="M6884" s="3">
        <v>0</v>
      </c>
      <c r="N6884" s="3">
        <v>21</v>
      </c>
      <c r="O6884" s="3"/>
      <c r="P6884" s="3"/>
      <c r="Q6884" s="3"/>
    </row>
    <row r="6885" spans="1:17" ht="15" x14ac:dyDescent="0.25">
      <c r="A6885" s="3">
        <f>6878</f>
        <v>6878</v>
      </c>
      <c r="B6885" s="3" t="s">
        <v>6887</v>
      </c>
      <c r="C6885" s="3" t="s">
        <v>10</v>
      </c>
      <c r="D6885" s="3" t="s">
        <v>9</v>
      </c>
      <c r="E6885" s="3">
        <v>19</v>
      </c>
      <c r="F6885" s="3">
        <v>0</v>
      </c>
      <c r="G6885" s="3">
        <v>1</v>
      </c>
      <c r="H6885" s="3">
        <v>0</v>
      </c>
      <c r="I6885" s="3">
        <v>21</v>
      </c>
      <c r="J6885" s="3">
        <v>1</v>
      </c>
      <c r="K6885" s="3">
        <v>23</v>
      </c>
      <c r="L6885" s="3">
        <v>1</v>
      </c>
      <c r="M6885" s="3">
        <v>0</v>
      </c>
      <c r="N6885" s="3">
        <v>21</v>
      </c>
      <c r="O6885" s="3"/>
      <c r="P6885" s="3"/>
      <c r="Q6885" s="3"/>
    </row>
    <row r="6886" spans="1:17" ht="15" x14ac:dyDescent="0.25">
      <c r="A6886" s="3">
        <f>6879</f>
        <v>6879</v>
      </c>
      <c r="B6886" s="3" t="s">
        <v>6888</v>
      </c>
      <c r="C6886" s="3" t="s">
        <v>10</v>
      </c>
      <c r="D6886" s="3" t="s">
        <v>9</v>
      </c>
      <c r="E6886" s="3">
        <v>19</v>
      </c>
      <c r="F6886" s="3">
        <v>0</v>
      </c>
      <c r="G6886" s="3">
        <v>1</v>
      </c>
      <c r="H6886" s="3">
        <v>0</v>
      </c>
      <c r="I6886" s="3">
        <v>21</v>
      </c>
      <c r="J6886" s="3">
        <v>1</v>
      </c>
      <c r="K6886" s="3">
        <v>23</v>
      </c>
      <c r="L6886" s="3">
        <v>1</v>
      </c>
      <c r="M6886" s="3">
        <v>0</v>
      </c>
      <c r="N6886" s="3">
        <v>21</v>
      </c>
      <c r="O6886" s="3"/>
      <c r="P6886" s="3"/>
      <c r="Q6886" s="3"/>
    </row>
    <row r="6887" spans="1:17" ht="15" x14ac:dyDescent="0.25">
      <c r="A6887" s="3">
        <f>6880</f>
        <v>6880</v>
      </c>
      <c r="B6887" s="3" t="s">
        <v>6889</v>
      </c>
      <c r="C6887" s="3" t="s">
        <v>10</v>
      </c>
      <c r="D6887" s="3" t="s">
        <v>9</v>
      </c>
      <c r="E6887" s="3">
        <v>19</v>
      </c>
      <c r="F6887" s="3">
        <v>0</v>
      </c>
      <c r="G6887" s="3">
        <v>1</v>
      </c>
      <c r="H6887" s="3">
        <v>0</v>
      </c>
      <c r="I6887" s="3">
        <v>21</v>
      </c>
      <c r="J6887" s="3">
        <v>1</v>
      </c>
      <c r="K6887" s="3">
        <v>23</v>
      </c>
      <c r="L6887" s="3">
        <v>1</v>
      </c>
      <c r="M6887" s="3">
        <v>0</v>
      </c>
      <c r="N6887" s="3">
        <v>21</v>
      </c>
      <c r="O6887" s="3"/>
      <c r="P6887" s="3"/>
      <c r="Q6887" s="3"/>
    </row>
    <row r="6888" spans="1:17" ht="15" x14ac:dyDescent="0.25">
      <c r="A6888" s="3">
        <f>6881</f>
        <v>6881</v>
      </c>
      <c r="B6888" s="3" t="s">
        <v>6890</v>
      </c>
      <c r="C6888" s="3" t="s">
        <v>10</v>
      </c>
      <c r="D6888" s="3" t="s">
        <v>9</v>
      </c>
      <c r="E6888" s="3">
        <v>19</v>
      </c>
      <c r="F6888" s="3">
        <v>0</v>
      </c>
      <c r="G6888" s="3">
        <v>1</v>
      </c>
      <c r="H6888" s="3">
        <v>0</v>
      </c>
      <c r="I6888" s="3">
        <v>21</v>
      </c>
      <c r="J6888" s="3">
        <v>1</v>
      </c>
      <c r="K6888" s="3">
        <v>23</v>
      </c>
      <c r="L6888" s="3">
        <v>1</v>
      </c>
      <c r="M6888" s="3">
        <v>0</v>
      </c>
      <c r="N6888" s="3">
        <v>21</v>
      </c>
      <c r="O6888" s="3"/>
      <c r="P6888" s="3"/>
      <c r="Q6888" s="3"/>
    </row>
    <row r="6889" spans="1:17" ht="15" x14ac:dyDescent="0.25">
      <c r="A6889" s="3">
        <f>6882</f>
        <v>6882</v>
      </c>
      <c r="B6889" s="3" t="s">
        <v>6891</v>
      </c>
      <c r="C6889" s="3" t="s">
        <v>10</v>
      </c>
      <c r="D6889" s="3" t="s">
        <v>9</v>
      </c>
      <c r="E6889" s="3">
        <v>19</v>
      </c>
      <c r="F6889" s="3">
        <v>0</v>
      </c>
      <c r="G6889" s="3">
        <v>1</v>
      </c>
      <c r="H6889" s="3">
        <v>0</v>
      </c>
      <c r="I6889" s="3">
        <v>21</v>
      </c>
      <c r="J6889" s="3">
        <v>1</v>
      </c>
      <c r="K6889" s="3">
        <v>23</v>
      </c>
      <c r="L6889" s="3">
        <v>1</v>
      </c>
      <c r="M6889" s="3">
        <v>0</v>
      </c>
      <c r="N6889" s="3">
        <v>21</v>
      </c>
      <c r="O6889" s="3"/>
      <c r="P6889" s="3"/>
      <c r="Q6889" s="3"/>
    </row>
    <row r="6890" spans="1:17" ht="15" x14ac:dyDescent="0.25">
      <c r="A6890" s="3">
        <f>6883</f>
        <v>6883</v>
      </c>
      <c r="B6890" s="3" t="s">
        <v>6892</v>
      </c>
      <c r="C6890" s="3" t="s">
        <v>10</v>
      </c>
      <c r="D6890" s="3" t="s">
        <v>9</v>
      </c>
      <c r="E6890" s="3">
        <v>19</v>
      </c>
      <c r="F6890" s="3">
        <v>0</v>
      </c>
      <c r="G6890" s="3">
        <v>1</v>
      </c>
      <c r="H6890" s="3">
        <v>0</v>
      </c>
      <c r="I6890" s="3">
        <v>21</v>
      </c>
      <c r="J6890" s="3">
        <v>1</v>
      </c>
      <c r="K6890" s="3">
        <v>23</v>
      </c>
      <c r="L6890" s="3">
        <v>1</v>
      </c>
      <c r="M6890" s="3">
        <v>0</v>
      </c>
      <c r="N6890" s="3">
        <v>21</v>
      </c>
      <c r="O6890" s="3"/>
      <c r="P6890" s="3"/>
      <c r="Q6890" s="3"/>
    </row>
    <row r="6891" spans="1:17" ht="15" x14ac:dyDescent="0.25">
      <c r="A6891" s="3">
        <f>6884</f>
        <v>6884</v>
      </c>
      <c r="B6891" s="3" t="s">
        <v>6893</v>
      </c>
      <c r="C6891" s="3" t="s">
        <v>10</v>
      </c>
      <c r="D6891" s="3" t="s">
        <v>9</v>
      </c>
      <c r="E6891" s="3">
        <v>19</v>
      </c>
      <c r="F6891" s="3">
        <v>0</v>
      </c>
      <c r="G6891" s="3">
        <v>1</v>
      </c>
      <c r="H6891" s="3">
        <v>0</v>
      </c>
      <c r="I6891" s="3">
        <v>21</v>
      </c>
      <c r="J6891" s="3">
        <v>1</v>
      </c>
      <c r="K6891" s="3">
        <v>23</v>
      </c>
      <c r="L6891" s="3">
        <v>1</v>
      </c>
      <c r="M6891" s="3">
        <v>0</v>
      </c>
      <c r="N6891" s="3">
        <v>21</v>
      </c>
      <c r="O6891" s="3"/>
      <c r="P6891" s="3"/>
      <c r="Q6891" s="3"/>
    </row>
    <row r="6892" spans="1:17" ht="15" x14ac:dyDescent="0.25">
      <c r="A6892" s="3">
        <f>6885</f>
        <v>6885</v>
      </c>
      <c r="B6892" s="3" t="s">
        <v>6894</v>
      </c>
      <c r="C6892" s="3" t="s">
        <v>10</v>
      </c>
      <c r="D6892" s="3" t="s">
        <v>9</v>
      </c>
      <c r="E6892" s="3">
        <v>19</v>
      </c>
      <c r="F6892" s="3">
        <v>0</v>
      </c>
      <c r="G6892" s="3">
        <v>1</v>
      </c>
      <c r="H6892" s="3">
        <v>0</v>
      </c>
      <c r="I6892" s="3">
        <v>21</v>
      </c>
      <c r="J6892" s="3">
        <v>1</v>
      </c>
      <c r="K6892" s="3">
        <v>23</v>
      </c>
      <c r="L6892" s="3">
        <v>1</v>
      </c>
      <c r="M6892" s="3">
        <v>0</v>
      </c>
      <c r="N6892" s="3">
        <v>21</v>
      </c>
      <c r="O6892" s="3"/>
      <c r="P6892" s="3"/>
      <c r="Q6892" s="3"/>
    </row>
    <row r="6893" spans="1:17" ht="15" x14ac:dyDescent="0.25">
      <c r="A6893" s="3">
        <f>6886</f>
        <v>6886</v>
      </c>
      <c r="B6893" s="3" t="s">
        <v>6895</v>
      </c>
      <c r="C6893" s="3" t="s">
        <v>10</v>
      </c>
      <c r="D6893" s="3" t="s">
        <v>9</v>
      </c>
      <c r="E6893" s="3">
        <v>19</v>
      </c>
      <c r="F6893" s="3">
        <v>0</v>
      </c>
      <c r="G6893" s="3">
        <v>1</v>
      </c>
      <c r="H6893" s="3">
        <v>0</v>
      </c>
      <c r="I6893" s="3">
        <v>21</v>
      </c>
      <c r="J6893" s="3">
        <v>1</v>
      </c>
      <c r="K6893" s="3">
        <v>23</v>
      </c>
      <c r="L6893" s="3">
        <v>1</v>
      </c>
      <c r="M6893" s="3">
        <v>0</v>
      </c>
      <c r="N6893" s="3">
        <v>21</v>
      </c>
      <c r="O6893" s="3"/>
      <c r="P6893" s="3"/>
      <c r="Q6893" s="3"/>
    </row>
    <row r="6894" spans="1:17" ht="15" x14ac:dyDescent="0.25">
      <c r="A6894" s="3">
        <f>6887</f>
        <v>6887</v>
      </c>
      <c r="B6894" s="3" t="s">
        <v>6896</v>
      </c>
      <c r="C6894" s="3" t="s">
        <v>10</v>
      </c>
      <c r="D6894" s="3" t="s">
        <v>9</v>
      </c>
      <c r="E6894" s="3">
        <v>19</v>
      </c>
      <c r="F6894" s="3">
        <v>0</v>
      </c>
      <c r="G6894" s="3">
        <v>1</v>
      </c>
      <c r="H6894" s="3">
        <v>0</v>
      </c>
      <c r="I6894" s="3">
        <v>21</v>
      </c>
      <c r="J6894" s="3">
        <v>1</v>
      </c>
      <c r="K6894" s="3">
        <v>23</v>
      </c>
      <c r="L6894" s="3">
        <v>1</v>
      </c>
      <c r="M6894" s="3">
        <v>0</v>
      </c>
      <c r="N6894" s="3">
        <v>21</v>
      </c>
      <c r="O6894" s="3"/>
      <c r="P6894" s="3"/>
      <c r="Q6894" s="3"/>
    </row>
    <row r="6895" spans="1:17" ht="15" x14ac:dyDescent="0.25">
      <c r="A6895" s="3">
        <f>6888</f>
        <v>6888</v>
      </c>
      <c r="B6895" s="3" t="s">
        <v>6897</v>
      </c>
      <c r="C6895" s="3" t="s">
        <v>10</v>
      </c>
      <c r="D6895" s="3" t="s">
        <v>9</v>
      </c>
      <c r="E6895" s="3">
        <v>19</v>
      </c>
      <c r="F6895" s="3">
        <v>0</v>
      </c>
      <c r="G6895" s="3">
        <v>1</v>
      </c>
      <c r="H6895" s="3">
        <v>0</v>
      </c>
      <c r="I6895" s="3">
        <v>21</v>
      </c>
      <c r="J6895" s="3">
        <v>1</v>
      </c>
      <c r="K6895" s="3">
        <v>23</v>
      </c>
      <c r="L6895" s="3">
        <v>1</v>
      </c>
      <c r="M6895" s="3">
        <v>0</v>
      </c>
      <c r="N6895" s="3">
        <v>21</v>
      </c>
      <c r="O6895" s="3"/>
      <c r="P6895" s="3"/>
      <c r="Q6895" s="3"/>
    </row>
    <row r="6896" spans="1:17" ht="15" x14ac:dyDescent="0.25">
      <c r="A6896" s="3">
        <f>6889</f>
        <v>6889</v>
      </c>
      <c r="B6896" s="3" t="s">
        <v>6898</v>
      </c>
      <c r="C6896" s="3" t="s">
        <v>10</v>
      </c>
      <c r="D6896" s="3" t="s">
        <v>9</v>
      </c>
      <c r="E6896" s="3">
        <v>19</v>
      </c>
      <c r="F6896" s="3">
        <v>0</v>
      </c>
      <c r="G6896" s="3">
        <v>1</v>
      </c>
      <c r="H6896" s="3">
        <v>0</v>
      </c>
      <c r="I6896" s="3">
        <v>21</v>
      </c>
      <c r="J6896" s="3">
        <v>1</v>
      </c>
      <c r="K6896" s="3">
        <v>23</v>
      </c>
      <c r="L6896" s="3">
        <v>1</v>
      </c>
      <c r="M6896" s="3">
        <v>0</v>
      </c>
      <c r="N6896" s="3">
        <v>21</v>
      </c>
      <c r="O6896" s="3"/>
      <c r="P6896" s="3"/>
      <c r="Q6896" s="3"/>
    </row>
    <row r="6897" spans="1:17" ht="15" x14ac:dyDescent="0.25">
      <c r="A6897" s="3">
        <f>6890</f>
        <v>6890</v>
      </c>
      <c r="B6897" s="3" t="s">
        <v>6899</v>
      </c>
      <c r="C6897" s="3" t="s">
        <v>10</v>
      </c>
      <c r="D6897" s="3" t="s">
        <v>9</v>
      </c>
      <c r="E6897" s="3">
        <v>19</v>
      </c>
      <c r="F6897" s="3">
        <v>0</v>
      </c>
      <c r="G6897" s="3">
        <v>1</v>
      </c>
      <c r="H6897" s="3">
        <v>0</v>
      </c>
      <c r="I6897" s="3">
        <v>21</v>
      </c>
      <c r="J6897" s="3">
        <v>1</v>
      </c>
      <c r="K6897" s="3">
        <v>23</v>
      </c>
      <c r="L6897" s="3">
        <v>1</v>
      </c>
      <c r="M6897" s="3">
        <v>0</v>
      </c>
      <c r="N6897" s="3">
        <v>21</v>
      </c>
      <c r="O6897" s="3"/>
      <c r="P6897" s="3"/>
      <c r="Q6897" s="3"/>
    </row>
    <row r="6898" spans="1:17" ht="15" x14ac:dyDescent="0.25">
      <c r="A6898" s="3">
        <f>6891</f>
        <v>6891</v>
      </c>
      <c r="B6898" s="3" t="s">
        <v>6900</v>
      </c>
      <c r="C6898" s="3" t="s">
        <v>10</v>
      </c>
      <c r="D6898" s="3" t="s">
        <v>9</v>
      </c>
      <c r="E6898" s="3">
        <v>19</v>
      </c>
      <c r="F6898" s="3">
        <v>0</v>
      </c>
      <c r="G6898" s="3">
        <v>1</v>
      </c>
      <c r="H6898" s="3">
        <v>0</v>
      </c>
      <c r="I6898" s="3">
        <v>21</v>
      </c>
      <c r="J6898" s="3">
        <v>1</v>
      </c>
      <c r="K6898" s="3">
        <v>23</v>
      </c>
      <c r="L6898" s="3">
        <v>1</v>
      </c>
      <c r="M6898" s="3">
        <v>0</v>
      </c>
      <c r="N6898" s="3">
        <v>21</v>
      </c>
      <c r="O6898" s="3"/>
      <c r="P6898" s="3"/>
      <c r="Q6898" s="3"/>
    </row>
    <row r="6899" spans="1:17" ht="15" x14ac:dyDescent="0.25">
      <c r="A6899" s="3">
        <f>6892</f>
        <v>6892</v>
      </c>
      <c r="B6899" s="3" t="s">
        <v>6901</v>
      </c>
      <c r="C6899" s="3" t="s">
        <v>10</v>
      </c>
      <c r="D6899" s="3" t="s">
        <v>9</v>
      </c>
      <c r="E6899" s="3">
        <v>19</v>
      </c>
      <c r="F6899" s="3">
        <v>0</v>
      </c>
      <c r="G6899" s="3">
        <v>1</v>
      </c>
      <c r="H6899" s="3">
        <v>0</v>
      </c>
      <c r="I6899" s="3">
        <v>21</v>
      </c>
      <c r="J6899" s="3">
        <v>1</v>
      </c>
      <c r="K6899" s="3">
        <v>23</v>
      </c>
      <c r="L6899" s="3">
        <v>1</v>
      </c>
      <c r="M6899" s="3">
        <v>0</v>
      </c>
      <c r="N6899" s="3">
        <v>21</v>
      </c>
      <c r="O6899" s="3"/>
      <c r="P6899" s="3"/>
      <c r="Q6899" s="3"/>
    </row>
    <row r="6900" spans="1:17" ht="15" x14ac:dyDescent="0.25">
      <c r="A6900" s="3">
        <f>6893</f>
        <v>6893</v>
      </c>
      <c r="B6900" s="3" t="s">
        <v>6902</v>
      </c>
      <c r="C6900" s="3" t="s">
        <v>10</v>
      </c>
      <c r="D6900" s="3" t="s">
        <v>9</v>
      </c>
      <c r="E6900" s="3">
        <v>19</v>
      </c>
      <c r="F6900" s="3">
        <v>0</v>
      </c>
      <c r="G6900" s="3">
        <v>1</v>
      </c>
      <c r="H6900" s="3">
        <v>0</v>
      </c>
      <c r="I6900" s="3">
        <v>21</v>
      </c>
      <c r="J6900" s="3">
        <v>1</v>
      </c>
      <c r="K6900" s="3">
        <v>23</v>
      </c>
      <c r="L6900" s="3">
        <v>1</v>
      </c>
      <c r="M6900" s="3">
        <v>0</v>
      </c>
      <c r="N6900" s="3">
        <v>21</v>
      </c>
      <c r="O6900" s="3"/>
      <c r="P6900" s="3"/>
      <c r="Q6900" s="3"/>
    </row>
    <row r="6901" spans="1:17" ht="15" x14ac:dyDescent="0.25">
      <c r="A6901" s="3">
        <f>6894</f>
        <v>6894</v>
      </c>
      <c r="B6901" s="3" t="s">
        <v>6903</v>
      </c>
      <c r="C6901" s="3" t="s">
        <v>10</v>
      </c>
      <c r="D6901" s="3" t="s">
        <v>9</v>
      </c>
      <c r="E6901" s="3">
        <v>19</v>
      </c>
      <c r="F6901" s="3">
        <v>0</v>
      </c>
      <c r="G6901" s="3">
        <v>1</v>
      </c>
      <c r="H6901" s="3">
        <v>0</v>
      </c>
      <c r="I6901" s="3">
        <v>21</v>
      </c>
      <c r="J6901" s="3">
        <v>1</v>
      </c>
      <c r="K6901" s="3">
        <v>23</v>
      </c>
      <c r="L6901" s="3">
        <v>1</v>
      </c>
      <c r="M6901" s="3">
        <v>0</v>
      </c>
      <c r="N6901" s="3">
        <v>21</v>
      </c>
      <c r="O6901" s="3"/>
      <c r="P6901" s="3"/>
      <c r="Q6901" s="3"/>
    </row>
    <row r="6902" spans="1:17" ht="15" x14ac:dyDescent="0.25">
      <c r="A6902" s="3">
        <f>6895</f>
        <v>6895</v>
      </c>
      <c r="B6902" s="3" t="s">
        <v>6904</v>
      </c>
      <c r="C6902" s="3" t="s">
        <v>10</v>
      </c>
      <c r="D6902" s="3" t="s">
        <v>9</v>
      </c>
      <c r="E6902" s="3">
        <v>19</v>
      </c>
      <c r="F6902" s="3">
        <v>0</v>
      </c>
      <c r="G6902" s="3">
        <v>1</v>
      </c>
      <c r="H6902" s="3">
        <v>0</v>
      </c>
      <c r="I6902" s="3">
        <v>21</v>
      </c>
      <c r="J6902" s="3">
        <v>1</v>
      </c>
      <c r="K6902" s="3">
        <v>23</v>
      </c>
      <c r="L6902" s="3">
        <v>1</v>
      </c>
      <c r="M6902" s="3">
        <v>0</v>
      </c>
      <c r="N6902" s="3">
        <v>21</v>
      </c>
      <c r="O6902" s="3"/>
      <c r="P6902" s="3"/>
      <c r="Q6902" s="3"/>
    </row>
    <row r="6903" spans="1:17" ht="15" x14ac:dyDescent="0.25">
      <c r="A6903" s="3">
        <f>6896</f>
        <v>6896</v>
      </c>
      <c r="B6903" s="3" t="s">
        <v>6905</v>
      </c>
      <c r="C6903" s="3" t="s">
        <v>10</v>
      </c>
      <c r="D6903" s="3" t="s">
        <v>9</v>
      </c>
      <c r="E6903" s="3">
        <v>19</v>
      </c>
      <c r="F6903" s="3">
        <v>0</v>
      </c>
      <c r="G6903" s="3">
        <v>1</v>
      </c>
      <c r="H6903" s="3">
        <v>0</v>
      </c>
      <c r="I6903" s="3">
        <v>21</v>
      </c>
      <c r="J6903" s="3">
        <v>1</v>
      </c>
      <c r="K6903" s="3">
        <v>23</v>
      </c>
      <c r="L6903" s="3">
        <v>1</v>
      </c>
      <c r="M6903" s="3">
        <v>0</v>
      </c>
      <c r="N6903" s="3">
        <v>21</v>
      </c>
      <c r="O6903" s="3"/>
      <c r="P6903" s="3"/>
      <c r="Q6903" s="3"/>
    </row>
    <row r="6904" spans="1:17" ht="15" x14ac:dyDescent="0.25">
      <c r="A6904" s="3">
        <f>6897</f>
        <v>6897</v>
      </c>
      <c r="B6904" s="3" t="s">
        <v>6906</v>
      </c>
      <c r="C6904" s="3" t="s">
        <v>10</v>
      </c>
      <c r="D6904" s="3" t="s">
        <v>9</v>
      </c>
      <c r="E6904" s="3">
        <v>19</v>
      </c>
      <c r="F6904" s="3">
        <v>0</v>
      </c>
      <c r="G6904" s="3">
        <v>1</v>
      </c>
      <c r="H6904" s="3">
        <v>0</v>
      </c>
      <c r="I6904" s="3">
        <v>21</v>
      </c>
      <c r="J6904" s="3">
        <v>1</v>
      </c>
      <c r="K6904" s="3">
        <v>23</v>
      </c>
      <c r="L6904" s="3">
        <v>1</v>
      </c>
      <c r="M6904" s="3">
        <v>0</v>
      </c>
      <c r="N6904" s="3">
        <v>21</v>
      </c>
      <c r="O6904" s="3"/>
      <c r="P6904" s="3"/>
      <c r="Q6904" s="3"/>
    </row>
    <row r="6905" spans="1:17" ht="15" x14ac:dyDescent="0.25">
      <c r="A6905" s="3">
        <f>6898</f>
        <v>6898</v>
      </c>
      <c r="B6905" s="3" t="s">
        <v>6907</v>
      </c>
      <c r="C6905" s="3" t="s">
        <v>10</v>
      </c>
      <c r="D6905" s="3" t="s">
        <v>9</v>
      </c>
      <c r="E6905" s="3">
        <v>19</v>
      </c>
      <c r="F6905" s="3">
        <v>0</v>
      </c>
      <c r="G6905" s="3">
        <v>1</v>
      </c>
      <c r="H6905" s="3">
        <v>0</v>
      </c>
      <c r="I6905" s="3">
        <v>21</v>
      </c>
      <c r="J6905" s="3">
        <v>1</v>
      </c>
      <c r="K6905" s="3">
        <v>23</v>
      </c>
      <c r="L6905" s="3">
        <v>1</v>
      </c>
      <c r="M6905" s="3">
        <v>0</v>
      </c>
      <c r="N6905" s="3">
        <v>21</v>
      </c>
      <c r="O6905" s="3"/>
      <c r="P6905" s="3"/>
      <c r="Q6905" s="3"/>
    </row>
    <row r="6906" spans="1:17" ht="15" x14ac:dyDescent="0.25">
      <c r="A6906" s="3">
        <f>6899</f>
        <v>6899</v>
      </c>
      <c r="B6906" s="3" t="s">
        <v>6908</v>
      </c>
      <c r="C6906" s="3" t="s">
        <v>10</v>
      </c>
      <c r="D6906" s="3" t="s">
        <v>9</v>
      </c>
      <c r="E6906" s="3">
        <v>19</v>
      </c>
      <c r="F6906" s="3">
        <v>0</v>
      </c>
      <c r="G6906" s="3">
        <v>1</v>
      </c>
      <c r="H6906" s="3">
        <v>0</v>
      </c>
      <c r="I6906" s="3">
        <v>21</v>
      </c>
      <c r="J6906" s="3">
        <v>1</v>
      </c>
      <c r="K6906" s="3">
        <v>23</v>
      </c>
      <c r="L6906" s="3">
        <v>1</v>
      </c>
      <c r="M6906" s="3">
        <v>0</v>
      </c>
      <c r="N6906" s="3">
        <v>21</v>
      </c>
      <c r="O6906" s="3"/>
      <c r="P6906" s="3"/>
      <c r="Q6906" s="3"/>
    </row>
    <row r="6907" spans="1:17" ht="15" x14ac:dyDescent="0.25">
      <c r="A6907" s="3">
        <f>6900</f>
        <v>6900</v>
      </c>
      <c r="B6907" s="3" t="s">
        <v>6909</v>
      </c>
      <c r="C6907" s="3" t="s">
        <v>10</v>
      </c>
      <c r="D6907" s="3" t="s">
        <v>9</v>
      </c>
      <c r="E6907" s="3">
        <v>19</v>
      </c>
      <c r="F6907" s="3">
        <v>0</v>
      </c>
      <c r="G6907" s="3">
        <v>1</v>
      </c>
      <c r="H6907" s="3">
        <v>0</v>
      </c>
      <c r="I6907" s="3">
        <v>21</v>
      </c>
      <c r="J6907" s="3">
        <v>1</v>
      </c>
      <c r="K6907" s="3">
        <v>23</v>
      </c>
      <c r="L6907" s="3">
        <v>1</v>
      </c>
      <c r="M6907" s="3">
        <v>0</v>
      </c>
      <c r="N6907" s="3">
        <v>21</v>
      </c>
      <c r="O6907" s="3"/>
      <c r="P6907" s="3"/>
      <c r="Q6907" s="3"/>
    </row>
    <row r="6908" spans="1:17" ht="15" x14ac:dyDescent="0.25">
      <c r="A6908" s="3">
        <f>6901</f>
        <v>6901</v>
      </c>
      <c r="B6908" s="3" t="s">
        <v>6910</v>
      </c>
      <c r="C6908" s="3" t="s">
        <v>10</v>
      </c>
      <c r="D6908" s="3" t="s">
        <v>9</v>
      </c>
      <c r="E6908" s="3">
        <v>19</v>
      </c>
      <c r="F6908" s="3">
        <v>0</v>
      </c>
      <c r="G6908" s="3">
        <v>1</v>
      </c>
      <c r="H6908" s="3">
        <v>0</v>
      </c>
      <c r="I6908" s="3">
        <v>21</v>
      </c>
      <c r="J6908" s="3">
        <v>1</v>
      </c>
      <c r="K6908" s="3">
        <v>23</v>
      </c>
      <c r="L6908" s="3">
        <v>1</v>
      </c>
      <c r="M6908" s="3">
        <v>0</v>
      </c>
      <c r="N6908" s="3">
        <v>21</v>
      </c>
      <c r="O6908" s="3"/>
      <c r="P6908" s="3"/>
      <c r="Q6908" s="3"/>
    </row>
    <row r="6909" spans="1:17" ht="15" x14ac:dyDescent="0.25">
      <c r="A6909" s="3">
        <f>6902</f>
        <v>6902</v>
      </c>
      <c r="B6909" s="3" t="s">
        <v>6911</v>
      </c>
      <c r="C6909" s="3" t="s">
        <v>10</v>
      </c>
      <c r="D6909" s="3" t="s">
        <v>9</v>
      </c>
      <c r="E6909" s="3">
        <v>19</v>
      </c>
      <c r="F6909" s="3">
        <v>0</v>
      </c>
      <c r="G6909" s="3">
        <v>1</v>
      </c>
      <c r="H6909" s="3">
        <v>0</v>
      </c>
      <c r="I6909" s="3">
        <v>21</v>
      </c>
      <c r="J6909" s="3">
        <v>1</v>
      </c>
      <c r="K6909" s="3">
        <v>23</v>
      </c>
      <c r="L6909" s="3">
        <v>1</v>
      </c>
      <c r="M6909" s="3">
        <v>0</v>
      </c>
      <c r="N6909" s="3">
        <v>21</v>
      </c>
      <c r="O6909" s="3"/>
      <c r="P6909" s="3"/>
      <c r="Q6909" s="3"/>
    </row>
    <row r="6910" spans="1:17" ht="15" x14ac:dyDescent="0.25">
      <c r="A6910" s="3">
        <f>6903</f>
        <v>6903</v>
      </c>
      <c r="B6910" s="3" t="s">
        <v>6912</v>
      </c>
      <c r="C6910" s="3" t="s">
        <v>10</v>
      </c>
      <c r="D6910" s="3" t="s">
        <v>9</v>
      </c>
      <c r="E6910" s="3">
        <v>19</v>
      </c>
      <c r="F6910" s="3">
        <v>0</v>
      </c>
      <c r="G6910" s="3">
        <v>1</v>
      </c>
      <c r="H6910" s="3">
        <v>0</v>
      </c>
      <c r="I6910" s="3">
        <v>21</v>
      </c>
      <c r="J6910" s="3">
        <v>1</v>
      </c>
      <c r="K6910" s="3">
        <v>23</v>
      </c>
      <c r="L6910" s="3">
        <v>1</v>
      </c>
      <c r="M6910" s="3">
        <v>0</v>
      </c>
      <c r="N6910" s="3">
        <v>21</v>
      </c>
      <c r="O6910" s="3"/>
      <c r="P6910" s="3"/>
      <c r="Q6910" s="3"/>
    </row>
    <row r="6911" spans="1:17" ht="15" x14ac:dyDescent="0.25">
      <c r="A6911" s="3">
        <f>6904</f>
        <v>6904</v>
      </c>
      <c r="B6911" s="3" t="s">
        <v>6913</v>
      </c>
      <c r="C6911" s="3" t="s">
        <v>10</v>
      </c>
      <c r="D6911" s="3" t="s">
        <v>9</v>
      </c>
      <c r="E6911" s="3">
        <v>19</v>
      </c>
      <c r="F6911" s="3">
        <v>0</v>
      </c>
      <c r="G6911" s="3">
        <v>1</v>
      </c>
      <c r="H6911" s="3">
        <v>0</v>
      </c>
      <c r="I6911" s="3">
        <v>21</v>
      </c>
      <c r="J6911" s="3">
        <v>1</v>
      </c>
      <c r="K6911" s="3">
        <v>23</v>
      </c>
      <c r="L6911" s="3">
        <v>1</v>
      </c>
      <c r="M6911" s="3">
        <v>0</v>
      </c>
      <c r="N6911" s="3">
        <v>21</v>
      </c>
      <c r="O6911" s="3"/>
      <c r="P6911" s="3"/>
      <c r="Q6911" s="3"/>
    </row>
    <row r="6912" spans="1:17" ht="15" x14ac:dyDescent="0.25">
      <c r="A6912" s="3">
        <f>6905</f>
        <v>6905</v>
      </c>
      <c r="B6912" s="3" t="s">
        <v>6914</v>
      </c>
      <c r="C6912" s="3" t="s">
        <v>10</v>
      </c>
      <c r="D6912" s="3" t="s">
        <v>9</v>
      </c>
      <c r="E6912" s="3">
        <v>19</v>
      </c>
      <c r="F6912" s="3">
        <v>0</v>
      </c>
      <c r="G6912" s="3">
        <v>1</v>
      </c>
      <c r="H6912" s="3">
        <v>0</v>
      </c>
      <c r="I6912" s="3">
        <v>21</v>
      </c>
      <c r="J6912" s="3">
        <v>0</v>
      </c>
      <c r="K6912" s="3">
        <v>23</v>
      </c>
      <c r="L6912" s="3">
        <v>0</v>
      </c>
      <c r="M6912" s="3">
        <v>0</v>
      </c>
      <c r="N6912" s="3">
        <v>21</v>
      </c>
      <c r="O6912" s="3"/>
      <c r="P6912" s="3"/>
      <c r="Q6912" s="3"/>
    </row>
    <row r="6913" spans="1:17" ht="15" x14ac:dyDescent="0.25">
      <c r="A6913" s="3">
        <f>6906</f>
        <v>6906</v>
      </c>
      <c r="B6913" s="3" t="s">
        <v>6915</v>
      </c>
      <c r="C6913" s="3" t="s">
        <v>10</v>
      </c>
      <c r="D6913" s="3" t="s">
        <v>9</v>
      </c>
      <c r="E6913" s="3">
        <v>19</v>
      </c>
      <c r="F6913" s="3">
        <v>0</v>
      </c>
      <c r="G6913" s="3">
        <v>1</v>
      </c>
      <c r="H6913" s="3">
        <v>0</v>
      </c>
      <c r="I6913" s="3">
        <v>21</v>
      </c>
      <c r="J6913" s="3">
        <v>1</v>
      </c>
      <c r="K6913" s="3">
        <v>23</v>
      </c>
      <c r="L6913" s="3">
        <v>1</v>
      </c>
      <c r="M6913" s="3">
        <v>0</v>
      </c>
      <c r="N6913" s="3">
        <v>21</v>
      </c>
      <c r="O6913" s="3"/>
      <c r="P6913" s="3"/>
      <c r="Q6913" s="3"/>
    </row>
    <row r="6914" spans="1:17" ht="15" x14ac:dyDescent="0.25">
      <c r="A6914" s="3">
        <f>6907</f>
        <v>6907</v>
      </c>
      <c r="B6914" s="3" t="s">
        <v>6916</v>
      </c>
      <c r="C6914" s="3" t="s">
        <v>10</v>
      </c>
      <c r="D6914" s="3" t="s">
        <v>9</v>
      </c>
      <c r="E6914" s="3">
        <v>19</v>
      </c>
      <c r="F6914" s="3">
        <v>0</v>
      </c>
      <c r="G6914" s="3">
        <v>1</v>
      </c>
      <c r="H6914" s="3">
        <v>0</v>
      </c>
      <c r="I6914" s="3">
        <v>21</v>
      </c>
      <c r="J6914" s="3">
        <v>1</v>
      </c>
      <c r="K6914" s="3">
        <v>23</v>
      </c>
      <c r="L6914" s="3">
        <v>1</v>
      </c>
      <c r="M6914" s="3">
        <v>0</v>
      </c>
      <c r="N6914" s="3">
        <v>21</v>
      </c>
      <c r="O6914" s="3"/>
      <c r="P6914" s="3"/>
      <c r="Q6914" s="3"/>
    </row>
    <row r="6915" spans="1:17" ht="15" x14ac:dyDescent="0.25">
      <c r="A6915" s="3">
        <f>6908</f>
        <v>6908</v>
      </c>
      <c r="B6915" s="3" t="s">
        <v>6917</v>
      </c>
      <c r="C6915" s="3" t="s">
        <v>10</v>
      </c>
      <c r="D6915" s="3" t="s">
        <v>9</v>
      </c>
      <c r="E6915" s="3">
        <v>19</v>
      </c>
      <c r="F6915" s="3">
        <v>0</v>
      </c>
      <c r="G6915" s="3">
        <v>1</v>
      </c>
      <c r="H6915" s="3">
        <v>0</v>
      </c>
      <c r="I6915" s="3">
        <v>21</v>
      </c>
      <c r="J6915" s="3">
        <v>1</v>
      </c>
      <c r="K6915" s="3">
        <v>23</v>
      </c>
      <c r="L6915" s="3">
        <v>1</v>
      </c>
      <c r="M6915" s="3">
        <v>0</v>
      </c>
      <c r="N6915" s="3">
        <v>21</v>
      </c>
      <c r="O6915" s="3"/>
      <c r="P6915" s="3"/>
      <c r="Q6915" s="3"/>
    </row>
    <row r="6916" spans="1:17" ht="15" x14ac:dyDescent="0.25">
      <c r="A6916" s="3">
        <f>6909</f>
        <v>6909</v>
      </c>
      <c r="B6916" s="3" t="s">
        <v>6918</v>
      </c>
      <c r="C6916" s="3" t="s">
        <v>10</v>
      </c>
      <c r="D6916" s="3" t="s">
        <v>9</v>
      </c>
      <c r="E6916" s="3">
        <v>19</v>
      </c>
      <c r="F6916" s="3">
        <v>0</v>
      </c>
      <c r="G6916" s="3">
        <v>1</v>
      </c>
      <c r="H6916" s="3">
        <v>0</v>
      </c>
      <c r="I6916" s="3">
        <v>21</v>
      </c>
      <c r="J6916" s="3">
        <v>1</v>
      </c>
      <c r="K6916" s="3">
        <v>23</v>
      </c>
      <c r="L6916" s="3">
        <v>1</v>
      </c>
      <c r="M6916" s="3">
        <v>0</v>
      </c>
      <c r="N6916" s="3">
        <v>21</v>
      </c>
      <c r="O6916" s="3"/>
      <c r="P6916" s="3"/>
      <c r="Q6916" s="3"/>
    </row>
    <row r="6917" spans="1:17" ht="15" x14ac:dyDescent="0.25">
      <c r="A6917" s="3">
        <f>6910</f>
        <v>6910</v>
      </c>
      <c r="B6917" s="3" t="s">
        <v>6919</v>
      </c>
      <c r="C6917" s="3" t="s">
        <v>10</v>
      </c>
      <c r="D6917" s="3" t="s">
        <v>9</v>
      </c>
      <c r="E6917" s="3">
        <v>19</v>
      </c>
      <c r="F6917" s="3">
        <v>0</v>
      </c>
      <c r="G6917" s="3">
        <v>1</v>
      </c>
      <c r="H6917" s="3">
        <v>0</v>
      </c>
      <c r="I6917" s="3">
        <v>21</v>
      </c>
      <c r="J6917" s="3">
        <v>1</v>
      </c>
      <c r="K6917" s="3">
        <v>23</v>
      </c>
      <c r="L6917" s="3">
        <v>1</v>
      </c>
      <c r="M6917" s="3">
        <v>0</v>
      </c>
      <c r="N6917" s="3">
        <v>21</v>
      </c>
      <c r="O6917" s="3"/>
      <c r="P6917" s="3"/>
      <c r="Q6917" s="3"/>
    </row>
    <row r="6918" spans="1:17" ht="15" x14ac:dyDescent="0.25">
      <c r="A6918" s="3">
        <f>6911</f>
        <v>6911</v>
      </c>
      <c r="B6918" s="3" t="s">
        <v>6920</v>
      </c>
      <c r="C6918" s="3" t="s">
        <v>10</v>
      </c>
      <c r="D6918" s="3" t="s">
        <v>9</v>
      </c>
      <c r="E6918" s="3">
        <v>19</v>
      </c>
      <c r="F6918" s="3">
        <v>0</v>
      </c>
      <c r="G6918" s="3">
        <v>1</v>
      </c>
      <c r="H6918" s="3">
        <v>0</v>
      </c>
      <c r="I6918" s="3">
        <v>21</v>
      </c>
      <c r="J6918" s="3">
        <v>1</v>
      </c>
      <c r="K6918" s="3">
        <v>23</v>
      </c>
      <c r="L6918" s="3">
        <v>1</v>
      </c>
      <c r="M6918" s="3">
        <v>0</v>
      </c>
      <c r="N6918" s="3">
        <v>21</v>
      </c>
      <c r="O6918" s="3"/>
      <c r="P6918" s="3"/>
      <c r="Q6918" s="3"/>
    </row>
    <row r="6919" spans="1:17" ht="15" x14ac:dyDescent="0.25">
      <c r="A6919" s="3">
        <f>6912</f>
        <v>6912</v>
      </c>
      <c r="B6919" s="3" t="s">
        <v>6921</v>
      </c>
      <c r="C6919" s="3" t="s">
        <v>10</v>
      </c>
      <c r="D6919" s="3" t="s">
        <v>9</v>
      </c>
      <c r="E6919" s="3">
        <v>19</v>
      </c>
      <c r="F6919" s="3">
        <v>0</v>
      </c>
      <c r="G6919" s="3">
        <v>1</v>
      </c>
      <c r="H6919" s="3">
        <v>0</v>
      </c>
      <c r="I6919" s="3">
        <v>21</v>
      </c>
      <c r="J6919" s="3">
        <v>1</v>
      </c>
      <c r="K6919" s="3">
        <v>23</v>
      </c>
      <c r="L6919" s="3">
        <v>1</v>
      </c>
      <c r="M6919" s="3">
        <v>0</v>
      </c>
      <c r="N6919" s="3">
        <v>21</v>
      </c>
      <c r="O6919" s="3"/>
      <c r="P6919" s="3"/>
      <c r="Q6919" s="3"/>
    </row>
    <row r="6920" spans="1:17" ht="15" x14ac:dyDescent="0.25">
      <c r="A6920" s="3">
        <f>6913</f>
        <v>6913</v>
      </c>
      <c r="B6920" s="3" t="s">
        <v>6922</v>
      </c>
      <c r="C6920" s="3" t="s">
        <v>10</v>
      </c>
      <c r="D6920" s="3" t="s">
        <v>9</v>
      </c>
      <c r="E6920" s="3">
        <v>19</v>
      </c>
      <c r="F6920" s="3">
        <v>0</v>
      </c>
      <c r="G6920" s="3">
        <v>1</v>
      </c>
      <c r="H6920" s="3">
        <v>0</v>
      </c>
      <c r="I6920" s="3">
        <v>21</v>
      </c>
      <c r="J6920" s="3">
        <v>1</v>
      </c>
      <c r="K6920" s="3">
        <v>23</v>
      </c>
      <c r="L6920" s="3">
        <v>1</v>
      </c>
      <c r="M6920" s="3">
        <v>0</v>
      </c>
      <c r="N6920" s="3">
        <v>21</v>
      </c>
      <c r="O6920" s="3"/>
      <c r="P6920" s="3"/>
      <c r="Q6920" s="3"/>
    </row>
    <row r="6921" spans="1:17" ht="15" x14ac:dyDescent="0.25">
      <c r="A6921" s="3">
        <f>6914</f>
        <v>6914</v>
      </c>
      <c r="B6921" s="3" t="s">
        <v>6923</v>
      </c>
      <c r="C6921" s="3" t="s">
        <v>10</v>
      </c>
      <c r="D6921" s="3" t="s">
        <v>9</v>
      </c>
      <c r="E6921" s="3">
        <v>19</v>
      </c>
      <c r="F6921" s="3">
        <v>0</v>
      </c>
      <c r="G6921" s="3">
        <v>1</v>
      </c>
      <c r="H6921" s="3">
        <v>0</v>
      </c>
      <c r="I6921" s="3">
        <v>21</v>
      </c>
      <c r="J6921" s="3">
        <v>1</v>
      </c>
      <c r="K6921" s="3">
        <v>23</v>
      </c>
      <c r="L6921" s="3">
        <v>1</v>
      </c>
      <c r="M6921" s="3">
        <v>0</v>
      </c>
      <c r="N6921" s="3">
        <v>21</v>
      </c>
      <c r="O6921" s="3"/>
      <c r="P6921" s="3"/>
      <c r="Q6921" s="3"/>
    </row>
    <row r="6922" spans="1:17" ht="15" x14ac:dyDescent="0.25">
      <c r="A6922" s="3">
        <f>6915</f>
        <v>6915</v>
      </c>
      <c r="B6922" s="3" t="s">
        <v>6924</v>
      </c>
      <c r="C6922" s="3" t="s">
        <v>10</v>
      </c>
      <c r="D6922" s="3" t="s">
        <v>9</v>
      </c>
      <c r="E6922" s="3">
        <v>19</v>
      </c>
      <c r="F6922" s="3">
        <v>0</v>
      </c>
      <c r="G6922" s="3">
        <v>1</v>
      </c>
      <c r="H6922" s="3">
        <v>0</v>
      </c>
      <c r="I6922" s="3">
        <v>21</v>
      </c>
      <c r="J6922" s="3">
        <v>1</v>
      </c>
      <c r="K6922" s="3">
        <v>23</v>
      </c>
      <c r="L6922" s="3">
        <v>1</v>
      </c>
      <c r="M6922" s="3">
        <v>0</v>
      </c>
      <c r="N6922" s="3">
        <v>21</v>
      </c>
      <c r="O6922" s="3"/>
      <c r="P6922" s="3"/>
      <c r="Q6922" s="3"/>
    </row>
    <row r="6923" spans="1:17" ht="15" x14ac:dyDescent="0.25">
      <c r="A6923" s="3">
        <f>6916</f>
        <v>6916</v>
      </c>
      <c r="B6923" s="3" t="s">
        <v>6925</v>
      </c>
      <c r="C6923" s="3" t="s">
        <v>10</v>
      </c>
      <c r="D6923" s="3" t="s">
        <v>9</v>
      </c>
      <c r="E6923" s="3">
        <v>19</v>
      </c>
      <c r="F6923" s="3">
        <v>0</v>
      </c>
      <c r="G6923" s="3">
        <v>1</v>
      </c>
      <c r="H6923" s="3">
        <v>0</v>
      </c>
      <c r="I6923" s="3">
        <v>21</v>
      </c>
      <c r="J6923" s="3">
        <v>1</v>
      </c>
      <c r="K6923" s="3">
        <v>23</v>
      </c>
      <c r="L6923" s="3">
        <v>1</v>
      </c>
      <c r="M6923" s="3">
        <v>0</v>
      </c>
      <c r="N6923" s="3">
        <v>21</v>
      </c>
      <c r="O6923" s="3"/>
      <c r="P6923" s="3"/>
      <c r="Q6923" s="3"/>
    </row>
    <row r="6924" spans="1:17" ht="15" x14ac:dyDescent="0.25">
      <c r="A6924" s="3">
        <f>6917</f>
        <v>6917</v>
      </c>
      <c r="B6924" s="3" t="s">
        <v>6926</v>
      </c>
      <c r="C6924" s="3" t="s">
        <v>10</v>
      </c>
      <c r="D6924" s="3" t="s">
        <v>9</v>
      </c>
      <c r="E6924" s="3">
        <v>19</v>
      </c>
      <c r="F6924" s="3">
        <v>0</v>
      </c>
      <c r="G6924" s="3">
        <v>1</v>
      </c>
      <c r="H6924" s="3">
        <v>0</v>
      </c>
      <c r="I6924" s="3">
        <v>21</v>
      </c>
      <c r="J6924" s="3">
        <v>1</v>
      </c>
      <c r="K6924" s="3">
        <v>23</v>
      </c>
      <c r="L6924" s="3">
        <v>1</v>
      </c>
      <c r="M6924" s="3">
        <v>0</v>
      </c>
      <c r="N6924" s="3">
        <v>21</v>
      </c>
      <c r="O6924" s="3"/>
      <c r="P6924" s="3"/>
      <c r="Q6924" s="3"/>
    </row>
    <row r="6925" spans="1:17" ht="15" x14ac:dyDescent="0.25">
      <c r="A6925" s="3">
        <f>6918</f>
        <v>6918</v>
      </c>
      <c r="B6925" s="3" t="s">
        <v>6927</v>
      </c>
      <c r="C6925" s="3" t="s">
        <v>10</v>
      </c>
      <c r="D6925" s="3" t="s">
        <v>9</v>
      </c>
      <c r="E6925" s="3">
        <v>19</v>
      </c>
      <c r="F6925" s="3">
        <v>0</v>
      </c>
      <c r="G6925" s="3">
        <v>1</v>
      </c>
      <c r="H6925" s="3">
        <v>0</v>
      </c>
      <c r="I6925" s="3">
        <v>21</v>
      </c>
      <c r="J6925" s="3">
        <v>1</v>
      </c>
      <c r="K6925" s="3">
        <v>23</v>
      </c>
      <c r="L6925" s="3">
        <v>1</v>
      </c>
      <c r="M6925" s="3">
        <v>0</v>
      </c>
      <c r="N6925" s="3">
        <v>21</v>
      </c>
      <c r="O6925" s="3"/>
      <c r="P6925" s="3"/>
      <c r="Q6925" s="3"/>
    </row>
    <row r="6926" spans="1:17" ht="15" x14ac:dyDescent="0.25">
      <c r="A6926" s="3">
        <f>6919</f>
        <v>6919</v>
      </c>
      <c r="B6926" s="3" t="s">
        <v>6928</v>
      </c>
      <c r="C6926" s="3" t="s">
        <v>10</v>
      </c>
      <c r="D6926" s="3" t="s">
        <v>9</v>
      </c>
      <c r="E6926" s="3">
        <v>19</v>
      </c>
      <c r="F6926" s="3">
        <v>0</v>
      </c>
      <c r="G6926" s="3">
        <v>1</v>
      </c>
      <c r="H6926" s="3">
        <v>0</v>
      </c>
      <c r="I6926" s="3">
        <v>21</v>
      </c>
      <c r="J6926" s="3">
        <v>1</v>
      </c>
      <c r="K6926" s="3">
        <v>23</v>
      </c>
      <c r="L6926" s="3">
        <v>1</v>
      </c>
      <c r="M6926" s="3">
        <v>0</v>
      </c>
      <c r="N6926" s="3">
        <v>21</v>
      </c>
      <c r="O6926" s="3"/>
      <c r="P6926" s="3"/>
      <c r="Q6926" s="3"/>
    </row>
    <row r="6927" spans="1:17" ht="15" x14ac:dyDescent="0.25">
      <c r="A6927" s="3">
        <f>6920</f>
        <v>6920</v>
      </c>
      <c r="B6927" s="3" t="s">
        <v>6929</v>
      </c>
      <c r="C6927" s="3" t="s">
        <v>10</v>
      </c>
      <c r="D6927" s="3" t="s">
        <v>9</v>
      </c>
      <c r="E6927" s="3">
        <v>19</v>
      </c>
      <c r="F6927" s="3">
        <v>0</v>
      </c>
      <c r="G6927" s="3">
        <v>1</v>
      </c>
      <c r="H6927" s="3">
        <v>0</v>
      </c>
      <c r="I6927" s="3">
        <v>21</v>
      </c>
      <c r="J6927" s="3">
        <v>1</v>
      </c>
      <c r="K6927" s="3">
        <v>23</v>
      </c>
      <c r="L6927" s="3">
        <v>1</v>
      </c>
      <c r="M6927" s="3">
        <v>0</v>
      </c>
      <c r="N6927" s="3">
        <v>21</v>
      </c>
      <c r="O6927" s="3"/>
      <c r="P6927" s="3"/>
      <c r="Q6927" s="3"/>
    </row>
    <row r="6928" spans="1:17" ht="15" x14ac:dyDescent="0.25">
      <c r="A6928" s="3">
        <f>6921</f>
        <v>6921</v>
      </c>
      <c r="B6928" s="3" t="s">
        <v>6930</v>
      </c>
      <c r="C6928" s="3" t="s">
        <v>10</v>
      </c>
      <c r="D6928" s="3" t="s">
        <v>9</v>
      </c>
      <c r="E6928" s="3">
        <v>19</v>
      </c>
      <c r="F6928" s="3">
        <v>0</v>
      </c>
      <c r="G6928" s="3">
        <v>1</v>
      </c>
      <c r="H6928" s="3">
        <v>0</v>
      </c>
      <c r="I6928" s="3">
        <v>21</v>
      </c>
      <c r="J6928" s="3">
        <v>1</v>
      </c>
      <c r="K6928" s="3">
        <v>23</v>
      </c>
      <c r="L6928" s="3">
        <v>1</v>
      </c>
      <c r="M6928" s="3">
        <v>0</v>
      </c>
      <c r="N6928" s="3">
        <v>21</v>
      </c>
      <c r="O6928" s="3"/>
      <c r="P6928" s="3"/>
      <c r="Q6928" s="3"/>
    </row>
    <row r="6929" spans="1:17" ht="15" x14ac:dyDescent="0.25">
      <c r="A6929" s="3">
        <f>6922</f>
        <v>6922</v>
      </c>
      <c r="B6929" s="3" t="s">
        <v>6931</v>
      </c>
      <c r="C6929" s="3" t="s">
        <v>10</v>
      </c>
      <c r="D6929" s="3" t="s">
        <v>9</v>
      </c>
      <c r="E6929" s="3">
        <v>19</v>
      </c>
      <c r="F6929" s="3">
        <v>0</v>
      </c>
      <c r="G6929" s="3">
        <v>1</v>
      </c>
      <c r="H6929" s="3">
        <v>0</v>
      </c>
      <c r="I6929" s="3">
        <v>21</v>
      </c>
      <c r="J6929" s="3">
        <v>1</v>
      </c>
      <c r="K6929" s="3">
        <v>23</v>
      </c>
      <c r="L6929" s="3">
        <v>1</v>
      </c>
      <c r="M6929" s="3">
        <v>0</v>
      </c>
      <c r="N6929" s="3">
        <v>21</v>
      </c>
      <c r="O6929" s="3"/>
      <c r="P6929" s="3"/>
      <c r="Q6929" s="3"/>
    </row>
    <row r="6930" spans="1:17" ht="15" x14ac:dyDescent="0.25">
      <c r="A6930" s="3">
        <f>6923</f>
        <v>6923</v>
      </c>
      <c r="B6930" s="3" t="s">
        <v>6932</v>
      </c>
      <c r="C6930" s="3" t="s">
        <v>10</v>
      </c>
      <c r="D6930" s="3" t="s">
        <v>9</v>
      </c>
      <c r="E6930" s="3">
        <v>19</v>
      </c>
      <c r="F6930" s="3">
        <v>0</v>
      </c>
      <c r="G6930" s="3">
        <v>1</v>
      </c>
      <c r="H6930" s="3">
        <v>0</v>
      </c>
      <c r="I6930" s="3">
        <v>21</v>
      </c>
      <c r="J6930" s="3">
        <v>1</v>
      </c>
      <c r="K6930" s="3">
        <v>23</v>
      </c>
      <c r="L6930" s="3">
        <v>1</v>
      </c>
      <c r="M6930" s="3">
        <v>0</v>
      </c>
      <c r="N6930" s="3">
        <v>21</v>
      </c>
      <c r="O6930" s="3"/>
      <c r="P6930" s="3"/>
      <c r="Q6930" s="3"/>
    </row>
    <row r="6931" spans="1:17" ht="15" x14ac:dyDescent="0.25">
      <c r="A6931" s="3">
        <f>6924</f>
        <v>6924</v>
      </c>
      <c r="B6931" s="3" t="s">
        <v>6933</v>
      </c>
      <c r="C6931" s="3" t="s">
        <v>10</v>
      </c>
      <c r="D6931" s="3" t="s">
        <v>9</v>
      </c>
      <c r="E6931" s="3">
        <v>19</v>
      </c>
      <c r="F6931" s="3">
        <v>0</v>
      </c>
      <c r="G6931" s="3">
        <v>1</v>
      </c>
      <c r="H6931" s="3">
        <v>0</v>
      </c>
      <c r="I6931" s="3">
        <v>21</v>
      </c>
      <c r="J6931" s="3">
        <v>1</v>
      </c>
      <c r="K6931" s="3">
        <v>23</v>
      </c>
      <c r="L6931" s="3">
        <v>1</v>
      </c>
      <c r="M6931" s="3">
        <v>0</v>
      </c>
      <c r="N6931" s="3">
        <v>21</v>
      </c>
      <c r="O6931" s="3"/>
      <c r="P6931" s="3"/>
      <c r="Q6931" s="3"/>
    </row>
    <row r="6932" spans="1:17" ht="15" x14ac:dyDescent="0.25">
      <c r="A6932" s="3">
        <f>6925</f>
        <v>6925</v>
      </c>
      <c r="B6932" s="3" t="s">
        <v>6934</v>
      </c>
      <c r="C6932" s="3" t="s">
        <v>10</v>
      </c>
      <c r="D6932" s="3" t="s">
        <v>9</v>
      </c>
      <c r="E6932" s="3">
        <v>19</v>
      </c>
      <c r="F6932" s="3">
        <v>0</v>
      </c>
      <c r="G6932" s="3">
        <v>1</v>
      </c>
      <c r="H6932" s="3">
        <v>0</v>
      </c>
      <c r="I6932" s="3">
        <v>21</v>
      </c>
      <c r="J6932" s="3">
        <v>1</v>
      </c>
      <c r="K6932" s="3">
        <v>23</v>
      </c>
      <c r="L6932" s="3">
        <v>1</v>
      </c>
      <c r="M6932" s="3">
        <v>0</v>
      </c>
      <c r="N6932" s="3">
        <v>21</v>
      </c>
      <c r="O6932" s="3"/>
      <c r="P6932" s="3"/>
      <c r="Q6932" s="3"/>
    </row>
    <row r="6933" spans="1:17" ht="15" x14ac:dyDescent="0.25">
      <c r="A6933" s="3">
        <f>6926</f>
        <v>6926</v>
      </c>
      <c r="B6933" s="3" t="s">
        <v>6935</v>
      </c>
      <c r="C6933" s="3" t="s">
        <v>10</v>
      </c>
      <c r="D6933" s="3" t="s">
        <v>9</v>
      </c>
      <c r="E6933" s="3">
        <v>19</v>
      </c>
      <c r="F6933" s="3">
        <v>0</v>
      </c>
      <c r="G6933" s="3">
        <v>1</v>
      </c>
      <c r="H6933" s="3">
        <v>0</v>
      </c>
      <c r="I6933" s="3">
        <v>21</v>
      </c>
      <c r="J6933" s="3">
        <v>1</v>
      </c>
      <c r="K6933" s="3">
        <v>23</v>
      </c>
      <c r="L6933" s="3">
        <v>1</v>
      </c>
      <c r="M6933" s="3">
        <v>0</v>
      </c>
      <c r="N6933" s="3">
        <v>21</v>
      </c>
      <c r="O6933" s="3"/>
      <c r="P6933" s="3"/>
      <c r="Q6933" s="3"/>
    </row>
    <row r="6934" spans="1:17" ht="15" x14ac:dyDescent="0.25">
      <c r="A6934" s="3">
        <f>6927</f>
        <v>6927</v>
      </c>
      <c r="B6934" s="3" t="s">
        <v>6936</v>
      </c>
      <c r="C6934" s="3" t="s">
        <v>10</v>
      </c>
      <c r="D6934" s="3" t="s">
        <v>9</v>
      </c>
      <c r="E6934" s="3">
        <v>19</v>
      </c>
      <c r="F6934" s="3">
        <v>0</v>
      </c>
      <c r="G6934" s="3">
        <v>1</v>
      </c>
      <c r="H6934" s="3">
        <v>0</v>
      </c>
      <c r="I6934" s="3">
        <v>21</v>
      </c>
      <c r="J6934" s="3">
        <v>1</v>
      </c>
      <c r="K6934" s="3">
        <v>23</v>
      </c>
      <c r="L6934" s="3">
        <v>1</v>
      </c>
      <c r="M6934" s="3">
        <v>0</v>
      </c>
      <c r="N6934" s="3">
        <v>21</v>
      </c>
      <c r="O6934" s="3"/>
      <c r="P6934" s="3"/>
      <c r="Q6934" s="3"/>
    </row>
    <row r="6935" spans="1:17" ht="15" x14ac:dyDescent="0.25">
      <c r="A6935" s="3">
        <f>6928</f>
        <v>6928</v>
      </c>
      <c r="B6935" s="3" t="s">
        <v>6937</v>
      </c>
      <c r="C6935" s="3" t="s">
        <v>10</v>
      </c>
      <c r="D6935" s="3" t="s">
        <v>9</v>
      </c>
      <c r="E6935" s="3">
        <v>19</v>
      </c>
      <c r="F6935" s="3">
        <v>0</v>
      </c>
      <c r="G6935" s="3">
        <v>1</v>
      </c>
      <c r="H6935" s="3">
        <v>0</v>
      </c>
      <c r="I6935" s="3">
        <v>21</v>
      </c>
      <c r="J6935" s="3">
        <v>1</v>
      </c>
      <c r="K6935" s="3">
        <v>23</v>
      </c>
      <c r="L6935" s="3">
        <v>1</v>
      </c>
      <c r="M6935" s="3">
        <v>0</v>
      </c>
      <c r="N6935" s="3">
        <v>21</v>
      </c>
      <c r="O6935" s="3"/>
      <c r="P6935" s="3"/>
      <c r="Q6935" s="3"/>
    </row>
    <row r="6936" spans="1:17" ht="15" x14ac:dyDescent="0.25">
      <c r="A6936" s="3">
        <f>6929</f>
        <v>6929</v>
      </c>
      <c r="B6936" s="3" t="s">
        <v>6938</v>
      </c>
      <c r="C6936" s="3" t="s">
        <v>10</v>
      </c>
      <c r="D6936" s="3" t="s">
        <v>9</v>
      </c>
      <c r="E6936" s="3">
        <v>19</v>
      </c>
      <c r="F6936" s="3">
        <v>0</v>
      </c>
      <c r="G6936" s="3">
        <v>1</v>
      </c>
      <c r="H6936" s="3">
        <v>0</v>
      </c>
      <c r="I6936" s="3">
        <v>21</v>
      </c>
      <c r="J6936" s="3">
        <v>1</v>
      </c>
      <c r="K6936" s="3">
        <v>23</v>
      </c>
      <c r="L6936" s="3">
        <v>1</v>
      </c>
      <c r="M6936" s="3">
        <v>0</v>
      </c>
      <c r="N6936" s="3">
        <v>21</v>
      </c>
      <c r="O6936" s="3"/>
      <c r="P6936" s="3"/>
      <c r="Q6936" s="3"/>
    </row>
    <row r="6937" spans="1:17" ht="15" x14ac:dyDescent="0.25">
      <c r="A6937" s="3">
        <f>6930</f>
        <v>6930</v>
      </c>
      <c r="B6937" s="3" t="s">
        <v>6939</v>
      </c>
      <c r="C6937" s="3" t="s">
        <v>10</v>
      </c>
      <c r="D6937" s="3" t="s">
        <v>9</v>
      </c>
      <c r="E6937" s="3">
        <v>19</v>
      </c>
      <c r="F6937" s="3">
        <v>0</v>
      </c>
      <c r="G6937" s="3">
        <v>1</v>
      </c>
      <c r="H6937" s="3">
        <v>0</v>
      </c>
      <c r="I6937" s="3">
        <v>21</v>
      </c>
      <c r="J6937" s="3">
        <v>1</v>
      </c>
      <c r="K6937" s="3">
        <v>23</v>
      </c>
      <c r="L6937" s="3">
        <v>1</v>
      </c>
      <c r="M6937" s="3">
        <v>0</v>
      </c>
      <c r="N6937" s="3">
        <v>21</v>
      </c>
      <c r="O6937" s="3"/>
      <c r="P6937" s="3"/>
      <c r="Q6937" s="3"/>
    </row>
    <row r="6938" spans="1:17" ht="15" x14ac:dyDescent="0.25">
      <c r="A6938" s="3">
        <f>6931</f>
        <v>6931</v>
      </c>
      <c r="B6938" s="3" t="s">
        <v>6940</v>
      </c>
      <c r="C6938" s="3" t="s">
        <v>10</v>
      </c>
      <c r="D6938" s="3" t="s">
        <v>9</v>
      </c>
      <c r="E6938" s="3">
        <v>19</v>
      </c>
      <c r="F6938" s="3">
        <v>0</v>
      </c>
      <c r="G6938" s="3">
        <v>1</v>
      </c>
      <c r="H6938" s="3">
        <v>0</v>
      </c>
      <c r="I6938" s="3">
        <v>21</v>
      </c>
      <c r="J6938" s="3">
        <v>1</v>
      </c>
      <c r="K6938" s="3">
        <v>23</v>
      </c>
      <c r="L6938" s="3">
        <v>1</v>
      </c>
      <c r="M6938" s="3">
        <v>0</v>
      </c>
      <c r="N6938" s="3">
        <v>21</v>
      </c>
      <c r="O6938" s="3"/>
      <c r="P6938" s="3"/>
      <c r="Q6938" s="3"/>
    </row>
    <row r="6939" spans="1:17" ht="15" x14ac:dyDescent="0.25">
      <c r="A6939" s="3">
        <f>6932</f>
        <v>6932</v>
      </c>
      <c r="B6939" s="3" t="s">
        <v>6941</v>
      </c>
      <c r="C6939" s="3" t="s">
        <v>10</v>
      </c>
      <c r="D6939" s="3" t="s">
        <v>9</v>
      </c>
      <c r="E6939" s="3">
        <v>19</v>
      </c>
      <c r="F6939" s="3">
        <v>0</v>
      </c>
      <c r="G6939" s="3">
        <v>1</v>
      </c>
      <c r="H6939" s="3">
        <v>0</v>
      </c>
      <c r="I6939" s="3">
        <v>21</v>
      </c>
      <c r="J6939" s="3">
        <v>1</v>
      </c>
      <c r="K6939" s="3">
        <v>23</v>
      </c>
      <c r="L6939" s="3">
        <v>1</v>
      </c>
      <c r="M6939" s="3">
        <v>0</v>
      </c>
      <c r="N6939" s="3">
        <v>21</v>
      </c>
      <c r="O6939" s="3"/>
      <c r="P6939" s="3"/>
      <c r="Q6939" s="3"/>
    </row>
    <row r="6940" spans="1:17" ht="15" x14ac:dyDescent="0.25">
      <c r="A6940" s="3">
        <f>6933</f>
        <v>6933</v>
      </c>
      <c r="B6940" s="3" t="s">
        <v>6942</v>
      </c>
      <c r="C6940" s="3" t="s">
        <v>10</v>
      </c>
      <c r="D6940" s="3" t="s">
        <v>9</v>
      </c>
      <c r="E6940" s="3">
        <v>19</v>
      </c>
      <c r="F6940" s="3">
        <v>0</v>
      </c>
      <c r="G6940" s="3">
        <v>1</v>
      </c>
      <c r="H6940" s="3">
        <v>0</v>
      </c>
      <c r="I6940" s="3">
        <v>21</v>
      </c>
      <c r="J6940" s="3">
        <v>1</v>
      </c>
      <c r="K6940" s="3">
        <v>23</v>
      </c>
      <c r="L6940" s="3">
        <v>1</v>
      </c>
      <c r="M6940" s="3">
        <v>0</v>
      </c>
      <c r="N6940" s="3">
        <v>21</v>
      </c>
      <c r="O6940" s="3"/>
      <c r="P6940" s="3"/>
      <c r="Q6940" s="3"/>
    </row>
    <row r="6941" spans="1:17" ht="15" x14ac:dyDescent="0.25">
      <c r="A6941" s="3">
        <f>6934</f>
        <v>6934</v>
      </c>
      <c r="B6941" s="3" t="s">
        <v>6943</v>
      </c>
      <c r="C6941" s="3" t="s">
        <v>10</v>
      </c>
      <c r="D6941" s="3" t="s">
        <v>9</v>
      </c>
      <c r="E6941" s="3">
        <v>19</v>
      </c>
      <c r="F6941" s="3">
        <v>0</v>
      </c>
      <c r="G6941" s="3">
        <v>1</v>
      </c>
      <c r="H6941" s="3">
        <v>0</v>
      </c>
      <c r="I6941" s="3">
        <v>21</v>
      </c>
      <c r="J6941" s="3">
        <v>1</v>
      </c>
      <c r="K6941" s="3">
        <v>23</v>
      </c>
      <c r="L6941" s="3">
        <v>1</v>
      </c>
      <c r="M6941" s="3">
        <v>0</v>
      </c>
      <c r="N6941" s="3">
        <v>21</v>
      </c>
      <c r="O6941" s="3"/>
      <c r="P6941" s="3"/>
      <c r="Q6941" s="3"/>
    </row>
    <row r="6942" spans="1:17" ht="15" x14ac:dyDescent="0.25">
      <c r="A6942" s="3">
        <f>6935</f>
        <v>6935</v>
      </c>
      <c r="B6942" s="3" t="s">
        <v>6944</v>
      </c>
      <c r="C6942" s="3" t="s">
        <v>10</v>
      </c>
      <c r="D6942" s="3" t="s">
        <v>9</v>
      </c>
      <c r="E6942" s="3">
        <v>19</v>
      </c>
      <c r="F6942" s="3">
        <v>0</v>
      </c>
      <c r="G6942" s="3">
        <v>1</v>
      </c>
      <c r="H6942" s="3">
        <v>0</v>
      </c>
      <c r="I6942" s="3">
        <v>21</v>
      </c>
      <c r="J6942" s="3">
        <v>1</v>
      </c>
      <c r="K6942" s="3">
        <v>23</v>
      </c>
      <c r="L6942" s="3">
        <v>1</v>
      </c>
      <c r="M6942" s="3">
        <v>0</v>
      </c>
      <c r="N6942" s="3">
        <v>21</v>
      </c>
      <c r="O6942" s="3"/>
      <c r="P6942" s="3"/>
      <c r="Q6942" s="3"/>
    </row>
    <row r="6943" spans="1:17" ht="15" x14ac:dyDescent="0.25">
      <c r="A6943" s="3">
        <f>6936</f>
        <v>6936</v>
      </c>
      <c r="B6943" s="3" t="s">
        <v>6945</v>
      </c>
      <c r="C6943" s="3" t="s">
        <v>10</v>
      </c>
      <c r="D6943" s="3" t="s">
        <v>9</v>
      </c>
      <c r="E6943" s="3">
        <v>19</v>
      </c>
      <c r="F6943" s="3">
        <v>0</v>
      </c>
      <c r="G6943" s="3">
        <v>1</v>
      </c>
      <c r="H6943" s="3">
        <v>0</v>
      </c>
      <c r="I6943" s="3">
        <v>21</v>
      </c>
      <c r="J6943" s="3">
        <v>1</v>
      </c>
      <c r="K6943" s="3">
        <v>23</v>
      </c>
      <c r="L6943" s="3">
        <v>1</v>
      </c>
      <c r="M6943" s="3">
        <v>0</v>
      </c>
      <c r="N6943" s="3">
        <v>21</v>
      </c>
      <c r="O6943" s="3"/>
      <c r="P6943" s="3"/>
      <c r="Q6943" s="3"/>
    </row>
    <row r="6944" spans="1:17" ht="15" x14ac:dyDescent="0.25">
      <c r="A6944" s="3">
        <f>6937</f>
        <v>6937</v>
      </c>
      <c r="B6944" s="3" t="s">
        <v>6946</v>
      </c>
      <c r="C6944" s="3" t="s">
        <v>10</v>
      </c>
      <c r="D6944" s="3" t="s">
        <v>9</v>
      </c>
      <c r="E6944" s="3">
        <v>23</v>
      </c>
      <c r="F6944" s="3">
        <v>0</v>
      </c>
      <c r="G6944" s="3">
        <v>1</v>
      </c>
      <c r="H6944" s="3">
        <v>0</v>
      </c>
      <c r="I6944" s="3">
        <v>21</v>
      </c>
      <c r="J6944" s="3">
        <v>1</v>
      </c>
      <c r="K6944" s="3">
        <v>23</v>
      </c>
      <c r="L6944" s="3">
        <v>1</v>
      </c>
      <c r="M6944" s="3">
        <v>0</v>
      </c>
      <c r="N6944" s="3">
        <v>21</v>
      </c>
      <c r="O6944" s="3"/>
      <c r="P6944" s="3"/>
      <c r="Q6944" s="3"/>
    </row>
    <row r="6945" spans="1:17" ht="15" x14ac:dyDescent="0.25">
      <c r="A6945" s="3">
        <f>6938</f>
        <v>6938</v>
      </c>
      <c r="B6945" s="3" t="s">
        <v>6947</v>
      </c>
      <c r="C6945" s="3" t="s">
        <v>10</v>
      </c>
      <c r="D6945" s="3" t="s">
        <v>9</v>
      </c>
      <c r="E6945" s="3">
        <v>23</v>
      </c>
      <c r="F6945" s="3">
        <v>0</v>
      </c>
      <c r="G6945" s="3">
        <v>1</v>
      </c>
      <c r="H6945" s="3">
        <v>0</v>
      </c>
      <c r="I6945" s="3">
        <v>21</v>
      </c>
      <c r="J6945" s="3">
        <v>1</v>
      </c>
      <c r="K6945" s="3">
        <v>23</v>
      </c>
      <c r="L6945" s="3">
        <v>1</v>
      </c>
      <c r="M6945" s="3">
        <v>0</v>
      </c>
      <c r="N6945" s="3">
        <v>21</v>
      </c>
      <c r="O6945" s="3"/>
      <c r="P6945" s="3"/>
      <c r="Q6945" s="3"/>
    </row>
    <row r="6946" spans="1:17" ht="15" x14ac:dyDescent="0.25">
      <c r="A6946" s="3">
        <f>6939</f>
        <v>6939</v>
      </c>
      <c r="B6946" s="3" t="s">
        <v>6948</v>
      </c>
      <c r="C6946" s="3" t="s">
        <v>10</v>
      </c>
      <c r="D6946" s="3" t="s">
        <v>9</v>
      </c>
      <c r="E6946" s="3">
        <v>19</v>
      </c>
      <c r="F6946" s="3">
        <v>0</v>
      </c>
      <c r="G6946" s="3">
        <v>1</v>
      </c>
      <c r="H6946" s="3">
        <v>0</v>
      </c>
      <c r="I6946" s="3">
        <v>21</v>
      </c>
      <c r="J6946" s="3">
        <v>1</v>
      </c>
      <c r="K6946" s="3">
        <v>23</v>
      </c>
      <c r="L6946" s="3">
        <v>1</v>
      </c>
      <c r="M6946" s="3">
        <v>0</v>
      </c>
      <c r="N6946" s="3">
        <v>21</v>
      </c>
      <c r="O6946" s="3"/>
      <c r="P6946" s="3"/>
      <c r="Q6946" s="3"/>
    </row>
    <row r="6947" spans="1:17" ht="15" x14ac:dyDescent="0.25">
      <c r="A6947" s="3">
        <f>6940</f>
        <v>6940</v>
      </c>
      <c r="B6947" s="3" t="s">
        <v>6949</v>
      </c>
      <c r="C6947" s="3" t="s">
        <v>10</v>
      </c>
      <c r="D6947" s="3" t="s">
        <v>9</v>
      </c>
      <c r="E6947" s="3">
        <v>19</v>
      </c>
      <c r="F6947" s="3">
        <v>0</v>
      </c>
      <c r="G6947" s="3">
        <v>1</v>
      </c>
      <c r="H6947" s="3">
        <v>0</v>
      </c>
      <c r="I6947" s="3">
        <v>21</v>
      </c>
      <c r="J6947" s="3">
        <v>1</v>
      </c>
      <c r="K6947" s="3">
        <v>23</v>
      </c>
      <c r="L6947" s="3">
        <v>1</v>
      </c>
      <c r="M6947" s="3">
        <v>0</v>
      </c>
      <c r="N6947" s="3">
        <v>21</v>
      </c>
      <c r="O6947" s="3"/>
      <c r="P6947" s="3"/>
      <c r="Q6947" s="3"/>
    </row>
    <row r="6948" spans="1:17" ht="15" x14ac:dyDescent="0.25">
      <c r="A6948" s="3">
        <f>6941</f>
        <v>6941</v>
      </c>
      <c r="B6948" s="3" t="s">
        <v>6950</v>
      </c>
      <c r="C6948" s="3" t="s">
        <v>10</v>
      </c>
      <c r="D6948" s="3" t="s">
        <v>9</v>
      </c>
      <c r="E6948" s="3">
        <v>19</v>
      </c>
      <c r="F6948" s="3">
        <v>0</v>
      </c>
      <c r="G6948" s="3">
        <v>1</v>
      </c>
      <c r="H6948" s="3">
        <v>0</v>
      </c>
      <c r="I6948" s="3">
        <v>21</v>
      </c>
      <c r="J6948" s="3">
        <v>1</v>
      </c>
      <c r="K6948" s="3">
        <v>23</v>
      </c>
      <c r="L6948" s="3">
        <v>1</v>
      </c>
      <c r="M6948" s="3">
        <v>0</v>
      </c>
      <c r="N6948" s="3">
        <v>21</v>
      </c>
      <c r="O6948" s="3"/>
      <c r="P6948" s="3"/>
      <c r="Q6948" s="3"/>
    </row>
    <row r="6949" spans="1:17" ht="15" x14ac:dyDescent="0.25">
      <c r="A6949" s="3">
        <f>6942</f>
        <v>6942</v>
      </c>
      <c r="B6949" s="3" t="s">
        <v>6951</v>
      </c>
      <c r="C6949" s="3" t="s">
        <v>10</v>
      </c>
      <c r="D6949" s="3" t="s">
        <v>9</v>
      </c>
      <c r="E6949" s="3">
        <v>19</v>
      </c>
      <c r="F6949" s="3">
        <v>0</v>
      </c>
      <c r="G6949" s="3">
        <v>1</v>
      </c>
      <c r="H6949" s="3">
        <v>0</v>
      </c>
      <c r="I6949" s="3">
        <v>22</v>
      </c>
      <c r="J6949" s="3">
        <v>1</v>
      </c>
      <c r="K6949" s="3">
        <v>24</v>
      </c>
      <c r="L6949" s="3">
        <v>1</v>
      </c>
      <c r="M6949" s="3">
        <v>0</v>
      </c>
      <c r="N6949" s="3">
        <v>22</v>
      </c>
      <c r="O6949" s="3"/>
      <c r="P6949" s="3"/>
      <c r="Q6949" s="3"/>
    </row>
    <row r="6950" spans="1:17" ht="15" x14ac:dyDescent="0.25">
      <c r="A6950" s="3">
        <f>6943</f>
        <v>6943</v>
      </c>
      <c r="B6950" s="3" t="s">
        <v>6952</v>
      </c>
      <c r="C6950" s="3" t="s">
        <v>10</v>
      </c>
      <c r="D6950" s="3" t="s">
        <v>9</v>
      </c>
      <c r="E6950" s="3">
        <v>19</v>
      </c>
      <c r="F6950" s="3">
        <v>0</v>
      </c>
      <c r="G6950" s="3">
        <v>1</v>
      </c>
      <c r="H6950" s="3">
        <v>0</v>
      </c>
      <c r="I6950" s="3">
        <v>22</v>
      </c>
      <c r="J6950" s="3">
        <v>1</v>
      </c>
      <c r="K6950" s="3">
        <v>24</v>
      </c>
      <c r="L6950" s="3">
        <v>1</v>
      </c>
      <c r="M6950" s="3">
        <v>0</v>
      </c>
      <c r="N6950" s="3">
        <v>22</v>
      </c>
      <c r="O6950" s="3"/>
      <c r="P6950" s="3"/>
      <c r="Q6950" s="3"/>
    </row>
    <row r="6951" spans="1:17" ht="15" x14ac:dyDescent="0.25">
      <c r="A6951" s="3">
        <f>6944</f>
        <v>6944</v>
      </c>
      <c r="B6951" s="3" t="s">
        <v>6953</v>
      </c>
      <c r="C6951" s="3" t="s">
        <v>10</v>
      </c>
      <c r="D6951" s="3" t="s">
        <v>9</v>
      </c>
      <c r="E6951" s="3">
        <v>19</v>
      </c>
      <c r="F6951" s="3">
        <v>0</v>
      </c>
      <c r="G6951" s="3">
        <v>1</v>
      </c>
      <c r="H6951" s="3">
        <v>0</v>
      </c>
      <c r="I6951" s="3">
        <v>22</v>
      </c>
      <c r="J6951" s="3">
        <v>1</v>
      </c>
      <c r="K6951" s="3">
        <v>24</v>
      </c>
      <c r="L6951" s="3">
        <v>1</v>
      </c>
      <c r="M6951" s="3">
        <v>0</v>
      </c>
      <c r="N6951" s="3">
        <v>22</v>
      </c>
      <c r="O6951" s="3"/>
      <c r="P6951" s="3"/>
      <c r="Q6951" s="3"/>
    </row>
    <row r="6952" spans="1:17" ht="15" x14ac:dyDescent="0.25">
      <c r="A6952" s="3">
        <f>6945</f>
        <v>6945</v>
      </c>
      <c r="B6952" s="3" t="s">
        <v>6954</v>
      </c>
      <c r="C6952" s="3" t="s">
        <v>10</v>
      </c>
      <c r="D6952" s="3" t="s">
        <v>9</v>
      </c>
      <c r="E6952" s="3">
        <v>19</v>
      </c>
      <c r="F6952" s="3">
        <v>0</v>
      </c>
      <c r="G6952" s="3">
        <v>1</v>
      </c>
      <c r="H6952" s="3">
        <v>0</v>
      </c>
      <c r="I6952" s="3">
        <v>22</v>
      </c>
      <c r="J6952" s="3">
        <v>1</v>
      </c>
      <c r="K6952" s="3">
        <v>24</v>
      </c>
      <c r="L6952" s="3">
        <v>1</v>
      </c>
      <c r="M6952" s="3">
        <v>0</v>
      </c>
      <c r="N6952" s="3">
        <v>22</v>
      </c>
      <c r="O6952" s="3"/>
      <c r="P6952" s="3"/>
      <c r="Q6952" s="3"/>
    </row>
    <row r="6953" spans="1:17" ht="15" x14ac:dyDescent="0.25">
      <c r="A6953" s="3">
        <f>6946</f>
        <v>6946</v>
      </c>
      <c r="B6953" s="3" t="s">
        <v>6955</v>
      </c>
      <c r="C6953" s="3" t="s">
        <v>10</v>
      </c>
      <c r="D6953" s="3" t="s">
        <v>9</v>
      </c>
      <c r="E6953" s="3">
        <v>19</v>
      </c>
      <c r="F6953" s="3">
        <v>0</v>
      </c>
      <c r="G6953" s="3">
        <v>1</v>
      </c>
      <c r="H6953" s="3">
        <v>0</v>
      </c>
      <c r="I6953" s="3">
        <v>22</v>
      </c>
      <c r="J6953" s="3">
        <v>1</v>
      </c>
      <c r="K6953" s="3">
        <v>24</v>
      </c>
      <c r="L6953" s="3">
        <v>1</v>
      </c>
      <c r="M6953" s="3">
        <v>0</v>
      </c>
      <c r="N6953" s="3">
        <v>22</v>
      </c>
      <c r="O6953" s="3"/>
      <c r="P6953" s="3"/>
      <c r="Q6953" s="3"/>
    </row>
    <row r="6954" spans="1:17" ht="15" x14ac:dyDescent="0.25">
      <c r="A6954" s="3">
        <f>6947</f>
        <v>6947</v>
      </c>
      <c r="B6954" s="3" t="s">
        <v>6956</v>
      </c>
      <c r="C6954" s="3" t="s">
        <v>10</v>
      </c>
      <c r="D6954" s="3" t="s">
        <v>9</v>
      </c>
      <c r="E6954" s="3">
        <v>19</v>
      </c>
      <c r="F6954" s="3">
        <v>0</v>
      </c>
      <c r="G6954" s="3">
        <v>1</v>
      </c>
      <c r="H6954" s="3">
        <v>0</v>
      </c>
      <c r="I6954" s="3">
        <v>22</v>
      </c>
      <c r="J6954" s="3">
        <v>1</v>
      </c>
      <c r="K6954" s="3">
        <v>24</v>
      </c>
      <c r="L6954" s="3">
        <v>1</v>
      </c>
      <c r="M6954" s="3">
        <v>0</v>
      </c>
      <c r="N6954" s="3">
        <v>22</v>
      </c>
      <c r="O6954" s="3"/>
      <c r="P6954" s="3"/>
      <c r="Q6954" s="3"/>
    </row>
    <row r="6955" spans="1:17" ht="15" x14ac:dyDescent="0.25">
      <c r="A6955" s="3">
        <f>6948</f>
        <v>6948</v>
      </c>
      <c r="B6955" s="3" t="s">
        <v>6957</v>
      </c>
      <c r="C6955" s="3" t="s">
        <v>10</v>
      </c>
      <c r="D6955" s="3" t="s">
        <v>9</v>
      </c>
      <c r="E6955" s="3">
        <v>19</v>
      </c>
      <c r="F6955" s="3">
        <v>0</v>
      </c>
      <c r="G6955" s="3">
        <v>1</v>
      </c>
      <c r="H6955" s="3">
        <v>0</v>
      </c>
      <c r="I6955" s="3">
        <v>22</v>
      </c>
      <c r="J6955" s="3">
        <v>1</v>
      </c>
      <c r="K6955" s="3">
        <v>24</v>
      </c>
      <c r="L6955" s="3">
        <v>1</v>
      </c>
      <c r="M6955" s="3">
        <v>0</v>
      </c>
      <c r="N6955" s="3">
        <v>22</v>
      </c>
      <c r="O6955" s="3"/>
      <c r="P6955" s="3"/>
      <c r="Q6955" s="3"/>
    </row>
    <row r="6956" spans="1:17" ht="15" x14ac:dyDescent="0.25">
      <c r="A6956" s="3">
        <f>6949</f>
        <v>6949</v>
      </c>
      <c r="B6956" s="3" t="s">
        <v>6958</v>
      </c>
      <c r="C6956" s="3" t="s">
        <v>10</v>
      </c>
      <c r="D6956" s="3" t="s">
        <v>9</v>
      </c>
      <c r="E6956" s="3">
        <v>19</v>
      </c>
      <c r="F6956" s="3">
        <v>0</v>
      </c>
      <c r="G6956" s="3">
        <v>1</v>
      </c>
      <c r="H6956" s="3">
        <v>0</v>
      </c>
      <c r="I6956" s="3">
        <v>22</v>
      </c>
      <c r="J6956" s="3">
        <v>1</v>
      </c>
      <c r="K6956" s="3">
        <v>24</v>
      </c>
      <c r="L6956" s="3">
        <v>1</v>
      </c>
      <c r="M6956" s="3">
        <v>0</v>
      </c>
      <c r="N6956" s="3">
        <v>22</v>
      </c>
      <c r="O6956" s="3"/>
      <c r="P6956" s="3"/>
      <c r="Q6956" s="3"/>
    </row>
    <row r="6957" spans="1:17" ht="15" x14ac:dyDescent="0.25">
      <c r="A6957" s="3">
        <f>6950</f>
        <v>6950</v>
      </c>
      <c r="B6957" s="3" t="s">
        <v>6959</v>
      </c>
      <c r="C6957" s="3" t="s">
        <v>10</v>
      </c>
      <c r="D6957" s="3" t="s">
        <v>9</v>
      </c>
      <c r="E6957" s="3">
        <v>19</v>
      </c>
      <c r="F6957" s="3">
        <v>0</v>
      </c>
      <c r="G6957" s="3">
        <v>1</v>
      </c>
      <c r="H6957" s="3">
        <v>0</v>
      </c>
      <c r="I6957" s="3">
        <v>22</v>
      </c>
      <c r="J6957" s="3">
        <v>1</v>
      </c>
      <c r="K6957" s="3">
        <v>24</v>
      </c>
      <c r="L6957" s="3">
        <v>1</v>
      </c>
      <c r="M6957" s="3">
        <v>0</v>
      </c>
      <c r="N6957" s="3">
        <v>22</v>
      </c>
      <c r="O6957" s="3"/>
      <c r="P6957" s="3"/>
      <c r="Q6957" s="3"/>
    </row>
    <row r="6958" spans="1:17" ht="15" x14ac:dyDescent="0.25">
      <c r="A6958" s="3">
        <f>6951</f>
        <v>6951</v>
      </c>
      <c r="B6958" s="3" t="s">
        <v>6960</v>
      </c>
      <c r="C6958" s="3" t="s">
        <v>10</v>
      </c>
      <c r="D6958" s="3" t="s">
        <v>9</v>
      </c>
      <c r="E6958" s="3">
        <v>19</v>
      </c>
      <c r="F6958" s="3">
        <v>0</v>
      </c>
      <c r="G6958" s="3">
        <v>1</v>
      </c>
      <c r="H6958" s="3">
        <v>0</v>
      </c>
      <c r="I6958" s="3">
        <v>22</v>
      </c>
      <c r="J6958" s="3">
        <v>1</v>
      </c>
      <c r="K6958" s="3">
        <v>24</v>
      </c>
      <c r="L6958" s="3">
        <v>1</v>
      </c>
      <c r="M6958" s="3">
        <v>0</v>
      </c>
      <c r="N6958" s="3">
        <v>22</v>
      </c>
      <c r="O6958" s="3"/>
      <c r="P6958" s="3"/>
      <c r="Q6958" s="3"/>
    </row>
    <row r="6959" spans="1:17" ht="15" x14ac:dyDescent="0.25">
      <c r="A6959" s="3">
        <f>6952</f>
        <v>6952</v>
      </c>
      <c r="B6959" s="3" t="s">
        <v>6961</v>
      </c>
      <c r="C6959" s="3" t="s">
        <v>10</v>
      </c>
      <c r="D6959" s="3" t="s">
        <v>9</v>
      </c>
      <c r="E6959" s="3">
        <v>19</v>
      </c>
      <c r="F6959" s="3">
        <v>0</v>
      </c>
      <c r="G6959" s="3">
        <v>1</v>
      </c>
      <c r="H6959" s="3">
        <v>0</v>
      </c>
      <c r="I6959" s="3">
        <v>22</v>
      </c>
      <c r="J6959" s="3">
        <v>1</v>
      </c>
      <c r="K6959" s="3">
        <v>24</v>
      </c>
      <c r="L6959" s="3">
        <v>1</v>
      </c>
      <c r="M6959" s="3">
        <v>0</v>
      </c>
      <c r="N6959" s="3">
        <v>22</v>
      </c>
      <c r="O6959" s="3"/>
      <c r="P6959" s="3"/>
      <c r="Q6959" s="3"/>
    </row>
    <row r="6960" spans="1:17" ht="15" x14ac:dyDescent="0.25">
      <c r="A6960" s="3">
        <f>6953</f>
        <v>6953</v>
      </c>
      <c r="B6960" s="3" t="s">
        <v>6962</v>
      </c>
      <c r="C6960" s="3" t="s">
        <v>10</v>
      </c>
      <c r="D6960" s="3" t="s">
        <v>9</v>
      </c>
      <c r="E6960" s="3">
        <v>19</v>
      </c>
      <c r="F6960" s="3">
        <v>0</v>
      </c>
      <c r="G6960" s="3">
        <v>1</v>
      </c>
      <c r="H6960" s="3">
        <v>0</v>
      </c>
      <c r="I6960" s="3">
        <v>22</v>
      </c>
      <c r="J6960" s="3">
        <v>1</v>
      </c>
      <c r="K6960" s="3">
        <v>24</v>
      </c>
      <c r="L6960" s="3">
        <v>1</v>
      </c>
      <c r="M6960" s="3">
        <v>0</v>
      </c>
      <c r="N6960" s="3">
        <v>22</v>
      </c>
      <c r="O6960" s="3"/>
      <c r="P6960" s="3"/>
      <c r="Q6960" s="3"/>
    </row>
    <row r="6961" spans="1:17" ht="15" x14ac:dyDescent="0.25">
      <c r="A6961" s="3">
        <f>6954</f>
        <v>6954</v>
      </c>
      <c r="B6961" s="3" t="s">
        <v>6963</v>
      </c>
      <c r="C6961" s="3" t="s">
        <v>10</v>
      </c>
      <c r="D6961" s="3" t="s">
        <v>9</v>
      </c>
      <c r="E6961" s="3">
        <v>19</v>
      </c>
      <c r="F6961" s="3">
        <v>0</v>
      </c>
      <c r="G6961" s="3">
        <v>1</v>
      </c>
      <c r="H6961" s="3">
        <v>0</v>
      </c>
      <c r="I6961" s="3">
        <v>22</v>
      </c>
      <c r="J6961" s="3">
        <v>1</v>
      </c>
      <c r="K6961" s="3">
        <v>24</v>
      </c>
      <c r="L6961" s="3">
        <v>1</v>
      </c>
      <c r="M6961" s="3">
        <v>0</v>
      </c>
      <c r="N6961" s="3">
        <v>22</v>
      </c>
      <c r="O6961" s="3"/>
      <c r="P6961" s="3"/>
      <c r="Q6961" s="3"/>
    </row>
    <row r="6962" spans="1:17" ht="15" x14ac:dyDescent="0.25">
      <c r="A6962" s="3">
        <f>6955</f>
        <v>6955</v>
      </c>
      <c r="B6962" s="3" t="s">
        <v>6964</v>
      </c>
      <c r="C6962" s="3" t="s">
        <v>10</v>
      </c>
      <c r="D6962" s="3" t="s">
        <v>9</v>
      </c>
      <c r="E6962" s="3">
        <v>19</v>
      </c>
      <c r="F6962" s="3">
        <v>0</v>
      </c>
      <c r="G6962" s="3">
        <v>1</v>
      </c>
      <c r="H6962" s="3">
        <v>0</v>
      </c>
      <c r="I6962" s="3">
        <v>22</v>
      </c>
      <c r="J6962" s="3">
        <v>1</v>
      </c>
      <c r="K6962" s="3">
        <v>24</v>
      </c>
      <c r="L6962" s="3">
        <v>1</v>
      </c>
      <c r="M6962" s="3">
        <v>0</v>
      </c>
      <c r="N6962" s="3">
        <v>22</v>
      </c>
      <c r="O6962" s="3"/>
      <c r="P6962" s="3"/>
      <c r="Q6962" s="3"/>
    </row>
    <row r="6963" spans="1:17" ht="15" x14ac:dyDescent="0.25">
      <c r="A6963" s="3">
        <f>6956</f>
        <v>6956</v>
      </c>
      <c r="B6963" s="3" t="s">
        <v>6965</v>
      </c>
      <c r="C6963" s="3" t="s">
        <v>10</v>
      </c>
      <c r="D6963" s="3" t="s">
        <v>9</v>
      </c>
      <c r="E6963" s="3">
        <v>19</v>
      </c>
      <c r="F6963" s="3">
        <v>0</v>
      </c>
      <c r="G6963" s="3">
        <v>1</v>
      </c>
      <c r="H6963" s="3">
        <v>0</v>
      </c>
      <c r="I6963" s="3">
        <v>22</v>
      </c>
      <c r="J6963" s="3">
        <v>1</v>
      </c>
      <c r="K6963" s="3">
        <v>24</v>
      </c>
      <c r="L6963" s="3">
        <v>1</v>
      </c>
      <c r="M6963" s="3">
        <v>0</v>
      </c>
      <c r="N6963" s="3">
        <v>22</v>
      </c>
      <c r="O6963" s="3"/>
      <c r="P6963" s="3"/>
      <c r="Q6963" s="3"/>
    </row>
    <row r="6964" spans="1:17" ht="15" x14ac:dyDescent="0.25">
      <c r="A6964" s="3">
        <f>6957</f>
        <v>6957</v>
      </c>
      <c r="B6964" s="3" t="s">
        <v>6966</v>
      </c>
      <c r="C6964" s="3" t="s">
        <v>10</v>
      </c>
      <c r="D6964" s="3" t="s">
        <v>9</v>
      </c>
      <c r="E6964" s="3">
        <v>19</v>
      </c>
      <c r="F6964" s="3">
        <v>0</v>
      </c>
      <c r="G6964" s="3">
        <v>1</v>
      </c>
      <c r="H6964" s="3">
        <v>0</v>
      </c>
      <c r="I6964" s="3">
        <v>22</v>
      </c>
      <c r="J6964" s="3">
        <v>1</v>
      </c>
      <c r="K6964" s="3">
        <v>24</v>
      </c>
      <c r="L6964" s="3">
        <v>1</v>
      </c>
      <c r="M6964" s="3">
        <v>0</v>
      </c>
      <c r="N6964" s="3">
        <v>22</v>
      </c>
      <c r="O6964" s="3"/>
      <c r="P6964" s="3"/>
      <c r="Q6964" s="3"/>
    </row>
    <row r="6965" spans="1:17" ht="15" x14ac:dyDescent="0.25">
      <c r="A6965" s="3">
        <f>6958</f>
        <v>6958</v>
      </c>
      <c r="B6965" s="3" t="s">
        <v>6967</v>
      </c>
      <c r="C6965" s="3" t="s">
        <v>10</v>
      </c>
      <c r="D6965" s="3" t="s">
        <v>9</v>
      </c>
      <c r="E6965" s="3">
        <v>19</v>
      </c>
      <c r="F6965" s="3">
        <v>0</v>
      </c>
      <c r="G6965" s="3">
        <v>1</v>
      </c>
      <c r="H6965" s="3">
        <v>0</v>
      </c>
      <c r="I6965" s="3">
        <v>22</v>
      </c>
      <c r="J6965" s="3">
        <v>1</v>
      </c>
      <c r="K6965" s="3">
        <v>24</v>
      </c>
      <c r="L6965" s="3">
        <v>1</v>
      </c>
      <c r="M6965" s="3">
        <v>0</v>
      </c>
      <c r="N6965" s="3">
        <v>22</v>
      </c>
      <c r="O6965" s="3"/>
      <c r="P6965" s="3"/>
      <c r="Q6965" s="3"/>
    </row>
    <row r="6966" spans="1:17" ht="15" x14ac:dyDescent="0.25">
      <c r="A6966" s="3">
        <f>6959</f>
        <v>6959</v>
      </c>
      <c r="B6966" s="3" t="s">
        <v>6968</v>
      </c>
      <c r="C6966" s="3" t="s">
        <v>10</v>
      </c>
      <c r="D6966" s="3" t="s">
        <v>9</v>
      </c>
      <c r="E6966" s="3">
        <v>19</v>
      </c>
      <c r="F6966" s="3">
        <v>0</v>
      </c>
      <c r="G6966" s="3">
        <v>1</v>
      </c>
      <c r="H6966" s="3">
        <v>0</v>
      </c>
      <c r="I6966" s="3">
        <v>22</v>
      </c>
      <c r="J6966" s="3">
        <v>1</v>
      </c>
      <c r="K6966" s="3">
        <v>24</v>
      </c>
      <c r="L6966" s="3">
        <v>1</v>
      </c>
      <c r="M6966" s="3">
        <v>0</v>
      </c>
      <c r="N6966" s="3">
        <v>22</v>
      </c>
      <c r="O6966" s="3"/>
      <c r="P6966" s="3"/>
      <c r="Q6966" s="3"/>
    </row>
    <row r="6967" spans="1:17" ht="15" x14ac:dyDescent="0.25">
      <c r="A6967" s="3">
        <f>6960</f>
        <v>6960</v>
      </c>
      <c r="B6967" s="3" t="s">
        <v>6969</v>
      </c>
      <c r="C6967" s="3" t="s">
        <v>10</v>
      </c>
      <c r="D6967" s="3" t="s">
        <v>9</v>
      </c>
      <c r="E6967" s="3">
        <v>23</v>
      </c>
      <c r="F6967" s="3">
        <v>0</v>
      </c>
      <c r="G6967" s="3">
        <v>1</v>
      </c>
      <c r="H6967" s="3">
        <v>0</v>
      </c>
      <c r="I6967" s="3">
        <v>22</v>
      </c>
      <c r="J6967" s="3">
        <v>1</v>
      </c>
      <c r="K6967" s="3">
        <v>24</v>
      </c>
      <c r="L6967" s="3">
        <v>1</v>
      </c>
      <c r="M6967" s="3">
        <v>0</v>
      </c>
      <c r="N6967" s="3">
        <v>22</v>
      </c>
      <c r="O6967" s="3"/>
      <c r="P6967" s="3"/>
      <c r="Q6967" s="3"/>
    </row>
    <row r="6968" spans="1:17" ht="15" x14ac:dyDescent="0.25">
      <c r="A6968" s="3">
        <f>6961</f>
        <v>6961</v>
      </c>
      <c r="B6968" s="3" t="s">
        <v>6970</v>
      </c>
      <c r="C6968" s="3" t="s">
        <v>10</v>
      </c>
      <c r="D6968" s="3" t="s">
        <v>9</v>
      </c>
      <c r="E6968" s="3">
        <v>23</v>
      </c>
      <c r="F6968" s="3">
        <v>0</v>
      </c>
      <c r="G6968" s="3">
        <v>1</v>
      </c>
      <c r="H6968" s="3">
        <v>0</v>
      </c>
      <c r="I6968" s="3">
        <v>22</v>
      </c>
      <c r="J6968" s="3">
        <v>1</v>
      </c>
      <c r="K6968" s="3">
        <v>24</v>
      </c>
      <c r="L6968" s="3">
        <v>1</v>
      </c>
      <c r="M6968" s="3">
        <v>0</v>
      </c>
      <c r="N6968" s="3">
        <v>22</v>
      </c>
      <c r="O6968" s="3"/>
      <c r="P6968" s="3"/>
      <c r="Q6968" s="3"/>
    </row>
    <row r="6969" spans="1:17" ht="15" x14ac:dyDescent="0.25">
      <c r="A6969" s="3">
        <f>6962</f>
        <v>6962</v>
      </c>
      <c r="B6969" s="3" t="s">
        <v>6971</v>
      </c>
      <c r="C6969" s="3" t="s">
        <v>10</v>
      </c>
      <c r="D6969" s="3" t="s">
        <v>9</v>
      </c>
      <c r="E6969" s="3">
        <v>23</v>
      </c>
      <c r="F6969" s="3">
        <v>0</v>
      </c>
      <c r="G6969" s="3">
        <v>1</v>
      </c>
      <c r="H6969" s="3">
        <v>0</v>
      </c>
      <c r="I6969" s="3">
        <v>22</v>
      </c>
      <c r="J6969" s="3">
        <v>1</v>
      </c>
      <c r="K6969" s="3">
        <v>24</v>
      </c>
      <c r="L6969" s="3">
        <v>1</v>
      </c>
      <c r="M6969" s="3">
        <v>0</v>
      </c>
      <c r="N6969" s="3">
        <v>22</v>
      </c>
      <c r="O6969" s="3"/>
      <c r="P6969" s="3"/>
      <c r="Q6969" s="3"/>
    </row>
    <row r="6970" spans="1:17" ht="15" x14ac:dyDescent="0.25">
      <c r="A6970" s="3">
        <f>6963</f>
        <v>6963</v>
      </c>
      <c r="B6970" s="3" t="s">
        <v>6972</v>
      </c>
      <c r="C6970" s="3" t="s">
        <v>10</v>
      </c>
      <c r="D6970" s="3" t="s">
        <v>9</v>
      </c>
      <c r="E6970" s="3">
        <v>23</v>
      </c>
      <c r="F6970" s="3">
        <v>70</v>
      </c>
      <c r="G6970" s="3">
        <v>1</v>
      </c>
      <c r="H6970" s="3">
        <v>5</v>
      </c>
      <c r="I6970" s="3">
        <v>22</v>
      </c>
      <c r="J6970" s="3">
        <v>1</v>
      </c>
      <c r="K6970" s="3">
        <v>24</v>
      </c>
      <c r="L6970" s="3">
        <v>1</v>
      </c>
      <c r="M6970" s="3">
        <v>0</v>
      </c>
      <c r="N6970" s="3">
        <v>22</v>
      </c>
      <c r="O6970" s="3"/>
      <c r="P6970" s="3"/>
      <c r="Q6970" s="3"/>
    </row>
    <row r="6971" spans="1:17" ht="15" x14ac:dyDescent="0.25">
      <c r="A6971" s="3">
        <f>6964</f>
        <v>6964</v>
      </c>
      <c r="B6971" s="3" t="s">
        <v>6973</v>
      </c>
      <c r="C6971" s="3" t="s">
        <v>10</v>
      </c>
      <c r="D6971" s="3" t="s">
        <v>9</v>
      </c>
      <c r="E6971" s="3">
        <v>23</v>
      </c>
      <c r="F6971" s="3">
        <v>70</v>
      </c>
      <c r="G6971" s="3">
        <v>1</v>
      </c>
      <c r="H6971" s="3">
        <v>5</v>
      </c>
      <c r="I6971" s="3">
        <v>22</v>
      </c>
      <c r="J6971" s="3">
        <v>1</v>
      </c>
      <c r="K6971" s="3">
        <v>24</v>
      </c>
      <c r="L6971" s="3">
        <v>1</v>
      </c>
      <c r="M6971" s="3">
        <v>0</v>
      </c>
      <c r="N6971" s="3">
        <v>22</v>
      </c>
      <c r="O6971" s="3"/>
      <c r="P6971" s="3"/>
      <c r="Q6971" s="3"/>
    </row>
    <row r="6972" spans="1:17" ht="15" x14ac:dyDescent="0.25">
      <c r="A6972" s="3">
        <f>6965</f>
        <v>6965</v>
      </c>
      <c r="B6972" s="3" t="s">
        <v>6974</v>
      </c>
      <c r="C6972" s="3" t="s">
        <v>10</v>
      </c>
      <c r="D6972" s="3" t="s">
        <v>9</v>
      </c>
      <c r="E6972" s="3">
        <v>23</v>
      </c>
      <c r="F6972" s="3">
        <v>70</v>
      </c>
      <c r="G6972" s="3">
        <v>1</v>
      </c>
      <c r="H6972" s="3">
        <v>5</v>
      </c>
      <c r="I6972" s="3">
        <v>22</v>
      </c>
      <c r="J6972" s="3">
        <v>1</v>
      </c>
      <c r="K6972" s="3">
        <v>24</v>
      </c>
      <c r="L6972" s="3">
        <v>1</v>
      </c>
      <c r="M6972" s="3">
        <v>0</v>
      </c>
      <c r="N6972" s="3">
        <v>22</v>
      </c>
      <c r="O6972" s="3"/>
      <c r="P6972" s="3"/>
      <c r="Q6972" s="3"/>
    </row>
    <row r="6973" spans="1:17" ht="15" x14ac:dyDescent="0.25">
      <c r="A6973" s="3">
        <f>6966</f>
        <v>6966</v>
      </c>
      <c r="B6973" s="3" t="s">
        <v>6975</v>
      </c>
      <c r="C6973" s="3" t="s">
        <v>10</v>
      </c>
      <c r="D6973" s="3" t="s">
        <v>9</v>
      </c>
      <c r="E6973" s="3">
        <v>23</v>
      </c>
      <c r="F6973" s="3">
        <v>70</v>
      </c>
      <c r="G6973" s="3">
        <v>1</v>
      </c>
      <c r="H6973" s="3">
        <v>5</v>
      </c>
      <c r="I6973" s="3">
        <v>22</v>
      </c>
      <c r="J6973" s="3">
        <v>1</v>
      </c>
      <c r="K6973" s="3">
        <v>24</v>
      </c>
      <c r="L6973" s="3">
        <v>1</v>
      </c>
      <c r="M6973" s="3">
        <v>0</v>
      </c>
      <c r="N6973" s="3">
        <v>22</v>
      </c>
      <c r="O6973" s="3"/>
      <c r="P6973" s="3"/>
      <c r="Q6973" s="3"/>
    </row>
    <row r="6974" spans="1:17" ht="15" x14ac:dyDescent="0.25">
      <c r="A6974" s="3">
        <f>6967</f>
        <v>6967</v>
      </c>
      <c r="B6974" s="3" t="s">
        <v>6976</v>
      </c>
      <c r="C6974" s="3" t="s">
        <v>10</v>
      </c>
      <c r="D6974" s="3" t="s">
        <v>9</v>
      </c>
      <c r="E6974" s="3">
        <v>23</v>
      </c>
      <c r="F6974" s="3">
        <v>70</v>
      </c>
      <c r="G6974" s="3">
        <v>1</v>
      </c>
      <c r="H6974" s="3">
        <v>5</v>
      </c>
      <c r="I6974" s="3">
        <v>21</v>
      </c>
      <c r="J6974" s="3">
        <v>1</v>
      </c>
      <c r="K6974" s="3">
        <v>24</v>
      </c>
      <c r="L6974" s="3">
        <v>1</v>
      </c>
      <c r="M6974" s="3">
        <v>0</v>
      </c>
      <c r="N6974" s="3">
        <v>22</v>
      </c>
      <c r="O6974" s="3"/>
      <c r="P6974" s="3"/>
      <c r="Q6974" s="3"/>
    </row>
    <row r="6975" spans="1:17" ht="15" x14ac:dyDescent="0.25">
      <c r="A6975" s="3">
        <f>6968</f>
        <v>6968</v>
      </c>
      <c r="B6975" s="3" t="s">
        <v>6977</v>
      </c>
      <c r="C6975" s="3" t="s">
        <v>10</v>
      </c>
      <c r="D6975" s="3" t="s">
        <v>9</v>
      </c>
      <c r="E6975" s="3">
        <v>23</v>
      </c>
      <c r="F6975" s="3">
        <v>70</v>
      </c>
      <c r="G6975" s="3">
        <v>1</v>
      </c>
      <c r="H6975" s="3">
        <v>5</v>
      </c>
      <c r="I6975" s="3">
        <v>21</v>
      </c>
      <c r="J6975" s="3">
        <v>1</v>
      </c>
      <c r="K6975" s="3">
        <v>24</v>
      </c>
      <c r="L6975" s="3">
        <v>1</v>
      </c>
      <c r="M6975" s="3">
        <v>0</v>
      </c>
      <c r="N6975" s="3">
        <v>22</v>
      </c>
      <c r="O6975" s="3"/>
      <c r="P6975" s="3"/>
      <c r="Q6975" s="3"/>
    </row>
    <row r="6976" spans="1:17" ht="15" x14ac:dyDescent="0.25">
      <c r="A6976" s="3">
        <f>6969</f>
        <v>6969</v>
      </c>
      <c r="B6976" s="3" t="s">
        <v>6978</v>
      </c>
      <c r="C6976" s="3" t="s">
        <v>10</v>
      </c>
      <c r="D6976" s="3" t="s">
        <v>9</v>
      </c>
      <c r="E6976" s="3">
        <v>23</v>
      </c>
      <c r="F6976" s="3">
        <v>70</v>
      </c>
      <c r="G6976" s="3">
        <v>1</v>
      </c>
      <c r="H6976" s="3">
        <v>5</v>
      </c>
      <c r="I6976" s="3">
        <v>21</v>
      </c>
      <c r="J6976" s="3">
        <v>1</v>
      </c>
      <c r="K6976" s="3">
        <v>24</v>
      </c>
      <c r="L6976" s="3">
        <v>1</v>
      </c>
      <c r="M6976" s="3">
        <v>0</v>
      </c>
      <c r="N6976" s="3">
        <v>22</v>
      </c>
      <c r="O6976" s="3"/>
      <c r="P6976" s="3"/>
      <c r="Q6976" s="3"/>
    </row>
    <row r="6977" spans="1:17" ht="15" x14ac:dyDescent="0.25">
      <c r="A6977" s="3">
        <f>6970</f>
        <v>6970</v>
      </c>
      <c r="B6977" s="3" t="s">
        <v>6979</v>
      </c>
      <c r="C6977" s="3" t="s">
        <v>10</v>
      </c>
      <c r="D6977" s="3" t="s">
        <v>9</v>
      </c>
      <c r="E6977" s="3">
        <v>23</v>
      </c>
      <c r="F6977" s="3">
        <v>70</v>
      </c>
      <c r="G6977" s="3">
        <v>1</v>
      </c>
      <c r="H6977" s="3">
        <v>5</v>
      </c>
      <c r="I6977" s="3">
        <v>21</v>
      </c>
      <c r="J6977" s="3">
        <v>1</v>
      </c>
      <c r="K6977" s="3">
        <v>24</v>
      </c>
      <c r="L6977" s="3">
        <v>1</v>
      </c>
      <c r="M6977" s="3">
        <v>0</v>
      </c>
      <c r="N6977" s="3">
        <v>22</v>
      </c>
      <c r="O6977" s="3"/>
      <c r="P6977" s="3"/>
      <c r="Q6977" s="3"/>
    </row>
    <row r="6978" spans="1:17" ht="15" x14ac:dyDescent="0.25">
      <c r="A6978" s="3">
        <f>6971</f>
        <v>6971</v>
      </c>
      <c r="B6978" s="3" t="s">
        <v>6980</v>
      </c>
      <c r="C6978" s="3" t="s">
        <v>10</v>
      </c>
      <c r="D6978" s="3" t="s">
        <v>9</v>
      </c>
      <c r="E6978" s="3">
        <v>23</v>
      </c>
      <c r="F6978" s="3">
        <v>70</v>
      </c>
      <c r="G6978" s="3">
        <v>1</v>
      </c>
      <c r="H6978" s="3">
        <v>5</v>
      </c>
      <c r="I6978" s="3">
        <v>21</v>
      </c>
      <c r="J6978" s="3">
        <v>1</v>
      </c>
      <c r="K6978" s="3">
        <v>24</v>
      </c>
      <c r="L6978" s="3">
        <v>1</v>
      </c>
      <c r="M6978" s="3">
        <v>0</v>
      </c>
      <c r="N6978" s="3">
        <v>22</v>
      </c>
      <c r="O6978" s="3"/>
      <c r="P6978" s="3"/>
      <c r="Q6978" s="3"/>
    </row>
    <row r="6979" spans="1:17" ht="15" x14ac:dyDescent="0.25">
      <c r="A6979" s="3">
        <f>6972</f>
        <v>6972</v>
      </c>
      <c r="B6979" s="3" t="s">
        <v>6981</v>
      </c>
      <c r="C6979" s="3" t="s">
        <v>10</v>
      </c>
      <c r="D6979" s="3" t="s">
        <v>9</v>
      </c>
      <c r="E6979" s="3">
        <v>23</v>
      </c>
      <c r="F6979" s="3">
        <v>70</v>
      </c>
      <c r="G6979" s="3">
        <v>1</v>
      </c>
      <c r="H6979" s="3">
        <v>5</v>
      </c>
      <c r="I6979" s="3">
        <v>21</v>
      </c>
      <c r="J6979" s="3">
        <v>1</v>
      </c>
      <c r="K6979" s="3">
        <v>24</v>
      </c>
      <c r="L6979" s="3">
        <v>1</v>
      </c>
      <c r="M6979" s="3">
        <v>0</v>
      </c>
      <c r="N6979" s="3">
        <v>22</v>
      </c>
      <c r="O6979" s="3"/>
      <c r="P6979" s="3"/>
      <c r="Q6979" s="3"/>
    </row>
    <row r="6980" spans="1:17" ht="15" x14ac:dyDescent="0.25">
      <c r="A6980" s="3">
        <f>6973</f>
        <v>6973</v>
      </c>
      <c r="B6980" s="3" t="s">
        <v>6982</v>
      </c>
      <c r="C6980" s="3" t="s">
        <v>10</v>
      </c>
      <c r="D6980" s="3" t="s">
        <v>9</v>
      </c>
      <c r="E6980" s="3">
        <v>23</v>
      </c>
      <c r="F6980" s="3">
        <v>70</v>
      </c>
      <c r="G6980" s="3">
        <v>1</v>
      </c>
      <c r="H6980" s="3">
        <v>5</v>
      </c>
      <c r="I6980" s="3">
        <v>21</v>
      </c>
      <c r="J6980" s="3">
        <v>1</v>
      </c>
      <c r="K6980" s="3">
        <v>24</v>
      </c>
      <c r="L6980" s="3">
        <v>1</v>
      </c>
      <c r="M6980" s="3">
        <v>0</v>
      </c>
      <c r="N6980" s="3">
        <v>22</v>
      </c>
      <c r="O6980" s="3"/>
      <c r="P6980" s="3"/>
      <c r="Q6980" s="3"/>
    </row>
    <row r="6981" spans="1:17" ht="15" x14ac:dyDescent="0.25">
      <c r="A6981" s="3">
        <f>6974</f>
        <v>6974</v>
      </c>
      <c r="B6981" s="3" t="s">
        <v>6983</v>
      </c>
      <c r="C6981" s="3" t="s">
        <v>10</v>
      </c>
      <c r="D6981" s="3" t="s">
        <v>9</v>
      </c>
      <c r="E6981" s="3">
        <v>23</v>
      </c>
      <c r="F6981" s="3">
        <v>70</v>
      </c>
      <c r="G6981" s="3">
        <v>1</v>
      </c>
      <c r="H6981" s="3">
        <v>5</v>
      </c>
      <c r="I6981" s="3">
        <v>21</v>
      </c>
      <c r="J6981" s="3">
        <v>1</v>
      </c>
      <c r="K6981" s="3">
        <v>24</v>
      </c>
      <c r="L6981" s="3">
        <v>1</v>
      </c>
      <c r="M6981" s="3">
        <v>0</v>
      </c>
      <c r="N6981" s="3">
        <v>22</v>
      </c>
      <c r="O6981" s="3"/>
      <c r="P6981" s="3"/>
      <c r="Q6981" s="3"/>
    </row>
    <row r="6982" spans="1:17" ht="15" x14ac:dyDescent="0.25">
      <c r="A6982" s="3">
        <f>6975</f>
        <v>6975</v>
      </c>
      <c r="B6982" s="3" t="s">
        <v>6984</v>
      </c>
      <c r="C6982" s="3" t="s">
        <v>10</v>
      </c>
      <c r="D6982" s="3" t="s">
        <v>9</v>
      </c>
      <c r="E6982" s="3">
        <v>23</v>
      </c>
      <c r="F6982" s="3">
        <v>70</v>
      </c>
      <c r="G6982" s="3">
        <v>1</v>
      </c>
      <c r="H6982" s="3">
        <v>5</v>
      </c>
      <c r="I6982" s="3">
        <v>21</v>
      </c>
      <c r="J6982" s="3">
        <v>1</v>
      </c>
      <c r="K6982" s="3">
        <v>24</v>
      </c>
      <c r="L6982" s="3">
        <v>1</v>
      </c>
      <c r="M6982" s="3">
        <v>0</v>
      </c>
      <c r="N6982" s="3">
        <v>22</v>
      </c>
      <c r="O6982" s="3"/>
      <c r="P6982" s="3"/>
      <c r="Q6982" s="3"/>
    </row>
    <row r="6983" spans="1:17" ht="15" x14ac:dyDescent="0.25">
      <c r="A6983" s="3">
        <f>6976</f>
        <v>6976</v>
      </c>
      <c r="B6983" s="3" t="s">
        <v>6985</v>
      </c>
      <c r="C6983" s="3" t="s">
        <v>10</v>
      </c>
      <c r="D6983" s="3" t="s">
        <v>9</v>
      </c>
      <c r="E6983" s="3">
        <v>23</v>
      </c>
      <c r="F6983" s="3">
        <v>70</v>
      </c>
      <c r="G6983" s="3">
        <v>1</v>
      </c>
      <c r="H6983" s="3">
        <v>5</v>
      </c>
      <c r="I6983" s="3">
        <v>21</v>
      </c>
      <c r="J6983" s="3">
        <v>1</v>
      </c>
      <c r="K6983" s="3">
        <v>24</v>
      </c>
      <c r="L6983" s="3">
        <v>1</v>
      </c>
      <c r="M6983" s="3">
        <v>0</v>
      </c>
      <c r="N6983" s="3">
        <v>22</v>
      </c>
      <c r="O6983" s="3"/>
      <c r="P6983" s="3"/>
      <c r="Q6983" s="3"/>
    </row>
    <row r="6984" spans="1:17" ht="15" x14ac:dyDescent="0.25">
      <c r="A6984" s="3">
        <f>6977</f>
        <v>6977</v>
      </c>
      <c r="B6984" s="3" t="s">
        <v>6986</v>
      </c>
      <c r="C6984" s="3" t="s">
        <v>10</v>
      </c>
      <c r="D6984" s="3" t="s">
        <v>9</v>
      </c>
      <c r="E6984" s="3">
        <v>23</v>
      </c>
      <c r="F6984" s="3">
        <v>70</v>
      </c>
      <c r="G6984" s="3">
        <v>1</v>
      </c>
      <c r="H6984" s="3">
        <v>5</v>
      </c>
      <c r="I6984" s="3">
        <v>21</v>
      </c>
      <c r="J6984" s="3">
        <v>1</v>
      </c>
      <c r="K6984" s="3">
        <v>24</v>
      </c>
      <c r="L6984" s="3">
        <v>1</v>
      </c>
      <c r="M6984" s="3">
        <v>0</v>
      </c>
      <c r="N6984" s="3">
        <v>22</v>
      </c>
      <c r="O6984" s="3"/>
      <c r="P6984" s="3"/>
      <c r="Q6984" s="3"/>
    </row>
    <row r="6985" spans="1:17" ht="15" x14ac:dyDescent="0.25">
      <c r="A6985" s="3">
        <f>6978</f>
        <v>6978</v>
      </c>
      <c r="B6985" s="3" t="s">
        <v>6987</v>
      </c>
      <c r="C6985" s="3" t="s">
        <v>10</v>
      </c>
      <c r="D6985" s="3" t="s">
        <v>9</v>
      </c>
      <c r="E6985" s="3">
        <v>23</v>
      </c>
      <c r="F6985" s="3">
        <v>70</v>
      </c>
      <c r="G6985" s="3">
        <v>1</v>
      </c>
      <c r="H6985" s="3">
        <v>5</v>
      </c>
      <c r="I6985" s="3">
        <v>21</v>
      </c>
      <c r="J6985" s="3">
        <v>1</v>
      </c>
      <c r="K6985" s="3">
        <v>24</v>
      </c>
      <c r="L6985" s="3">
        <v>1</v>
      </c>
      <c r="M6985" s="3">
        <v>0</v>
      </c>
      <c r="N6985" s="3">
        <v>22</v>
      </c>
      <c r="O6985" s="3"/>
      <c r="P6985" s="3"/>
      <c r="Q6985" s="3"/>
    </row>
    <row r="6986" spans="1:17" ht="15" x14ac:dyDescent="0.25">
      <c r="A6986" s="3">
        <f>6979</f>
        <v>6979</v>
      </c>
      <c r="B6986" s="3" t="s">
        <v>6988</v>
      </c>
      <c r="C6986" s="3" t="s">
        <v>10</v>
      </c>
      <c r="D6986" s="3" t="s">
        <v>9</v>
      </c>
      <c r="E6986" s="3">
        <v>23</v>
      </c>
      <c r="F6986" s="3">
        <v>70</v>
      </c>
      <c r="G6986" s="3">
        <v>1</v>
      </c>
      <c r="H6986" s="3">
        <v>5</v>
      </c>
      <c r="I6986" s="3">
        <v>21</v>
      </c>
      <c r="J6986" s="3">
        <v>1</v>
      </c>
      <c r="K6986" s="3">
        <v>24</v>
      </c>
      <c r="L6986" s="3">
        <v>1</v>
      </c>
      <c r="M6986" s="3">
        <v>0</v>
      </c>
      <c r="N6986" s="3">
        <v>22</v>
      </c>
      <c r="O6986" s="3"/>
      <c r="P6986" s="3"/>
      <c r="Q6986" s="3"/>
    </row>
    <row r="6987" spans="1:17" ht="15" x14ac:dyDescent="0.25">
      <c r="A6987" s="3">
        <f>6980</f>
        <v>6980</v>
      </c>
      <c r="B6987" s="3" t="s">
        <v>6989</v>
      </c>
      <c r="C6987" s="3" t="s">
        <v>10</v>
      </c>
      <c r="D6987" s="3" t="s">
        <v>9</v>
      </c>
      <c r="E6987" s="3">
        <v>23</v>
      </c>
      <c r="F6987" s="3">
        <v>70</v>
      </c>
      <c r="G6987" s="3">
        <v>1</v>
      </c>
      <c r="H6987" s="3">
        <v>5</v>
      </c>
      <c r="I6987" s="3">
        <v>21</v>
      </c>
      <c r="J6987" s="3">
        <v>1</v>
      </c>
      <c r="K6987" s="3">
        <v>24</v>
      </c>
      <c r="L6987" s="3">
        <v>1</v>
      </c>
      <c r="M6987" s="3">
        <v>0</v>
      </c>
      <c r="N6987" s="3">
        <v>22</v>
      </c>
      <c r="O6987" s="3"/>
      <c r="P6987" s="3"/>
      <c r="Q6987" s="3"/>
    </row>
    <row r="6988" spans="1:17" ht="15" x14ac:dyDescent="0.25">
      <c r="A6988" s="3">
        <f>6981</f>
        <v>6981</v>
      </c>
      <c r="B6988" s="3" t="s">
        <v>6990</v>
      </c>
      <c r="C6988" s="3" t="s">
        <v>10</v>
      </c>
      <c r="D6988" s="3" t="s">
        <v>9</v>
      </c>
      <c r="E6988" s="3">
        <v>23</v>
      </c>
      <c r="F6988" s="3">
        <v>70</v>
      </c>
      <c r="G6988" s="3">
        <v>1</v>
      </c>
      <c r="H6988" s="3">
        <v>5</v>
      </c>
      <c r="I6988" s="3">
        <v>21</v>
      </c>
      <c r="J6988" s="3">
        <v>1</v>
      </c>
      <c r="K6988" s="3">
        <v>24</v>
      </c>
      <c r="L6988" s="3">
        <v>1</v>
      </c>
      <c r="M6988" s="3">
        <v>0</v>
      </c>
      <c r="N6988" s="3">
        <v>22</v>
      </c>
      <c r="O6988" s="3"/>
      <c r="P6988" s="3"/>
      <c r="Q6988" s="3"/>
    </row>
    <row r="6989" spans="1:17" ht="15" x14ac:dyDescent="0.25">
      <c r="A6989" s="3">
        <f>6982</f>
        <v>6982</v>
      </c>
      <c r="B6989" s="3" t="s">
        <v>6991</v>
      </c>
      <c r="C6989" s="3" t="s">
        <v>10</v>
      </c>
      <c r="D6989" s="3" t="s">
        <v>9</v>
      </c>
      <c r="E6989" s="3">
        <v>23</v>
      </c>
      <c r="F6989" s="3">
        <v>70</v>
      </c>
      <c r="G6989" s="3">
        <v>1</v>
      </c>
      <c r="H6989" s="3">
        <v>5</v>
      </c>
      <c r="I6989" s="3">
        <v>21</v>
      </c>
      <c r="J6989" s="3">
        <v>1</v>
      </c>
      <c r="K6989" s="3">
        <v>24</v>
      </c>
      <c r="L6989" s="3">
        <v>1</v>
      </c>
      <c r="M6989" s="3">
        <v>0</v>
      </c>
      <c r="N6989" s="3">
        <v>22</v>
      </c>
      <c r="O6989" s="3"/>
      <c r="P6989" s="3"/>
      <c r="Q6989" s="3"/>
    </row>
    <row r="6990" spans="1:17" ht="15" x14ac:dyDescent="0.25">
      <c r="A6990" s="3">
        <f>6983</f>
        <v>6983</v>
      </c>
      <c r="B6990" s="3" t="s">
        <v>6992</v>
      </c>
      <c r="C6990" s="3" t="s">
        <v>10</v>
      </c>
      <c r="D6990" s="3" t="s">
        <v>9</v>
      </c>
      <c r="E6990" s="3">
        <v>23</v>
      </c>
      <c r="F6990" s="3">
        <v>70</v>
      </c>
      <c r="G6990" s="3">
        <v>1</v>
      </c>
      <c r="H6990" s="3">
        <v>5</v>
      </c>
      <c r="I6990" s="3">
        <v>21</v>
      </c>
      <c r="J6990" s="3">
        <v>1</v>
      </c>
      <c r="K6990" s="3">
        <v>24</v>
      </c>
      <c r="L6990" s="3">
        <v>1</v>
      </c>
      <c r="M6990" s="3">
        <v>0</v>
      </c>
      <c r="N6990" s="3">
        <v>22</v>
      </c>
      <c r="O6990" s="3"/>
      <c r="P6990" s="3"/>
      <c r="Q6990" s="3"/>
    </row>
    <row r="6991" spans="1:17" ht="15" x14ac:dyDescent="0.25">
      <c r="A6991" s="3">
        <f>6984</f>
        <v>6984</v>
      </c>
      <c r="B6991" s="3" t="s">
        <v>6993</v>
      </c>
      <c r="C6991" s="3" t="s">
        <v>10</v>
      </c>
      <c r="D6991" s="3" t="s">
        <v>9</v>
      </c>
      <c r="E6991" s="3">
        <v>23</v>
      </c>
      <c r="F6991" s="3">
        <v>70</v>
      </c>
      <c r="G6991" s="3">
        <v>1</v>
      </c>
      <c r="H6991" s="3">
        <v>5</v>
      </c>
      <c r="I6991" s="3">
        <v>21</v>
      </c>
      <c r="J6991" s="3">
        <v>1</v>
      </c>
      <c r="K6991" s="3">
        <v>24</v>
      </c>
      <c r="L6991" s="3">
        <v>1</v>
      </c>
      <c r="M6991" s="3">
        <v>0</v>
      </c>
      <c r="N6991" s="3">
        <v>22</v>
      </c>
      <c r="O6991" s="3"/>
      <c r="P6991" s="3"/>
      <c r="Q6991" s="3"/>
    </row>
    <row r="6992" spans="1:17" ht="15" x14ac:dyDescent="0.25">
      <c r="A6992" s="3">
        <f>6985</f>
        <v>6985</v>
      </c>
      <c r="B6992" s="3" t="s">
        <v>6994</v>
      </c>
      <c r="C6992" s="3" t="s">
        <v>10</v>
      </c>
      <c r="D6992" s="3" t="s">
        <v>9</v>
      </c>
      <c r="E6992" s="3">
        <v>23</v>
      </c>
      <c r="F6992" s="3">
        <v>70</v>
      </c>
      <c r="G6992" s="3">
        <v>1</v>
      </c>
      <c r="H6992" s="3">
        <v>5</v>
      </c>
      <c r="I6992" s="3">
        <v>21</v>
      </c>
      <c r="J6992" s="3">
        <v>1</v>
      </c>
      <c r="K6992" s="3">
        <v>24</v>
      </c>
      <c r="L6992" s="3">
        <v>1</v>
      </c>
      <c r="M6992" s="3">
        <v>0</v>
      </c>
      <c r="N6992" s="3">
        <v>22</v>
      </c>
      <c r="O6992" s="3"/>
      <c r="P6992" s="3"/>
      <c r="Q6992" s="3"/>
    </row>
    <row r="6993" spans="1:17" ht="15" x14ac:dyDescent="0.25">
      <c r="A6993" s="3">
        <f>6986</f>
        <v>6986</v>
      </c>
      <c r="B6993" s="3" t="s">
        <v>6995</v>
      </c>
      <c r="C6993" s="3" t="s">
        <v>10</v>
      </c>
      <c r="D6993" s="3" t="s">
        <v>9</v>
      </c>
      <c r="E6993" s="3">
        <v>23</v>
      </c>
      <c r="F6993" s="3">
        <v>70</v>
      </c>
      <c r="G6993" s="3">
        <v>1</v>
      </c>
      <c r="H6993" s="3">
        <v>5</v>
      </c>
      <c r="I6993" s="3">
        <v>21</v>
      </c>
      <c r="J6993" s="3">
        <v>1</v>
      </c>
      <c r="K6993" s="3">
        <v>24</v>
      </c>
      <c r="L6993" s="3">
        <v>1</v>
      </c>
      <c r="M6993" s="3">
        <v>0</v>
      </c>
      <c r="N6993" s="3">
        <v>22</v>
      </c>
      <c r="O6993" s="3"/>
      <c r="P6993" s="3"/>
      <c r="Q6993" s="3"/>
    </row>
    <row r="6994" spans="1:17" ht="15" x14ac:dyDescent="0.25">
      <c r="A6994" s="3">
        <f>6987</f>
        <v>6987</v>
      </c>
      <c r="B6994" s="3" t="s">
        <v>6996</v>
      </c>
      <c r="C6994" s="3" t="s">
        <v>10</v>
      </c>
      <c r="D6994" s="3" t="s">
        <v>9</v>
      </c>
      <c r="E6994" s="3">
        <v>23</v>
      </c>
      <c r="F6994" s="3">
        <v>70</v>
      </c>
      <c r="G6994" s="3">
        <v>1</v>
      </c>
      <c r="H6994" s="3">
        <v>5</v>
      </c>
      <c r="I6994" s="3">
        <v>21</v>
      </c>
      <c r="J6994" s="3">
        <v>1</v>
      </c>
      <c r="K6994" s="3">
        <v>24</v>
      </c>
      <c r="L6994" s="3">
        <v>1</v>
      </c>
      <c r="M6994" s="3">
        <v>0</v>
      </c>
      <c r="N6994" s="3">
        <v>22</v>
      </c>
      <c r="O6994" s="3"/>
      <c r="P6994" s="3"/>
      <c r="Q6994" s="3"/>
    </row>
    <row r="6995" spans="1:17" ht="15" x14ac:dyDescent="0.25">
      <c r="A6995" s="3">
        <f>6988</f>
        <v>6988</v>
      </c>
      <c r="B6995" s="3" t="s">
        <v>6997</v>
      </c>
      <c r="C6995" s="3" t="s">
        <v>10</v>
      </c>
      <c r="D6995" s="3" t="s">
        <v>9</v>
      </c>
      <c r="E6995" s="3">
        <v>23</v>
      </c>
      <c r="F6995" s="3">
        <v>70</v>
      </c>
      <c r="G6995" s="3">
        <v>1</v>
      </c>
      <c r="H6995" s="3">
        <v>5</v>
      </c>
      <c r="I6995" s="3">
        <v>21</v>
      </c>
      <c r="J6995" s="3">
        <v>1</v>
      </c>
      <c r="K6995" s="3">
        <v>24</v>
      </c>
      <c r="L6995" s="3">
        <v>1</v>
      </c>
      <c r="M6995" s="3">
        <v>0</v>
      </c>
      <c r="N6995" s="3">
        <v>22</v>
      </c>
      <c r="O6995" s="3"/>
      <c r="P6995" s="3"/>
      <c r="Q6995" s="3"/>
    </row>
    <row r="6996" spans="1:17" ht="15" x14ac:dyDescent="0.25">
      <c r="A6996" s="3">
        <f>6989</f>
        <v>6989</v>
      </c>
      <c r="B6996" s="3" t="s">
        <v>6998</v>
      </c>
      <c r="C6996" s="3" t="s">
        <v>10</v>
      </c>
      <c r="D6996" s="3" t="s">
        <v>9</v>
      </c>
      <c r="E6996" s="3">
        <v>23</v>
      </c>
      <c r="F6996" s="3">
        <v>70</v>
      </c>
      <c r="G6996" s="3">
        <v>1</v>
      </c>
      <c r="H6996" s="3">
        <v>5</v>
      </c>
      <c r="I6996" s="3">
        <v>21</v>
      </c>
      <c r="J6996" s="3">
        <v>1</v>
      </c>
      <c r="K6996" s="3">
        <v>24</v>
      </c>
      <c r="L6996" s="3">
        <v>1</v>
      </c>
      <c r="M6996" s="3">
        <v>0</v>
      </c>
      <c r="N6996" s="3">
        <v>22</v>
      </c>
      <c r="O6996" s="3"/>
      <c r="P6996" s="3"/>
      <c r="Q6996" s="3"/>
    </row>
    <row r="6997" spans="1:17" ht="15" x14ac:dyDescent="0.25">
      <c r="A6997" s="3">
        <f>6990</f>
        <v>6990</v>
      </c>
      <c r="B6997" s="3" t="s">
        <v>6999</v>
      </c>
      <c r="C6997" s="3" t="s">
        <v>10</v>
      </c>
      <c r="D6997" s="3" t="s">
        <v>9</v>
      </c>
      <c r="E6997" s="3">
        <v>23</v>
      </c>
      <c r="F6997" s="3">
        <v>70</v>
      </c>
      <c r="G6997" s="3">
        <v>1</v>
      </c>
      <c r="H6997" s="3">
        <v>5</v>
      </c>
      <c r="I6997" s="3">
        <v>21</v>
      </c>
      <c r="J6997" s="3">
        <v>1</v>
      </c>
      <c r="K6997" s="3">
        <v>24</v>
      </c>
      <c r="L6997" s="3">
        <v>1</v>
      </c>
      <c r="M6997" s="3">
        <v>0</v>
      </c>
      <c r="N6997" s="3">
        <v>22</v>
      </c>
      <c r="O6997" s="3"/>
      <c r="P6997" s="3"/>
      <c r="Q6997" s="3"/>
    </row>
    <row r="6998" spans="1:17" ht="15" x14ac:dyDescent="0.25">
      <c r="A6998" s="3">
        <f>6991</f>
        <v>6991</v>
      </c>
      <c r="B6998" s="3" t="s">
        <v>7000</v>
      </c>
      <c r="C6998" s="3" t="s">
        <v>10</v>
      </c>
      <c r="D6998" s="3" t="s">
        <v>9</v>
      </c>
      <c r="E6998" s="3">
        <v>23</v>
      </c>
      <c r="F6998" s="3">
        <v>70</v>
      </c>
      <c r="G6998" s="3">
        <v>1</v>
      </c>
      <c r="H6998" s="3">
        <v>5</v>
      </c>
      <c r="I6998" s="3">
        <v>21</v>
      </c>
      <c r="J6998" s="3">
        <v>1</v>
      </c>
      <c r="K6998" s="3">
        <v>24</v>
      </c>
      <c r="L6998" s="3">
        <v>1</v>
      </c>
      <c r="M6998" s="3">
        <v>0</v>
      </c>
      <c r="N6998" s="3">
        <v>22</v>
      </c>
      <c r="O6998" s="3"/>
      <c r="P6998" s="3"/>
      <c r="Q6998" s="3"/>
    </row>
    <row r="6999" spans="1:17" ht="15" x14ac:dyDescent="0.25">
      <c r="A6999" s="3">
        <f>6992</f>
        <v>6992</v>
      </c>
      <c r="B6999" s="3" t="s">
        <v>7001</v>
      </c>
      <c r="C6999" s="3" t="s">
        <v>10</v>
      </c>
      <c r="D6999" s="3" t="s">
        <v>9</v>
      </c>
      <c r="E6999" s="3">
        <v>23</v>
      </c>
      <c r="F6999" s="3">
        <v>70</v>
      </c>
      <c r="G6999" s="3">
        <v>1</v>
      </c>
      <c r="H6999" s="3">
        <v>5</v>
      </c>
      <c r="I6999" s="3">
        <v>21</v>
      </c>
      <c r="J6999" s="3">
        <v>1</v>
      </c>
      <c r="K6999" s="3">
        <v>24</v>
      </c>
      <c r="L6999" s="3">
        <v>1</v>
      </c>
      <c r="M6999" s="3">
        <v>0</v>
      </c>
      <c r="N6999" s="3">
        <v>22</v>
      </c>
      <c r="O6999" s="3"/>
      <c r="P6999" s="3"/>
      <c r="Q6999" s="3"/>
    </row>
    <row r="7000" spans="1:17" ht="15" x14ac:dyDescent="0.25">
      <c r="A7000" s="3">
        <f>6993</f>
        <v>6993</v>
      </c>
      <c r="B7000" s="3" t="s">
        <v>7002</v>
      </c>
      <c r="C7000" s="3" t="s">
        <v>10</v>
      </c>
      <c r="D7000" s="3" t="s">
        <v>9</v>
      </c>
      <c r="E7000" s="3">
        <v>23</v>
      </c>
      <c r="F7000" s="3">
        <v>70</v>
      </c>
      <c r="G7000" s="3">
        <v>1</v>
      </c>
      <c r="H7000" s="3">
        <v>5</v>
      </c>
      <c r="I7000" s="3">
        <v>21</v>
      </c>
      <c r="J7000" s="3">
        <v>1</v>
      </c>
      <c r="K7000" s="3">
        <v>24</v>
      </c>
      <c r="L7000" s="3">
        <v>1</v>
      </c>
      <c r="M7000" s="3">
        <v>0</v>
      </c>
      <c r="N7000" s="3">
        <v>22</v>
      </c>
      <c r="O7000" s="3"/>
      <c r="P7000" s="3"/>
      <c r="Q7000" s="3"/>
    </row>
    <row r="7001" spans="1:17" ht="15" x14ac:dyDescent="0.25">
      <c r="A7001" s="3">
        <f>6994</f>
        <v>6994</v>
      </c>
      <c r="B7001" s="3" t="s">
        <v>7003</v>
      </c>
      <c r="C7001" s="3" t="s">
        <v>10</v>
      </c>
      <c r="D7001" s="3" t="s">
        <v>9</v>
      </c>
      <c r="E7001" s="3">
        <v>23</v>
      </c>
      <c r="F7001" s="3">
        <v>70</v>
      </c>
      <c r="G7001" s="3">
        <v>1</v>
      </c>
      <c r="H7001" s="3">
        <v>5</v>
      </c>
      <c r="I7001" s="3">
        <v>21</v>
      </c>
      <c r="J7001" s="3">
        <v>1</v>
      </c>
      <c r="K7001" s="3">
        <v>24</v>
      </c>
      <c r="L7001" s="3">
        <v>1</v>
      </c>
      <c r="M7001" s="3">
        <v>0</v>
      </c>
      <c r="N7001" s="3">
        <v>22</v>
      </c>
      <c r="O7001" s="3"/>
      <c r="P7001" s="3"/>
      <c r="Q7001" s="3"/>
    </row>
    <row r="7002" spans="1:17" ht="15" x14ac:dyDescent="0.25">
      <c r="A7002" s="3">
        <f>6995</f>
        <v>6995</v>
      </c>
      <c r="B7002" s="3" t="s">
        <v>7004</v>
      </c>
      <c r="C7002" s="3" t="s">
        <v>10</v>
      </c>
      <c r="D7002" s="3" t="s">
        <v>9</v>
      </c>
      <c r="E7002" s="3">
        <v>23</v>
      </c>
      <c r="F7002" s="3">
        <v>70</v>
      </c>
      <c r="G7002" s="3">
        <v>1</v>
      </c>
      <c r="H7002" s="3">
        <v>5</v>
      </c>
      <c r="I7002" s="3">
        <v>21</v>
      </c>
      <c r="J7002" s="3">
        <v>1</v>
      </c>
      <c r="K7002" s="3">
        <v>24</v>
      </c>
      <c r="L7002" s="3">
        <v>1</v>
      </c>
      <c r="M7002" s="3">
        <v>0</v>
      </c>
      <c r="N7002" s="3">
        <v>22</v>
      </c>
      <c r="O7002" s="3"/>
      <c r="P7002" s="3"/>
      <c r="Q7002" s="3"/>
    </row>
    <row r="7003" spans="1:17" ht="15" x14ac:dyDescent="0.25">
      <c r="A7003" s="3">
        <f>6996</f>
        <v>6996</v>
      </c>
      <c r="B7003" s="3" t="s">
        <v>7005</v>
      </c>
      <c r="C7003" s="3" t="s">
        <v>10</v>
      </c>
      <c r="D7003" s="3" t="s">
        <v>9</v>
      </c>
      <c r="E7003" s="3">
        <v>23</v>
      </c>
      <c r="F7003" s="3">
        <v>70</v>
      </c>
      <c r="G7003" s="3">
        <v>1</v>
      </c>
      <c r="H7003" s="3">
        <v>5</v>
      </c>
      <c r="I7003" s="3">
        <v>21</v>
      </c>
      <c r="J7003" s="3">
        <v>1</v>
      </c>
      <c r="K7003" s="3">
        <v>24</v>
      </c>
      <c r="L7003" s="3">
        <v>1</v>
      </c>
      <c r="M7003" s="3">
        <v>0</v>
      </c>
      <c r="N7003" s="3">
        <v>22</v>
      </c>
      <c r="O7003" s="3"/>
      <c r="P7003" s="3"/>
      <c r="Q7003" s="3"/>
    </row>
    <row r="7004" spans="1:17" ht="15" x14ac:dyDescent="0.25">
      <c r="A7004" s="3">
        <f>6997</f>
        <v>6997</v>
      </c>
      <c r="B7004" s="3" t="s">
        <v>7006</v>
      </c>
      <c r="C7004" s="3" t="s">
        <v>10</v>
      </c>
      <c r="D7004" s="3" t="s">
        <v>9</v>
      </c>
      <c r="E7004" s="3">
        <v>23</v>
      </c>
      <c r="F7004" s="3">
        <v>70</v>
      </c>
      <c r="G7004" s="3">
        <v>1</v>
      </c>
      <c r="H7004" s="3">
        <v>5</v>
      </c>
      <c r="I7004" s="3">
        <v>21</v>
      </c>
      <c r="J7004" s="3">
        <v>1</v>
      </c>
      <c r="K7004" s="3">
        <v>24</v>
      </c>
      <c r="L7004" s="3">
        <v>1</v>
      </c>
      <c r="M7004" s="3">
        <v>0</v>
      </c>
      <c r="N7004" s="3">
        <v>22</v>
      </c>
      <c r="O7004" s="3"/>
      <c r="P7004" s="3"/>
      <c r="Q7004" s="3"/>
    </row>
    <row r="7005" spans="1:17" ht="15" x14ac:dyDescent="0.25">
      <c r="A7005" s="3">
        <f>6998</f>
        <v>6998</v>
      </c>
      <c r="B7005" s="3" t="s">
        <v>7007</v>
      </c>
      <c r="C7005" s="3" t="s">
        <v>10</v>
      </c>
      <c r="D7005" s="3" t="s">
        <v>9</v>
      </c>
      <c r="E7005" s="3">
        <v>23</v>
      </c>
      <c r="F7005" s="3">
        <v>70</v>
      </c>
      <c r="G7005" s="3">
        <v>1</v>
      </c>
      <c r="H7005" s="3">
        <v>5</v>
      </c>
      <c r="I7005" s="3">
        <v>21</v>
      </c>
      <c r="J7005" s="3">
        <v>1</v>
      </c>
      <c r="K7005" s="3">
        <v>24</v>
      </c>
      <c r="L7005" s="3">
        <v>1</v>
      </c>
      <c r="M7005" s="3">
        <v>0</v>
      </c>
      <c r="N7005" s="3">
        <v>22</v>
      </c>
      <c r="O7005" s="3"/>
      <c r="P7005" s="3"/>
      <c r="Q7005" s="3"/>
    </row>
    <row r="7006" spans="1:17" ht="15" x14ac:dyDescent="0.25">
      <c r="A7006" s="3">
        <f>6999</f>
        <v>6999</v>
      </c>
      <c r="B7006" s="3" t="s">
        <v>7008</v>
      </c>
      <c r="C7006" s="3" t="s">
        <v>10</v>
      </c>
      <c r="D7006" s="3" t="s">
        <v>9</v>
      </c>
      <c r="E7006" s="3">
        <v>23</v>
      </c>
      <c r="F7006" s="3">
        <v>70</v>
      </c>
      <c r="G7006" s="3">
        <v>1</v>
      </c>
      <c r="H7006" s="3">
        <v>5</v>
      </c>
      <c r="I7006" s="3">
        <v>21</v>
      </c>
      <c r="J7006" s="3">
        <v>1</v>
      </c>
      <c r="K7006" s="3">
        <v>24</v>
      </c>
      <c r="L7006" s="3">
        <v>1</v>
      </c>
      <c r="M7006" s="3">
        <v>0</v>
      </c>
      <c r="N7006" s="3">
        <v>22</v>
      </c>
      <c r="O7006" s="3"/>
      <c r="P7006" s="3"/>
      <c r="Q7006" s="3"/>
    </row>
    <row r="7007" spans="1:17" ht="15" x14ac:dyDescent="0.25">
      <c r="A7007" s="3">
        <f>7000</f>
        <v>7000</v>
      </c>
      <c r="B7007" s="3" t="s">
        <v>7009</v>
      </c>
      <c r="C7007" s="3" t="s">
        <v>10</v>
      </c>
      <c r="D7007" s="3" t="s">
        <v>9</v>
      </c>
      <c r="E7007" s="3">
        <v>23</v>
      </c>
      <c r="F7007" s="3">
        <v>70</v>
      </c>
      <c r="G7007" s="3">
        <v>1</v>
      </c>
      <c r="H7007" s="3">
        <v>5</v>
      </c>
      <c r="I7007" s="3">
        <v>21</v>
      </c>
      <c r="J7007" s="3">
        <v>1</v>
      </c>
      <c r="K7007" s="3">
        <v>24</v>
      </c>
      <c r="L7007" s="3">
        <v>1</v>
      </c>
      <c r="M7007" s="3">
        <v>0</v>
      </c>
      <c r="N7007" s="3">
        <v>22</v>
      </c>
      <c r="O7007" s="3"/>
      <c r="P7007" s="3"/>
      <c r="Q7007" s="3"/>
    </row>
    <row r="7008" spans="1:17" ht="15" x14ac:dyDescent="0.25">
      <c r="A7008" s="3">
        <f>7001</f>
        <v>7001</v>
      </c>
      <c r="B7008" s="3" t="s">
        <v>7010</v>
      </c>
      <c r="C7008" s="3" t="s">
        <v>10</v>
      </c>
      <c r="D7008" s="3" t="s">
        <v>9</v>
      </c>
      <c r="E7008" s="3">
        <v>23</v>
      </c>
      <c r="F7008" s="3">
        <v>70</v>
      </c>
      <c r="G7008" s="3">
        <v>1</v>
      </c>
      <c r="H7008" s="3">
        <v>5</v>
      </c>
      <c r="I7008" s="3">
        <v>21</v>
      </c>
      <c r="J7008" s="3">
        <v>1</v>
      </c>
      <c r="K7008" s="3">
        <v>24</v>
      </c>
      <c r="L7008" s="3">
        <v>1</v>
      </c>
      <c r="M7008" s="3">
        <v>0</v>
      </c>
      <c r="N7008" s="3">
        <v>22</v>
      </c>
      <c r="O7008" s="3"/>
      <c r="P7008" s="3"/>
      <c r="Q7008" s="3"/>
    </row>
    <row r="7009" spans="1:17" ht="15" x14ac:dyDescent="0.25">
      <c r="A7009" s="3">
        <f>7002</f>
        <v>7002</v>
      </c>
      <c r="B7009" s="3" t="s">
        <v>7011</v>
      </c>
      <c r="C7009" s="3" t="s">
        <v>10</v>
      </c>
      <c r="D7009" s="3" t="s">
        <v>9</v>
      </c>
      <c r="E7009" s="3">
        <v>23</v>
      </c>
      <c r="F7009" s="3">
        <v>70</v>
      </c>
      <c r="G7009" s="3">
        <v>1</v>
      </c>
      <c r="H7009" s="3">
        <v>5</v>
      </c>
      <c r="I7009" s="3">
        <v>21</v>
      </c>
      <c r="J7009" s="3">
        <v>1</v>
      </c>
      <c r="K7009" s="3">
        <v>24</v>
      </c>
      <c r="L7009" s="3">
        <v>1</v>
      </c>
      <c r="M7009" s="3">
        <v>0</v>
      </c>
      <c r="N7009" s="3">
        <v>22</v>
      </c>
      <c r="O7009" s="3"/>
      <c r="P7009" s="3"/>
      <c r="Q7009" s="3"/>
    </row>
    <row r="7010" spans="1:17" ht="15" x14ac:dyDescent="0.25">
      <c r="A7010" s="3">
        <f>7003</f>
        <v>7003</v>
      </c>
      <c r="B7010" s="3" t="s">
        <v>7012</v>
      </c>
      <c r="C7010" s="3" t="s">
        <v>10</v>
      </c>
      <c r="D7010" s="3" t="s">
        <v>9</v>
      </c>
      <c r="E7010" s="3">
        <v>23</v>
      </c>
      <c r="F7010" s="3">
        <v>70</v>
      </c>
      <c r="G7010" s="3">
        <v>1</v>
      </c>
      <c r="H7010" s="3">
        <v>5</v>
      </c>
      <c r="I7010" s="3">
        <v>21</v>
      </c>
      <c r="J7010" s="3">
        <v>1</v>
      </c>
      <c r="K7010" s="3">
        <v>24</v>
      </c>
      <c r="L7010" s="3">
        <v>1</v>
      </c>
      <c r="M7010" s="3">
        <v>0</v>
      </c>
      <c r="N7010" s="3">
        <v>22</v>
      </c>
      <c r="O7010" s="3"/>
      <c r="P7010" s="3"/>
      <c r="Q7010" s="3"/>
    </row>
    <row r="7011" spans="1:17" ht="15" x14ac:dyDescent="0.25">
      <c r="A7011" s="3">
        <f>7004</f>
        <v>7004</v>
      </c>
      <c r="B7011" s="3" t="s">
        <v>7013</v>
      </c>
      <c r="C7011" s="3" t="s">
        <v>10</v>
      </c>
      <c r="D7011" s="3" t="s">
        <v>9</v>
      </c>
      <c r="E7011" s="3">
        <v>23</v>
      </c>
      <c r="F7011" s="3">
        <v>70</v>
      </c>
      <c r="G7011" s="3">
        <v>1</v>
      </c>
      <c r="H7011" s="3">
        <v>5</v>
      </c>
      <c r="I7011" s="3">
        <v>21</v>
      </c>
      <c r="J7011" s="3">
        <v>1</v>
      </c>
      <c r="K7011" s="3">
        <v>24</v>
      </c>
      <c r="L7011" s="3">
        <v>1</v>
      </c>
      <c r="M7011" s="3">
        <v>0</v>
      </c>
      <c r="N7011" s="3">
        <v>22</v>
      </c>
      <c r="O7011" s="3"/>
      <c r="P7011" s="3"/>
      <c r="Q7011" s="3"/>
    </row>
    <row r="7012" spans="1:17" ht="15" x14ac:dyDescent="0.25">
      <c r="A7012" s="3">
        <f>7005</f>
        <v>7005</v>
      </c>
      <c r="B7012" s="3" t="s">
        <v>7014</v>
      </c>
      <c r="C7012" s="3" t="s">
        <v>10</v>
      </c>
      <c r="D7012" s="3" t="s">
        <v>9</v>
      </c>
      <c r="E7012" s="3">
        <v>23</v>
      </c>
      <c r="F7012" s="3">
        <v>70</v>
      </c>
      <c r="G7012" s="3">
        <v>1</v>
      </c>
      <c r="H7012" s="3">
        <v>5</v>
      </c>
      <c r="I7012" s="3">
        <v>21</v>
      </c>
      <c r="J7012" s="3">
        <v>1</v>
      </c>
      <c r="K7012" s="3">
        <v>24</v>
      </c>
      <c r="L7012" s="3">
        <v>1</v>
      </c>
      <c r="M7012" s="3">
        <v>0</v>
      </c>
      <c r="N7012" s="3">
        <v>22</v>
      </c>
      <c r="O7012" s="3"/>
      <c r="P7012" s="3"/>
      <c r="Q7012" s="3"/>
    </row>
    <row r="7013" spans="1:17" ht="15" x14ac:dyDescent="0.25">
      <c r="A7013" s="3">
        <f>7006</f>
        <v>7006</v>
      </c>
      <c r="B7013" s="3" t="s">
        <v>7015</v>
      </c>
      <c r="C7013" s="3" t="s">
        <v>10</v>
      </c>
      <c r="D7013" s="3" t="s">
        <v>9</v>
      </c>
      <c r="E7013" s="3">
        <v>23</v>
      </c>
      <c r="F7013" s="3">
        <v>70</v>
      </c>
      <c r="G7013" s="3">
        <v>1</v>
      </c>
      <c r="H7013" s="3">
        <v>5</v>
      </c>
      <c r="I7013" s="3">
        <v>21</v>
      </c>
      <c r="J7013" s="3">
        <v>1</v>
      </c>
      <c r="K7013" s="3">
        <v>24</v>
      </c>
      <c r="L7013" s="3">
        <v>1</v>
      </c>
      <c r="M7013" s="3">
        <v>0</v>
      </c>
      <c r="N7013" s="3">
        <v>22</v>
      </c>
      <c r="O7013" s="3"/>
      <c r="P7013" s="3"/>
      <c r="Q7013" s="3"/>
    </row>
    <row r="7014" spans="1:17" ht="15" x14ac:dyDescent="0.25">
      <c r="A7014" s="3">
        <f>7007</f>
        <v>7007</v>
      </c>
      <c r="B7014" s="3" t="s">
        <v>7016</v>
      </c>
      <c r="C7014" s="3" t="s">
        <v>10</v>
      </c>
      <c r="D7014" s="3" t="s">
        <v>9</v>
      </c>
      <c r="E7014" s="3">
        <v>23</v>
      </c>
      <c r="F7014" s="3">
        <v>70</v>
      </c>
      <c r="G7014" s="3">
        <v>1</v>
      </c>
      <c r="H7014" s="3">
        <v>5</v>
      </c>
      <c r="I7014" s="3">
        <v>21</v>
      </c>
      <c r="J7014" s="3">
        <v>1</v>
      </c>
      <c r="K7014" s="3">
        <v>24</v>
      </c>
      <c r="L7014" s="3">
        <v>1</v>
      </c>
      <c r="M7014" s="3">
        <v>0</v>
      </c>
      <c r="N7014" s="3">
        <v>22</v>
      </c>
      <c r="O7014" s="3"/>
      <c r="P7014" s="3"/>
      <c r="Q7014" s="3"/>
    </row>
    <row r="7015" spans="1:17" ht="15" x14ac:dyDescent="0.25">
      <c r="A7015" s="3">
        <f>7008</f>
        <v>7008</v>
      </c>
      <c r="B7015" s="3" t="s">
        <v>7017</v>
      </c>
      <c r="C7015" s="3" t="s">
        <v>10</v>
      </c>
      <c r="D7015" s="3" t="s">
        <v>9</v>
      </c>
      <c r="E7015" s="3">
        <v>23</v>
      </c>
      <c r="F7015" s="3">
        <v>70</v>
      </c>
      <c r="G7015" s="3">
        <v>1</v>
      </c>
      <c r="H7015" s="3">
        <v>5</v>
      </c>
      <c r="I7015" s="3">
        <v>21</v>
      </c>
      <c r="J7015" s="3">
        <v>1</v>
      </c>
      <c r="K7015" s="3">
        <v>24</v>
      </c>
      <c r="L7015" s="3">
        <v>1</v>
      </c>
      <c r="M7015" s="3">
        <v>0</v>
      </c>
      <c r="N7015" s="3">
        <v>22</v>
      </c>
      <c r="O7015" s="3"/>
      <c r="P7015" s="3"/>
      <c r="Q7015" s="3"/>
    </row>
    <row r="7016" spans="1:17" ht="15" x14ac:dyDescent="0.25">
      <c r="A7016" s="3">
        <f>7009</f>
        <v>7009</v>
      </c>
      <c r="B7016" s="3" t="s">
        <v>7018</v>
      </c>
      <c r="C7016" s="3" t="s">
        <v>10</v>
      </c>
      <c r="D7016" s="3" t="s">
        <v>9</v>
      </c>
      <c r="E7016" s="3">
        <v>23</v>
      </c>
      <c r="F7016" s="3">
        <v>70</v>
      </c>
      <c r="G7016" s="3">
        <v>1</v>
      </c>
      <c r="H7016" s="3">
        <v>5</v>
      </c>
      <c r="I7016" s="3">
        <v>21</v>
      </c>
      <c r="J7016" s="3">
        <v>1</v>
      </c>
      <c r="K7016" s="3">
        <v>24</v>
      </c>
      <c r="L7016" s="3">
        <v>1</v>
      </c>
      <c r="M7016" s="3">
        <v>0</v>
      </c>
      <c r="N7016" s="3">
        <v>22</v>
      </c>
      <c r="O7016" s="3"/>
      <c r="P7016" s="3"/>
      <c r="Q7016" s="3"/>
    </row>
    <row r="7017" spans="1:17" ht="15" x14ac:dyDescent="0.25">
      <c r="A7017" s="3">
        <f>7010</f>
        <v>7010</v>
      </c>
      <c r="B7017" s="3" t="s">
        <v>7019</v>
      </c>
      <c r="C7017" s="3" t="s">
        <v>10</v>
      </c>
      <c r="D7017" s="3" t="s">
        <v>9</v>
      </c>
      <c r="E7017" s="3">
        <v>23</v>
      </c>
      <c r="F7017" s="3">
        <v>70</v>
      </c>
      <c r="G7017" s="3">
        <v>1</v>
      </c>
      <c r="H7017" s="3">
        <v>5</v>
      </c>
      <c r="I7017" s="3">
        <v>21</v>
      </c>
      <c r="J7017" s="3">
        <v>1</v>
      </c>
      <c r="K7017" s="3">
        <v>24</v>
      </c>
      <c r="L7017" s="3">
        <v>1</v>
      </c>
      <c r="M7017" s="3">
        <v>0</v>
      </c>
      <c r="N7017" s="3">
        <v>22</v>
      </c>
      <c r="O7017" s="3"/>
      <c r="P7017" s="3"/>
      <c r="Q7017" s="3"/>
    </row>
    <row r="7018" spans="1:17" ht="15" x14ac:dyDescent="0.25">
      <c r="A7018" s="3">
        <f>7011</f>
        <v>7011</v>
      </c>
      <c r="B7018" s="3" t="s">
        <v>7020</v>
      </c>
      <c r="C7018" s="3" t="s">
        <v>10</v>
      </c>
      <c r="D7018" s="3" t="s">
        <v>9</v>
      </c>
      <c r="E7018" s="3">
        <v>23</v>
      </c>
      <c r="F7018" s="3">
        <v>70</v>
      </c>
      <c r="G7018" s="3">
        <v>1</v>
      </c>
      <c r="H7018" s="3">
        <v>5</v>
      </c>
      <c r="I7018" s="3">
        <v>21</v>
      </c>
      <c r="J7018" s="3">
        <v>1</v>
      </c>
      <c r="K7018" s="3">
        <v>24</v>
      </c>
      <c r="L7018" s="3">
        <v>1</v>
      </c>
      <c r="M7018" s="3">
        <v>0</v>
      </c>
      <c r="N7018" s="3">
        <v>22</v>
      </c>
      <c r="O7018" s="3"/>
      <c r="P7018" s="3"/>
      <c r="Q7018" s="3"/>
    </row>
    <row r="7019" spans="1:17" ht="15" x14ac:dyDescent="0.25">
      <c r="A7019" s="3">
        <f>7012</f>
        <v>7012</v>
      </c>
      <c r="B7019" s="3" t="s">
        <v>7021</v>
      </c>
      <c r="C7019" s="3" t="s">
        <v>10</v>
      </c>
      <c r="D7019" s="3" t="s">
        <v>9</v>
      </c>
      <c r="E7019" s="3">
        <v>23</v>
      </c>
      <c r="F7019" s="3">
        <v>70</v>
      </c>
      <c r="G7019" s="3">
        <v>1</v>
      </c>
      <c r="H7019" s="3">
        <v>5</v>
      </c>
      <c r="I7019" s="3">
        <v>21</v>
      </c>
      <c r="J7019" s="3">
        <v>1</v>
      </c>
      <c r="K7019" s="3">
        <v>24</v>
      </c>
      <c r="L7019" s="3">
        <v>1</v>
      </c>
      <c r="M7019" s="3">
        <v>0</v>
      </c>
      <c r="N7019" s="3">
        <v>22</v>
      </c>
      <c r="O7019" s="3"/>
      <c r="P7019" s="3"/>
      <c r="Q7019" s="3"/>
    </row>
    <row r="7020" spans="1:17" ht="15" x14ac:dyDescent="0.25">
      <c r="A7020" s="3">
        <f>7013</f>
        <v>7013</v>
      </c>
      <c r="B7020" s="3" t="s">
        <v>7022</v>
      </c>
      <c r="C7020" s="3" t="s">
        <v>10</v>
      </c>
      <c r="D7020" s="3" t="s">
        <v>9</v>
      </c>
      <c r="E7020" s="3">
        <v>23</v>
      </c>
      <c r="F7020" s="3">
        <v>70</v>
      </c>
      <c r="G7020" s="3">
        <v>1</v>
      </c>
      <c r="H7020" s="3">
        <v>5</v>
      </c>
      <c r="I7020" s="3">
        <v>21</v>
      </c>
      <c r="J7020" s="3">
        <v>1</v>
      </c>
      <c r="K7020" s="3">
        <v>24</v>
      </c>
      <c r="L7020" s="3">
        <v>1</v>
      </c>
      <c r="M7020" s="3">
        <v>0</v>
      </c>
      <c r="N7020" s="3">
        <v>22</v>
      </c>
      <c r="O7020" s="3"/>
      <c r="P7020" s="3"/>
      <c r="Q7020" s="3"/>
    </row>
    <row r="7021" spans="1:17" ht="15" x14ac:dyDescent="0.25">
      <c r="A7021" s="3">
        <f>7014</f>
        <v>7014</v>
      </c>
      <c r="B7021" s="3" t="s">
        <v>7023</v>
      </c>
      <c r="C7021" s="3" t="s">
        <v>10</v>
      </c>
      <c r="D7021" s="3" t="s">
        <v>9</v>
      </c>
      <c r="E7021" s="3">
        <v>23</v>
      </c>
      <c r="F7021" s="3">
        <v>70</v>
      </c>
      <c r="G7021" s="3">
        <v>1</v>
      </c>
      <c r="H7021" s="3">
        <v>5</v>
      </c>
      <c r="I7021" s="3">
        <v>21</v>
      </c>
      <c r="J7021" s="3">
        <v>1</v>
      </c>
      <c r="K7021" s="3">
        <v>24</v>
      </c>
      <c r="L7021" s="3">
        <v>1</v>
      </c>
      <c r="M7021" s="3">
        <v>0</v>
      </c>
      <c r="N7021" s="3">
        <v>22</v>
      </c>
      <c r="O7021" s="3"/>
      <c r="P7021" s="3"/>
      <c r="Q7021" s="3"/>
    </row>
    <row r="7022" spans="1:17" ht="15" x14ac:dyDescent="0.25">
      <c r="A7022" s="3">
        <f>7015</f>
        <v>7015</v>
      </c>
      <c r="B7022" s="3" t="s">
        <v>7024</v>
      </c>
      <c r="C7022" s="3" t="s">
        <v>10</v>
      </c>
      <c r="D7022" s="3" t="s">
        <v>9</v>
      </c>
      <c r="E7022" s="3">
        <v>23</v>
      </c>
      <c r="F7022" s="3">
        <v>70</v>
      </c>
      <c r="G7022" s="3">
        <v>1</v>
      </c>
      <c r="H7022" s="3">
        <v>5</v>
      </c>
      <c r="I7022" s="3">
        <v>21</v>
      </c>
      <c r="J7022" s="3">
        <v>1</v>
      </c>
      <c r="K7022" s="3">
        <v>24</v>
      </c>
      <c r="L7022" s="3">
        <v>1</v>
      </c>
      <c r="M7022" s="3">
        <v>0</v>
      </c>
      <c r="N7022" s="3">
        <v>22</v>
      </c>
      <c r="O7022" s="3"/>
      <c r="P7022" s="3"/>
      <c r="Q7022" s="3"/>
    </row>
    <row r="7023" spans="1:17" ht="15" x14ac:dyDescent="0.25">
      <c r="A7023" s="3">
        <f>7016</f>
        <v>7016</v>
      </c>
      <c r="B7023" s="3" t="s">
        <v>7025</v>
      </c>
      <c r="C7023" s="3" t="s">
        <v>10</v>
      </c>
      <c r="D7023" s="3" t="s">
        <v>9</v>
      </c>
      <c r="E7023" s="3">
        <v>23</v>
      </c>
      <c r="F7023" s="3">
        <v>70</v>
      </c>
      <c r="G7023" s="3">
        <v>1</v>
      </c>
      <c r="H7023" s="3">
        <v>5</v>
      </c>
      <c r="I7023" s="3">
        <v>21</v>
      </c>
      <c r="J7023" s="3">
        <v>1</v>
      </c>
      <c r="K7023" s="3">
        <v>24</v>
      </c>
      <c r="L7023" s="3">
        <v>1</v>
      </c>
      <c r="M7023" s="3">
        <v>0</v>
      </c>
      <c r="N7023" s="3">
        <v>22</v>
      </c>
      <c r="O7023" s="3"/>
      <c r="P7023" s="3"/>
      <c r="Q7023" s="3"/>
    </row>
    <row r="7024" spans="1:17" ht="15" x14ac:dyDescent="0.25">
      <c r="A7024" s="3">
        <f>7017</f>
        <v>7017</v>
      </c>
      <c r="B7024" s="3" t="s">
        <v>7026</v>
      </c>
      <c r="C7024" s="3" t="s">
        <v>10</v>
      </c>
      <c r="D7024" s="3" t="s">
        <v>9</v>
      </c>
      <c r="E7024" s="3">
        <v>23</v>
      </c>
      <c r="F7024" s="3">
        <v>70</v>
      </c>
      <c r="G7024" s="3">
        <v>1</v>
      </c>
      <c r="H7024" s="3">
        <v>5</v>
      </c>
      <c r="I7024" s="3">
        <v>21</v>
      </c>
      <c r="J7024" s="3">
        <v>1</v>
      </c>
      <c r="K7024" s="3">
        <v>24</v>
      </c>
      <c r="L7024" s="3">
        <v>1</v>
      </c>
      <c r="M7024" s="3">
        <v>0</v>
      </c>
      <c r="N7024" s="3">
        <v>22</v>
      </c>
      <c r="O7024" s="3"/>
      <c r="P7024" s="3"/>
      <c r="Q7024" s="3"/>
    </row>
    <row r="7025" spans="1:17" ht="15" x14ac:dyDescent="0.25">
      <c r="A7025" s="3">
        <f>7018</f>
        <v>7018</v>
      </c>
      <c r="B7025" s="3" t="s">
        <v>7027</v>
      </c>
      <c r="C7025" s="3" t="s">
        <v>10</v>
      </c>
      <c r="D7025" s="3" t="s">
        <v>9</v>
      </c>
      <c r="E7025" s="3">
        <v>23</v>
      </c>
      <c r="F7025" s="3">
        <v>70</v>
      </c>
      <c r="G7025" s="3">
        <v>1</v>
      </c>
      <c r="H7025" s="3">
        <v>5</v>
      </c>
      <c r="I7025" s="3">
        <v>21</v>
      </c>
      <c r="J7025" s="3">
        <v>1</v>
      </c>
      <c r="K7025" s="3">
        <v>24</v>
      </c>
      <c r="L7025" s="3">
        <v>1</v>
      </c>
      <c r="M7025" s="3">
        <v>0</v>
      </c>
      <c r="N7025" s="3">
        <v>22</v>
      </c>
      <c r="O7025" s="3"/>
      <c r="P7025" s="3"/>
      <c r="Q7025" s="3"/>
    </row>
    <row r="7026" spans="1:17" ht="15" x14ac:dyDescent="0.25">
      <c r="A7026" s="3">
        <f>7019</f>
        <v>7019</v>
      </c>
      <c r="B7026" s="3" t="s">
        <v>7028</v>
      </c>
      <c r="C7026" s="3" t="s">
        <v>10</v>
      </c>
      <c r="D7026" s="3" t="s">
        <v>9</v>
      </c>
      <c r="E7026" s="3">
        <v>23</v>
      </c>
      <c r="F7026" s="3">
        <v>70</v>
      </c>
      <c r="G7026" s="3">
        <v>1</v>
      </c>
      <c r="H7026" s="3">
        <v>5</v>
      </c>
      <c r="I7026" s="3">
        <v>21</v>
      </c>
      <c r="J7026" s="3">
        <v>1</v>
      </c>
      <c r="K7026" s="3">
        <v>24</v>
      </c>
      <c r="L7026" s="3">
        <v>1</v>
      </c>
      <c r="M7026" s="3">
        <v>0</v>
      </c>
      <c r="N7026" s="3">
        <v>22</v>
      </c>
      <c r="O7026" s="3"/>
      <c r="P7026" s="3"/>
      <c r="Q7026" s="3"/>
    </row>
    <row r="7027" spans="1:17" ht="15" x14ac:dyDescent="0.25">
      <c r="A7027" s="3">
        <f>7020</f>
        <v>7020</v>
      </c>
      <c r="B7027" s="3" t="s">
        <v>7029</v>
      </c>
      <c r="C7027" s="3" t="s">
        <v>10</v>
      </c>
      <c r="D7027" s="3" t="s">
        <v>9</v>
      </c>
      <c r="E7027" s="3">
        <v>23</v>
      </c>
      <c r="F7027" s="3">
        <v>70</v>
      </c>
      <c r="G7027" s="3">
        <v>1</v>
      </c>
      <c r="H7027" s="3">
        <v>5</v>
      </c>
      <c r="I7027" s="3">
        <v>21</v>
      </c>
      <c r="J7027" s="3">
        <v>1</v>
      </c>
      <c r="K7027" s="3">
        <v>24</v>
      </c>
      <c r="L7027" s="3">
        <v>1</v>
      </c>
      <c r="M7027" s="3">
        <v>0</v>
      </c>
      <c r="N7027" s="3">
        <v>22</v>
      </c>
      <c r="O7027" s="3"/>
      <c r="P7027" s="3"/>
      <c r="Q7027" s="3"/>
    </row>
    <row r="7028" spans="1:17" ht="15" x14ac:dyDescent="0.25">
      <c r="A7028" s="3">
        <f>7021</f>
        <v>7021</v>
      </c>
      <c r="B7028" s="3" t="s">
        <v>7030</v>
      </c>
      <c r="C7028" s="3" t="s">
        <v>10</v>
      </c>
      <c r="D7028" s="3" t="s">
        <v>9</v>
      </c>
      <c r="E7028" s="3">
        <v>23</v>
      </c>
      <c r="F7028" s="3">
        <v>70</v>
      </c>
      <c r="G7028" s="3">
        <v>1</v>
      </c>
      <c r="H7028" s="3">
        <v>5</v>
      </c>
      <c r="I7028" s="3">
        <v>21</v>
      </c>
      <c r="J7028" s="3">
        <v>1</v>
      </c>
      <c r="K7028" s="3">
        <v>24</v>
      </c>
      <c r="L7028" s="3">
        <v>1</v>
      </c>
      <c r="M7028" s="3">
        <v>0</v>
      </c>
      <c r="N7028" s="3">
        <v>22</v>
      </c>
      <c r="O7028" s="3"/>
      <c r="P7028" s="3"/>
      <c r="Q7028" s="3"/>
    </row>
    <row r="7029" spans="1:17" ht="15" x14ac:dyDescent="0.25">
      <c r="A7029" s="3">
        <f>7022</f>
        <v>7022</v>
      </c>
      <c r="B7029" s="3" t="s">
        <v>7031</v>
      </c>
      <c r="C7029" s="3" t="s">
        <v>10</v>
      </c>
      <c r="D7029" s="3" t="s">
        <v>9</v>
      </c>
      <c r="E7029" s="3">
        <v>23</v>
      </c>
      <c r="F7029" s="3">
        <v>70</v>
      </c>
      <c r="G7029" s="3">
        <v>1</v>
      </c>
      <c r="H7029" s="3">
        <v>5</v>
      </c>
      <c r="I7029" s="3">
        <v>21</v>
      </c>
      <c r="J7029" s="3">
        <v>1</v>
      </c>
      <c r="K7029" s="3">
        <v>24</v>
      </c>
      <c r="L7029" s="3">
        <v>1</v>
      </c>
      <c r="M7029" s="3">
        <v>0</v>
      </c>
      <c r="N7029" s="3">
        <v>22</v>
      </c>
      <c r="O7029" s="3"/>
      <c r="P7029" s="3"/>
      <c r="Q7029" s="3"/>
    </row>
    <row r="7030" spans="1:17" ht="15" x14ac:dyDescent="0.25">
      <c r="A7030" s="3">
        <f>7023</f>
        <v>7023</v>
      </c>
      <c r="B7030" s="3" t="s">
        <v>7032</v>
      </c>
      <c r="C7030" s="3" t="s">
        <v>10</v>
      </c>
      <c r="D7030" s="3" t="s">
        <v>9</v>
      </c>
      <c r="E7030" s="3">
        <v>23</v>
      </c>
      <c r="F7030" s="3">
        <v>70</v>
      </c>
      <c r="G7030" s="3">
        <v>1</v>
      </c>
      <c r="H7030" s="3">
        <v>5</v>
      </c>
      <c r="I7030" s="3">
        <v>21</v>
      </c>
      <c r="J7030" s="3">
        <v>1</v>
      </c>
      <c r="K7030" s="3">
        <v>24</v>
      </c>
      <c r="L7030" s="3">
        <v>1</v>
      </c>
      <c r="M7030" s="3">
        <v>0</v>
      </c>
      <c r="N7030" s="3">
        <v>22</v>
      </c>
      <c r="O7030" s="3"/>
      <c r="P7030" s="3"/>
      <c r="Q7030" s="3"/>
    </row>
    <row r="7031" spans="1:17" ht="15" x14ac:dyDescent="0.25">
      <c r="A7031" s="3">
        <f>7024</f>
        <v>7024</v>
      </c>
      <c r="B7031" s="3" t="s">
        <v>7033</v>
      </c>
      <c r="C7031" s="3" t="s">
        <v>10</v>
      </c>
      <c r="D7031" s="3" t="s">
        <v>9</v>
      </c>
      <c r="E7031" s="3">
        <v>23</v>
      </c>
      <c r="F7031" s="3">
        <v>70</v>
      </c>
      <c r="G7031" s="3">
        <v>1</v>
      </c>
      <c r="H7031" s="3">
        <v>5</v>
      </c>
      <c r="I7031" s="3">
        <v>21</v>
      </c>
      <c r="J7031" s="3">
        <v>1</v>
      </c>
      <c r="K7031" s="3">
        <v>24</v>
      </c>
      <c r="L7031" s="3">
        <v>1</v>
      </c>
      <c r="M7031" s="3">
        <v>0</v>
      </c>
      <c r="N7031" s="3">
        <v>22</v>
      </c>
      <c r="O7031" s="3"/>
      <c r="P7031" s="3"/>
      <c r="Q7031" s="3"/>
    </row>
    <row r="7032" spans="1:17" ht="15" x14ac:dyDescent="0.25">
      <c r="A7032" s="3">
        <f>7025</f>
        <v>7025</v>
      </c>
      <c r="B7032" s="3" t="s">
        <v>7034</v>
      </c>
      <c r="C7032" s="3" t="s">
        <v>10</v>
      </c>
      <c r="D7032" s="3" t="s">
        <v>9</v>
      </c>
      <c r="E7032" s="3">
        <v>23</v>
      </c>
      <c r="F7032" s="3">
        <v>70</v>
      </c>
      <c r="G7032" s="3">
        <v>1</v>
      </c>
      <c r="H7032" s="3">
        <v>5</v>
      </c>
      <c r="I7032" s="3">
        <v>21</v>
      </c>
      <c r="J7032" s="3">
        <v>1</v>
      </c>
      <c r="K7032" s="3">
        <v>24</v>
      </c>
      <c r="L7032" s="3">
        <v>1</v>
      </c>
      <c r="M7032" s="3">
        <v>0</v>
      </c>
      <c r="N7032" s="3">
        <v>22</v>
      </c>
      <c r="O7032" s="3"/>
      <c r="P7032" s="3"/>
      <c r="Q7032" s="3"/>
    </row>
    <row r="7033" spans="1:17" ht="15" x14ac:dyDescent="0.25">
      <c r="A7033" s="3">
        <f>7026</f>
        <v>7026</v>
      </c>
      <c r="B7033" s="3" t="s">
        <v>7035</v>
      </c>
      <c r="C7033" s="3" t="s">
        <v>10</v>
      </c>
      <c r="D7033" s="3" t="s">
        <v>9</v>
      </c>
      <c r="E7033" s="3">
        <v>23</v>
      </c>
      <c r="F7033" s="3">
        <v>70</v>
      </c>
      <c r="G7033" s="3">
        <v>1</v>
      </c>
      <c r="H7033" s="3">
        <v>5</v>
      </c>
      <c r="I7033" s="3">
        <v>21</v>
      </c>
      <c r="J7033" s="3">
        <v>1</v>
      </c>
      <c r="K7033" s="3">
        <v>24</v>
      </c>
      <c r="L7033" s="3">
        <v>1</v>
      </c>
      <c r="M7033" s="3">
        <v>0</v>
      </c>
      <c r="N7033" s="3">
        <v>22</v>
      </c>
      <c r="O7033" s="3"/>
      <c r="P7033" s="3"/>
      <c r="Q7033" s="3"/>
    </row>
    <row r="7034" spans="1:17" ht="15" x14ac:dyDescent="0.25">
      <c r="A7034" s="3">
        <f>7027</f>
        <v>7027</v>
      </c>
      <c r="B7034" s="3" t="s">
        <v>7036</v>
      </c>
      <c r="C7034" s="3" t="s">
        <v>10</v>
      </c>
      <c r="D7034" s="3" t="s">
        <v>9</v>
      </c>
      <c r="E7034" s="3">
        <v>23</v>
      </c>
      <c r="F7034" s="3">
        <v>70</v>
      </c>
      <c r="G7034" s="3">
        <v>1</v>
      </c>
      <c r="H7034" s="3">
        <v>5</v>
      </c>
      <c r="I7034" s="3">
        <v>21</v>
      </c>
      <c r="J7034" s="3">
        <v>1</v>
      </c>
      <c r="K7034" s="3">
        <v>24</v>
      </c>
      <c r="L7034" s="3">
        <v>1</v>
      </c>
      <c r="M7034" s="3">
        <v>0</v>
      </c>
      <c r="N7034" s="3">
        <v>22</v>
      </c>
      <c r="O7034" s="3"/>
      <c r="P7034" s="3"/>
      <c r="Q7034" s="3"/>
    </row>
    <row r="7035" spans="1:17" ht="15" x14ac:dyDescent="0.25">
      <c r="A7035" s="3">
        <f>7028</f>
        <v>7028</v>
      </c>
      <c r="B7035" s="3" t="s">
        <v>7037</v>
      </c>
      <c r="C7035" s="3" t="s">
        <v>10</v>
      </c>
      <c r="D7035" s="3" t="s">
        <v>9</v>
      </c>
      <c r="E7035" s="3">
        <v>23</v>
      </c>
      <c r="F7035" s="3">
        <v>70</v>
      </c>
      <c r="G7035" s="3">
        <v>1</v>
      </c>
      <c r="H7035" s="3">
        <v>5</v>
      </c>
      <c r="I7035" s="3">
        <v>21</v>
      </c>
      <c r="J7035" s="3">
        <v>1</v>
      </c>
      <c r="K7035" s="3">
        <v>24</v>
      </c>
      <c r="L7035" s="3">
        <v>1</v>
      </c>
      <c r="M7035" s="3">
        <v>0</v>
      </c>
      <c r="N7035" s="3">
        <v>22</v>
      </c>
      <c r="O7035" s="3"/>
      <c r="P7035" s="3"/>
      <c r="Q7035" s="3"/>
    </row>
    <row r="7036" spans="1:17" ht="15" x14ac:dyDescent="0.25">
      <c r="A7036" s="3">
        <f>7029</f>
        <v>7029</v>
      </c>
      <c r="B7036" s="3" t="s">
        <v>7038</v>
      </c>
      <c r="C7036" s="3" t="s">
        <v>10</v>
      </c>
      <c r="D7036" s="3" t="s">
        <v>9</v>
      </c>
      <c r="E7036" s="3">
        <v>23</v>
      </c>
      <c r="F7036" s="3">
        <v>70</v>
      </c>
      <c r="G7036" s="3">
        <v>1</v>
      </c>
      <c r="H7036" s="3">
        <v>5</v>
      </c>
      <c r="I7036" s="3">
        <v>21</v>
      </c>
      <c r="J7036" s="3">
        <v>1</v>
      </c>
      <c r="K7036" s="3">
        <v>24</v>
      </c>
      <c r="L7036" s="3">
        <v>1</v>
      </c>
      <c r="M7036" s="3">
        <v>0</v>
      </c>
      <c r="N7036" s="3">
        <v>22</v>
      </c>
      <c r="O7036" s="3"/>
      <c r="P7036" s="3"/>
      <c r="Q7036" s="3"/>
    </row>
    <row r="7037" spans="1:17" ht="15" x14ac:dyDescent="0.25">
      <c r="A7037" s="3">
        <f>7030</f>
        <v>7030</v>
      </c>
      <c r="B7037" s="3" t="s">
        <v>7039</v>
      </c>
      <c r="C7037" s="3" t="s">
        <v>10</v>
      </c>
      <c r="D7037" s="3" t="s">
        <v>9</v>
      </c>
      <c r="E7037" s="3">
        <v>23</v>
      </c>
      <c r="F7037" s="3">
        <v>70</v>
      </c>
      <c r="G7037" s="3">
        <v>1</v>
      </c>
      <c r="H7037" s="3">
        <v>5</v>
      </c>
      <c r="I7037" s="3">
        <v>21</v>
      </c>
      <c r="J7037" s="3">
        <v>1</v>
      </c>
      <c r="K7037" s="3">
        <v>24</v>
      </c>
      <c r="L7037" s="3">
        <v>1</v>
      </c>
      <c r="M7037" s="3">
        <v>0</v>
      </c>
      <c r="N7037" s="3">
        <v>22</v>
      </c>
      <c r="O7037" s="3"/>
      <c r="P7037" s="3"/>
      <c r="Q7037" s="3"/>
    </row>
    <row r="7038" spans="1:17" ht="15" x14ac:dyDescent="0.25">
      <c r="A7038" s="3">
        <f>7031</f>
        <v>7031</v>
      </c>
      <c r="B7038" s="3" t="s">
        <v>7040</v>
      </c>
      <c r="C7038" s="3" t="s">
        <v>10</v>
      </c>
      <c r="D7038" s="3" t="s">
        <v>9</v>
      </c>
      <c r="E7038" s="3">
        <v>23</v>
      </c>
      <c r="F7038" s="3">
        <v>70</v>
      </c>
      <c r="G7038" s="3">
        <v>1</v>
      </c>
      <c r="H7038" s="3">
        <v>5</v>
      </c>
      <c r="I7038" s="3">
        <v>21</v>
      </c>
      <c r="J7038" s="3">
        <v>1</v>
      </c>
      <c r="K7038" s="3">
        <v>24</v>
      </c>
      <c r="L7038" s="3">
        <v>1</v>
      </c>
      <c r="M7038" s="3">
        <v>0</v>
      </c>
      <c r="N7038" s="3">
        <v>22</v>
      </c>
      <c r="O7038" s="3"/>
      <c r="P7038" s="3"/>
      <c r="Q7038" s="3"/>
    </row>
    <row r="7039" spans="1:17" ht="15" x14ac:dyDescent="0.25">
      <c r="A7039" s="3">
        <f>7032</f>
        <v>7032</v>
      </c>
      <c r="B7039" s="3" t="s">
        <v>7041</v>
      </c>
      <c r="C7039" s="3" t="s">
        <v>10</v>
      </c>
      <c r="D7039" s="3" t="s">
        <v>9</v>
      </c>
      <c r="E7039" s="3">
        <v>23</v>
      </c>
      <c r="F7039" s="3">
        <v>70</v>
      </c>
      <c r="G7039" s="3">
        <v>1</v>
      </c>
      <c r="H7039" s="3">
        <v>5</v>
      </c>
      <c r="I7039" s="3">
        <v>21</v>
      </c>
      <c r="J7039" s="3">
        <v>1</v>
      </c>
      <c r="K7039" s="3">
        <v>24</v>
      </c>
      <c r="L7039" s="3">
        <v>1</v>
      </c>
      <c r="M7039" s="3">
        <v>0</v>
      </c>
      <c r="N7039" s="3">
        <v>22</v>
      </c>
      <c r="O7039" s="3"/>
      <c r="P7039" s="3"/>
      <c r="Q7039" s="3"/>
    </row>
    <row r="7040" spans="1:17" ht="15" x14ac:dyDescent="0.25">
      <c r="A7040" s="3">
        <f>7033</f>
        <v>7033</v>
      </c>
      <c r="B7040" s="3" t="s">
        <v>7042</v>
      </c>
      <c r="C7040" s="3" t="s">
        <v>10</v>
      </c>
      <c r="D7040" s="3" t="s">
        <v>9</v>
      </c>
      <c r="E7040" s="3">
        <v>23</v>
      </c>
      <c r="F7040" s="3">
        <v>70</v>
      </c>
      <c r="G7040" s="3">
        <v>1</v>
      </c>
      <c r="H7040" s="3">
        <v>5</v>
      </c>
      <c r="I7040" s="3">
        <v>21</v>
      </c>
      <c r="J7040" s="3">
        <v>1</v>
      </c>
      <c r="K7040" s="3">
        <v>24</v>
      </c>
      <c r="L7040" s="3">
        <v>1</v>
      </c>
      <c r="M7040" s="3">
        <v>0</v>
      </c>
      <c r="N7040" s="3">
        <v>22</v>
      </c>
      <c r="O7040" s="3"/>
      <c r="P7040" s="3"/>
      <c r="Q7040" s="3"/>
    </row>
    <row r="7041" spans="1:17" ht="15" x14ac:dyDescent="0.25">
      <c r="A7041" s="3">
        <f>7034</f>
        <v>7034</v>
      </c>
      <c r="B7041" s="3" t="s">
        <v>7043</v>
      </c>
      <c r="C7041" s="3" t="s">
        <v>10</v>
      </c>
      <c r="D7041" s="3" t="s">
        <v>9</v>
      </c>
      <c r="E7041" s="3">
        <v>23</v>
      </c>
      <c r="F7041" s="3">
        <v>70</v>
      </c>
      <c r="G7041" s="3">
        <v>1</v>
      </c>
      <c r="H7041" s="3">
        <v>5</v>
      </c>
      <c r="I7041" s="3">
        <v>21</v>
      </c>
      <c r="J7041" s="3">
        <v>1</v>
      </c>
      <c r="K7041" s="3">
        <v>24</v>
      </c>
      <c r="L7041" s="3">
        <v>1</v>
      </c>
      <c r="M7041" s="3">
        <v>0</v>
      </c>
      <c r="N7041" s="3">
        <v>22</v>
      </c>
      <c r="O7041" s="3"/>
      <c r="P7041" s="3"/>
      <c r="Q7041" s="3"/>
    </row>
    <row r="7042" spans="1:17" ht="15" x14ac:dyDescent="0.25">
      <c r="A7042" s="3">
        <f>7035</f>
        <v>7035</v>
      </c>
      <c r="B7042" s="3" t="s">
        <v>7044</v>
      </c>
      <c r="C7042" s="3" t="s">
        <v>10</v>
      </c>
      <c r="D7042" s="3" t="s">
        <v>9</v>
      </c>
      <c r="E7042" s="3">
        <v>23</v>
      </c>
      <c r="F7042" s="3">
        <v>70</v>
      </c>
      <c r="G7042" s="3">
        <v>1</v>
      </c>
      <c r="H7042" s="3">
        <v>5</v>
      </c>
      <c r="I7042" s="3">
        <v>21</v>
      </c>
      <c r="J7042" s="3">
        <v>1</v>
      </c>
      <c r="K7042" s="3">
        <v>24</v>
      </c>
      <c r="L7042" s="3">
        <v>1</v>
      </c>
      <c r="M7042" s="3">
        <v>0</v>
      </c>
      <c r="N7042" s="3">
        <v>22</v>
      </c>
      <c r="O7042" s="3"/>
      <c r="P7042" s="3"/>
      <c r="Q7042" s="3"/>
    </row>
    <row r="7043" spans="1:17" ht="15" x14ac:dyDescent="0.25">
      <c r="A7043" s="3">
        <f>7036</f>
        <v>7036</v>
      </c>
      <c r="B7043" s="3" t="s">
        <v>7045</v>
      </c>
      <c r="C7043" s="3" t="s">
        <v>10</v>
      </c>
      <c r="D7043" s="3" t="s">
        <v>9</v>
      </c>
      <c r="E7043" s="3">
        <v>23</v>
      </c>
      <c r="F7043" s="3">
        <v>70</v>
      </c>
      <c r="G7043" s="3">
        <v>1</v>
      </c>
      <c r="H7043" s="3">
        <v>5</v>
      </c>
      <c r="I7043" s="3">
        <v>21</v>
      </c>
      <c r="J7043" s="3">
        <v>1</v>
      </c>
      <c r="K7043" s="3">
        <v>24</v>
      </c>
      <c r="L7043" s="3">
        <v>1</v>
      </c>
      <c r="M7043" s="3">
        <v>0</v>
      </c>
      <c r="N7043" s="3">
        <v>22</v>
      </c>
      <c r="O7043" s="3"/>
      <c r="P7043" s="3"/>
      <c r="Q7043" s="3"/>
    </row>
    <row r="7044" spans="1:17" ht="15" x14ac:dyDescent="0.25">
      <c r="A7044" s="3">
        <f>7037</f>
        <v>7037</v>
      </c>
      <c r="B7044" s="3" t="s">
        <v>7046</v>
      </c>
      <c r="C7044" s="3" t="s">
        <v>10</v>
      </c>
      <c r="D7044" s="3" t="s">
        <v>9</v>
      </c>
      <c r="E7044" s="3">
        <v>23</v>
      </c>
      <c r="F7044" s="3">
        <v>70</v>
      </c>
      <c r="G7044" s="3">
        <v>1</v>
      </c>
      <c r="H7044" s="3">
        <v>5</v>
      </c>
      <c r="I7044" s="3">
        <v>21</v>
      </c>
      <c r="J7044" s="3">
        <v>1</v>
      </c>
      <c r="K7044" s="3">
        <v>24</v>
      </c>
      <c r="L7044" s="3">
        <v>1</v>
      </c>
      <c r="M7044" s="3">
        <v>0</v>
      </c>
      <c r="N7044" s="3">
        <v>22</v>
      </c>
      <c r="O7044" s="3"/>
      <c r="P7044" s="3"/>
      <c r="Q7044" s="3"/>
    </row>
    <row r="7045" spans="1:17" ht="15" x14ac:dyDescent="0.25">
      <c r="A7045" s="3">
        <f>7038</f>
        <v>7038</v>
      </c>
      <c r="B7045" s="3" t="s">
        <v>7047</v>
      </c>
      <c r="C7045" s="3" t="s">
        <v>10</v>
      </c>
      <c r="D7045" s="3" t="s">
        <v>9</v>
      </c>
      <c r="E7045" s="3">
        <v>23</v>
      </c>
      <c r="F7045" s="3">
        <v>70</v>
      </c>
      <c r="G7045" s="3">
        <v>1</v>
      </c>
      <c r="H7045" s="3">
        <v>5</v>
      </c>
      <c r="I7045" s="3">
        <v>21</v>
      </c>
      <c r="J7045" s="3">
        <v>1</v>
      </c>
      <c r="K7045" s="3">
        <v>24</v>
      </c>
      <c r="L7045" s="3">
        <v>1</v>
      </c>
      <c r="M7045" s="3">
        <v>0</v>
      </c>
      <c r="N7045" s="3">
        <v>22</v>
      </c>
      <c r="O7045" s="3"/>
      <c r="P7045" s="3"/>
      <c r="Q7045" s="3"/>
    </row>
    <row r="7046" spans="1:17" ht="15" x14ac:dyDescent="0.25">
      <c r="A7046" s="3">
        <f>7039</f>
        <v>7039</v>
      </c>
      <c r="B7046" s="3" t="s">
        <v>7048</v>
      </c>
      <c r="C7046" s="3" t="s">
        <v>10</v>
      </c>
      <c r="D7046" s="3" t="s">
        <v>9</v>
      </c>
      <c r="E7046" s="3">
        <v>23</v>
      </c>
      <c r="F7046" s="3">
        <v>70</v>
      </c>
      <c r="G7046" s="3">
        <v>1</v>
      </c>
      <c r="H7046" s="3">
        <v>5</v>
      </c>
      <c r="I7046" s="3">
        <v>21</v>
      </c>
      <c r="J7046" s="3">
        <v>1</v>
      </c>
      <c r="K7046" s="3">
        <v>24</v>
      </c>
      <c r="L7046" s="3">
        <v>1</v>
      </c>
      <c r="M7046" s="3">
        <v>0</v>
      </c>
      <c r="N7046" s="3">
        <v>22</v>
      </c>
      <c r="O7046" s="3"/>
      <c r="P7046" s="3"/>
      <c r="Q7046" s="3"/>
    </row>
    <row r="7047" spans="1:17" ht="15" x14ac:dyDescent="0.25">
      <c r="A7047" s="3">
        <f>7040</f>
        <v>7040</v>
      </c>
      <c r="B7047" s="3" t="s">
        <v>7049</v>
      </c>
      <c r="C7047" s="3" t="s">
        <v>10</v>
      </c>
      <c r="D7047" s="3" t="s">
        <v>9</v>
      </c>
      <c r="E7047" s="3">
        <v>23</v>
      </c>
      <c r="F7047" s="3">
        <v>70</v>
      </c>
      <c r="G7047" s="3">
        <v>1</v>
      </c>
      <c r="H7047" s="3">
        <v>5</v>
      </c>
      <c r="I7047" s="3">
        <v>21</v>
      </c>
      <c r="J7047" s="3">
        <v>1</v>
      </c>
      <c r="K7047" s="3">
        <v>24</v>
      </c>
      <c r="L7047" s="3">
        <v>1</v>
      </c>
      <c r="M7047" s="3">
        <v>0</v>
      </c>
      <c r="N7047" s="3">
        <v>22</v>
      </c>
      <c r="O7047" s="3"/>
      <c r="P7047" s="3"/>
      <c r="Q7047" s="3"/>
    </row>
    <row r="7048" spans="1:17" ht="15" x14ac:dyDescent="0.25">
      <c r="A7048" s="3">
        <f>7041</f>
        <v>7041</v>
      </c>
      <c r="B7048" s="3" t="s">
        <v>7050</v>
      </c>
      <c r="C7048" s="3" t="s">
        <v>10</v>
      </c>
      <c r="D7048" s="3" t="s">
        <v>9</v>
      </c>
      <c r="E7048" s="3">
        <v>23</v>
      </c>
      <c r="F7048" s="3">
        <v>70</v>
      </c>
      <c r="G7048" s="3">
        <v>1</v>
      </c>
      <c r="H7048" s="3">
        <v>5</v>
      </c>
      <c r="I7048" s="3">
        <v>21</v>
      </c>
      <c r="J7048" s="3">
        <v>1</v>
      </c>
      <c r="K7048" s="3">
        <v>24</v>
      </c>
      <c r="L7048" s="3">
        <v>1</v>
      </c>
      <c r="M7048" s="3">
        <v>0</v>
      </c>
      <c r="N7048" s="3">
        <v>22</v>
      </c>
      <c r="O7048" s="3"/>
      <c r="P7048" s="3"/>
      <c r="Q7048" s="3"/>
    </row>
    <row r="7049" spans="1:17" ht="15" x14ac:dyDescent="0.25">
      <c r="A7049" s="3">
        <f>7042</f>
        <v>7042</v>
      </c>
      <c r="B7049" s="3" t="s">
        <v>7051</v>
      </c>
      <c r="C7049" s="3" t="s">
        <v>10</v>
      </c>
      <c r="D7049" s="3" t="s">
        <v>9</v>
      </c>
      <c r="E7049" s="3">
        <v>23</v>
      </c>
      <c r="F7049" s="3">
        <v>70</v>
      </c>
      <c r="G7049" s="3">
        <v>1</v>
      </c>
      <c r="H7049" s="3">
        <v>5</v>
      </c>
      <c r="I7049" s="3">
        <v>21</v>
      </c>
      <c r="J7049" s="3">
        <v>1</v>
      </c>
      <c r="K7049" s="3">
        <v>24</v>
      </c>
      <c r="L7049" s="3">
        <v>1</v>
      </c>
      <c r="M7049" s="3">
        <v>0</v>
      </c>
      <c r="N7049" s="3">
        <v>22</v>
      </c>
      <c r="O7049" s="3"/>
      <c r="P7049" s="3"/>
      <c r="Q7049" s="3"/>
    </row>
    <row r="7050" spans="1:17" ht="15" x14ac:dyDescent="0.25">
      <c r="A7050" s="3">
        <f>7043</f>
        <v>7043</v>
      </c>
      <c r="B7050" s="3" t="s">
        <v>7052</v>
      </c>
      <c r="C7050" s="3" t="s">
        <v>10</v>
      </c>
      <c r="D7050" s="3" t="s">
        <v>9</v>
      </c>
      <c r="E7050" s="3">
        <v>23</v>
      </c>
      <c r="F7050" s="3">
        <v>70</v>
      </c>
      <c r="G7050" s="3">
        <v>1</v>
      </c>
      <c r="H7050" s="3">
        <v>5</v>
      </c>
      <c r="I7050" s="3">
        <v>21</v>
      </c>
      <c r="J7050" s="3">
        <v>1</v>
      </c>
      <c r="K7050" s="3">
        <v>24</v>
      </c>
      <c r="L7050" s="3">
        <v>1</v>
      </c>
      <c r="M7050" s="3">
        <v>0</v>
      </c>
      <c r="N7050" s="3">
        <v>22</v>
      </c>
      <c r="O7050" s="3"/>
      <c r="P7050" s="3"/>
      <c r="Q7050" s="3"/>
    </row>
    <row r="7051" spans="1:17" ht="15" x14ac:dyDescent="0.25">
      <c r="A7051" s="3">
        <f>7044</f>
        <v>7044</v>
      </c>
      <c r="B7051" s="3" t="s">
        <v>7053</v>
      </c>
      <c r="C7051" s="3" t="s">
        <v>10</v>
      </c>
      <c r="D7051" s="3" t="s">
        <v>9</v>
      </c>
      <c r="E7051" s="3">
        <v>23</v>
      </c>
      <c r="F7051" s="3">
        <v>70</v>
      </c>
      <c r="G7051" s="3">
        <v>1</v>
      </c>
      <c r="H7051" s="3">
        <v>5</v>
      </c>
      <c r="I7051" s="3">
        <v>21</v>
      </c>
      <c r="J7051" s="3">
        <v>1</v>
      </c>
      <c r="K7051" s="3">
        <v>24</v>
      </c>
      <c r="L7051" s="3">
        <v>1</v>
      </c>
      <c r="M7051" s="3">
        <v>0</v>
      </c>
      <c r="N7051" s="3">
        <v>22</v>
      </c>
      <c r="O7051" s="3"/>
      <c r="P7051" s="3"/>
      <c r="Q7051" s="3"/>
    </row>
    <row r="7052" spans="1:17" ht="15" x14ac:dyDescent="0.25">
      <c r="A7052" s="3">
        <f>7045</f>
        <v>7045</v>
      </c>
      <c r="B7052" s="3" t="s">
        <v>7054</v>
      </c>
      <c r="C7052" s="3" t="s">
        <v>10</v>
      </c>
      <c r="D7052" s="3" t="s">
        <v>9</v>
      </c>
      <c r="E7052" s="3">
        <v>23</v>
      </c>
      <c r="F7052" s="3">
        <v>70</v>
      </c>
      <c r="G7052" s="3">
        <v>1</v>
      </c>
      <c r="H7052" s="3">
        <v>5</v>
      </c>
      <c r="I7052" s="3">
        <v>21</v>
      </c>
      <c r="J7052" s="3">
        <v>1</v>
      </c>
      <c r="K7052" s="3">
        <v>24</v>
      </c>
      <c r="L7052" s="3">
        <v>1</v>
      </c>
      <c r="M7052" s="3">
        <v>0</v>
      </c>
      <c r="N7052" s="3">
        <v>22</v>
      </c>
      <c r="O7052" s="3"/>
      <c r="P7052" s="3"/>
      <c r="Q7052" s="3"/>
    </row>
    <row r="7053" spans="1:17" ht="15" x14ac:dyDescent="0.25">
      <c r="A7053" s="3">
        <f>7046</f>
        <v>7046</v>
      </c>
      <c r="B7053" s="3" t="s">
        <v>7055</v>
      </c>
      <c r="C7053" s="3" t="s">
        <v>10</v>
      </c>
      <c r="D7053" s="3" t="s">
        <v>9</v>
      </c>
      <c r="E7053" s="3">
        <v>23</v>
      </c>
      <c r="F7053" s="3">
        <v>70</v>
      </c>
      <c r="G7053" s="3">
        <v>1</v>
      </c>
      <c r="H7053" s="3">
        <v>5</v>
      </c>
      <c r="I7053" s="3">
        <v>21</v>
      </c>
      <c r="J7053" s="3">
        <v>1</v>
      </c>
      <c r="K7053" s="3">
        <v>24</v>
      </c>
      <c r="L7053" s="3">
        <v>1</v>
      </c>
      <c r="M7053" s="3">
        <v>0</v>
      </c>
      <c r="N7053" s="3">
        <v>22</v>
      </c>
      <c r="O7053" s="3"/>
      <c r="P7053" s="3"/>
      <c r="Q7053" s="3"/>
    </row>
    <row r="7054" spans="1:17" ht="15" x14ac:dyDescent="0.25">
      <c r="A7054" s="3">
        <f>7047</f>
        <v>7047</v>
      </c>
      <c r="B7054" s="3" t="s">
        <v>7056</v>
      </c>
      <c r="C7054" s="3" t="s">
        <v>10</v>
      </c>
      <c r="D7054" s="3" t="s">
        <v>9</v>
      </c>
      <c r="E7054" s="3">
        <v>23</v>
      </c>
      <c r="F7054" s="3">
        <v>70</v>
      </c>
      <c r="G7054" s="3">
        <v>1</v>
      </c>
      <c r="H7054" s="3">
        <v>5</v>
      </c>
      <c r="I7054" s="3">
        <v>21</v>
      </c>
      <c r="J7054" s="3">
        <v>1</v>
      </c>
      <c r="K7054" s="3">
        <v>24</v>
      </c>
      <c r="L7054" s="3">
        <v>1</v>
      </c>
      <c r="M7054" s="3">
        <v>0</v>
      </c>
      <c r="N7054" s="3">
        <v>22</v>
      </c>
      <c r="O7054" s="3"/>
      <c r="P7054" s="3"/>
      <c r="Q7054" s="3"/>
    </row>
    <row r="7055" spans="1:17" ht="15" x14ac:dyDescent="0.25">
      <c r="A7055" s="3">
        <f>7048</f>
        <v>7048</v>
      </c>
      <c r="B7055" s="3" t="s">
        <v>7057</v>
      </c>
      <c r="C7055" s="3" t="s">
        <v>10</v>
      </c>
      <c r="D7055" s="3" t="s">
        <v>9</v>
      </c>
      <c r="E7055" s="3">
        <v>23</v>
      </c>
      <c r="F7055" s="3">
        <v>70</v>
      </c>
      <c r="G7055" s="3">
        <v>1</v>
      </c>
      <c r="H7055" s="3">
        <v>5</v>
      </c>
      <c r="I7055" s="3">
        <v>21</v>
      </c>
      <c r="J7055" s="3">
        <v>1</v>
      </c>
      <c r="K7055" s="3">
        <v>24</v>
      </c>
      <c r="L7055" s="3">
        <v>1</v>
      </c>
      <c r="M7055" s="3">
        <v>0</v>
      </c>
      <c r="N7055" s="3">
        <v>22</v>
      </c>
      <c r="O7055" s="3"/>
      <c r="P7055" s="3"/>
      <c r="Q7055" s="3"/>
    </row>
    <row r="7056" spans="1:17" ht="15" x14ac:dyDescent="0.25">
      <c r="A7056" s="3">
        <f>7049</f>
        <v>7049</v>
      </c>
      <c r="B7056" s="3" t="s">
        <v>7058</v>
      </c>
      <c r="C7056" s="3" t="s">
        <v>10</v>
      </c>
      <c r="D7056" s="3" t="s">
        <v>9</v>
      </c>
      <c r="E7056" s="3">
        <v>23</v>
      </c>
      <c r="F7056" s="3">
        <v>70</v>
      </c>
      <c r="G7056" s="3">
        <v>1</v>
      </c>
      <c r="H7056" s="3">
        <v>5</v>
      </c>
      <c r="I7056" s="3">
        <v>21</v>
      </c>
      <c r="J7056" s="3">
        <v>1</v>
      </c>
      <c r="K7056" s="3">
        <v>24</v>
      </c>
      <c r="L7056" s="3">
        <v>1</v>
      </c>
      <c r="M7056" s="3">
        <v>0</v>
      </c>
      <c r="N7056" s="3">
        <v>22</v>
      </c>
      <c r="O7056" s="3"/>
      <c r="P7056" s="3"/>
      <c r="Q7056" s="3"/>
    </row>
    <row r="7057" spans="1:17" ht="15" x14ac:dyDescent="0.25">
      <c r="A7057" s="3">
        <f>7050</f>
        <v>7050</v>
      </c>
      <c r="B7057" s="3" t="s">
        <v>7059</v>
      </c>
      <c r="C7057" s="3" t="s">
        <v>10</v>
      </c>
      <c r="D7057" s="3" t="s">
        <v>9</v>
      </c>
      <c r="E7057" s="3">
        <v>23</v>
      </c>
      <c r="F7057" s="3">
        <v>70</v>
      </c>
      <c r="G7057" s="3">
        <v>1</v>
      </c>
      <c r="H7057" s="3">
        <v>5</v>
      </c>
      <c r="I7057" s="3">
        <v>21</v>
      </c>
      <c r="J7057" s="3">
        <v>1</v>
      </c>
      <c r="K7057" s="3">
        <v>24</v>
      </c>
      <c r="L7057" s="3">
        <v>1</v>
      </c>
      <c r="M7057" s="3">
        <v>0</v>
      </c>
      <c r="N7057" s="3">
        <v>22</v>
      </c>
      <c r="O7057" s="3"/>
      <c r="P7057" s="3"/>
      <c r="Q7057" s="3"/>
    </row>
    <row r="7058" spans="1:17" ht="15" x14ac:dyDescent="0.25">
      <c r="A7058" s="3">
        <f>7051</f>
        <v>7051</v>
      </c>
      <c r="B7058" s="3" t="s">
        <v>7060</v>
      </c>
      <c r="C7058" s="3" t="s">
        <v>10</v>
      </c>
      <c r="D7058" s="3" t="s">
        <v>9</v>
      </c>
      <c r="E7058" s="3">
        <v>23</v>
      </c>
      <c r="F7058" s="3">
        <v>70</v>
      </c>
      <c r="G7058" s="3">
        <v>1</v>
      </c>
      <c r="H7058" s="3">
        <v>5</v>
      </c>
      <c r="I7058" s="3">
        <v>21</v>
      </c>
      <c r="J7058" s="3">
        <v>1</v>
      </c>
      <c r="K7058" s="3">
        <v>24</v>
      </c>
      <c r="L7058" s="3">
        <v>1</v>
      </c>
      <c r="M7058" s="3">
        <v>0</v>
      </c>
      <c r="N7058" s="3">
        <v>22</v>
      </c>
      <c r="O7058" s="3"/>
      <c r="P7058" s="3"/>
      <c r="Q7058" s="3"/>
    </row>
    <row r="7059" spans="1:17" ht="15" x14ac:dyDescent="0.25">
      <c r="A7059" s="3">
        <f>7052</f>
        <v>7052</v>
      </c>
      <c r="B7059" s="3" t="s">
        <v>7061</v>
      </c>
      <c r="C7059" s="3" t="s">
        <v>10</v>
      </c>
      <c r="D7059" s="3" t="s">
        <v>9</v>
      </c>
      <c r="E7059" s="3">
        <v>23</v>
      </c>
      <c r="F7059" s="3">
        <v>70</v>
      </c>
      <c r="G7059" s="3">
        <v>1</v>
      </c>
      <c r="H7059" s="3">
        <v>5</v>
      </c>
      <c r="I7059" s="3">
        <v>21</v>
      </c>
      <c r="J7059" s="3">
        <v>1</v>
      </c>
      <c r="K7059" s="3">
        <v>24</v>
      </c>
      <c r="L7059" s="3">
        <v>1</v>
      </c>
      <c r="M7059" s="3">
        <v>0</v>
      </c>
      <c r="N7059" s="3">
        <v>22</v>
      </c>
      <c r="O7059" s="3"/>
      <c r="P7059" s="3"/>
      <c r="Q7059" s="3"/>
    </row>
    <row r="7060" spans="1:17" ht="15" x14ac:dyDescent="0.25">
      <c r="A7060" s="3">
        <f>7053</f>
        <v>7053</v>
      </c>
      <c r="B7060" s="3" t="s">
        <v>7062</v>
      </c>
      <c r="C7060" s="3" t="s">
        <v>10</v>
      </c>
      <c r="D7060" s="3" t="s">
        <v>9</v>
      </c>
      <c r="E7060" s="3">
        <v>23</v>
      </c>
      <c r="F7060" s="3">
        <v>70</v>
      </c>
      <c r="G7060" s="3">
        <v>1</v>
      </c>
      <c r="H7060" s="3">
        <v>5</v>
      </c>
      <c r="I7060" s="3">
        <v>21</v>
      </c>
      <c r="J7060" s="3">
        <v>1</v>
      </c>
      <c r="K7060" s="3">
        <v>24</v>
      </c>
      <c r="L7060" s="3">
        <v>1</v>
      </c>
      <c r="M7060" s="3">
        <v>0</v>
      </c>
      <c r="N7060" s="3">
        <v>22</v>
      </c>
      <c r="O7060" s="3"/>
      <c r="P7060" s="3"/>
      <c r="Q7060" s="3"/>
    </row>
    <row r="7061" spans="1:17" ht="15" x14ac:dyDescent="0.25">
      <c r="A7061" s="3">
        <f>7054</f>
        <v>7054</v>
      </c>
      <c r="B7061" s="3" t="s">
        <v>7063</v>
      </c>
      <c r="C7061" s="3" t="s">
        <v>10</v>
      </c>
      <c r="D7061" s="3" t="s">
        <v>9</v>
      </c>
      <c r="E7061" s="3">
        <v>23</v>
      </c>
      <c r="F7061" s="3">
        <v>70</v>
      </c>
      <c r="G7061" s="3">
        <v>1</v>
      </c>
      <c r="H7061" s="3">
        <v>5</v>
      </c>
      <c r="I7061" s="3">
        <v>21</v>
      </c>
      <c r="J7061" s="3">
        <v>1</v>
      </c>
      <c r="K7061" s="3">
        <v>24</v>
      </c>
      <c r="L7061" s="3">
        <v>1</v>
      </c>
      <c r="M7061" s="3">
        <v>0</v>
      </c>
      <c r="N7061" s="3">
        <v>22</v>
      </c>
      <c r="O7061" s="3"/>
      <c r="P7061" s="3"/>
      <c r="Q7061" s="3"/>
    </row>
    <row r="7062" spans="1:17" ht="15" x14ac:dyDescent="0.25">
      <c r="A7062" s="3">
        <f>7055</f>
        <v>7055</v>
      </c>
      <c r="B7062" s="3" t="s">
        <v>7064</v>
      </c>
      <c r="C7062" s="3" t="s">
        <v>10</v>
      </c>
      <c r="D7062" s="3" t="s">
        <v>9</v>
      </c>
      <c r="E7062" s="3">
        <v>23</v>
      </c>
      <c r="F7062" s="3">
        <v>70</v>
      </c>
      <c r="G7062" s="3">
        <v>1</v>
      </c>
      <c r="H7062" s="3">
        <v>5</v>
      </c>
      <c r="I7062" s="3">
        <v>21</v>
      </c>
      <c r="J7062" s="3">
        <v>1</v>
      </c>
      <c r="K7062" s="3">
        <v>24</v>
      </c>
      <c r="L7062" s="3">
        <v>1</v>
      </c>
      <c r="M7062" s="3">
        <v>0</v>
      </c>
      <c r="N7062" s="3">
        <v>22</v>
      </c>
      <c r="O7062" s="3"/>
      <c r="P7062" s="3"/>
      <c r="Q7062" s="3"/>
    </row>
    <row r="7063" spans="1:17" ht="15" x14ac:dyDescent="0.25">
      <c r="A7063" s="3">
        <f>7056</f>
        <v>7056</v>
      </c>
      <c r="B7063" s="3" t="s">
        <v>7065</v>
      </c>
      <c r="C7063" s="3" t="s">
        <v>10</v>
      </c>
      <c r="D7063" s="3" t="s">
        <v>9</v>
      </c>
      <c r="E7063" s="3">
        <v>23</v>
      </c>
      <c r="F7063" s="3">
        <v>70</v>
      </c>
      <c r="G7063" s="3">
        <v>1</v>
      </c>
      <c r="H7063" s="3">
        <v>5</v>
      </c>
      <c r="I7063" s="3">
        <v>21</v>
      </c>
      <c r="J7063" s="3">
        <v>1</v>
      </c>
      <c r="K7063" s="3">
        <v>24</v>
      </c>
      <c r="L7063" s="3">
        <v>1</v>
      </c>
      <c r="M7063" s="3">
        <v>0</v>
      </c>
      <c r="N7063" s="3">
        <v>22</v>
      </c>
      <c r="O7063" s="3"/>
      <c r="P7063" s="3"/>
      <c r="Q7063" s="3"/>
    </row>
    <row r="7064" spans="1:17" ht="15" x14ac:dyDescent="0.25">
      <c r="A7064" s="3">
        <f>7057</f>
        <v>7057</v>
      </c>
      <c r="B7064" s="3" t="s">
        <v>7066</v>
      </c>
      <c r="C7064" s="3" t="s">
        <v>10</v>
      </c>
      <c r="D7064" s="3" t="s">
        <v>9</v>
      </c>
      <c r="E7064" s="3">
        <v>23</v>
      </c>
      <c r="F7064" s="3">
        <v>70</v>
      </c>
      <c r="G7064" s="3">
        <v>1</v>
      </c>
      <c r="H7064" s="3">
        <v>5</v>
      </c>
      <c r="I7064" s="3">
        <v>21</v>
      </c>
      <c r="J7064" s="3">
        <v>1</v>
      </c>
      <c r="K7064" s="3">
        <v>24</v>
      </c>
      <c r="L7064" s="3">
        <v>1</v>
      </c>
      <c r="M7064" s="3">
        <v>0</v>
      </c>
      <c r="N7064" s="3">
        <v>22</v>
      </c>
      <c r="O7064" s="3"/>
      <c r="P7064" s="3"/>
      <c r="Q7064" s="3"/>
    </row>
    <row r="7065" spans="1:17" ht="15" x14ac:dyDescent="0.25">
      <c r="A7065" s="3">
        <f>7058</f>
        <v>7058</v>
      </c>
      <c r="B7065" s="3" t="s">
        <v>7067</v>
      </c>
      <c r="C7065" s="3" t="s">
        <v>10</v>
      </c>
      <c r="D7065" s="3" t="s">
        <v>9</v>
      </c>
      <c r="E7065" s="3">
        <v>23</v>
      </c>
      <c r="F7065" s="3">
        <v>70</v>
      </c>
      <c r="G7065" s="3">
        <v>1</v>
      </c>
      <c r="H7065" s="3">
        <v>5</v>
      </c>
      <c r="I7065" s="3">
        <v>21</v>
      </c>
      <c r="J7065" s="3">
        <v>1</v>
      </c>
      <c r="K7065" s="3">
        <v>24</v>
      </c>
      <c r="L7065" s="3">
        <v>1</v>
      </c>
      <c r="M7065" s="3">
        <v>0</v>
      </c>
      <c r="N7065" s="3">
        <v>22</v>
      </c>
      <c r="O7065" s="3"/>
      <c r="P7065" s="3"/>
      <c r="Q7065" s="3"/>
    </row>
    <row r="7066" spans="1:17" ht="15" x14ac:dyDescent="0.25">
      <c r="A7066" s="3">
        <f>7059</f>
        <v>7059</v>
      </c>
      <c r="B7066" s="3" t="s">
        <v>7068</v>
      </c>
      <c r="C7066" s="3" t="s">
        <v>10</v>
      </c>
      <c r="D7066" s="3" t="s">
        <v>9</v>
      </c>
      <c r="E7066" s="3">
        <v>23</v>
      </c>
      <c r="F7066" s="3">
        <v>70</v>
      </c>
      <c r="G7066" s="3">
        <v>1</v>
      </c>
      <c r="H7066" s="3">
        <v>5</v>
      </c>
      <c r="I7066" s="3">
        <v>21</v>
      </c>
      <c r="J7066" s="3">
        <v>1</v>
      </c>
      <c r="K7066" s="3">
        <v>24</v>
      </c>
      <c r="L7066" s="3">
        <v>1</v>
      </c>
      <c r="M7066" s="3">
        <v>0</v>
      </c>
      <c r="N7066" s="3">
        <v>22</v>
      </c>
      <c r="O7066" s="3"/>
      <c r="P7066" s="3"/>
      <c r="Q7066" s="3"/>
    </row>
    <row r="7067" spans="1:17" ht="15" x14ac:dyDescent="0.25">
      <c r="A7067" s="3">
        <f>7060</f>
        <v>7060</v>
      </c>
      <c r="B7067" s="3" t="s">
        <v>7069</v>
      </c>
      <c r="C7067" s="3" t="s">
        <v>10</v>
      </c>
      <c r="D7067" s="3" t="s">
        <v>9</v>
      </c>
      <c r="E7067" s="3">
        <v>23</v>
      </c>
      <c r="F7067" s="3">
        <v>70</v>
      </c>
      <c r="G7067" s="3">
        <v>1</v>
      </c>
      <c r="H7067" s="3">
        <v>5</v>
      </c>
      <c r="I7067" s="3">
        <v>21</v>
      </c>
      <c r="J7067" s="3">
        <v>1</v>
      </c>
      <c r="K7067" s="3">
        <v>24</v>
      </c>
      <c r="L7067" s="3">
        <v>1</v>
      </c>
      <c r="M7067" s="3">
        <v>0</v>
      </c>
      <c r="N7067" s="3">
        <v>22</v>
      </c>
      <c r="O7067" s="3"/>
      <c r="P7067" s="3"/>
      <c r="Q7067" s="3"/>
    </row>
    <row r="7068" spans="1:17" ht="15" x14ac:dyDescent="0.25">
      <c r="A7068" s="3">
        <f>7061</f>
        <v>7061</v>
      </c>
      <c r="B7068" s="3" t="s">
        <v>7070</v>
      </c>
      <c r="C7068" s="3" t="s">
        <v>10</v>
      </c>
      <c r="D7068" s="3" t="s">
        <v>9</v>
      </c>
      <c r="E7068" s="3">
        <v>23</v>
      </c>
      <c r="F7068" s="3">
        <v>70</v>
      </c>
      <c r="G7068" s="3">
        <v>1</v>
      </c>
      <c r="H7068" s="3">
        <v>5</v>
      </c>
      <c r="I7068" s="3">
        <v>21</v>
      </c>
      <c r="J7068" s="3">
        <v>1</v>
      </c>
      <c r="K7068" s="3">
        <v>24</v>
      </c>
      <c r="L7068" s="3">
        <v>1</v>
      </c>
      <c r="M7068" s="3">
        <v>0</v>
      </c>
      <c r="N7068" s="3">
        <v>22</v>
      </c>
      <c r="O7068" s="3"/>
      <c r="P7068" s="3"/>
      <c r="Q7068" s="3"/>
    </row>
    <row r="7069" spans="1:17" ht="15" x14ac:dyDescent="0.25">
      <c r="A7069" s="3">
        <f>7062</f>
        <v>7062</v>
      </c>
      <c r="B7069" s="3" t="s">
        <v>7071</v>
      </c>
      <c r="C7069" s="3" t="s">
        <v>10</v>
      </c>
      <c r="D7069" s="3" t="s">
        <v>9</v>
      </c>
      <c r="E7069" s="3">
        <v>23</v>
      </c>
      <c r="F7069" s="3">
        <v>70</v>
      </c>
      <c r="G7069" s="3">
        <v>1</v>
      </c>
      <c r="H7069" s="3">
        <v>5</v>
      </c>
      <c r="I7069" s="3">
        <v>21</v>
      </c>
      <c r="J7069" s="3">
        <v>1</v>
      </c>
      <c r="K7069" s="3">
        <v>24</v>
      </c>
      <c r="L7069" s="3">
        <v>1</v>
      </c>
      <c r="M7069" s="3">
        <v>0</v>
      </c>
      <c r="N7069" s="3">
        <v>22</v>
      </c>
      <c r="O7069" s="3"/>
      <c r="P7069" s="3"/>
      <c r="Q7069" s="3"/>
    </row>
    <row r="7070" spans="1:17" ht="15" x14ac:dyDescent="0.25">
      <c r="A7070" s="3">
        <f>7063</f>
        <v>7063</v>
      </c>
      <c r="B7070" s="3" t="s">
        <v>7072</v>
      </c>
      <c r="C7070" s="3" t="s">
        <v>10</v>
      </c>
      <c r="D7070" s="3" t="s">
        <v>9</v>
      </c>
      <c r="E7070" s="3">
        <v>23</v>
      </c>
      <c r="F7070" s="3">
        <v>70</v>
      </c>
      <c r="G7070" s="3">
        <v>1</v>
      </c>
      <c r="H7070" s="3">
        <v>5</v>
      </c>
      <c r="I7070" s="3">
        <v>21</v>
      </c>
      <c r="J7070" s="3">
        <v>1</v>
      </c>
      <c r="K7070" s="3">
        <v>24</v>
      </c>
      <c r="L7070" s="3">
        <v>1</v>
      </c>
      <c r="M7070" s="3">
        <v>0</v>
      </c>
      <c r="N7070" s="3">
        <v>22</v>
      </c>
      <c r="O7070" s="3"/>
      <c r="P7070" s="3"/>
      <c r="Q7070" s="3"/>
    </row>
    <row r="7071" spans="1:17" ht="15" x14ac:dyDescent="0.25">
      <c r="A7071" s="3">
        <f>7064</f>
        <v>7064</v>
      </c>
      <c r="B7071" s="3" t="s">
        <v>7073</v>
      </c>
      <c r="C7071" s="3" t="s">
        <v>10</v>
      </c>
      <c r="D7071" s="3" t="s">
        <v>9</v>
      </c>
      <c r="E7071" s="3">
        <v>23</v>
      </c>
      <c r="F7071" s="3">
        <v>70</v>
      </c>
      <c r="G7071" s="3">
        <v>1</v>
      </c>
      <c r="H7071" s="3">
        <v>5</v>
      </c>
      <c r="I7071" s="3">
        <v>21</v>
      </c>
      <c r="J7071" s="3">
        <v>1</v>
      </c>
      <c r="K7071" s="3">
        <v>24</v>
      </c>
      <c r="L7071" s="3">
        <v>1</v>
      </c>
      <c r="M7071" s="3">
        <v>0</v>
      </c>
      <c r="N7071" s="3">
        <v>22</v>
      </c>
      <c r="O7071" s="3"/>
      <c r="P7071" s="3"/>
      <c r="Q7071" s="3"/>
    </row>
    <row r="7072" spans="1:17" ht="15" x14ac:dyDescent="0.25">
      <c r="A7072" s="3">
        <f>7065</f>
        <v>7065</v>
      </c>
      <c r="B7072" s="3" t="s">
        <v>7074</v>
      </c>
      <c r="C7072" s="3" t="s">
        <v>10</v>
      </c>
      <c r="D7072" s="3" t="s">
        <v>9</v>
      </c>
      <c r="E7072" s="3">
        <v>23</v>
      </c>
      <c r="F7072" s="3">
        <v>70</v>
      </c>
      <c r="G7072" s="3">
        <v>1</v>
      </c>
      <c r="H7072" s="3">
        <v>5</v>
      </c>
      <c r="I7072" s="3">
        <v>21</v>
      </c>
      <c r="J7072" s="3">
        <v>1</v>
      </c>
      <c r="K7072" s="3">
        <v>24</v>
      </c>
      <c r="L7072" s="3">
        <v>1</v>
      </c>
      <c r="M7072" s="3">
        <v>0</v>
      </c>
      <c r="N7072" s="3">
        <v>22</v>
      </c>
      <c r="O7072" s="3"/>
      <c r="P7072" s="3"/>
      <c r="Q7072" s="3"/>
    </row>
    <row r="7073" spans="1:17" ht="15" x14ac:dyDescent="0.25">
      <c r="A7073" s="3">
        <f>7066</f>
        <v>7066</v>
      </c>
      <c r="B7073" s="3" t="s">
        <v>7075</v>
      </c>
      <c r="C7073" s="3" t="s">
        <v>10</v>
      </c>
      <c r="D7073" s="3" t="s">
        <v>9</v>
      </c>
      <c r="E7073" s="3">
        <v>23</v>
      </c>
      <c r="F7073" s="3">
        <v>70</v>
      </c>
      <c r="G7073" s="3">
        <v>1</v>
      </c>
      <c r="H7073" s="3">
        <v>5</v>
      </c>
      <c r="I7073" s="3">
        <v>21</v>
      </c>
      <c r="J7073" s="3">
        <v>1</v>
      </c>
      <c r="K7073" s="3">
        <v>24</v>
      </c>
      <c r="L7073" s="3">
        <v>1</v>
      </c>
      <c r="M7073" s="3">
        <v>0</v>
      </c>
      <c r="N7073" s="3">
        <v>22</v>
      </c>
      <c r="O7073" s="3"/>
      <c r="P7073" s="3"/>
      <c r="Q7073" s="3"/>
    </row>
    <row r="7074" spans="1:17" ht="15" x14ac:dyDescent="0.25">
      <c r="A7074" s="3">
        <f>7067</f>
        <v>7067</v>
      </c>
      <c r="B7074" s="3" t="s">
        <v>7076</v>
      </c>
      <c r="C7074" s="3" t="s">
        <v>10</v>
      </c>
      <c r="D7074" s="3" t="s">
        <v>9</v>
      </c>
      <c r="E7074" s="3">
        <v>23</v>
      </c>
      <c r="F7074" s="3">
        <v>70</v>
      </c>
      <c r="G7074" s="3">
        <v>1</v>
      </c>
      <c r="H7074" s="3">
        <v>5</v>
      </c>
      <c r="I7074" s="3">
        <v>21</v>
      </c>
      <c r="J7074" s="3">
        <v>1</v>
      </c>
      <c r="K7074" s="3">
        <v>24</v>
      </c>
      <c r="L7074" s="3">
        <v>1</v>
      </c>
      <c r="M7074" s="3">
        <v>0</v>
      </c>
      <c r="N7074" s="3">
        <v>22</v>
      </c>
      <c r="O7074" s="3"/>
      <c r="P7074" s="3"/>
      <c r="Q7074" s="3"/>
    </row>
    <row r="7075" spans="1:17" ht="15" x14ac:dyDescent="0.25">
      <c r="A7075" s="3">
        <f>7068</f>
        <v>7068</v>
      </c>
      <c r="B7075" s="3" t="s">
        <v>7077</v>
      </c>
      <c r="C7075" s="3" t="s">
        <v>10</v>
      </c>
      <c r="D7075" s="3" t="s">
        <v>9</v>
      </c>
      <c r="E7075" s="3">
        <v>23</v>
      </c>
      <c r="F7075" s="3">
        <v>70</v>
      </c>
      <c r="G7075" s="3">
        <v>1</v>
      </c>
      <c r="H7075" s="3">
        <v>5</v>
      </c>
      <c r="I7075" s="3">
        <v>21</v>
      </c>
      <c r="J7075" s="3">
        <v>1</v>
      </c>
      <c r="K7075" s="3">
        <v>24</v>
      </c>
      <c r="L7075" s="3">
        <v>1</v>
      </c>
      <c r="M7075" s="3">
        <v>0</v>
      </c>
      <c r="N7075" s="3">
        <v>22</v>
      </c>
      <c r="O7075" s="3"/>
      <c r="P7075" s="3"/>
      <c r="Q7075" s="3"/>
    </row>
    <row r="7076" spans="1:17" ht="15" x14ac:dyDescent="0.25">
      <c r="A7076" s="3">
        <f>7069</f>
        <v>7069</v>
      </c>
      <c r="B7076" s="3" t="s">
        <v>7078</v>
      </c>
      <c r="C7076" s="3" t="s">
        <v>10</v>
      </c>
      <c r="D7076" s="3" t="s">
        <v>9</v>
      </c>
      <c r="E7076" s="3">
        <v>23</v>
      </c>
      <c r="F7076" s="3">
        <v>70</v>
      </c>
      <c r="G7076" s="3">
        <v>1</v>
      </c>
      <c r="H7076" s="3">
        <v>5</v>
      </c>
      <c r="I7076" s="3">
        <v>21</v>
      </c>
      <c r="J7076" s="3">
        <v>1</v>
      </c>
      <c r="K7076" s="3">
        <v>24</v>
      </c>
      <c r="L7076" s="3">
        <v>1</v>
      </c>
      <c r="M7076" s="3">
        <v>0</v>
      </c>
      <c r="N7076" s="3">
        <v>22</v>
      </c>
      <c r="O7076" s="3"/>
      <c r="P7076" s="3"/>
      <c r="Q7076" s="3"/>
    </row>
    <row r="7077" spans="1:17" ht="15" x14ac:dyDescent="0.25">
      <c r="A7077" s="3">
        <f>7070</f>
        <v>7070</v>
      </c>
      <c r="B7077" s="3" t="s">
        <v>7079</v>
      </c>
      <c r="C7077" s="3" t="s">
        <v>10</v>
      </c>
      <c r="D7077" s="3" t="s">
        <v>9</v>
      </c>
      <c r="E7077" s="3">
        <v>23</v>
      </c>
      <c r="F7077" s="3">
        <v>70</v>
      </c>
      <c r="G7077" s="3">
        <v>1</v>
      </c>
      <c r="H7077" s="3">
        <v>5</v>
      </c>
      <c r="I7077" s="3">
        <v>21</v>
      </c>
      <c r="J7077" s="3">
        <v>1</v>
      </c>
      <c r="K7077" s="3">
        <v>24</v>
      </c>
      <c r="L7077" s="3">
        <v>1</v>
      </c>
      <c r="M7077" s="3">
        <v>0</v>
      </c>
      <c r="N7077" s="3">
        <v>22</v>
      </c>
      <c r="O7077" s="3"/>
      <c r="P7077" s="3"/>
      <c r="Q7077" s="3"/>
    </row>
    <row r="7078" spans="1:17" ht="15" x14ac:dyDescent="0.25">
      <c r="A7078" s="3">
        <f>7071</f>
        <v>7071</v>
      </c>
      <c r="B7078" s="3" t="s">
        <v>7080</v>
      </c>
      <c r="C7078" s="3" t="s">
        <v>10</v>
      </c>
      <c r="D7078" s="3" t="s">
        <v>9</v>
      </c>
      <c r="E7078" s="3">
        <v>23</v>
      </c>
      <c r="F7078" s="3">
        <v>70</v>
      </c>
      <c r="G7078" s="3">
        <v>1</v>
      </c>
      <c r="H7078" s="3">
        <v>5</v>
      </c>
      <c r="I7078" s="3">
        <v>21</v>
      </c>
      <c r="J7078" s="3">
        <v>1</v>
      </c>
      <c r="K7078" s="3">
        <v>24</v>
      </c>
      <c r="L7078" s="3">
        <v>1</v>
      </c>
      <c r="M7078" s="3">
        <v>0</v>
      </c>
      <c r="N7078" s="3">
        <v>22</v>
      </c>
      <c r="O7078" s="3"/>
      <c r="P7078" s="3"/>
      <c r="Q7078" s="3"/>
    </row>
    <row r="7079" spans="1:17" ht="15" x14ac:dyDescent="0.25">
      <c r="A7079" s="3">
        <f>7072</f>
        <v>7072</v>
      </c>
      <c r="B7079" s="3" t="s">
        <v>7081</v>
      </c>
      <c r="C7079" s="3" t="s">
        <v>10</v>
      </c>
      <c r="D7079" s="3" t="s">
        <v>9</v>
      </c>
      <c r="E7079" s="3">
        <v>23</v>
      </c>
      <c r="F7079" s="3">
        <v>70</v>
      </c>
      <c r="G7079" s="3">
        <v>1</v>
      </c>
      <c r="H7079" s="3">
        <v>5</v>
      </c>
      <c r="I7079" s="3">
        <v>21</v>
      </c>
      <c r="J7079" s="3">
        <v>1</v>
      </c>
      <c r="K7079" s="3">
        <v>24</v>
      </c>
      <c r="L7079" s="3">
        <v>1</v>
      </c>
      <c r="M7079" s="3">
        <v>0</v>
      </c>
      <c r="N7079" s="3">
        <v>22</v>
      </c>
      <c r="O7079" s="3"/>
      <c r="P7079" s="3"/>
      <c r="Q7079" s="3"/>
    </row>
    <row r="7080" spans="1:17" ht="15" x14ac:dyDescent="0.25">
      <c r="A7080" s="3">
        <f>7073</f>
        <v>7073</v>
      </c>
      <c r="B7080" s="3" t="s">
        <v>7082</v>
      </c>
      <c r="C7080" s="3" t="s">
        <v>10</v>
      </c>
      <c r="D7080" s="3" t="s">
        <v>9</v>
      </c>
      <c r="E7080" s="3">
        <v>23</v>
      </c>
      <c r="F7080" s="3">
        <v>70</v>
      </c>
      <c r="G7080" s="3">
        <v>1</v>
      </c>
      <c r="H7080" s="3">
        <v>5</v>
      </c>
      <c r="I7080" s="3">
        <v>21</v>
      </c>
      <c r="J7080" s="3">
        <v>1</v>
      </c>
      <c r="K7080" s="3">
        <v>24</v>
      </c>
      <c r="L7080" s="3">
        <v>1</v>
      </c>
      <c r="M7080" s="3">
        <v>0</v>
      </c>
      <c r="N7080" s="3">
        <v>22</v>
      </c>
      <c r="O7080" s="3"/>
      <c r="P7080" s="3"/>
      <c r="Q7080" s="3"/>
    </row>
    <row r="7081" spans="1:17" ht="15" x14ac:dyDescent="0.25">
      <c r="A7081" s="3">
        <f>7074</f>
        <v>7074</v>
      </c>
      <c r="B7081" s="3" t="s">
        <v>7083</v>
      </c>
      <c r="C7081" s="3" t="s">
        <v>10</v>
      </c>
      <c r="D7081" s="3" t="s">
        <v>9</v>
      </c>
      <c r="E7081" s="3">
        <v>23</v>
      </c>
      <c r="F7081" s="3">
        <v>70</v>
      </c>
      <c r="G7081" s="3">
        <v>1</v>
      </c>
      <c r="H7081" s="3">
        <v>5</v>
      </c>
      <c r="I7081" s="3">
        <v>21</v>
      </c>
      <c r="J7081" s="3">
        <v>1</v>
      </c>
      <c r="K7081" s="3">
        <v>24</v>
      </c>
      <c r="L7081" s="3">
        <v>1</v>
      </c>
      <c r="M7081" s="3">
        <v>0</v>
      </c>
      <c r="N7081" s="3">
        <v>22</v>
      </c>
      <c r="O7081" s="3"/>
      <c r="P7081" s="3"/>
      <c r="Q7081" s="3"/>
    </row>
    <row r="7082" spans="1:17" ht="15" x14ac:dyDescent="0.25">
      <c r="A7082" s="3">
        <f>7075</f>
        <v>7075</v>
      </c>
      <c r="B7082" s="3" t="s">
        <v>7084</v>
      </c>
      <c r="C7082" s="3" t="s">
        <v>10</v>
      </c>
      <c r="D7082" s="3" t="s">
        <v>9</v>
      </c>
      <c r="E7082" s="3">
        <v>23</v>
      </c>
      <c r="F7082" s="3">
        <v>70</v>
      </c>
      <c r="G7082" s="3">
        <v>1</v>
      </c>
      <c r="H7082" s="3">
        <v>5</v>
      </c>
      <c r="I7082" s="3">
        <v>21</v>
      </c>
      <c r="J7082" s="3">
        <v>1</v>
      </c>
      <c r="K7082" s="3">
        <v>24</v>
      </c>
      <c r="L7082" s="3">
        <v>1</v>
      </c>
      <c r="M7082" s="3">
        <v>0</v>
      </c>
      <c r="N7082" s="3">
        <v>22</v>
      </c>
      <c r="O7082" s="3"/>
      <c r="P7082" s="3"/>
      <c r="Q7082" s="3"/>
    </row>
    <row r="7083" spans="1:17" ht="15" x14ac:dyDescent="0.25">
      <c r="A7083" s="3">
        <f>7076</f>
        <v>7076</v>
      </c>
      <c r="B7083" s="3" t="s">
        <v>7085</v>
      </c>
      <c r="C7083" s="3" t="s">
        <v>10</v>
      </c>
      <c r="D7083" s="3" t="s">
        <v>9</v>
      </c>
      <c r="E7083" s="3">
        <v>23</v>
      </c>
      <c r="F7083" s="3">
        <v>70</v>
      </c>
      <c r="G7083" s="3">
        <v>1</v>
      </c>
      <c r="H7083" s="3">
        <v>5</v>
      </c>
      <c r="I7083" s="3">
        <v>21</v>
      </c>
      <c r="J7083" s="3">
        <v>1</v>
      </c>
      <c r="K7083" s="3">
        <v>24</v>
      </c>
      <c r="L7083" s="3">
        <v>1</v>
      </c>
      <c r="M7083" s="3">
        <v>0</v>
      </c>
      <c r="N7083" s="3">
        <v>22</v>
      </c>
      <c r="O7083" s="3"/>
      <c r="P7083" s="3"/>
      <c r="Q7083" s="3"/>
    </row>
    <row r="7084" spans="1:17" ht="15" x14ac:dyDescent="0.25">
      <c r="A7084" s="3">
        <f>7077</f>
        <v>7077</v>
      </c>
      <c r="B7084" s="3" t="s">
        <v>7086</v>
      </c>
      <c r="C7084" s="3" t="s">
        <v>10</v>
      </c>
      <c r="D7084" s="3" t="s">
        <v>9</v>
      </c>
      <c r="E7084" s="3">
        <v>23</v>
      </c>
      <c r="F7084" s="3">
        <v>70</v>
      </c>
      <c r="G7084" s="3">
        <v>1</v>
      </c>
      <c r="H7084" s="3">
        <v>5</v>
      </c>
      <c r="I7084" s="3">
        <v>21</v>
      </c>
      <c r="J7084" s="3">
        <v>1</v>
      </c>
      <c r="K7084" s="3">
        <v>24</v>
      </c>
      <c r="L7084" s="3">
        <v>1</v>
      </c>
      <c r="M7084" s="3">
        <v>0</v>
      </c>
      <c r="N7084" s="3">
        <v>22</v>
      </c>
      <c r="O7084" s="3"/>
      <c r="P7084" s="3"/>
      <c r="Q7084" s="3"/>
    </row>
    <row r="7085" spans="1:17" ht="15" x14ac:dyDescent="0.25">
      <c r="A7085" s="3">
        <f>7078</f>
        <v>7078</v>
      </c>
      <c r="B7085" s="3" t="s">
        <v>7087</v>
      </c>
      <c r="C7085" s="3" t="s">
        <v>10</v>
      </c>
      <c r="D7085" s="3" t="s">
        <v>9</v>
      </c>
      <c r="E7085" s="3">
        <v>23</v>
      </c>
      <c r="F7085" s="3">
        <v>70</v>
      </c>
      <c r="G7085" s="3">
        <v>1</v>
      </c>
      <c r="H7085" s="3">
        <v>5</v>
      </c>
      <c r="I7085" s="3">
        <v>21</v>
      </c>
      <c r="J7085" s="3">
        <v>1</v>
      </c>
      <c r="K7085" s="3">
        <v>24</v>
      </c>
      <c r="L7085" s="3">
        <v>1</v>
      </c>
      <c r="M7085" s="3">
        <v>0</v>
      </c>
      <c r="N7085" s="3">
        <v>22</v>
      </c>
      <c r="O7085" s="3"/>
      <c r="P7085" s="3"/>
      <c r="Q7085" s="3"/>
    </row>
    <row r="7086" spans="1:17" ht="15" x14ac:dyDescent="0.25">
      <c r="A7086" s="3">
        <f>7079</f>
        <v>7079</v>
      </c>
      <c r="B7086" s="3" t="s">
        <v>7088</v>
      </c>
      <c r="C7086" s="3" t="s">
        <v>10</v>
      </c>
      <c r="D7086" s="3" t="s">
        <v>9</v>
      </c>
      <c r="E7086" s="3">
        <v>23</v>
      </c>
      <c r="F7086" s="3">
        <v>70</v>
      </c>
      <c r="G7086" s="3">
        <v>1</v>
      </c>
      <c r="H7086" s="3">
        <v>5</v>
      </c>
      <c r="I7086" s="3">
        <v>21</v>
      </c>
      <c r="J7086" s="3">
        <v>1</v>
      </c>
      <c r="K7086" s="3">
        <v>24</v>
      </c>
      <c r="L7086" s="3">
        <v>1</v>
      </c>
      <c r="M7086" s="3">
        <v>0</v>
      </c>
      <c r="N7086" s="3">
        <v>22</v>
      </c>
      <c r="O7086" s="3"/>
      <c r="P7086" s="3"/>
      <c r="Q7086" s="3"/>
    </row>
    <row r="7087" spans="1:17" ht="15" x14ac:dyDescent="0.25">
      <c r="A7087" s="3">
        <f>7080</f>
        <v>7080</v>
      </c>
      <c r="B7087" s="3" t="s">
        <v>7089</v>
      </c>
      <c r="C7087" s="3" t="s">
        <v>10</v>
      </c>
      <c r="D7087" s="3" t="s">
        <v>9</v>
      </c>
      <c r="E7087" s="3">
        <v>23</v>
      </c>
      <c r="F7087" s="3">
        <v>70</v>
      </c>
      <c r="G7087" s="3">
        <v>1</v>
      </c>
      <c r="H7087" s="3">
        <v>5</v>
      </c>
      <c r="I7087" s="3">
        <v>21</v>
      </c>
      <c r="J7087" s="3">
        <v>1</v>
      </c>
      <c r="K7087" s="3">
        <v>24</v>
      </c>
      <c r="L7087" s="3">
        <v>1</v>
      </c>
      <c r="M7087" s="3">
        <v>0</v>
      </c>
      <c r="N7087" s="3">
        <v>22</v>
      </c>
      <c r="O7087" s="3"/>
      <c r="P7087" s="3"/>
      <c r="Q7087" s="3"/>
    </row>
    <row r="7088" spans="1:17" ht="15" x14ac:dyDescent="0.25">
      <c r="A7088" s="3">
        <f>7081</f>
        <v>7081</v>
      </c>
      <c r="B7088" s="3" t="s">
        <v>7090</v>
      </c>
      <c r="C7088" s="3" t="s">
        <v>10</v>
      </c>
      <c r="D7088" s="3" t="s">
        <v>9</v>
      </c>
      <c r="E7088" s="3">
        <v>23</v>
      </c>
      <c r="F7088" s="3">
        <v>70</v>
      </c>
      <c r="G7088" s="3">
        <v>1</v>
      </c>
      <c r="H7088" s="3">
        <v>5</v>
      </c>
      <c r="I7088" s="3">
        <v>21</v>
      </c>
      <c r="J7088" s="3">
        <v>1</v>
      </c>
      <c r="K7088" s="3">
        <v>24</v>
      </c>
      <c r="L7088" s="3">
        <v>1</v>
      </c>
      <c r="M7088" s="3">
        <v>0</v>
      </c>
      <c r="N7088" s="3">
        <v>22</v>
      </c>
      <c r="O7088" s="3"/>
      <c r="P7088" s="3"/>
      <c r="Q7088" s="3"/>
    </row>
    <row r="7089" spans="1:17" ht="15" x14ac:dyDescent="0.25">
      <c r="A7089" s="3">
        <f>7082</f>
        <v>7082</v>
      </c>
      <c r="B7089" s="3" t="s">
        <v>7091</v>
      </c>
      <c r="C7089" s="3" t="s">
        <v>10</v>
      </c>
      <c r="D7089" s="3" t="s">
        <v>9</v>
      </c>
      <c r="E7089" s="3">
        <v>23</v>
      </c>
      <c r="F7089" s="3">
        <v>70</v>
      </c>
      <c r="G7089" s="3">
        <v>1</v>
      </c>
      <c r="H7089" s="3">
        <v>5</v>
      </c>
      <c r="I7089" s="3">
        <v>21</v>
      </c>
      <c r="J7089" s="3">
        <v>1</v>
      </c>
      <c r="K7089" s="3">
        <v>24</v>
      </c>
      <c r="L7089" s="3">
        <v>1</v>
      </c>
      <c r="M7089" s="3">
        <v>0</v>
      </c>
      <c r="N7089" s="3">
        <v>22</v>
      </c>
      <c r="O7089" s="3"/>
      <c r="P7089" s="3"/>
      <c r="Q7089" s="3"/>
    </row>
    <row r="7090" spans="1:17" ht="15" x14ac:dyDescent="0.25">
      <c r="A7090" s="3">
        <f>7083</f>
        <v>7083</v>
      </c>
      <c r="B7090" s="3" t="s">
        <v>7092</v>
      </c>
      <c r="C7090" s="3" t="s">
        <v>10</v>
      </c>
      <c r="D7090" s="3" t="s">
        <v>9</v>
      </c>
      <c r="E7090" s="3">
        <v>23</v>
      </c>
      <c r="F7090" s="3">
        <v>70</v>
      </c>
      <c r="G7090" s="3">
        <v>1</v>
      </c>
      <c r="H7090" s="3">
        <v>5</v>
      </c>
      <c r="I7090" s="3">
        <v>21</v>
      </c>
      <c r="J7090" s="3">
        <v>1</v>
      </c>
      <c r="K7090" s="3">
        <v>24</v>
      </c>
      <c r="L7090" s="3">
        <v>1</v>
      </c>
      <c r="M7090" s="3">
        <v>0</v>
      </c>
      <c r="N7090" s="3">
        <v>22</v>
      </c>
      <c r="O7090" s="3"/>
      <c r="P7090" s="3"/>
      <c r="Q7090" s="3"/>
    </row>
    <row r="7091" spans="1:17" ht="15" x14ac:dyDescent="0.25">
      <c r="A7091" s="3">
        <f>7084</f>
        <v>7084</v>
      </c>
      <c r="B7091" s="3" t="s">
        <v>7093</v>
      </c>
      <c r="C7091" s="3" t="s">
        <v>10</v>
      </c>
      <c r="D7091" s="3" t="s">
        <v>9</v>
      </c>
      <c r="E7091" s="3">
        <v>23</v>
      </c>
      <c r="F7091" s="3">
        <v>70</v>
      </c>
      <c r="G7091" s="3">
        <v>1</v>
      </c>
      <c r="H7091" s="3">
        <v>5</v>
      </c>
      <c r="I7091" s="3">
        <v>21</v>
      </c>
      <c r="J7091" s="3">
        <v>1</v>
      </c>
      <c r="K7091" s="3">
        <v>24</v>
      </c>
      <c r="L7091" s="3">
        <v>1</v>
      </c>
      <c r="M7091" s="3">
        <v>0</v>
      </c>
      <c r="N7091" s="3">
        <v>22</v>
      </c>
      <c r="O7091" s="3"/>
      <c r="P7091" s="3"/>
      <c r="Q7091" s="3"/>
    </row>
    <row r="7092" spans="1:17" ht="15" x14ac:dyDescent="0.25">
      <c r="A7092" s="3">
        <f>7085</f>
        <v>7085</v>
      </c>
      <c r="B7092" s="3" t="s">
        <v>7094</v>
      </c>
      <c r="C7092" s="3" t="s">
        <v>10</v>
      </c>
      <c r="D7092" s="3" t="s">
        <v>9</v>
      </c>
      <c r="E7092" s="3">
        <v>23</v>
      </c>
      <c r="F7092" s="3">
        <v>70</v>
      </c>
      <c r="G7092" s="3">
        <v>1</v>
      </c>
      <c r="H7092" s="3">
        <v>5</v>
      </c>
      <c r="I7092" s="3">
        <v>21</v>
      </c>
      <c r="J7092" s="3">
        <v>1</v>
      </c>
      <c r="K7092" s="3">
        <v>24</v>
      </c>
      <c r="L7092" s="3">
        <v>1</v>
      </c>
      <c r="M7092" s="3">
        <v>0</v>
      </c>
      <c r="N7092" s="3">
        <v>22</v>
      </c>
      <c r="O7092" s="3"/>
      <c r="P7092" s="3"/>
      <c r="Q7092" s="3"/>
    </row>
    <row r="7093" spans="1:17" ht="15" x14ac:dyDescent="0.25">
      <c r="A7093" s="3">
        <f>7086</f>
        <v>7086</v>
      </c>
      <c r="B7093" s="3" t="s">
        <v>7095</v>
      </c>
      <c r="C7093" s="3" t="s">
        <v>10</v>
      </c>
      <c r="D7093" s="3" t="s">
        <v>9</v>
      </c>
      <c r="E7093" s="3">
        <v>23</v>
      </c>
      <c r="F7093" s="3">
        <v>70</v>
      </c>
      <c r="G7093" s="3">
        <v>1</v>
      </c>
      <c r="H7093" s="3">
        <v>5</v>
      </c>
      <c r="I7093" s="3">
        <v>21</v>
      </c>
      <c r="J7093" s="3">
        <v>1</v>
      </c>
      <c r="K7093" s="3">
        <v>24</v>
      </c>
      <c r="L7093" s="3">
        <v>1</v>
      </c>
      <c r="M7093" s="3">
        <v>0</v>
      </c>
      <c r="N7093" s="3">
        <v>22</v>
      </c>
      <c r="O7093" s="3"/>
      <c r="P7093" s="3"/>
      <c r="Q7093" s="3"/>
    </row>
    <row r="7094" spans="1:17" ht="15" x14ac:dyDescent="0.25">
      <c r="A7094" s="3">
        <f>7087</f>
        <v>7087</v>
      </c>
      <c r="B7094" s="3" t="s">
        <v>7096</v>
      </c>
      <c r="C7094" s="3" t="s">
        <v>10</v>
      </c>
      <c r="D7094" s="3" t="s">
        <v>9</v>
      </c>
      <c r="E7094" s="3">
        <v>23</v>
      </c>
      <c r="F7094" s="3">
        <v>70</v>
      </c>
      <c r="G7094" s="3">
        <v>1</v>
      </c>
      <c r="H7094" s="3">
        <v>5</v>
      </c>
      <c r="I7094" s="3">
        <v>21</v>
      </c>
      <c r="J7094" s="3">
        <v>1</v>
      </c>
      <c r="K7094" s="3">
        <v>24</v>
      </c>
      <c r="L7094" s="3">
        <v>1</v>
      </c>
      <c r="M7094" s="3">
        <v>0</v>
      </c>
      <c r="N7094" s="3">
        <v>22</v>
      </c>
      <c r="O7094" s="3"/>
      <c r="P7094" s="3"/>
      <c r="Q7094" s="3"/>
    </row>
    <row r="7095" spans="1:17" ht="15" x14ac:dyDescent="0.25">
      <c r="A7095" s="3">
        <f>7088</f>
        <v>7088</v>
      </c>
      <c r="B7095" s="3" t="s">
        <v>7097</v>
      </c>
      <c r="C7095" s="3" t="s">
        <v>10</v>
      </c>
      <c r="D7095" s="3" t="s">
        <v>9</v>
      </c>
      <c r="E7095" s="3">
        <v>23</v>
      </c>
      <c r="F7095" s="3">
        <v>70</v>
      </c>
      <c r="G7095" s="3">
        <v>1</v>
      </c>
      <c r="H7095" s="3">
        <v>5</v>
      </c>
      <c r="I7095" s="3">
        <v>21</v>
      </c>
      <c r="J7095" s="3">
        <v>1</v>
      </c>
      <c r="K7095" s="3">
        <v>24</v>
      </c>
      <c r="L7095" s="3">
        <v>1</v>
      </c>
      <c r="M7095" s="3">
        <v>0</v>
      </c>
      <c r="N7095" s="3">
        <v>22</v>
      </c>
      <c r="O7095" s="3"/>
      <c r="P7095" s="3"/>
      <c r="Q7095" s="3"/>
    </row>
    <row r="7096" spans="1:17" ht="15" x14ac:dyDescent="0.25">
      <c r="A7096" s="3">
        <f>7089</f>
        <v>7089</v>
      </c>
      <c r="B7096" s="3" t="s">
        <v>7098</v>
      </c>
      <c r="C7096" s="3" t="s">
        <v>10</v>
      </c>
      <c r="D7096" s="3" t="s">
        <v>9</v>
      </c>
      <c r="E7096" s="3">
        <v>23</v>
      </c>
      <c r="F7096" s="3">
        <v>70</v>
      </c>
      <c r="G7096" s="3">
        <v>1</v>
      </c>
      <c r="H7096" s="3">
        <v>5</v>
      </c>
      <c r="I7096" s="3">
        <v>21</v>
      </c>
      <c r="J7096" s="3">
        <v>1</v>
      </c>
      <c r="K7096" s="3">
        <v>24</v>
      </c>
      <c r="L7096" s="3">
        <v>1</v>
      </c>
      <c r="M7096" s="3">
        <v>0</v>
      </c>
      <c r="N7096" s="3">
        <v>22</v>
      </c>
      <c r="O7096" s="3"/>
      <c r="P7096" s="3"/>
      <c r="Q7096" s="3"/>
    </row>
    <row r="7097" spans="1:17" ht="15" x14ac:dyDescent="0.25">
      <c r="A7097" s="3">
        <f>7090</f>
        <v>7090</v>
      </c>
      <c r="B7097" s="3" t="s">
        <v>7099</v>
      </c>
      <c r="C7097" s="3" t="s">
        <v>10</v>
      </c>
      <c r="D7097" s="3" t="s">
        <v>9</v>
      </c>
      <c r="E7097" s="3">
        <v>23</v>
      </c>
      <c r="F7097" s="3">
        <v>70</v>
      </c>
      <c r="G7097" s="3">
        <v>1</v>
      </c>
      <c r="H7097" s="3">
        <v>5</v>
      </c>
      <c r="I7097" s="3">
        <v>21</v>
      </c>
      <c r="J7097" s="3">
        <v>1</v>
      </c>
      <c r="K7097" s="3">
        <v>24</v>
      </c>
      <c r="L7097" s="3">
        <v>1</v>
      </c>
      <c r="M7097" s="3">
        <v>0</v>
      </c>
      <c r="N7097" s="3">
        <v>22</v>
      </c>
      <c r="O7097" s="3"/>
      <c r="P7097" s="3"/>
      <c r="Q7097" s="3"/>
    </row>
    <row r="7098" spans="1:17" ht="15" x14ac:dyDescent="0.25">
      <c r="A7098" s="3">
        <f>7091</f>
        <v>7091</v>
      </c>
      <c r="B7098" s="3" t="s">
        <v>7100</v>
      </c>
      <c r="C7098" s="3" t="s">
        <v>10</v>
      </c>
      <c r="D7098" s="3" t="s">
        <v>9</v>
      </c>
      <c r="E7098" s="3">
        <v>23</v>
      </c>
      <c r="F7098" s="3">
        <v>70</v>
      </c>
      <c r="G7098" s="3">
        <v>1</v>
      </c>
      <c r="H7098" s="3">
        <v>5</v>
      </c>
      <c r="I7098" s="3">
        <v>21</v>
      </c>
      <c r="J7098" s="3">
        <v>1</v>
      </c>
      <c r="K7098" s="3">
        <v>24</v>
      </c>
      <c r="L7098" s="3">
        <v>1</v>
      </c>
      <c r="M7098" s="3">
        <v>0</v>
      </c>
      <c r="N7098" s="3">
        <v>22</v>
      </c>
      <c r="O7098" s="3"/>
      <c r="P7098" s="3"/>
      <c r="Q7098" s="3"/>
    </row>
    <row r="7099" spans="1:17" ht="15" x14ac:dyDescent="0.25">
      <c r="A7099" s="3">
        <f>7092</f>
        <v>7092</v>
      </c>
      <c r="B7099" s="3" t="s">
        <v>7101</v>
      </c>
      <c r="C7099" s="3" t="s">
        <v>10</v>
      </c>
      <c r="D7099" s="3" t="s">
        <v>9</v>
      </c>
      <c r="E7099" s="3">
        <v>23</v>
      </c>
      <c r="F7099" s="3">
        <v>70</v>
      </c>
      <c r="G7099" s="3">
        <v>1</v>
      </c>
      <c r="H7099" s="3">
        <v>5</v>
      </c>
      <c r="I7099" s="3">
        <v>21</v>
      </c>
      <c r="J7099" s="3">
        <v>1</v>
      </c>
      <c r="K7099" s="3">
        <v>24</v>
      </c>
      <c r="L7099" s="3">
        <v>1</v>
      </c>
      <c r="M7099" s="3">
        <v>0</v>
      </c>
      <c r="N7099" s="3">
        <v>22</v>
      </c>
      <c r="O7099" s="3"/>
      <c r="P7099" s="3"/>
      <c r="Q7099" s="3"/>
    </row>
    <row r="7100" spans="1:17" ht="15" x14ac:dyDescent="0.25">
      <c r="A7100" s="3">
        <f>7093</f>
        <v>7093</v>
      </c>
      <c r="B7100" s="3" t="s">
        <v>7102</v>
      </c>
      <c r="C7100" s="3" t="s">
        <v>10</v>
      </c>
      <c r="D7100" s="3" t="s">
        <v>9</v>
      </c>
      <c r="E7100" s="3">
        <v>23</v>
      </c>
      <c r="F7100" s="3">
        <v>70</v>
      </c>
      <c r="G7100" s="3">
        <v>1</v>
      </c>
      <c r="H7100" s="3">
        <v>5</v>
      </c>
      <c r="I7100" s="3">
        <v>21</v>
      </c>
      <c r="J7100" s="3">
        <v>1</v>
      </c>
      <c r="K7100" s="3">
        <v>24</v>
      </c>
      <c r="L7100" s="3">
        <v>1</v>
      </c>
      <c r="M7100" s="3">
        <v>0</v>
      </c>
      <c r="N7100" s="3">
        <v>22</v>
      </c>
      <c r="O7100" s="3"/>
      <c r="P7100" s="3"/>
      <c r="Q7100" s="3"/>
    </row>
    <row r="7101" spans="1:17" ht="15" x14ac:dyDescent="0.25">
      <c r="A7101" s="3">
        <f>7094</f>
        <v>7094</v>
      </c>
      <c r="B7101" s="3" t="s">
        <v>7103</v>
      </c>
      <c r="C7101" s="3" t="s">
        <v>10</v>
      </c>
      <c r="D7101" s="3" t="s">
        <v>9</v>
      </c>
      <c r="E7101" s="3">
        <v>23</v>
      </c>
      <c r="F7101" s="3">
        <v>70</v>
      </c>
      <c r="G7101" s="3">
        <v>1</v>
      </c>
      <c r="H7101" s="3">
        <v>5</v>
      </c>
      <c r="I7101" s="3">
        <v>21</v>
      </c>
      <c r="J7101" s="3">
        <v>1</v>
      </c>
      <c r="K7101" s="3">
        <v>24</v>
      </c>
      <c r="L7101" s="3">
        <v>1</v>
      </c>
      <c r="M7101" s="3">
        <v>0</v>
      </c>
      <c r="N7101" s="3">
        <v>22</v>
      </c>
      <c r="O7101" s="3"/>
      <c r="P7101" s="3"/>
      <c r="Q7101" s="3"/>
    </row>
    <row r="7102" spans="1:17" ht="15" x14ac:dyDescent="0.25">
      <c r="A7102" s="3">
        <f>7095</f>
        <v>7095</v>
      </c>
      <c r="B7102" s="3" t="s">
        <v>7104</v>
      </c>
      <c r="C7102" s="3" t="s">
        <v>10</v>
      </c>
      <c r="D7102" s="3" t="s">
        <v>9</v>
      </c>
      <c r="E7102" s="3">
        <v>23</v>
      </c>
      <c r="F7102" s="3">
        <v>70</v>
      </c>
      <c r="G7102" s="3">
        <v>1</v>
      </c>
      <c r="H7102" s="3">
        <v>5</v>
      </c>
      <c r="I7102" s="3">
        <v>21</v>
      </c>
      <c r="J7102" s="3">
        <v>1</v>
      </c>
      <c r="K7102" s="3">
        <v>24</v>
      </c>
      <c r="L7102" s="3">
        <v>1</v>
      </c>
      <c r="M7102" s="3">
        <v>0</v>
      </c>
      <c r="N7102" s="3">
        <v>22</v>
      </c>
      <c r="O7102" s="3"/>
      <c r="P7102" s="3"/>
      <c r="Q7102" s="3"/>
    </row>
    <row r="7103" spans="1:17" ht="15" x14ac:dyDescent="0.25">
      <c r="A7103" s="3">
        <f>7096</f>
        <v>7096</v>
      </c>
      <c r="B7103" s="3" t="s">
        <v>7105</v>
      </c>
      <c r="C7103" s="3" t="s">
        <v>10</v>
      </c>
      <c r="D7103" s="3" t="s">
        <v>9</v>
      </c>
      <c r="E7103" s="3">
        <v>23</v>
      </c>
      <c r="F7103" s="3">
        <v>70</v>
      </c>
      <c r="G7103" s="3">
        <v>1</v>
      </c>
      <c r="H7103" s="3">
        <v>5</v>
      </c>
      <c r="I7103" s="3">
        <v>21</v>
      </c>
      <c r="J7103" s="3">
        <v>1</v>
      </c>
      <c r="K7103" s="3">
        <v>24</v>
      </c>
      <c r="L7103" s="3">
        <v>1</v>
      </c>
      <c r="M7103" s="3">
        <v>0</v>
      </c>
      <c r="N7103" s="3">
        <v>22</v>
      </c>
      <c r="O7103" s="3"/>
      <c r="P7103" s="3"/>
      <c r="Q7103" s="3"/>
    </row>
    <row r="7104" spans="1:17" ht="15" x14ac:dyDescent="0.25">
      <c r="A7104" s="3">
        <f>7097</f>
        <v>7097</v>
      </c>
      <c r="B7104" s="3" t="s">
        <v>7106</v>
      </c>
      <c r="C7104" s="3" t="s">
        <v>10</v>
      </c>
      <c r="D7104" s="3" t="s">
        <v>9</v>
      </c>
      <c r="E7104" s="3">
        <v>23</v>
      </c>
      <c r="F7104" s="3">
        <v>70</v>
      </c>
      <c r="G7104" s="3">
        <v>1</v>
      </c>
      <c r="H7104" s="3">
        <v>5</v>
      </c>
      <c r="I7104" s="3">
        <v>21</v>
      </c>
      <c r="J7104" s="3">
        <v>1</v>
      </c>
      <c r="K7104" s="3">
        <v>24</v>
      </c>
      <c r="L7104" s="3">
        <v>1</v>
      </c>
      <c r="M7104" s="3">
        <v>0</v>
      </c>
      <c r="N7104" s="3">
        <v>22</v>
      </c>
      <c r="O7104" s="3"/>
      <c r="P7104" s="3"/>
      <c r="Q7104" s="3"/>
    </row>
    <row r="7105" spans="1:17" ht="15" x14ac:dyDescent="0.25">
      <c r="A7105" s="3">
        <f>7098</f>
        <v>7098</v>
      </c>
      <c r="B7105" s="3" t="s">
        <v>7107</v>
      </c>
      <c r="C7105" s="3" t="s">
        <v>10</v>
      </c>
      <c r="D7105" s="3" t="s">
        <v>9</v>
      </c>
      <c r="E7105" s="3">
        <v>23</v>
      </c>
      <c r="F7105" s="3">
        <v>70</v>
      </c>
      <c r="G7105" s="3">
        <v>1</v>
      </c>
      <c r="H7105" s="3">
        <v>5</v>
      </c>
      <c r="I7105" s="3">
        <v>21</v>
      </c>
      <c r="J7105" s="3">
        <v>1</v>
      </c>
      <c r="K7105" s="3">
        <v>24</v>
      </c>
      <c r="L7105" s="3">
        <v>1</v>
      </c>
      <c r="M7105" s="3">
        <v>0</v>
      </c>
      <c r="N7105" s="3">
        <v>22</v>
      </c>
      <c r="O7105" s="3"/>
      <c r="P7105" s="3"/>
      <c r="Q7105" s="3"/>
    </row>
    <row r="7106" spans="1:17" ht="15" x14ac:dyDescent="0.25">
      <c r="A7106" s="3">
        <f>7099</f>
        <v>7099</v>
      </c>
      <c r="B7106" s="3" t="s">
        <v>7108</v>
      </c>
      <c r="C7106" s="3" t="s">
        <v>10</v>
      </c>
      <c r="D7106" s="3" t="s">
        <v>9</v>
      </c>
      <c r="E7106" s="3">
        <v>23</v>
      </c>
      <c r="F7106" s="3">
        <v>70</v>
      </c>
      <c r="G7106" s="3">
        <v>1</v>
      </c>
      <c r="H7106" s="3">
        <v>5</v>
      </c>
      <c r="I7106" s="3">
        <v>21</v>
      </c>
      <c r="J7106" s="3">
        <v>1</v>
      </c>
      <c r="K7106" s="3">
        <v>24</v>
      </c>
      <c r="L7106" s="3">
        <v>1</v>
      </c>
      <c r="M7106" s="3">
        <v>0</v>
      </c>
      <c r="N7106" s="3">
        <v>22</v>
      </c>
      <c r="O7106" s="3"/>
      <c r="P7106" s="3"/>
      <c r="Q7106" s="3"/>
    </row>
    <row r="7107" spans="1:17" ht="15" x14ac:dyDescent="0.25">
      <c r="A7107" s="3">
        <f>7100</f>
        <v>7100</v>
      </c>
      <c r="B7107" s="3" t="s">
        <v>7109</v>
      </c>
      <c r="C7107" s="3" t="s">
        <v>10</v>
      </c>
      <c r="D7107" s="3" t="s">
        <v>9</v>
      </c>
      <c r="E7107" s="3">
        <v>23</v>
      </c>
      <c r="F7107" s="3">
        <v>70</v>
      </c>
      <c r="G7107" s="3">
        <v>1</v>
      </c>
      <c r="H7107" s="3">
        <v>5</v>
      </c>
      <c r="I7107" s="3">
        <v>21</v>
      </c>
      <c r="J7107" s="3">
        <v>1</v>
      </c>
      <c r="K7107" s="3">
        <v>24</v>
      </c>
      <c r="L7107" s="3">
        <v>1</v>
      </c>
      <c r="M7107" s="3">
        <v>0</v>
      </c>
      <c r="N7107" s="3">
        <v>22</v>
      </c>
      <c r="O7107" s="3"/>
      <c r="P7107" s="3"/>
      <c r="Q7107" s="3"/>
    </row>
    <row r="7108" spans="1:17" ht="15" x14ac:dyDescent="0.25">
      <c r="A7108" s="3">
        <f>7101</f>
        <v>7101</v>
      </c>
      <c r="B7108" s="3" t="s">
        <v>7110</v>
      </c>
      <c r="C7108" s="3" t="s">
        <v>10</v>
      </c>
      <c r="D7108" s="3" t="s">
        <v>9</v>
      </c>
      <c r="E7108" s="3">
        <v>23</v>
      </c>
      <c r="F7108" s="3">
        <v>70</v>
      </c>
      <c r="G7108" s="3">
        <v>1</v>
      </c>
      <c r="H7108" s="3">
        <v>5</v>
      </c>
      <c r="I7108" s="3">
        <v>21</v>
      </c>
      <c r="J7108" s="3">
        <v>1</v>
      </c>
      <c r="K7108" s="3">
        <v>24</v>
      </c>
      <c r="L7108" s="3">
        <v>1</v>
      </c>
      <c r="M7108" s="3">
        <v>0</v>
      </c>
      <c r="N7108" s="3">
        <v>22</v>
      </c>
      <c r="O7108" s="3"/>
      <c r="P7108" s="3"/>
      <c r="Q7108" s="3"/>
    </row>
    <row r="7109" spans="1:17" ht="15" x14ac:dyDescent="0.25">
      <c r="A7109" s="3">
        <f>7102</f>
        <v>7102</v>
      </c>
      <c r="B7109" s="3" t="s">
        <v>7111</v>
      </c>
      <c r="C7109" s="3" t="s">
        <v>10</v>
      </c>
      <c r="D7109" s="3" t="s">
        <v>9</v>
      </c>
      <c r="E7109" s="3">
        <v>23</v>
      </c>
      <c r="F7109" s="3">
        <v>70</v>
      </c>
      <c r="G7109" s="3">
        <v>1</v>
      </c>
      <c r="H7109" s="3">
        <v>5</v>
      </c>
      <c r="I7109" s="3">
        <v>21</v>
      </c>
      <c r="J7109" s="3">
        <v>1</v>
      </c>
      <c r="K7109" s="3">
        <v>24</v>
      </c>
      <c r="L7109" s="3">
        <v>1</v>
      </c>
      <c r="M7109" s="3">
        <v>0</v>
      </c>
      <c r="N7109" s="3">
        <v>22</v>
      </c>
      <c r="O7109" s="3"/>
      <c r="P7109" s="3"/>
      <c r="Q7109" s="3"/>
    </row>
    <row r="7110" spans="1:17" ht="15" x14ac:dyDescent="0.25">
      <c r="A7110" s="3">
        <f>7103</f>
        <v>7103</v>
      </c>
      <c r="B7110" s="3" t="s">
        <v>7112</v>
      </c>
      <c r="C7110" s="3" t="s">
        <v>10</v>
      </c>
      <c r="D7110" s="3" t="s">
        <v>9</v>
      </c>
      <c r="E7110" s="3">
        <v>23</v>
      </c>
      <c r="F7110" s="3">
        <v>70</v>
      </c>
      <c r="G7110" s="3">
        <v>1</v>
      </c>
      <c r="H7110" s="3">
        <v>5</v>
      </c>
      <c r="I7110" s="3">
        <v>21</v>
      </c>
      <c r="J7110" s="3">
        <v>1</v>
      </c>
      <c r="K7110" s="3">
        <v>24</v>
      </c>
      <c r="L7110" s="3">
        <v>1</v>
      </c>
      <c r="M7110" s="3">
        <v>0</v>
      </c>
      <c r="N7110" s="3">
        <v>22</v>
      </c>
      <c r="O7110" s="3"/>
      <c r="P7110" s="3"/>
      <c r="Q7110" s="3"/>
    </row>
    <row r="7111" spans="1:17" ht="15" x14ac:dyDescent="0.25">
      <c r="A7111" s="3">
        <f>7104</f>
        <v>7104</v>
      </c>
      <c r="B7111" s="3" t="s">
        <v>7113</v>
      </c>
      <c r="C7111" s="3" t="s">
        <v>10</v>
      </c>
      <c r="D7111" s="3" t="s">
        <v>9</v>
      </c>
      <c r="E7111" s="3">
        <v>23</v>
      </c>
      <c r="F7111" s="3">
        <v>70</v>
      </c>
      <c r="G7111" s="3">
        <v>1</v>
      </c>
      <c r="H7111" s="3">
        <v>5</v>
      </c>
      <c r="I7111" s="3">
        <v>21</v>
      </c>
      <c r="J7111" s="3">
        <v>1</v>
      </c>
      <c r="K7111" s="3">
        <v>24</v>
      </c>
      <c r="L7111" s="3">
        <v>1</v>
      </c>
      <c r="M7111" s="3">
        <v>0</v>
      </c>
      <c r="N7111" s="3">
        <v>22</v>
      </c>
      <c r="O7111" s="3"/>
      <c r="P7111" s="3"/>
      <c r="Q7111" s="3"/>
    </row>
    <row r="7112" spans="1:17" ht="15" x14ac:dyDescent="0.25">
      <c r="A7112" s="3">
        <f>7105</f>
        <v>7105</v>
      </c>
      <c r="B7112" s="3" t="s">
        <v>7114</v>
      </c>
      <c r="C7112" s="3" t="s">
        <v>10</v>
      </c>
      <c r="D7112" s="3" t="s">
        <v>9</v>
      </c>
      <c r="E7112" s="3">
        <v>23</v>
      </c>
      <c r="F7112" s="3">
        <v>70</v>
      </c>
      <c r="G7112" s="3">
        <v>1</v>
      </c>
      <c r="H7112" s="3">
        <v>5</v>
      </c>
      <c r="I7112" s="3">
        <v>21</v>
      </c>
      <c r="J7112" s="3">
        <v>1</v>
      </c>
      <c r="K7112" s="3">
        <v>24</v>
      </c>
      <c r="L7112" s="3">
        <v>1</v>
      </c>
      <c r="M7112" s="3">
        <v>0</v>
      </c>
      <c r="N7112" s="3">
        <v>22</v>
      </c>
      <c r="O7112" s="3"/>
      <c r="P7112" s="3"/>
      <c r="Q7112" s="3"/>
    </row>
    <row r="7113" spans="1:17" ht="15" x14ac:dyDescent="0.25">
      <c r="A7113" s="3">
        <f>7106</f>
        <v>7106</v>
      </c>
      <c r="B7113" s="3" t="s">
        <v>7115</v>
      </c>
      <c r="C7113" s="3" t="s">
        <v>10</v>
      </c>
      <c r="D7113" s="3" t="s">
        <v>9</v>
      </c>
      <c r="E7113" s="3">
        <v>23</v>
      </c>
      <c r="F7113" s="3">
        <v>70</v>
      </c>
      <c r="G7113" s="3">
        <v>1</v>
      </c>
      <c r="H7113" s="3">
        <v>5</v>
      </c>
      <c r="I7113" s="3">
        <v>21</v>
      </c>
      <c r="J7113" s="3">
        <v>1</v>
      </c>
      <c r="K7113" s="3">
        <v>24</v>
      </c>
      <c r="L7113" s="3">
        <v>1</v>
      </c>
      <c r="M7113" s="3">
        <v>0</v>
      </c>
      <c r="N7113" s="3">
        <v>22</v>
      </c>
      <c r="O7113" s="3"/>
      <c r="P7113" s="3"/>
      <c r="Q7113" s="3"/>
    </row>
    <row r="7114" spans="1:17" ht="15" x14ac:dyDescent="0.25">
      <c r="A7114" s="3">
        <f>7107</f>
        <v>7107</v>
      </c>
      <c r="B7114" s="3" t="s">
        <v>7116</v>
      </c>
      <c r="C7114" s="3" t="s">
        <v>10</v>
      </c>
      <c r="D7114" s="3" t="s">
        <v>9</v>
      </c>
      <c r="E7114" s="3">
        <v>23</v>
      </c>
      <c r="F7114" s="3">
        <v>70</v>
      </c>
      <c r="G7114" s="3">
        <v>1</v>
      </c>
      <c r="H7114" s="3">
        <v>5</v>
      </c>
      <c r="I7114" s="3">
        <v>21</v>
      </c>
      <c r="J7114" s="3">
        <v>1</v>
      </c>
      <c r="K7114" s="3">
        <v>24</v>
      </c>
      <c r="L7114" s="3">
        <v>1</v>
      </c>
      <c r="M7114" s="3">
        <v>0</v>
      </c>
      <c r="N7114" s="3">
        <v>22</v>
      </c>
      <c r="O7114" s="3"/>
      <c r="P7114" s="3"/>
      <c r="Q7114" s="3"/>
    </row>
    <row r="7115" spans="1:17" ht="15" x14ac:dyDescent="0.25">
      <c r="A7115" s="3">
        <f>7108</f>
        <v>7108</v>
      </c>
      <c r="B7115" s="3" t="s">
        <v>7117</v>
      </c>
      <c r="C7115" s="3" t="s">
        <v>10</v>
      </c>
      <c r="D7115" s="3" t="s">
        <v>9</v>
      </c>
      <c r="E7115" s="3">
        <v>23</v>
      </c>
      <c r="F7115" s="3">
        <v>70</v>
      </c>
      <c r="G7115" s="3">
        <v>1</v>
      </c>
      <c r="H7115" s="3">
        <v>5</v>
      </c>
      <c r="I7115" s="3">
        <v>21</v>
      </c>
      <c r="J7115" s="3">
        <v>1</v>
      </c>
      <c r="K7115" s="3">
        <v>24</v>
      </c>
      <c r="L7115" s="3">
        <v>1</v>
      </c>
      <c r="M7115" s="3">
        <v>0</v>
      </c>
      <c r="N7115" s="3">
        <v>22</v>
      </c>
      <c r="O7115" s="3"/>
      <c r="P7115" s="3"/>
      <c r="Q7115" s="3"/>
    </row>
    <row r="7116" spans="1:17" ht="15" x14ac:dyDescent="0.25">
      <c r="A7116" s="3">
        <f>7109</f>
        <v>7109</v>
      </c>
      <c r="B7116" s="3" t="s">
        <v>7118</v>
      </c>
      <c r="C7116" s="3" t="s">
        <v>10</v>
      </c>
      <c r="D7116" s="3" t="s">
        <v>9</v>
      </c>
      <c r="E7116" s="3">
        <v>23</v>
      </c>
      <c r="F7116" s="3">
        <v>70</v>
      </c>
      <c r="G7116" s="3">
        <v>1</v>
      </c>
      <c r="H7116" s="3">
        <v>5</v>
      </c>
      <c r="I7116" s="3">
        <v>21</v>
      </c>
      <c r="J7116" s="3">
        <v>1</v>
      </c>
      <c r="K7116" s="3">
        <v>24</v>
      </c>
      <c r="L7116" s="3">
        <v>1</v>
      </c>
      <c r="M7116" s="3">
        <v>0</v>
      </c>
      <c r="N7116" s="3">
        <v>22</v>
      </c>
      <c r="O7116" s="3"/>
      <c r="P7116" s="3"/>
      <c r="Q7116" s="3"/>
    </row>
    <row r="7117" spans="1:17" ht="15" x14ac:dyDescent="0.25">
      <c r="A7117" s="3">
        <f>7110</f>
        <v>7110</v>
      </c>
      <c r="B7117" s="3" t="s">
        <v>7119</v>
      </c>
      <c r="C7117" s="3" t="s">
        <v>10</v>
      </c>
      <c r="D7117" s="3" t="s">
        <v>9</v>
      </c>
      <c r="E7117" s="3">
        <v>23</v>
      </c>
      <c r="F7117" s="3">
        <v>70</v>
      </c>
      <c r="G7117" s="3">
        <v>1</v>
      </c>
      <c r="H7117" s="3">
        <v>5</v>
      </c>
      <c r="I7117" s="3">
        <v>21</v>
      </c>
      <c r="J7117" s="3">
        <v>1</v>
      </c>
      <c r="K7117" s="3">
        <v>24</v>
      </c>
      <c r="L7117" s="3">
        <v>1</v>
      </c>
      <c r="M7117" s="3">
        <v>0</v>
      </c>
      <c r="N7117" s="3">
        <v>22</v>
      </c>
      <c r="O7117" s="3"/>
      <c r="P7117" s="3"/>
      <c r="Q7117" s="3"/>
    </row>
    <row r="7118" spans="1:17" ht="15" x14ac:dyDescent="0.25">
      <c r="A7118" s="3">
        <f>7111</f>
        <v>7111</v>
      </c>
      <c r="B7118" s="3" t="s">
        <v>7120</v>
      </c>
      <c r="C7118" s="3" t="s">
        <v>10</v>
      </c>
      <c r="D7118" s="3" t="s">
        <v>9</v>
      </c>
      <c r="E7118" s="3">
        <v>23</v>
      </c>
      <c r="F7118" s="3">
        <v>70</v>
      </c>
      <c r="G7118" s="3">
        <v>1</v>
      </c>
      <c r="H7118" s="3">
        <v>5</v>
      </c>
      <c r="I7118" s="3">
        <v>21</v>
      </c>
      <c r="J7118" s="3">
        <v>1</v>
      </c>
      <c r="K7118" s="3">
        <v>24</v>
      </c>
      <c r="L7118" s="3">
        <v>1</v>
      </c>
      <c r="M7118" s="3">
        <v>0</v>
      </c>
      <c r="N7118" s="3">
        <v>22</v>
      </c>
      <c r="O7118" s="3"/>
      <c r="P7118" s="3"/>
      <c r="Q7118" s="3"/>
    </row>
    <row r="7119" spans="1:17" ht="15" x14ac:dyDescent="0.25">
      <c r="A7119" s="3">
        <f>7112</f>
        <v>7112</v>
      </c>
      <c r="B7119" s="3" t="s">
        <v>7121</v>
      </c>
      <c r="C7119" s="3" t="s">
        <v>10</v>
      </c>
      <c r="D7119" s="3" t="s">
        <v>9</v>
      </c>
      <c r="E7119" s="3">
        <v>23</v>
      </c>
      <c r="F7119" s="3">
        <v>70</v>
      </c>
      <c r="G7119" s="3">
        <v>1</v>
      </c>
      <c r="H7119" s="3">
        <v>5</v>
      </c>
      <c r="I7119" s="3">
        <v>21</v>
      </c>
      <c r="J7119" s="3">
        <v>1</v>
      </c>
      <c r="K7119" s="3">
        <v>24</v>
      </c>
      <c r="L7119" s="3">
        <v>1</v>
      </c>
      <c r="M7119" s="3">
        <v>0</v>
      </c>
      <c r="N7119" s="3">
        <v>22</v>
      </c>
      <c r="O7119" s="3"/>
      <c r="P7119" s="3"/>
      <c r="Q7119" s="3"/>
    </row>
    <row r="7120" spans="1:17" ht="15" x14ac:dyDescent="0.25">
      <c r="A7120" s="3">
        <f>7113</f>
        <v>7113</v>
      </c>
      <c r="B7120" s="3" t="s">
        <v>7122</v>
      </c>
      <c r="C7120" s="3" t="s">
        <v>10</v>
      </c>
      <c r="D7120" s="3" t="s">
        <v>9</v>
      </c>
      <c r="E7120" s="3">
        <v>23</v>
      </c>
      <c r="F7120" s="3">
        <v>70</v>
      </c>
      <c r="G7120" s="3">
        <v>1</v>
      </c>
      <c r="H7120" s="3">
        <v>5</v>
      </c>
      <c r="I7120" s="3">
        <v>21</v>
      </c>
      <c r="J7120" s="3">
        <v>1</v>
      </c>
      <c r="K7120" s="3">
        <v>24</v>
      </c>
      <c r="L7120" s="3">
        <v>1</v>
      </c>
      <c r="M7120" s="3">
        <v>0</v>
      </c>
      <c r="N7120" s="3">
        <v>22</v>
      </c>
      <c r="O7120" s="3"/>
      <c r="P7120" s="3"/>
      <c r="Q7120" s="3"/>
    </row>
    <row r="7121" spans="1:17" ht="15" x14ac:dyDescent="0.25">
      <c r="A7121" s="3">
        <f>7114</f>
        <v>7114</v>
      </c>
      <c r="B7121" s="3" t="s">
        <v>7123</v>
      </c>
      <c r="C7121" s="3" t="s">
        <v>10</v>
      </c>
      <c r="D7121" s="3" t="s">
        <v>9</v>
      </c>
      <c r="E7121" s="3">
        <v>23</v>
      </c>
      <c r="F7121" s="3">
        <v>70</v>
      </c>
      <c r="G7121" s="3">
        <v>1</v>
      </c>
      <c r="H7121" s="3">
        <v>5</v>
      </c>
      <c r="I7121" s="3">
        <v>21</v>
      </c>
      <c r="J7121" s="3">
        <v>1</v>
      </c>
      <c r="K7121" s="3">
        <v>24</v>
      </c>
      <c r="L7121" s="3">
        <v>1</v>
      </c>
      <c r="M7121" s="3">
        <v>0</v>
      </c>
      <c r="N7121" s="3">
        <v>22</v>
      </c>
      <c r="O7121" s="3"/>
      <c r="P7121" s="3"/>
      <c r="Q7121" s="3"/>
    </row>
    <row r="7122" spans="1:17" ht="15" x14ac:dyDescent="0.25">
      <c r="A7122" s="3">
        <f>7115</f>
        <v>7115</v>
      </c>
      <c r="B7122" s="3" t="s">
        <v>7124</v>
      </c>
      <c r="C7122" s="3" t="s">
        <v>10</v>
      </c>
      <c r="D7122" s="3" t="s">
        <v>9</v>
      </c>
      <c r="E7122" s="3">
        <v>23</v>
      </c>
      <c r="F7122" s="3">
        <v>70</v>
      </c>
      <c r="G7122" s="3">
        <v>1</v>
      </c>
      <c r="H7122" s="3">
        <v>5</v>
      </c>
      <c r="I7122" s="3">
        <v>21</v>
      </c>
      <c r="J7122" s="3">
        <v>1</v>
      </c>
      <c r="K7122" s="3">
        <v>24</v>
      </c>
      <c r="L7122" s="3">
        <v>1</v>
      </c>
      <c r="M7122" s="3">
        <v>0</v>
      </c>
      <c r="N7122" s="3">
        <v>22</v>
      </c>
      <c r="O7122" s="3"/>
      <c r="P7122" s="3"/>
      <c r="Q7122" s="3"/>
    </row>
    <row r="7123" spans="1:17" ht="15" x14ac:dyDescent="0.25">
      <c r="A7123" s="3">
        <f>7116</f>
        <v>7116</v>
      </c>
      <c r="B7123" s="3" t="s">
        <v>7125</v>
      </c>
      <c r="C7123" s="3" t="s">
        <v>10</v>
      </c>
      <c r="D7123" s="3" t="s">
        <v>9</v>
      </c>
      <c r="E7123" s="3">
        <v>23</v>
      </c>
      <c r="F7123" s="3">
        <v>70</v>
      </c>
      <c r="G7123" s="3">
        <v>1</v>
      </c>
      <c r="H7123" s="3">
        <v>5</v>
      </c>
      <c r="I7123" s="3">
        <v>21</v>
      </c>
      <c r="J7123" s="3">
        <v>1</v>
      </c>
      <c r="K7123" s="3">
        <v>24</v>
      </c>
      <c r="L7123" s="3">
        <v>1</v>
      </c>
      <c r="M7123" s="3">
        <v>0</v>
      </c>
      <c r="N7123" s="3">
        <v>22</v>
      </c>
      <c r="O7123" s="3"/>
      <c r="P7123" s="3"/>
      <c r="Q7123" s="3"/>
    </row>
    <row r="7124" spans="1:17" ht="15" x14ac:dyDescent="0.25">
      <c r="A7124" s="3">
        <f>7117</f>
        <v>7117</v>
      </c>
      <c r="B7124" s="3" t="s">
        <v>7126</v>
      </c>
      <c r="C7124" s="3" t="s">
        <v>10</v>
      </c>
      <c r="D7124" s="3" t="s">
        <v>9</v>
      </c>
      <c r="E7124" s="3">
        <v>23</v>
      </c>
      <c r="F7124" s="3">
        <v>70</v>
      </c>
      <c r="G7124" s="3">
        <v>1</v>
      </c>
      <c r="H7124" s="3">
        <v>5</v>
      </c>
      <c r="I7124" s="3">
        <v>21</v>
      </c>
      <c r="J7124" s="3">
        <v>1</v>
      </c>
      <c r="K7124" s="3">
        <v>24</v>
      </c>
      <c r="L7124" s="3">
        <v>1</v>
      </c>
      <c r="M7124" s="3">
        <v>0</v>
      </c>
      <c r="N7124" s="3">
        <v>22</v>
      </c>
      <c r="O7124" s="3"/>
      <c r="P7124" s="3"/>
      <c r="Q7124" s="3"/>
    </row>
    <row r="7125" spans="1:17" ht="15" x14ac:dyDescent="0.25">
      <c r="A7125" s="3">
        <f>7118</f>
        <v>7118</v>
      </c>
      <c r="B7125" s="3" t="s">
        <v>7127</v>
      </c>
      <c r="C7125" s="3" t="s">
        <v>10</v>
      </c>
      <c r="D7125" s="3" t="s">
        <v>9</v>
      </c>
      <c r="E7125" s="3">
        <v>23</v>
      </c>
      <c r="F7125" s="3">
        <v>70</v>
      </c>
      <c r="G7125" s="3">
        <v>1</v>
      </c>
      <c r="H7125" s="3">
        <v>5</v>
      </c>
      <c r="I7125" s="3">
        <v>21</v>
      </c>
      <c r="J7125" s="3">
        <v>1</v>
      </c>
      <c r="K7125" s="3">
        <v>24</v>
      </c>
      <c r="L7125" s="3">
        <v>1</v>
      </c>
      <c r="M7125" s="3">
        <v>0</v>
      </c>
      <c r="N7125" s="3">
        <v>22</v>
      </c>
      <c r="O7125" s="3"/>
      <c r="P7125" s="3"/>
      <c r="Q7125" s="3"/>
    </row>
    <row r="7126" spans="1:17" ht="15" x14ac:dyDescent="0.25">
      <c r="A7126" s="3">
        <f>7119</f>
        <v>7119</v>
      </c>
      <c r="B7126" s="3" t="s">
        <v>7128</v>
      </c>
      <c r="C7126" s="3" t="s">
        <v>10</v>
      </c>
      <c r="D7126" s="3" t="s">
        <v>9</v>
      </c>
      <c r="E7126" s="3">
        <v>23</v>
      </c>
      <c r="F7126" s="3">
        <v>70</v>
      </c>
      <c r="G7126" s="3">
        <v>1</v>
      </c>
      <c r="H7126" s="3">
        <v>5</v>
      </c>
      <c r="I7126" s="3">
        <v>21</v>
      </c>
      <c r="J7126" s="3">
        <v>1</v>
      </c>
      <c r="K7126" s="3">
        <v>24</v>
      </c>
      <c r="L7126" s="3">
        <v>1</v>
      </c>
      <c r="M7126" s="3">
        <v>0</v>
      </c>
      <c r="N7126" s="3">
        <v>22</v>
      </c>
      <c r="O7126" s="3"/>
      <c r="P7126" s="3"/>
      <c r="Q7126" s="3"/>
    </row>
    <row r="7127" spans="1:17" ht="15" x14ac:dyDescent="0.25">
      <c r="A7127" s="3">
        <f>7120</f>
        <v>7120</v>
      </c>
      <c r="B7127" s="3" t="s">
        <v>7129</v>
      </c>
      <c r="C7127" s="3" t="s">
        <v>10</v>
      </c>
      <c r="D7127" s="3" t="s">
        <v>9</v>
      </c>
      <c r="E7127" s="3">
        <v>23</v>
      </c>
      <c r="F7127" s="3">
        <v>70</v>
      </c>
      <c r="G7127" s="3">
        <v>1</v>
      </c>
      <c r="H7127" s="3">
        <v>5</v>
      </c>
      <c r="I7127" s="3">
        <v>21</v>
      </c>
      <c r="J7127" s="3">
        <v>1</v>
      </c>
      <c r="K7127" s="3">
        <v>24</v>
      </c>
      <c r="L7127" s="3">
        <v>1</v>
      </c>
      <c r="M7127" s="3">
        <v>0</v>
      </c>
      <c r="N7127" s="3">
        <v>22</v>
      </c>
      <c r="O7127" s="3"/>
      <c r="P7127" s="3"/>
      <c r="Q7127" s="3"/>
    </row>
    <row r="7128" spans="1:17" ht="15" x14ac:dyDescent="0.25">
      <c r="A7128" s="3">
        <f>7121</f>
        <v>7121</v>
      </c>
      <c r="B7128" s="3" t="s">
        <v>7130</v>
      </c>
      <c r="C7128" s="3" t="s">
        <v>10</v>
      </c>
      <c r="D7128" s="3" t="s">
        <v>9</v>
      </c>
      <c r="E7128" s="3">
        <v>23</v>
      </c>
      <c r="F7128" s="3">
        <v>70</v>
      </c>
      <c r="G7128" s="3">
        <v>1</v>
      </c>
      <c r="H7128" s="3">
        <v>5</v>
      </c>
      <c r="I7128" s="3">
        <v>21</v>
      </c>
      <c r="J7128" s="3">
        <v>1</v>
      </c>
      <c r="K7128" s="3">
        <v>24</v>
      </c>
      <c r="L7128" s="3">
        <v>1</v>
      </c>
      <c r="M7128" s="3">
        <v>0</v>
      </c>
      <c r="N7128" s="3">
        <v>22</v>
      </c>
      <c r="O7128" s="3"/>
      <c r="P7128" s="3"/>
      <c r="Q7128" s="3"/>
    </row>
    <row r="7129" spans="1:17" ht="15" x14ac:dyDescent="0.25">
      <c r="A7129" s="3">
        <f>7122</f>
        <v>7122</v>
      </c>
      <c r="B7129" s="3" t="s">
        <v>7131</v>
      </c>
      <c r="C7129" s="3" t="s">
        <v>10</v>
      </c>
      <c r="D7129" s="3" t="s">
        <v>9</v>
      </c>
      <c r="E7129" s="3">
        <v>23</v>
      </c>
      <c r="F7129" s="3">
        <v>70</v>
      </c>
      <c r="G7129" s="3">
        <v>1</v>
      </c>
      <c r="H7129" s="3">
        <v>5</v>
      </c>
      <c r="I7129" s="3">
        <v>21</v>
      </c>
      <c r="J7129" s="3">
        <v>1</v>
      </c>
      <c r="K7129" s="3">
        <v>24</v>
      </c>
      <c r="L7129" s="3">
        <v>1</v>
      </c>
      <c r="M7129" s="3">
        <v>0</v>
      </c>
      <c r="N7129" s="3">
        <v>22</v>
      </c>
      <c r="O7129" s="3"/>
      <c r="P7129" s="3"/>
      <c r="Q7129" s="3"/>
    </row>
    <row r="7130" spans="1:17" ht="15" x14ac:dyDescent="0.25">
      <c r="A7130" s="3">
        <f>7123</f>
        <v>7123</v>
      </c>
      <c r="B7130" s="3" t="s">
        <v>7132</v>
      </c>
      <c r="C7130" s="3" t="s">
        <v>10</v>
      </c>
      <c r="D7130" s="3" t="s">
        <v>9</v>
      </c>
      <c r="E7130" s="3">
        <v>23</v>
      </c>
      <c r="F7130" s="3">
        <v>70</v>
      </c>
      <c r="G7130" s="3">
        <v>1</v>
      </c>
      <c r="H7130" s="3">
        <v>5</v>
      </c>
      <c r="I7130" s="3">
        <v>21</v>
      </c>
      <c r="J7130" s="3">
        <v>1</v>
      </c>
      <c r="K7130" s="3">
        <v>24</v>
      </c>
      <c r="L7130" s="3">
        <v>1</v>
      </c>
      <c r="M7130" s="3">
        <v>0</v>
      </c>
      <c r="N7130" s="3">
        <v>22</v>
      </c>
      <c r="O7130" s="3"/>
      <c r="P7130" s="3"/>
      <c r="Q7130" s="3"/>
    </row>
    <row r="7131" spans="1:17" ht="15" x14ac:dyDescent="0.25">
      <c r="A7131" s="3">
        <f>7124</f>
        <v>7124</v>
      </c>
      <c r="B7131" s="3" t="s">
        <v>7133</v>
      </c>
      <c r="C7131" s="3" t="s">
        <v>10</v>
      </c>
      <c r="D7131" s="3" t="s">
        <v>9</v>
      </c>
      <c r="E7131" s="3">
        <v>23</v>
      </c>
      <c r="F7131" s="3">
        <v>70</v>
      </c>
      <c r="G7131" s="3">
        <v>1</v>
      </c>
      <c r="H7131" s="3">
        <v>5</v>
      </c>
      <c r="I7131" s="3">
        <v>21</v>
      </c>
      <c r="J7131" s="3">
        <v>1</v>
      </c>
      <c r="K7131" s="3">
        <v>24</v>
      </c>
      <c r="L7131" s="3">
        <v>1</v>
      </c>
      <c r="M7131" s="3">
        <v>0</v>
      </c>
      <c r="N7131" s="3">
        <v>22</v>
      </c>
      <c r="O7131" s="3"/>
      <c r="P7131" s="3"/>
      <c r="Q7131" s="3"/>
    </row>
    <row r="7132" spans="1:17" ht="15" x14ac:dyDescent="0.25">
      <c r="A7132" s="3">
        <f>7125</f>
        <v>7125</v>
      </c>
      <c r="B7132" s="3" t="s">
        <v>7134</v>
      </c>
      <c r="C7132" s="3" t="s">
        <v>10</v>
      </c>
      <c r="D7132" s="3" t="s">
        <v>9</v>
      </c>
      <c r="E7132" s="3">
        <v>23</v>
      </c>
      <c r="F7132" s="3">
        <v>70</v>
      </c>
      <c r="G7132" s="3">
        <v>1</v>
      </c>
      <c r="H7132" s="3">
        <v>5</v>
      </c>
      <c r="I7132" s="3">
        <v>21</v>
      </c>
      <c r="J7132" s="3">
        <v>1</v>
      </c>
      <c r="K7132" s="3">
        <v>24</v>
      </c>
      <c r="L7132" s="3">
        <v>1</v>
      </c>
      <c r="M7132" s="3">
        <v>0</v>
      </c>
      <c r="N7132" s="3">
        <v>22</v>
      </c>
      <c r="O7132" s="3"/>
      <c r="P7132" s="3"/>
      <c r="Q7132" s="3"/>
    </row>
    <row r="7133" spans="1:17" ht="15" x14ac:dyDescent="0.25">
      <c r="A7133" s="3">
        <f>7126</f>
        <v>7126</v>
      </c>
      <c r="B7133" s="3" t="s">
        <v>7135</v>
      </c>
      <c r="C7133" s="3" t="s">
        <v>10</v>
      </c>
      <c r="D7133" s="3" t="s">
        <v>9</v>
      </c>
      <c r="E7133" s="3">
        <v>23</v>
      </c>
      <c r="F7133" s="3">
        <v>70</v>
      </c>
      <c r="G7133" s="3">
        <v>1</v>
      </c>
      <c r="H7133" s="3">
        <v>5</v>
      </c>
      <c r="I7133" s="3">
        <v>21</v>
      </c>
      <c r="J7133" s="3">
        <v>1</v>
      </c>
      <c r="K7133" s="3">
        <v>24</v>
      </c>
      <c r="L7133" s="3">
        <v>1</v>
      </c>
      <c r="M7133" s="3">
        <v>0</v>
      </c>
      <c r="N7133" s="3">
        <v>22</v>
      </c>
      <c r="O7133" s="3"/>
      <c r="P7133" s="3"/>
      <c r="Q7133" s="3"/>
    </row>
    <row r="7134" spans="1:17" ht="15" x14ac:dyDescent="0.25">
      <c r="A7134" s="3">
        <f>7127</f>
        <v>7127</v>
      </c>
      <c r="B7134" s="3" t="s">
        <v>7136</v>
      </c>
      <c r="C7134" s="3" t="s">
        <v>10</v>
      </c>
      <c r="D7134" s="3" t="s">
        <v>9</v>
      </c>
      <c r="E7134" s="3">
        <v>23</v>
      </c>
      <c r="F7134" s="3">
        <v>70</v>
      </c>
      <c r="G7134" s="3">
        <v>1</v>
      </c>
      <c r="H7134" s="3">
        <v>5</v>
      </c>
      <c r="I7134" s="3">
        <v>21</v>
      </c>
      <c r="J7134" s="3">
        <v>1</v>
      </c>
      <c r="K7134" s="3">
        <v>24</v>
      </c>
      <c r="L7134" s="3">
        <v>1</v>
      </c>
      <c r="M7134" s="3">
        <v>0</v>
      </c>
      <c r="N7134" s="3">
        <v>22</v>
      </c>
      <c r="O7134" s="3"/>
      <c r="P7134" s="3"/>
      <c r="Q7134" s="3"/>
    </row>
    <row r="7135" spans="1:17" ht="15" x14ac:dyDescent="0.25">
      <c r="A7135" s="3">
        <f>7128</f>
        <v>7128</v>
      </c>
      <c r="B7135" s="3" t="s">
        <v>7137</v>
      </c>
      <c r="C7135" s="3" t="s">
        <v>10</v>
      </c>
      <c r="D7135" s="3" t="s">
        <v>9</v>
      </c>
      <c r="E7135" s="3">
        <v>23</v>
      </c>
      <c r="F7135" s="3">
        <v>70</v>
      </c>
      <c r="G7135" s="3">
        <v>1</v>
      </c>
      <c r="H7135" s="3">
        <v>5</v>
      </c>
      <c r="I7135" s="3">
        <v>21</v>
      </c>
      <c r="J7135" s="3">
        <v>1</v>
      </c>
      <c r="K7135" s="3">
        <v>24</v>
      </c>
      <c r="L7135" s="3">
        <v>1</v>
      </c>
      <c r="M7135" s="3">
        <v>0</v>
      </c>
      <c r="N7135" s="3">
        <v>22</v>
      </c>
      <c r="O7135" s="3"/>
      <c r="P7135" s="3"/>
      <c r="Q7135" s="3"/>
    </row>
    <row r="7136" spans="1:17" ht="15" x14ac:dyDescent="0.25">
      <c r="A7136" s="3">
        <f>7129</f>
        <v>7129</v>
      </c>
      <c r="B7136" s="3" t="s">
        <v>7138</v>
      </c>
      <c r="C7136" s="3" t="s">
        <v>10</v>
      </c>
      <c r="D7136" s="3" t="s">
        <v>9</v>
      </c>
      <c r="E7136" s="3">
        <v>23</v>
      </c>
      <c r="F7136" s="3">
        <v>70</v>
      </c>
      <c r="G7136" s="3">
        <v>1</v>
      </c>
      <c r="H7136" s="3">
        <v>5</v>
      </c>
      <c r="I7136" s="3">
        <v>21</v>
      </c>
      <c r="J7136" s="3">
        <v>1</v>
      </c>
      <c r="K7136" s="3">
        <v>24</v>
      </c>
      <c r="L7136" s="3">
        <v>1</v>
      </c>
      <c r="M7136" s="3">
        <v>0</v>
      </c>
      <c r="N7136" s="3">
        <v>22</v>
      </c>
      <c r="O7136" s="3"/>
      <c r="P7136" s="3"/>
      <c r="Q7136" s="3"/>
    </row>
    <row r="7137" spans="1:17" ht="15" x14ac:dyDescent="0.25">
      <c r="A7137" s="3">
        <f>7130</f>
        <v>7130</v>
      </c>
      <c r="B7137" s="3" t="s">
        <v>7139</v>
      </c>
      <c r="C7137" s="3" t="s">
        <v>10</v>
      </c>
      <c r="D7137" s="3" t="s">
        <v>9</v>
      </c>
      <c r="E7137" s="3">
        <v>23</v>
      </c>
      <c r="F7137" s="3">
        <v>70</v>
      </c>
      <c r="G7137" s="3">
        <v>1</v>
      </c>
      <c r="H7137" s="3">
        <v>5</v>
      </c>
      <c r="I7137" s="3">
        <v>21</v>
      </c>
      <c r="J7137" s="3">
        <v>1</v>
      </c>
      <c r="K7137" s="3">
        <v>24</v>
      </c>
      <c r="L7137" s="3">
        <v>1</v>
      </c>
      <c r="M7137" s="3">
        <v>0</v>
      </c>
      <c r="N7137" s="3">
        <v>22</v>
      </c>
      <c r="O7137" s="3"/>
      <c r="P7137" s="3"/>
      <c r="Q7137" s="3"/>
    </row>
    <row r="7138" spans="1:17" ht="15" x14ac:dyDescent="0.25">
      <c r="A7138" s="3">
        <f>7131</f>
        <v>7131</v>
      </c>
      <c r="B7138" s="3" t="s">
        <v>7140</v>
      </c>
      <c r="C7138" s="3" t="s">
        <v>10</v>
      </c>
      <c r="D7138" s="3" t="s">
        <v>9</v>
      </c>
      <c r="E7138" s="3">
        <v>23</v>
      </c>
      <c r="F7138" s="3">
        <v>70</v>
      </c>
      <c r="G7138" s="3">
        <v>1</v>
      </c>
      <c r="H7138" s="3">
        <v>5</v>
      </c>
      <c r="I7138" s="3">
        <v>21</v>
      </c>
      <c r="J7138" s="3">
        <v>1</v>
      </c>
      <c r="K7138" s="3">
        <v>24</v>
      </c>
      <c r="L7138" s="3">
        <v>1</v>
      </c>
      <c r="M7138" s="3">
        <v>0</v>
      </c>
      <c r="N7138" s="3">
        <v>22</v>
      </c>
      <c r="O7138" s="3"/>
      <c r="P7138" s="3"/>
      <c r="Q7138" s="3"/>
    </row>
    <row r="7139" spans="1:17" ht="15" x14ac:dyDescent="0.25">
      <c r="A7139" s="3">
        <f>7132</f>
        <v>7132</v>
      </c>
      <c r="B7139" s="3" t="s">
        <v>7141</v>
      </c>
      <c r="C7139" s="3" t="s">
        <v>10</v>
      </c>
      <c r="D7139" s="3" t="s">
        <v>9</v>
      </c>
      <c r="E7139" s="3">
        <v>23</v>
      </c>
      <c r="F7139" s="3">
        <v>70</v>
      </c>
      <c r="G7139" s="3">
        <v>1</v>
      </c>
      <c r="H7139" s="3">
        <v>5</v>
      </c>
      <c r="I7139" s="3">
        <v>21</v>
      </c>
      <c r="J7139" s="3">
        <v>1</v>
      </c>
      <c r="K7139" s="3">
        <v>24</v>
      </c>
      <c r="L7139" s="3">
        <v>1</v>
      </c>
      <c r="M7139" s="3">
        <v>0</v>
      </c>
      <c r="N7139" s="3">
        <v>22</v>
      </c>
      <c r="O7139" s="3"/>
      <c r="P7139" s="3"/>
      <c r="Q7139" s="3"/>
    </row>
    <row r="7140" spans="1:17" ht="15" x14ac:dyDescent="0.25">
      <c r="A7140" s="3">
        <f>7133</f>
        <v>7133</v>
      </c>
      <c r="B7140" s="3" t="s">
        <v>7142</v>
      </c>
      <c r="C7140" s="3" t="s">
        <v>10</v>
      </c>
      <c r="D7140" s="3" t="s">
        <v>9</v>
      </c>
      <c r="E7140" s="3">
        <v>23</v>
      </c>
      <c r="F7140" s="3">
        <v>70</v>
      </c>
      <c r="G7140" s="3">
        <v>1</v>
      </c>
      <c r="H7140" s="3">
        <v>5</v>
      </c>
      <c r="I7140" s="3">
        <v>21</v>
      </c>
      <c r="J7140" s="3">
        <v>1</v>
      </c>
      <c r="K7140" s="3">
        <v>24</v>
      </c>
      <c r="L7140" s="3">
        <v>1</v>
      </c>
      <c r="M7140" s="3">
        <v>0</v>
      </c>
      <c r="N7140" s="3">
        <v>22</v>
      </c>
      <c r="O7140" s="3"/>
      <c r="P7140" s="3"/>
      <c r="Q7140" s="3"/>
    </row>
    <row r="7141" spans="1:17" ht="15" x14ac:dyDescent="0.25">
      <c r="A7141" s="3">
        <f>7134</f>
        <v>7134</v>
      </c>
      <c r="B7141" s="3" t="s">
        <v>7143</v>
      </c>
      <c r="C7141" s="3" t="s">
        <v>10</v>
      </c>
      <c r="D7141" s="3" t="s">
        <v>9</v>
      </c>
      <c r="E7141" s="3">
        <v>23</v>
      </c>
      <c r="F7141" s="3">
        <v>70</v>
      </c>
      <c r="G7141" s="3">
        <v>1</v>
      </c>
      <c r="H7141" s="3">
        <v>5</v>
      </c>
      <c r="I7141" s="3">
        <v>21</v>
      </c>
      <c r="J7141" s="3">
        <v>1</v>
      </c>
      <c r="K7141" s="3">
        <v>24</v>
      </c>
      <c r="L7141" s="3">
        <v>1</v>
      </c>
      <c r="M7141" s="3">
        <v>0</v>
      </c>
      <c r="N7141" s="3">
        <v>22</v>
      </c>
      <c r="O7141" s="3"/>
      <c r="P7141" s="3"/>
      <c r="Q7141" s="3"/>
    </row>
    <row r="7142" spans="1:17" ht="15" x14ac:dyDescent="0.25">
      <c r="A7142" s="3">
        <f>7135</f>
        <v>7135</v>
      </c>
      <c r="B7142" s="3" t="s">
        <v>7144</v>
      </c>
      <c r="C7142" s="3" t="s">
        <v>10</v>
      </c>
      <c r="D7142" s="3" t="s">
        <v>9</v>
      </c>
      <c r="E7142" s="3">
        <v>23</v>
      </c>
      <c r="F7142" s="3">
        <v>70</v>
      </c>
      <c r="G7142" s="3">
        <v>1</v>
      </c>
      <c r="H7142" s="3">
        <v>5</v>
      </c>
      <c r="I7142" s="3">
        <v>21</v>
      </c>
      <c r="J7142" s="3">
        <v>1</v>
      </c>
      <c r="K7142" s="3">
        <v>24</v>
      </c>
      <c r="L7142" s="3">
        <v>1</v>
      </c>
      <c r="M7142" s="3">
        <v>0</v>
      </c>
      <c r="N7142" s="3">
        <v>22</v>
      </c>
      <c r="O7142" s="3"/>
      <c r="P7142" s="3"/>
      <c r="Q7142" s="3"/>
    </row>
    <row r="7143" spans="1:17" ht="15" x14ac:dyDescent="0.25">
      <c r="A7143" s="3">
        <f>7136</f>
        <v>7136</v>
      </c>
      <c r="B7143" s="3" t="s">
        <v>7145</v>
      </c>
      <c r="C7143" s="3" t="s">
        <v>10</v>
      </c>
      <c r="D7143" s="3" t="s">
        <v>9</v>
      </c>
      <c r="E7143" s="3">
        <v>23</v>
      </c>
      <c r="F7143" s="3">
        <v>70</v>
      </c>
      <c r="G7143" s="3">
        <v>1</v>
      </c>
      <c r="H7143" s="3">
        <v>5</v>
      </c>
      <c r="I7143" s="3">
        <v>21</v>
      </c>
      <c r="J7143" s="3">
        <v>1</v>
      </c>
      <c r="K7143" s="3">
        <v>24</v>
      </c>
      <c r="L7143" s="3">
        <v>1</v>
      </c>
      <c r="M7143" s="3">
        <v>0</v>
      </c>
      <c r="N7143" s="3">
        <v>22</v>
      </c>
      <c r="O7143" s="3"/>
      <c r="P7143" s="3"/>
      <c r="Q7143" s="3"/>
    </row>
    <row r="7144" spans="1:17" ht="15" x14ac:dyDescent="0.25">
      <c r="A7144" s="3">
        <f>7137</f>
        <v>7137</v>
      </c>
      <c r="B7144" s="3" t="s">
        <v>7146</v>
      </c>
      <c r="C7144" s="3" t="s">
        <v>10</v>
      </c>
      <c r="D7144" s="3" t="s">
        <v>9</v>
      </c>
      <c r="E7144" s="3">
        <v>23</v>
      </c>
      <c r="F7144" s="3">
        <v>70</v>
      </c>
      <c r="G7144" s="3">
        <v>1</v>
      </c>
      <c r="H7144" s="3">
        <v>5</v>
      </c>
      <c r="I7144" s="3">
        <v>21</v>
      </c>
      <c r="J7144" s="3">
        <v>1</v>
      </c>
      <c r="K7144" s="3">
        <v>24</v>
      </c>
      <c r="L7144" s="3">
        <v>1</v>
      </c>
      <c r="M7144" s="3">
        <v>0</v>
      </c>
      <c r="N7144" s="3">
        <v>22</v>
      </c>
      <c r="O7144" s="3"/>
      <c r="P7144" s="3"/>
      <c r="Q7144" s="3"/>
    </row>
    <row r="7145" spans="1:17" ht="15" x14ac:dyDescent="0.25">
      <c r="A7145" s="3">
        <f>7138</f>
        <v>7138</v>
      </c>
      <c r="B7145" s="3" t="s">
        <v>7147</v>
      </c>
      <c r="C7145" s="3" t="s">
        <v>10</v>
      </c>
      <c r="D7145" s="3" t="s">
        <v>9</v>
      </c>
      <c r="E7145" s="3">
        <v>23</v>
      </c>
      <c r="F7145" s="3">
        <v>70</v>
      </c>
      <c r="G7145" s="3">
        <v>1</v>
      </c>
      <c r="H7145" s="3">
        <v>5</v>
      </c>
      <c r="I7145" s="3">
        <v>21</v>
      </c>
      <c r="J7145" s="3">
        <v>1</v>
      </c>
      <c r="K7145" s="3">
        <v>24</v>
      </c>
      <c r="L7145" s="3">
        <v>1</v>
      </c>
      <c r="M7145" s="3">
        <v>0</v>
      </c>
      <c r="N7145" s="3">
        <v>22</v>
      </c>
      <c r="O7145" s="3"/>
      <c r="P7145" s="3"/>
      <c r="Q7145" s="3"/>
    </row>
    <row r="7146" spans="1:17" ht="15" x14ac:dyDescent="0.25">
      <c r="A7146" s="3">
        <f>7139</f>
        <v>7139</v>
      </c>
      <c r="B7146" s="3" t="s">
        <v>7148</v>
      </c>
      <c r="C7146" s="3" t="s">
        <v>10</v>
      </c>
      <c r="D7146" s="3" t="s">
        <v>9</v>
      </c>
      <c r="E7146" s="3">
        <v>23</v>
      </c>
      <c r="F7146" s="3">
        <v>70</v>
      </c>
      <c r="G7146" s="3">
        <v>1</v>
      </c>
      <c r="H7146" s="3">
        <v>5</v>
      </c>
      <c r="I7146" s="3">
        <v>21</v>
      </c>
      <c r="J7146" s="3">
        <v>1</v>
      </c>
      <c r="K7146" s="3">
        <v>24</v>
      </c>
      <c r="L7146" s="3">
        <v>1</v>
      </c>
      <c r="M7146" s="3">
        <v>0</v>
      </c>
      <c r="N7146" s="3">
        <v>22</v>
      </c>
      <c r="O7146" s="3"/>
      <c r="P7146" s="3"/>
      <c r="Q7146" s="3"/>
    </row>
    <row r="7147" spans="1:17" ht="15" x14ac:dyDescent="0.25">
      <c r="A7147" s="3">
        <f>7140</f>
        <v>7140</v>
      </c>
      <c r="B7147" s="3" t="s">
        <v>7149</v>
      </c>
      <c r="C7147" s="3" t="s">
        <v>10</v>
      </c>
      <c r="D7147" s="3" t="s">
        <v>9</v>
      </c>
      <c r="E7147" s="3">
        <v>23</v>
      </c>
      <c r="F7147" s="3">
        <v>70</v>
      </c>
      <c r="G7147" s="3">
        <v>1</v>
      </c>
      <c r="H7147" s="3">
        <v>5</v>
      </c>
      <c r="I7147" s="3">
        <v>21</v>
      </c>
      <c r="J7147" s="3">
        <v>1</v>
      </c>
      <c r="K7147" s="3">
        <v>24</v>
      </c>
      <c r="L7147" s="3">
        <v>1</v>
      </c>
      <c r="M7147" s="3">
        <v>0</v>
      </c>
      <c r="N7147" s="3">
        <v>22</v>
      </c>
      <c r="O7147" s="3"/>
      <c r="P7147" s="3"/>
      <c r="Q7147" s="3"/>
    </row>
    <row r="7148" spans="1:17" ht="15" x14ac:dyDescent="0.25">
      <c r="A7148" s="3">
        <f>7141</f>
        <v>7141</v>
      </c>
      <c r="B7148" s="3" t="s">
        <v>7150</v>
      </c>
      <c r="C7148" s="3" t="s">
        <v>10</v>
      </c>
      <c r="D7148" s="3" t="s">
        <v>9</v>
      </c>
      <c r="E7148" s="3">
        <v>23</v>
      </c>
      <c r="F7148" s="3">
        <v>70</v>
      </c>
      <c r="G7148" s="3">
        <v>1</v>
      </c>
      <c r="H7148" s="3">
        <v>5</v>
      </c>
      <c r="I7148" s="3">
        <v>21</v>
      </c>
      <c r="J7148" s="3">
        <v>1</v>
      </c>
      <c r="K7148" s="3">
        <v>24</v>
      </c>
      <c r="L7148" s="3">
        <v>1</v>
      </c>
      <c r="M7148" s="3">
        <v>0</v>
      </c>
      <c r="N7148" s="3">
        <v>22</v>
      </c>
      <c r="O7148" s="3"/>
      <c r="P7148" s="3"/>
      <c r="Q7148" s="3"/>
    </row>
    <row r="7149" spans="1:17" ht="15" x14ac:dyDescent="0.25">
      <c r="A7149" s="3">
        <f>7142</f>
        <v>7142</v>
      </c>
      <c r="B7149" s="3" t="s">
        <v>7151</v>
      </c>
      <c r="C7149" s="3" t="s">
        <v>10</v>
      </c>
      <c r="D7149" s="3" t="s">
        <v>9</v>
      </c>
      <c r="E7149" s="3">
        <v>23</v>
      </c>
      <c r="F7149" s="3">
        <v>70</v>
      </c>
      <c r="G7149" s="3">
        <v>1</v>
      </c>
      <c r="H7149" s="3">
        <v>5</v>
      </c>
      <c r="I7149" s="3">
        <v>21</v>
      </c>
      <c r="J7149" s="3">
        <v>1</v>
      </c>
      <c r="K7149" s="3">
        <v>24</v>
      </c>
      <c r="L7149" s="3">
        <v>1</v>
      </c>
      <c r="M7149" s="3">
        <v>0</v>
      </c>
      <c r="N7149" s="3">
        <v>22</v>
      </c>
      <c r="O7149" s="3"/>
      <c r="P7149" s="3"/>
      <c r="Q7149" s="3"/>
    </row>
    <row r="7150" spans="1:17" ht="15" x14ac:dyDescent="0.25">
      <c r="A7150" s="3">
        <f>7143</f>
        <v>7143</v>
      </c>
      <c r="B7150" s="3" t="s">
        <v>7152</v>
      </c>
      <c r="C7150" s="3" t="s">
        <v>10</v>
      </c>
      <c r="D7150" s="3" t="s">
        <v>9</v>
      </c>
      <c r="E7150" s="3">
        <v>23</v>
      </c>
      <c r="F7150" s="3">
        <v>70</v>
      </c>
      <c r="G7150" s="3">
        <v>1</v>
      </c>
      <c r="H7150" s="3">
        <v>5</v>
      </c>
      <c r="I7150" s="3">
        <v>21</v>
      </c>
      <c r="J7150" s="3">
        <v>1</v>
      </c>
      <c r="K7150" s="3">
        <v>24</v>
      </c>
      <c r="L7150" s="3">
        <v>1</v>
      </c>
      <c r="M7150" s="3">
        <v>0</v>
      </c>
      <c r="N7150" s="3">
        <v>22</v>
      </c>
      <c r="O7150" s="3"/>
      <c r="P7150" s="3"/>
      <c r="Q7150" s="3"/>
    </row>
    <row r="7151" spans="1:17" ht="15" x14ac:dyDescent="0.25">
      <c r="A7151" s="3">
        <f>7144</f>
        <v>7144</v>
      </c>
      <c r="B7151" s="3" t="s">
        <v>7153</v>
      </c>
      <c r="C7151" s="3" t="s">
        <v>10</v>
      </c>
      <c r="D7151" s="3" t="s">
        <v>9</v>
      </c>
      <c r="E7151" s="3">
        <v>23</v>
      </c>
      <c r="F7151" s="3">
        <v>70</v>
      </c>
      <c r="G7151" s="3">
        <v>1</v>
      </c>
      <c r="H7151" s="3">
        <v>5</v>
      </c>
      <c r="I7151" s="3">
        <v>21</v>
      </c>
      <c r="J7151" s="3">
        <v>1</v>
      </c>
      <c r="K7151" s="3">
        <v>24</v>
      </c>
      <c r="L7151" s="3">
        <v>1</v>
      </c>
      <c r="M7151" s="3">
        <v>0</v>
      </c>
      <c r="N7151" s="3">
        <v>22</v>
      </c>
      <c r="O7151" s="3"/>
      <c r="P7151" s="3"/>
      <c r="Q7151" s="3"/>
    </row>
    <row r="7152" spans="1:17" ht="15" x14ac:dyDescent="0.25">
      <c r="A7152" s="3">
        <f>7145</f>
        <v>7145</v>
      </c>
      <c r="B7152" s="3" t="s">
        <v>7154</v>
      </c>
      <c r="C7152" s="3" t="s">
        <v>10</v>
      </c>
      <c r="D7152" s="3" t="s">
        <v>9</v>
      </c>
      <c r="E7152" s="3">
        <v>23</v>
      </c>
      <c r="F7152" s="3">
        <v>70</v>
      </c>
      <c r="G7152" s="3">
        <v>1</v>
      </c>
      <c r="H7152" s="3">
        <v>5</v>
      </c>
      <c r="I7152" s="3">
        <v>21</v>
      </c>
      <c r="J7152" s="3">
        <v>1</v>
      </c>
      <c r="K7152" s="3">
        <v>24</v>
      </c>
      <c r="L7152" s="3">
        <v>1</v>
      </c>
      <c r="M7152" s="3">
        <v>0</v>
      </c>
      <c r="N7152" s="3">
        <v>22</v>
      </c>
      <c r="O7152" s="3"/>
      <c r="P7152" s="3"/>
      <c r="Q7152" s="3"/>
    </row>
    <row r="7153" spans="1:17" ht="15" x14ac:dyDescent="0.25">
      <c r="A7153" s="3">
        <f>7146</f>
        <v>7146</v>
      </c>
      <c r="B7153" s="3" t="s">
        <v>7155</v>
      </c>
      <c r="C7153" s="3" t="s">
        <v>10</v>
      </c>
      <c r="D7153" s="3" t="s">
        <v>9</v>
      </c>
      <c r="E7153" s="3">
        <v>23</v>
      </c>
      <c r="F7153" s="3">
        <v>70</v>
      </c>
      <c r="G7153" s="3">
        <v>1</v>
      </c>
      <c r="H7153" s="3">
        <v>5</v>
      </c>
      <c r="I7153" s="3">
        <v>21</v>
      </c>
      <c r="J7153" s="3">
        <v>1</v>
      </c>
      <c r="K7153" s="3">
        <v>24</v>
      </c>
      <c r="L7153" s="3">
        <v>1</v>
      </c>
      <c r="M7153" s="3">
        <v>0</v>
      </c>
      <c r="N7153" s="3">
        <v>22</v>
      </c>
      <c r="O7153" s="3"/>
      <c r="P7153" s="3"/>
      <c r="Q7153" s="3"/>
    </row>
    <row r="7154" spans="1:17" ht="15" x14ac:dyDescent="0.25">
      <c r="A7154" s="3">
        <f>7147</f>
        <v>7147</v>
      </c>
      <c r="B7154" s="3" t="s">
        <v>7156</v>
      </c>
      <c r="C7154" s="3" t="s">
        <v>10</v>
      </c>
      <c r="D7154" s="3" t="s">
        <v>9</v>
      </c>
      <c r="E7154" s="3">
        <v>23</v>
      </c>
      <c r="F7154" s="3">
        <v>70</v>
      </c>
      <c r="G7154" s="3">
        <v>1</v>
      </c>
      <c r="H7154" s="3">
        <v>5</v>
      </c>
      <c r="I7154" s="3">
        <v>21</v>
      </c>
      <c r="J7154" s="3">
        <v>1</v>
      </c>
      <c r="K7154" s="3">
        <v>24</v>
      </c>
      <c r="L7154" s="3">
        <v>1</v>
      </c>
      <c r="M7154" s="3">
        <v>0</v>
      </c>
      <c r="N7154" s="3">
        <v>22</v>
      </c>
      <c r="O7154" s="3"/>
      <c r="P7154" s="3"/>
      <c r="Q7154" s="3"/>
    </row>
    <row r="7155" spans="1:17" ht="15" x14ac:dyDescent="0.25">
      <c r="A7155" s="3">
        <f>7148</f>
        <v>7148</v>
      </c>
      <c r="B7155" s="3" t="s">
        <v>7157</v>
      </c>
      <c r="C7155" s="3" t="s">
        <v>10</v>
      </c>
      <c r="D7155" s="3" t="s">
        <v>9</v>
      </c>
      <c r="E7155" s="3">
        <v>23</v>
      </c>
      <c r="F7155" s="3">
        <v>70</v>
      </c>
      <c r="G7155" s="3">
        <v>1</v>
      </c>
      <c r="H7155" s="3">
        <v>5</v>
      </c>
      <c r="I7155" s="3">
        <v>21</v>
      </c>
      <c r="J7155" s="3">
        <v>1</v>
      </c>
      <c r="K7155" s="3">
        <v>24</v>
      </c>
      <c r="L7155" s="3">
        <v>1</v>
      </c>
      <c r="M7155" s="3">
        <v>0</v>
      </c>
      <c r="N7155" s="3">
        <v>22</v>
      </c>
      <c r="O7155" s="3"/>
      <c r="P7155" s="3"/>
      <c r="Q7155" s="3"/>
    </row>
    <row r="7156" spans="1:17" ht="15" x14ac:dyDescent="0.25">
      <c r="A7156" s="3">
        <f>7149</f>
        <v>7149</v>
      </c>
      <c r="B7156" s="3" t="s">
        <v>7158</v>
      </c>
      <c r="C7156" s="3" t="s">
        <v>10</v>
      </c>
      <c r="D7156" s="3" t="s">
        <v>9</v>
      </c>
      <c r="E7156" s="3">
        <v>23</v>
      </c>
      <c r="F7156" s="3">
        <v>70</v>
      </c>
      <c r="G7156" s="3">
        <v>1</v>
      </c>
      <c r="H7156" s="3">
        <v>5</v>
      </c>
      <c r="I7156" s="3">
        <v>21</v>
      </c>
      <c r="J7156" s="3">
        <v>1</v>
      </c>
      <c r="K7156" s="3">
        <v>24</v>
      </c>
      <c r="L7156" s="3">
        <v>1</v>
      </c>
      <c r="M7156" s="3">
        <v>0</v>
      </c>
      <c r="N7156" s="3">
        <v>22</v>
      </c>
      <c r="O7156" s="3"/>
      <c r="P7156" s="3"/>
      <c r="Q7156" s="3"/>
    </row>
    <row r="7157" spans="1:17" ht="15" x14ac:dyDescent="0.25">
      <c r="A7157" s="3">
        <f>7150</f>
        <v>7150</v>
      </c>
      <c r="B7157" s="3" t="s">
        <v>7159</v>
      </c>
      <c r="C7157" s="3" t="s">
        <v>10</v>
      </c>
      <c r="D7157" s="3" t="s">
        <v>9</v>
      </c>
      <c r="E7157" s="3">
        <v>23</v>
      </c>
      <c r="F7157" s="3">
        <v>70</v>
      </c>
      <c r="G7157" s="3">
        <v>1</v>
      </c>
      <c r="H7157" s="3">
        <v>5</v>
      </c>
      <c r="I7157" s="3">
        <v>21</v>
      </c>
      <c r="J7157" s="3">
        <v>1</v>
      </c>
      <c r="K7157" s="3">
        <v>24</v>
      </c>
      <c r="L7157" s="3">
        <v>1</v>
      </c>
      <c r="M7157" s="3">
        <v>0</v>
      </c>
      <c r="N7157" s="3">
        <v>22</v>
      </c>
      <c r="O7157" s="3"/>
      <c r="P7157" s="3"/>
      <c r="Q7157" s="3"/>
    </row>
    <row r="7158" spans="1:17" ht="15" x14ac:dyDescent="0.25">
      <c r="A7158" s="3">
        <f>7151</f>
        <v>7151</v>
      </c>
      <c r="B7158" s="3" t="s">
        <v>7160</v>
      </c>
      <c r="C7158" s="3" t="s">
        <v>10</v>
      </c>
      <c r="D7158" s="3" t="s">
        <v>9</v>
      </c>
      <c r="E7158" s="3">
        <v>23</v>
      </c>
      <c r="F7158" s="3">
        <v>70</v>
      </c>
      <c r="G7158" s="3">
        <v>1</v>
      </c>
      <c r="H7158" s="3">
        <v>5</v>
      </c>
      <c r="I7158" s="3">
        <v>21</v>
      </c>
      <c r="J7158" s="3">
        <v>1</v>
      </c>
      <c r="K7158" s="3">
        <v>24</v>
      </c>
      <c r="L7158" s="3">
        <v>1</v>
      </c>
      <c r="M7158" s="3">
        <v>0</v>
      </c>
      <c r="N7158" s="3">
        <v>22</v>
      </c>
      <c r="O7158" s="3"/>
      <c r="P7158" s="3"/>
      <c r="Q7158" s="3"/>
    </row>
    <row r="7159" spans="1:17" ht="15" x14ac:dyDescent="0.25">
      <c r="A7159" s="3">
        <f>7152</f>
        <v>7152</v>
      </c>
      <c r="B7159" s="3" t="s">
        <v>7161</v>
      </c>
      <c r="C7159" s="3" t="s">
        <v>10</v>
      </c>
      <c r="D7159" s="3" t="s">
        <v>9</v>
      </c>
      <c r="E7159" s="3">
        <v>23</v>
      </c>
      <c r="F7159" s="3">
        <v>70</v>
      </c>
      <c r="G7159" s="3">
        <v>1</v>
      </c>
      <c r="H7159" s="3">
        <v>5</v>
      </c>
      <c r="I7159" s="3">
        <v>21</v>
      </c>
      <c r="J7159" s="3">
        <v>1</v>
      </c>
      <c r="K7159" s="3">
        <v>24</v>
      </c>
      <c r="L7159" s="3">
        <v>1</v>
      </c>
      <c r="M7159" s="3">
        <v>0</v>
      </c>
      <c r="N7159" s="3">
        <v>22</v>
      </c>
      <c r="O7159" s="3"/>
      <c r="P7159" s="3"/>
      <c r="Q7159" s="3"/>
    </row>
    <row r="7160" spans="1:17" ht="15" x14ac:dyDescent="0.25">
      <c r="A7160" s="3">
        <f>7153</f>
        <v>7153</v>
      </c>
      <c r="B7160" s="3" t="s">
        <v>7162</v>
      </c>
      <c r="C7160" s="3" t="s">
        <v>10</v>
      </c>
      <c r="D7160" s="3" t="s">
        <v>9</v>
      </c>
      <c r="E7160" s="3">
        <v>23</v>
      </c>
      <c r="F7160" s="3">
        <v>70</v>
      </c>
      <c r="G7160" s="3">
        <v>1</v>
      </c>
      <c r="H7160" s="3">
        <v>5</v>
      </c>
      <c r="I7160" s="3">
        <v>21</v>
      </c>
      <c r="J7160" s="3">
        <v>1</v>
      </c>
      <c r="K7160" s="3">
        <v>24</v>
      </c>
      <c r="L7160" s="3">
        <v>1</v>
      </c>
      <c r="M7160" s="3">
        <v>0</v>
      </c>
      <c r="N7160" s="3">
        <v>22</v>
      </c>
      <c r="O7160" s="3"/>
      <c r="P7160" s="3"/>
      <c r="Q7160" s="3"/>
    </row>
    <row r="7161" spans="1:17" ht="15" x14ac:dyDescent="0.25">
      <c r="A7161" s="3">
        <f>7154</f>
        <v>7154</v>
      </c>
      <c r="B7161" s="3" t="s">
        <v>7163</v>
      </c>
      <c r="C7161" s="3" t="s">
        <v>10</v>
      </c>
      <c r="D7161" s="3" t="s">
        <v>9</v>
      </c>
      <c r="E7161" s="3">
        <v>23</v>
      </c>
      <c r="F7161" s="3">
        <v>70</v>
      </c>
      <c r="G7161" s="3">
        <v>1</v>
      </c>
      <c r="H7161" s="3">
        <v>5</v>
      </c>
      <c r="I7161" s="3">
        <v>21</v>
      </c>
      <c r="J7161" s="3">
        <v>1</v>
      </c>
      <c r="K7161" s="3">
        <v>24</v>
      </c>
      <c r="L7161" s="3">
        <v>1</v>
      </c>
      <c r="M7161" s="3">
        <v>0</v>
      </c>
      <c r="N7161" s="3">
        <v>22</v>
      </c>
      <c r="O7161" s="3"/>
      <c r="P7161" s="3"/>
      <c r="Q7161" s="3"/>
    </row>
    <row r="7162" spans="1:17" ht="15" x14ac:dyDescent="0.25">
      <c r="A7162" s="3">
        <f>7155</f>
        <v>7155</v>
      </c>
      <c r="B7162" s="3" t="s">
        <v>7164</v>
      </c>
      <c r="C7162" s="3" t="s">
        <v>10</v>
      </c>
      <c r="D7162" s="3" t="s">
        <v>9</v>
      </c>
      <c r="E7162" s="3">
        <v>23</v>
      </c>
      <c r="F7162" s="3">
        <v>70</v>
      </c>
      <c r="G7162" s="3">
        <v>1</v>
      </c>
      <c r="H7162" s="3">
        <v>5</v>
      </c>
      <c r="I7162" s="3">
        <v>21</v>
      </c>
      <c r="J7162" s="3">
        <v>1</v>
      </c>
      <c r="K7162" s="3">
        <v>24</v>
      </c>
      <c r="L7162" s="3">
        <v>1</v>
      </c>
      <c r="M7162" s="3">
        <v>0</v>
      </c>
      <c r="N7162" s="3">
        <v>22</v>
      </c>
      <c r="O7162" s="3"/>
      <c r="P7162" s="3"/>
      <c r="Q7162" s="3"/>
    </row>
    <row r="7163" spans="1:17" ht="15" x14ac:dyDescent="0.25">
      <c r="A7163" s="3">
        <f>7156</f>
        <v>7156</v>
      </c>
      <c r="B7163" s="3" t="s">
        <v>7165</v>
      </c>
      <c r="C7163" s="3" t="s">
        <v>10</v>
      </c>
      <c r="D7163" s="3" t="s">
        <v>9</v>
      </c>
      <c r="E7163" s="3">
        <v>23</v>
      </c>
      <c r="F7163" s="3">
        <v>70</v>
      </c>
      <c r="G7163" s="3">
        <v>1</v>
      </c>
      <c r="H7163" s="3">
        <v>5</v>
      </c>
      <c r="I7163" s="3">
        <v>21</v>
      </c>
      <c r="J7163" s="3">
        <v>1</v>
      </c>
      <c r="K7163" s="3">
        <v>24</v>
      </c>
      <c r="L7163" s="3">
        <v>1</v>
      </c>
      <c r="M7163" s="3">
        <v>0</v>
      </c>
      <c r="N7163" s="3">
        <v>22</v>
      </c>
      <c r="O7163" s="3"/>
      <c r="P7163" s="3"/>
      <c r="Q7163" s="3"/>
    </row>
    <row r="7164" spans="1:17" ht="15" x14ac:dyDescent="0.25">
      <c r="A7164" s="3">
        <f>7157</f>
        <v>7157</v>
      </c>
      <c r="B7164" s="3" t="s">
        <v>7166</v>
      </c>
      <c r="C7164" s="3" t="s">
        <v>10</v>
      </c>
      <c r="D7164" s="3" t="s">
        <v>9</v>
      </c>
      <c r="E7164" s="3">
        <v>23</v>
      </c>
      <c r="F7164" s="3">
        <v>70</v>
      </c>
      <c r="G7164" s="3">
        <v>1</v>
      </c>
      <c r="H7164" s="3">
        <v>5</v>
      </c>
      <c r="I7164" s="3">
        <v>21</v>
      </c>
      <c r="J7164" s="3">
        <v>1</v>
      </c>
      <c r="K7164" s="3">
        <v>24</v>
      </c>
      <c r="L7164" s="3">
        <v>1</v>
      </c>
      <c r="M7164" s="3">
        <v>0</v>
      </c>
      <c r="N7164" s="3">
        <v>22</v>
      </c>
      <c r="O7164" s="3"/>
      <c r="P7164" s="3"/>
      <c r="Q7164" s="3"/>
    </row>
    <row r="7165" spans="1:17" ht="15" x14ac:dyDescent="0.25">
      <c r="A7165" s="3">
        <f>7158</f>
        <v>7158</v>
      </c>
      <c r="B7165" s="3" t="s">
        <v>7167</v>
      </c>
      <c r="C7165" s="3" t="s">
        <v>10</v>
      </c>
      <c r="D7165" s="3" t="s">
        <v>9</v>
      </c>
      <c r="E7165" s="3">
        <v>23</v>
      </c>
      <c r="F7165" s="3">
        <v>70</v>
      </c>
      <c r="G7165" s="3">
        <v>1</v>
      </c>
      <c r="H7165" s="3">
        <v>5</v>
      </c>
      <c r="I7165" s="3">
        <v>21</v>
      </c>
      <c r="J7165" s="3">
        <v>1</v>
      </c>
      <c r="K7165" s="3">
        <v>24</v>
      </c>
      <c r="L7165" s="3">
        <v>1</v>
      </c>
      <c r="M7165" s="3">
        <v>0</v>
      </c>
      <c r="N7165" s="3">
        <v>22</v>
      </c>
      <c r="O7165" s="3"/>
      <c r="P7165" s="3"/>
      <c r="Q7165" s="3"/>
    </row>
    <row r="7166" spans="1:17" ht="15" x14ac:dyDescent="0.25">
      <c r="A7166" s="3">
        <f>7159</f>
        <v>7159</v>
      </c>
      <c r="B7166" s="3" t="s">
        <v>7168</v>
      </c>
      <c r="C7166" s="3" t="s">
        <v>10</v>
      </c>
      <c r="D7166" s="3" t="s">
        <v>9</v>
      </c>
      <c r="E7166" s="3">
        <v>23</v>
      </c>
      <c r="F7166" s="3">
        <v>70</v>
      </c>
      <c r="G7166" s="3">
        <v>1</v>
      </c>
      <c r="H7166" s="3">
        <v>5</v>
      </c>
      <c r="I7166" s="3">
        <v>21</v>
      </c>
      <c r="J7166" s="3">
        <v>1</v>
      </c>
      <c r="K7166" s="3">
        <v>24</v>
      </c>
      <c r="L7166" s="3">
        <v>1</v>
      </c>
      <c r="M7166" s="3">
        <v>0</v>
      </c>
      <c r="N7166" s="3">
        <v>22</v>
      </c>
      <c r="O7166" s="3"/>
      <c r="P7166" s="3"/>
      <c r="Q7166" s="3"/>
    </row>
    <row r="7167" spans="1:17" ht="15" x14ac:dyDescent="0.25">
      <c r="A7167" s="3">
        <f>7160</f>
        <v>7160</v>
      </c>
      <c r="B7167" s="3" t="s">
        <v>7169</v>
      </c>
      <c r="C7167" s="3" t="s">
        <v>10</v>
      </c>
      <c r="D7167" s="3" t="s">
        <v>9</v>
      </c>
      <c r="E7167" s="3">
        <v>23</v>
      </c>
      <c r="F7167" s="3">
        <v>70</v>
      </c>
      <c r="G7167" s="3">
        <v>1</v>
      </c>
      <c r="H7167" s="3">
        <v>5</v>
      </c>
      <c r="I7167" s="3">
        <v>21</v>
      </c>
      <c r="J7167" s="3">
        <v>1</v>
      </c>
      <c r="K7167" s="3">
        <v>24</v>
      </c>
      <c r="L7167" s="3">
        <v>1</v>
      </c>
      <c r="M7167" s="3">
        <v>0</v>
      </c>
      <c r="N7167" s="3">
        <v>22</v>
      </c>
      <c r="O7167" s="3"/>
      <c r="P7167" s="3"/>
      <c r="Q7167" s="3"/>
    </row>
    <row r="7168" spans="1:17" ht="15" x14ac:dyDescent="0.25">
      <c r="A7168" s="3">
        <f>7161</f>
        <v>7161</v>
      </c>
      <c r="B7168" s="3" t="s">
        <v>7170</v>
      </c>
      <c r="C7168" s="3" t="s">
        <v>10</v>
      </c>
      <c r="D7168" s="3" t="s">
        <v>9</v>
      </c>
      <c r="E7168" s="3">
        <v>23</v>
      </c>
      <c r="F7168" s="3">
        <v>70</v>
      </c>
      <c r="G7168" s="3">
        <v>1</v>
      </c>
      <c r="H7168" s="3">
        <v>5</v>
      </c>
      <c r="I7168" s="3">
        <v>21</v>
      </c>
      <c r="J7168" s="3">
        <v>1</v>
      </c>
      <c r="K7168" s="3">
        <v>24</v>
      </c>
      <c r="L7168" s="3">
        <v>1</v>
      </c>
      <c r="M7168" s="3">
        <v>0</v>
      </c>
      <c r="N7168" s="3">
        <v>22</v>
      </c>
      <c r="O7168" s="3"/>
      <c r="P7168" s="3"/>
      <c r="Q7168" s="3"/>
    </row>
    <row r="7169" spans="1:17" ht="15" x14ac:dyDescent="0.25">
      <c r="A7169" s="3">
        <f>7162</f>
        <v>7162</v>
      </c>
      <c r="B7169" s="3" t="s">
        <v>7171</v>
      </c>
      <c r="C7169" s="3" t="s">
        <v>10</v>
      </c>
      <c r="D7169" s="3" t="s">
        <v>9</v>
      </c>
      <c r="E7169" s="3">
        <v>23</v>
      </c>
      <c r="F7169" s="3">
        <v>70</v>
      </c>
      <c r="G7169" s="3">
        <v>1</v>
      </c>
      <c r="H7169" s="3">
        <v>5</v>
      </c>
      <c r="I7169" s="3">
        <v>21</v>
      </c>
      <c r="J7169" s="3">
        <v>1</v>
      </c>
      <c r="K7169" s="3">
        <v>24</v>
      </c>
      <c r="L7169" s="3">
        <v>1</v>
      </c>
      <c r="M7169" s="3">
        <v>0</v>
      </c>
      <c r="N7169" s="3">
        <v>22</v>
      </c>
      <c r="O7169" s="3"/>
      <c r="P7169" s="3"/>
      <c r="Q7169" s="3"/>
    </row>
    <row r="7170" spans="1:17" ht="15" x14ac:dyDescent="0.25">
      <c r="A7170" s="3">
        <f>7163</f>
        <v>7163</v>
      </c>
      <c r="B7170" s="3" t="s">
        <v>7172</v>
      </c>
      <c r="C7170" s="3" t="s">
        <v>10</v>
      </c>
      <c r="D7170" s="3" t="s">
        <v>9</v>
      </c>
      <c r="E7170" s="3">
        <v>23</v>
      </c>
      <c r="F7170" s="3">
        <v>70</v>
      </c>
      <c r="G7170" s="3">
        <v>1</v>
      </c>
      <c r="H7170" s="3">
        <v>5</v>
      </c>
      <c r="I7170" s="3">
        <v>21</v>
      </c>
      <c r="J7170" s="3">
        <v>1</v>
      </c>
      <c r="K7170" s="3">
        <v>24</v>
      </c>
      <c r="L7170" s="3">
        <v>1</v>
      </c>
      <c r="M7170" s="3">
        <v>0</v>
      </c>
      <c r="N7170" s="3">
        <v>22</v>
      </c>
      <c r="O7170" s="3"/>
      <c r="P7170" s="3"/>
      <c r="Q7170" s="3"/>
    </row>
    <row r="7171" spans="1:17" ht="15" x14ac:dyDescent="0.25">
      <c r="A7171" s="3">
        <f>7164</f>
        <v>7164</v>
      </c>
      <c r="B7171" s="3" t="s">
        <v>7173</v>
      </c>
      <c r="C7171" s="3" t="s">
        <v>10</v>
      </c>
      <c r="D7171" s="3" t="s">
        <v>9</v>
      </c>
      <c r="E7171" s="3">
        <v>23</v>
      </c>
      <c r="F7171" s="3">
        <v>70</v>
      </c>
      <c r="G7171" s="3">
        <v>1</v>
      </c>
      <c r="H7171" s="3">
        <v>5</v>
      </c>
      <c r="I7171" s="3">
        <v>21</v>
      </c>
      <c r="J7171" s="3">
        <v>1</v>
      </c>
      <c r="K7171" s="3">
        <v>24</v>
      </c>
      <c r="L7171" s="3">
        <v>1</v>
      </c>
      <c r="M7171" s="3">
        <v>0</v>
      </c>
      <c r="N7171" s="3">
        <v>22</v>
      </c>
      <c r="O7171" s="3"/>
      <c r="P7171" s="3"/>
      <c r="Q7171" s="3"/>
    </row>
    <row r="7172" spans="1:17" ht="15" x14ac:dyDescent="0.25">
      <c r="A7172" s="3">
        <f>7165</f>
        <v>7165</v>
      </c>
      <c r="B7172" s="3" t="s">
        <v>7174</v>
      </c>
      <c r="C7172" s="3" t="s">
        <v>10</v>
      </c>
      <c r="D7172" s="3" t="s">
        <v>9</v>
      </c>
      <c r="E7172" s="3">
        <v>23</v>
      </c>
      <c r="F7172" s="3">
        <v>70</v>
      </c>
      <c r="G7172" s="3">
        <v>1</v>
      </c>
      <c r="H7172" s="3">
        <v>5</v>
      </c>
      <c r="I7172" s="3">
        <v>21</v>
      </c>
      <c r="J7172" s="3">
        <v>1</v>
      </c>
      <c r="K7172" s="3">
        <v>24</v>
      </c>
      <c r="L7172" s="3">
        <v>1</v>
      </c>
      <c r="M7172" s="3">
        <v>0</v>
      </c>
      <c r="N7172" s="3">
        <v>22</v>
      </c>
      <c r="O7172" s="3"/>
      <c r="P7172" s="3"/>
      <c r="Q7172" s="3"/>
    </row>
    <row r="7173" spans="1:17" ht="15" x14ac:dyDescent="0.25">
      <c r="A7173" s="3">
        <f>7166</f>
        <v>7166</v>
      </c>
      <c r="B7173" s="3" t="s">
        <v>7175</v>
      </c>
      <c r="C7173" s="3" t="s">
        <v>10</v>
      </c>
      <c r="D7173" s="3" t="s">
        <v>9</v>
      </c>
      <c r="E7173" s="3">
        <v>23</v>
      </c>
      <c r="F7173" s="3">
        <v>70</v>
      </c>
      <c r="G7173" s="3">
        <v>1</v>
      </c>
      <c r="H7173" s="3">
        <v>5</v>
      </c>
      <c r="I7173" s="3">
        <v>21</v>
      </c>
      <c r="J7173" s="3">
        <v>1</v>
      </c>
      <c r="K7173" s="3">
        <v>24</v>
      </c>
      <c r="L7173" s="3">
        <v>1</v>
      </c>
      <c r="M7173" s="3">
        <v>0</v>
      </c>
      <c r="N7173" s="3">
        <v>22</v>
      </c>
      <c r="O7173" s="3"/>
      <c r="P7173" s="3"/>
      <c r="Q7173" s="3"/>
    </row>
    <row r="7174" spans="1:17" ht="15" x14ac:dyDescent="0.25">
      <c r="A7174" s="3">
        <f>7167</f>
        <v>7167</v>
      </c>
      <c r="B7174" s="3" t="s">
        <v>7176</v>
      </c>
      <c r="C7174" s="3" t="s">
        <v>10</v>
      </c>
      <c r="D7174" s="3" t="s">
        <v>9</v>
      </c>
      <c r="E7174" s="3">
        <v>23</v>
      </c>
      <c r="F7174" s="3">
        <v>70</v>
      </c>
      <c r="G7174" s="3">
        <v>1</v>
      </c>
      <c r="H7174" s="3">
        <v>5</v>
      </c>
      <c r="I7174" s="3">
        <v>21</v>
      </c>
      <c r="J7174" s="3">
        <v>1</v>
      </c>
      <c r="K7174" s="3">
        <v>24</v>
      </c>
      <c r="L7174" s="3">
        <v>1</v>
      </c>
      <c r="M7174" s="3">
        <v>0</v>
      </c>
      <c r="N7174" s="3">
        <v>22</v>
      </c>
      <c r="O7174" s="3"/>
      <c r="P7174" s="3"/>
      <c r="Q7174" s="3"/>
    </row>
    <row r="7175" spans="1:17" ht="15" x14ac:dyDescent="0.25">
      <c r="A7175" s="3">
        <f>7168</f>
        <v>7168</v>
      </c>
      <c r="B7175" s="3" t="s">
        <v>7177</v>
      </c>
      <c r="C7175" s="3" t="s">
        <v>10</v>
      </c>
      <c r="D7175" s="3" t="s">
        <v>9</v>
      </c>
      <c r="E7175" s="3">
        <v>23</v>
      </c>
      <c r="F7175" s="3">
        <v>70</v>
      </c>
      <c r="G7175" s="3">
        <v>1</v>
      </c>
      <c r="H7175" s="3">
        <v>5</v>
      </c>
      <c r="I7175" s="3">
        <v>21</v>
      </c>
      <c r="J7175" s="3">
        <v>1</v>
      </c>
      <c r="K7175" s="3">
        <v>24</v>
      </c>
      <c r="L7175" s="3">
        <v>1</v>
      </c>
      <c r="M7175" s="3">
        <v>0</v>
      </c>
      <c r="N7175" s="3">
        <v>22</v>
      </c>
      <c r="O7175" s="3"/>
      <c r="P7175" s="3"/>
      <c r="Q7175" s="3"/>
    </row>
    <row r="7176" spans="1:17" ht="15" x14ac:dyDescent="0.25">
      <c r="A7176" s="3">
        <f>7169</f>
        <v>7169</v>
      </c>
      <c r="B7176" s="3" t="s">
        <v>7178</v>
      </c>
      <c r="C7176" s="3" t="s">
        <v>10</v>
      </c>
      <c r="D7176" s="3" t="s">
        <v>9</v>
      </c>
      <c r="E7176" s="3">
        <v>23</v>
      </c>
      <c r="F7176" s="3">
        <v>70</v>
      </c>
      <c r="G7176" s="3">
        <v>1</v>
      </c>
      <c r="H7176" s="3">
        <v>5</v>
      </c>
      <c r="I7176" s="3">
        <v>21</v>
      </c>
      <c r="J7176" s="3">
        <v>1</v>
      </c>
      <c r="K7176" s="3">
        <v>24</v>
      </c>
      <c r="L7176" s="3">
        <v>1</v>
      </c>
      <c r="M7176" s="3">
        <v>0</v>
      </c>
      <c r="N7176" s="3">
        <v>22</v>
      </c>
      <c r="O7176" s="3"/>
      <c r="P7176" s="3"/>
      <c r="Q7176" s="3"/>
    </row>
    <row r="7177" spans="1:17" ht="15" x14ac:dyDescent="0.25">
      <c r="A7177" s="3">
        <f>7170</f>
        <v>7170</v>
      </c>
      <c r="B7177" s="3" t="s">
        <v>7179</v>
      </c>
      <c r="C7177" s="3" t="s">
        <v>10</v>
      </c>
      <c r="D7177" s="3" t="s">
        <v>9</v>
      </c>
      <c r="E7177" s="3">
        <v>23</v>
      </c>
      <c r="F7177" s="3">
        <v>70</v>
      </c>
      <c r="G7177" s="3">
        <v>1</v>
      </c>
      <c r="H7177" s="3">
        <v>5</v>
      </c>
      <c r="I7177" s="3">
        <v>21</v>
      </c>
      <c r="J7177" s="3">
        <v>1</v>
      </c>
      <c r="K7177" s="3">
        <v>24</v>
      </c>
      <c r="L7177" s="3">
        <v>1</v>
      </c>
      <c r="M7177" s="3">
        <v>0</v>
      </c>
      <c r="N7177" s="3">
        <v>22</v>
      </c>
      <c r="O7177" s="3"/>
      <c r="P7177" s="3"/>
      <c r="Q7177" s="3"/>
    </row>
    <row r="7178" spans="1:17" ht="15" x14ac:dyDescent="0.25">
      <c r="A7178" s="3">
        <f>7171</f>
        <v>7171</v>
      </c>
      <c r="B7178" s="3" t="s">
        <v>7180</v>
      </c>
      <c r="C7178" s="3" t="s">
        <v>10</v>
      </c>
      <c r="D7178" s="3" t="s">
        <v>9</v>
      </c>
      <c r="E7178" s="3">
        <v>23</v>
      </c>
      <c r="F7178" s="3">
        <v>70</v>
      </c>
      <c r="G7178" s="3">
        <v>1</v>
      </c>
      <c r="H7178" s="3">
        <v>5</v>
      </c>
      <c r="I7178" s="3">
        <v>21</v>
      </c>
      <c r="J7178" s="3">
        <v>1</v>
      </c>
      <c r="K7178" s="3">
        <v>24</v>
      </c>
      <c r="L7178" s="3">
        <v>1</v>
      </c>
      <c r="M7178" s="3">
        <v>0</v>
      </c>
      <c r="N7178" s="3">
        <v>22</v>
      </c>
      <c r="O7178" s="3"/>
      <c r="P7178" s="3"/>
      <c r="Q7178" s="3"/>
    </row>
    <row r="7179" spans="1:17" ht="15" x14ac:dyDescent="0.25">
      <c r="A7179" s="3">
        <f>7172</f>
        <v>7172</v>
      </c>
      <c r="B7179" s="3" t="s">
        <v>7181</v>
      </c>
      <c r="C7179" s="3" t="s">
        <v>10</v>
      </c>
      <c r="D7179" s="3" t="s">
        <v>9</v>
      </c>
      <c r="E7179" s="3">
        <v>23</v>
      </c>
      <c r="F7179" s="3">
        <v>70</v>
      </c>
      <c r="G7179" s="3">
        <v>1</v>
      </c>
      <c r="H7179" s="3">
        <v>5</v>
      </c>
      <c r="I7179" s="3">
        <v>21</v>
      </c>
      <c r="J7179" s="3">
        <v>1</v>
      </c>
      <c r="K7179" s="3">
        <v>24</v>
      </c>
      <c r="L7179" s="3">
        <v>1</v>
      </c>
      <c r="M7179" s="3">
        <v>0</v>
      </c>
      <c r="N7179" s="3">
        <v>22</v>
      </c>
      <c r="O7179" s="3"/>
      <c r="P7179" s="3"/>
      <c r="Q7179" s="3"/>
    </row>
    <row r="7180" spans="1:17" ht="15" x14ac:dyDescent="0.25">
      <c r="A7180" s="3">
        <f>7173</f>
        <v>7173</v>
      </c>
      <c r="B7180" s="3" t="s">
        <v>7182</v>
      </c>
      <c r="C7180" s="3" t="s">
        <v>10</v>
      </c>
      <c r="D7180" s="3" t="s">
        <v>9</v>
      </c>
      <c r="E7180" s="3">
        <v>23</v>
      </c>
      <c r="F7180" s="3">
        <v>70</v>
      </c>
      <c r="G7180" s="3">
        <v>1</v>
      </c>
      <c r="H7180" s="3">
        <v>5</v>
      </c>
      <c r="I7180" s="3">
        <v>21</v>
      </c>
      <c r="J7180" s="3">
        <v>1</v>
      </c>
      <c r="K7180" s="3">
        <v>24</v>
      </c>
      <c r="L7180" s="3">
        <v>1</v>
      </c>
      <c r="M7180" s="3">
        <v>0</v>
      </c>
      <c r="N7180" s="3">
        <v>22</v>
      </c>
      <c r="O7180" s="3"/>
      <c r="P7180" s="3"/>
      <c r="Q7180" s="3"/>
    </row>
    <row r="7181" spans="1:17" ht="15" x14ac:dyDescent="0.25">
      <c r="A7181" s="3">
        <f>7174</f>
        <v>7174</v>
      </c>
      <c r="B7181" s="3" t="s">
        <v>7183</v>
      </c>
      <c r="C7181" s="3" t="s">
        <v>10</v>
      </c>
      <c r="D7181" s="3" t="s">
        <v>9</v>
      </c>
      <c r="E7181" s="3">
        <v>23</v>
      </c>
      <c r="F7181" s="3">
        <v>70</v>
      </c>
      <c r="G7181" s="3">
        <v>1</v>
      </c>
      <c r="H7181" s="3">
        <v>5</v>
      </c>
      <c r="I7181" s="3">
        <v>21</v>
      </c>
      <c r="J7181" s="3">
        <v>1</v>
      </c>
      <c r="K7181" s="3">
        <v>24</v>
      </c>
      <c r="L7181" s="3">
        <v>1</v>
      </c>
      <c r="M7181" s="3">
        <v>0</v>
      </c>
      <c r="N7181" s="3">
        <v>22</v>
      </c>
      <c r="O7181" s="3"/>
      <c r="P7181" s="3"/>
      <c r="Q7181" s="3"/>
    </row>
    <row r="7182" spans="1:17" ht="15" x14ac:dyDescent="0.25">
      <c r="A7182" s="3">
        <f>7175</f>
        <v>7175</v>
      </c>
      <c r="B7182" s="3" t="s">
        <v>7184</v>
      </c>
      <c r="C7182" s="3" t="s">
        <v>10</v>
      </c>
      <c r="D7182" s="3" t="s">
        <v>9</v>
      </c>
      <c r="E7182" s="3">
        <v>23</v>
      </c>
      <c r="F7182" s="3">
        <v>70</v>
      </c>
      <c r="G7182" s="3">
        <v>1</v>
      </c>
      <c r="H7182" s="3">
        <v>5</v>
      </c>
      <c r="I7182" s="3">
        <v>21</v>
      </c>
      <c r="J7182" s="3">
        <v>1</v>
      </c>
      <c r="K7182" s="3">
        <v>24</v>
      </c>
      <c r="L7182" s="3">
        <v>1</v>
      </c>
      <c r="M7182" s="3">
        <v>0</v>
      </c>
      <c r="N7182" s="3">
        <v>22</v>
      </c>
      <c r="O7182" s="3"/>
      <c r="P7182" s="3"/>
      <c r="Q7182" s="3"/>
    </row>
    <row r="7183" spans="1:17" ht="15" x14ac:dyDescent="0.25">
      <c r="A7183" s="3">
        <f>7176</f>
        <v>7176</v>
      </c>
      <c r="B7183" s="3" t="s">
        <v>7185</v>
      </c>
      <c r="C7183" s="3" t="s">
        <v>10</v>
      </c>
      <c r="D7183" s="3" t="s">
        <v>9</v>
      </c>
      <c r="E7183" s="3">
        <v>23</v>
      </c>
      <c r="F7183" s="3">
        <v>70</v>
      </c>
      <c r="G7183" s="3">
        <v>1</v>
      </c>
      <c r="H7183" s="3">
        <v>5</v>
      </c>
      <c r="I7183" s="3">
        <v>21</v>
      </c>
      <c r="J7183" s="3">
        <v>1</v>
      </c>
      <c r="K7183" s="3">
        <v>24</v>
      </c>
      <c r="L7183" s="3">
        <v>1</v>
      </c>
      <c r="M7183" s="3">
        <v>0</v>
      </c>
      <c r="N7183" s="3">
        <v>22</v>
      </c>
      <c r="O7183" s="3"/>
      <c r="P7183" s="3"/>
      <c r="Q7183" s="3"/>
    </row>
    <row r="7184" spans="1:17" ht="15" x14ac:dyDescent="0.25">
      <c r="A7184" s="3">
        <f>7177</f>
        <v>7177</v>
      </c>
      <c r="B7184" s="3" t="s">
        <v>7186</v>
      </c>
      <c r="C7184" s="3" t="s">
        <v>10</v>
      </c>
      <c r="D7184" s="3" t="s">
        <v>9</v>
      </c>
      <c r="E7184" s="3">
        <v>23</v>
      </c>
      <c r="F7184" s="3">
        <v>70</v>
      </c>
      <c r="G7184" s="3">
        <v>1</v>
      </c>
      <c r="H7184" s="3">
        <v>5</v>
      </c>
      <c r="I7184" s="3">
        <v>21</v>
      </c>
      <c r="J7184" s="3">
        <v>1</v>
      </c>
      <c r="K7184" s="3">
        <v>24</v>
      </c>
      <c r="L7184" s="3">
        <v>1</v>
      </c>
      <c r="M7184" s="3">
        <v>0</v>
      </c>
      <c r="N7184" s="3">
        <v>22</v>
      </c>
      <c r="O7184" s="3"/>
      <c r="P7184" s="3"/>
      <c r="Q7184" s="3"/>
    </row>
    <row r="7185" spans="1:17" ht="15" x14ac:dyDescent="0.25">
      <c r="A7185" s="3">
        <f>7178</f>
        <v>7178</v>
      </c>
      <c r="B7185" s="3" t="s">
        <v>7187</v>
      </c>
      <c r="C7185" s="3" t="s">
        <v>10</v>
      </c>
      <c r="D7185" s="3" t="s">
        <v>9</v>
      </c>
      <c r="E7185" s="3">
        <v>23</v>
      </c>
      <c r="F7185" s="3">
        <v>70</v>
      </c>
      <c r="G7185" s="3">
        <v>1</v>
      </c>
      <c r="H7185" s="3">
        <v>5</v>
      </c>
      <c r="I7185" s="3">
        <v>21</v>
      </c>
      <c r="J7185" s="3">
        <v>1</v>
      </c>
      <c r="K7185" s="3">
        <v>24</v>
      </c>
      <c r="L7185" s="3">
        <v>1</v>
      </c>
      <c r="M7185" s="3">
        <v>0</v>
      </c>
      <c r="N7185" s="3">
        <v>22</v>
      </c>
      <c r="O7185" s="3"/>
      <c r="P7185" s="3"/>
      <c r="Q7185" s="3"/>
    </row>
    <row r="7186" spans="1:17" ht="15" x14ac:dyDescent="0.25">
      <c r="A7186" s="3">
        <f>7179</f>
        <v>7179</v>
      </c>
      <c r="B7186" s="3" t="s">
        <v>7188</v>
      </c>
      <c r="C7186" s="3" t="s">
        <v>10</v>
      </c>
      <c r="D7186" s="3" t="s">
        <v>9</v>
      </c>
      <c r="E7186" s="3">
        <v>23</v>
      </c>
      <c r="F7186" s="3">
        <v>70</v>
      </c>
      <c r="G7186" s="3">
        <v>1</v>
      </c>
      <c r="H7186" s="3">
        <v>5</v>
      </c>
      <c r="I7186" s="3">
        <v>21</v>
      </c>
      <c r="J7186" s="3">
        <v>1</v>
      </c>
      <c r="K7186" s="3">
        <v>24</v>
      </c>
      <c r="L7186" s="3">
        <v>1</v>
      </c>
      <c r="M7186" s="3">
        <v>0</v>
      </c>
      <c r="N7186" s="3">
        <v>22</v>
      </c>
      <c r="O7186" s="3"/>
      <c r="P7186" s="3"/>
      <c r="Q7186" s="3"/>
    </row>
    <row r="7187" spans="1:17" ht="15" x14ac:dyDescent="0.25">
      <c r="A7187" s="3">
        <f>7180</f>
        <v>7180</v>
      </c>
      <c r="B7187" s="3" t="s">
        <v>7189</v>
      </c>
      <c r="C7187" s="3" t="s">
        <v>10</v>
      </c>
      <c r="D7187" s="3" t="s">
        <v>9</v>
      </c>
      <c r="E7187" s="3">
        <v>23</v>
      </c>
      <c r="F7187" s="3">
        <v>70</v>
      </c>
      <c r="G7187" s="3">
        <v>1</v>
      </c>
      <c r="H7187" s="3">
        <v>5</v>
      </c>
      <c r="I7187" s="3">
        <v>21</v>
      </c>
      <c r="J7187" s="3">
        <v>1</v>
      </c>
      <c r="K7187" s="3">
        <v>24</v>
      </c>
      <c r="L7187" s="3">
        <v>1</v>
      </c>
      <c r="M7187" s="3">
        <v>0</v>
      </c>
      <c r="N7187" s="3">
        <v>22</v>
      </c>
      <c r="O7187" s="3"/>
      <c r="P7187" s="3"/>
      <c r="Q7187" s="3"/>
    </row>
    <row r="7188" spans="1:17" ht="15" x14ac:dyDescent="0.25">
      <c r="A7188" s="3">
        <f>7181</f>
        <v>7181</v>
      </c>
      <c r="B7188" s="3" t="s">
        <v>7190</v>
      </c>
      <c r="C7188" s="3" t="s">
        <v>10</v>
      </c>
      <c r="D7188" s="3" t="s">
        <v>9</v>
      </c>
      <c r="E7188" s="3">
        <v>23</v>
      </c>
      <c r="F7188" s="3">
        <v>70</v>
      </c>
      <c r="G7188" s="3">
        <v>1</v>
      </c>
      <c r="H7188" s="3">
        <v>5</v>
      </c>
      <c r="I7188" s="3">
        <v>21</v>
      </c>
      <c r="J7188" s="3">
        <v>1</v>
      </c>
      <c r="K7188" s="3">
        <v>24</v>
      </c>
      <c r="L7188" s="3">
        <v>1</v>
      </c>
      <c r="M7188" s="3">
        <v>0</v>
      </c>
      <c r="N7188" s="3">
        <v>22</v>
      </c>
      <c r="O7188" s="3"/>
      <c r="P7188" s="3"/>
      <c r="Q7188" s="3"/>
    </row>
    <row r="7189" spans="1:17" ht="15" x14ac:dyDescent="0.25">
      <c r="A7189" s="3">
        <f>7182</f>
        <v>7182</v>
      </c>
      <c r="B7189" s="3" t="s">
        <v>7191</v>
      </c>
      <c r="C7189" s="3" t="s">
        <v>10</v>
      </c>
      <c r="D7189" s="3" t="s">
        <v>9</v>
      </c>
      <c r="E7189" s="3">
        <v>23</v>
      </c>
      <c r="F7189" s="3">
        <v>70</v>
      </c>
      <c r="G7189" s="3">
        <v>1</v>
      </c>
      <c r="H7189" s="3">
        <v>5</v>
      </c>
      <c r="I7189" s="3">
        <v>21</v>
      </c>
      <c r="J7189" s="3">
        <v>1</v>
      </c>
      <c r="K7189" s="3">
        <v>24</v>
      </c>
      <c r="L7189" s="3">
        <v>1</v>
      </c>
      <c r="M7189" s="3">
        <v>0</v>
      </c>
      <c r="N7189" s="3">
        <v>22</v>
      </c>
      <c r="O7189" s="3"/>
      <c r="P7189" s="3"/>
      <c r="Q7189" s="3"/>
    </row>
    <row r="7190" spans="1:17" ht="15" x14ac:dyDescent="0.25">
      <c r="A7190" s="3">
        <f>7183</f>
        <v>7183</v>
      </c>
      <c r="B7190" s="3" t="s">
        <v>7192</v>
      </c>
      <c r="C7190" s="3" t="s">
        <v>10</v>
      </c>
      <c r="D7190" s="3" t="s">
        <v>9</v>
      </c>
      <c r="E7190" s="3">
        <v>23</v>
      </c>
      <c r="F7190" s="3">
        <v>70</v>
      </c>
      <c r="G7190" s="3">
        <v>1</v>
      </c>
      <c r="H7190" s="3">
        <v>5</v>
      </c>
      <c r="I7190" s="3">
        <v>21</v>
      </c>
      <c r="J7190" s="3">
        <v>1</v>
      </c>
      <c r="K7190" s="3">
        <v>24</v>
      </c>
      <c r="L7190" s="3">
        <v>1</v>
      </c>
      <c r="M7190" s="3">
        <v>0</v>
      </c>
      <c r="N7190" s="3">
        <v>22</v>
      </c>
      <c r="O7190" s="3"/>
      <c r="P7190" s="3"/>
      <c r="Q7190" s="3"/>
    </row>
    <row r="7191" spans="1:17" ht="15" x14ac:dyDescent="0.25">
      <c r="A7191" s="3">
        <f>7184</f>
        <v>7184</v>
      </c>
      <c r="B7191" s="3" t="s">
        <v>7193</v>
      </c>
      <c r="C7191" s="3" t="s">
        <v>10</v>
      </c>
      <c r="D7191" s="3" t="s">
        <v>9</v>
      </c>
      <c r="E7191" s="3">
        <v>23</v>
      </c>
      <c r="F7191" s="3">
        <v>70</v>
      </c>
      <c r="G7191" s="3">
        <v>1</v>
      </c>
      <c r="H7191" s="3">
        <v>5</v>
      </c>
      <c r="I7191" s="3">
        <v>21</v>
      </c>
      <c r="J7191" s="3">
        <v>1</v>
      </c>
      <c r="K7191" s="3">
        <v>24</v>
      </c>
      <c r="L7191" s="3">
        <v>1</v>
      </c>
      <c r="M7191" s="3">
        <v>0</v>
      </c>
      <c r="N7191" s="3">
        <v>22</v>
      </c>
      <c r="O7191" s="3"/>
      <c r="P7191" s="3"/>
      <c r="Q7191" s="3"/>
    </row>
    <row r="7192" spans="1:17" ht="15" x14ac:dyDescent="0.25">
      <c r="A7192" s="3">
        <f>7185</f>
        <v>7185</v>
      </c>
      <c r="B7192" s="3" t="s">
        <v>7194</v>
      </c>
      <c r="C7192" s="3" t="s">
        <v>10</v>
      </c>
      <c r="D7192" s="3" t="s">
        <v>9</v>
      </c>
      <c r="E7192" s="3">
        <v>23</v>
      </c>
      <c r="F7192" s="3">
        <v>70</v>
      </c>
      <c r="G7192" s="3">
        <v>1</v>
      </c>
      <c r="H7192" s="3">
        <v>5</v>
      </c>
      <c r="I7192" s="3">
        <v>21</v>
      </c>
      <c r="J7192" s="3">
        <v>1</v>
      </c>
      <c r="K7192" s="3">
        <v>24</v>
      </c>
      <c r="L7192" s="3">
        <v>1</v>
      </c>
      <c r="M7192" s="3">
        <v>0</v>
      </c>
      <c r="N7192" s="3">
        <v>22</v>
      </c>
      <c r="O7192" s="3"/>
      <c r="P7192" s="3"/>
      <c r="Q7192" s="3"/>
    </row>
    <row r="7193" spans="1:17" ht="15" x14ac:dyDescent="0.25">
      <c r="A7193" s="3">
        <f>7186</f>
        <v>7186</v>
      </c>
      <c r="B7193" s="3" t="s">
        <v>7195</v>
      </c>
      <c r="C7193" s="3" t="s">
        <v>10</v>
      </c>
      <c r="D7193" s="3" t="s">
        <v>9</v>
      </c>
      <c r="E7193" s="3">
        <v>23</v>
      </c>
      <c r="F7193" s="3">
        <v>70</v>
      </c>
      <c r="G7193" s="3">
        <v>1</v>
      </c>
      <c r="H7193" s="3">
        <v>5</v>
      </c>
      <c r="I7193" s="3">
        <v>21</v>
      </c>
      <c r="J7193" s="3">
        <v>1</v>
      </c>
      <c r="K7193" s="3">
        <v>24</v>
      </c>
      <c r="L7193" s="3">
        <v>1</v>
      </c>
      <c r="M7193" s="3">
        <v>0</v>
      </c>
      <c r="N7193" s="3">
        <v>22</v>
      </c>
      <c r="O7193" s="3"/>
      <c r="P7193" s="3"/>
      <c r="Q7193" s="3"/>
    </row>
    <row r="7194" spans="1:17" ht="15" x14ac:dyDescent="0.25">
      <c r="A7194" s="3">
        <f>7187</f>
        <v>7187</v>
      </c>
      <c r="B7194" s="3" t="s">
        <v>7196</v>
      </c>
      <c r="C7194" s="3" t="s">
        <v>10</v>
      </c>
      <c r="D7194" s="3" t="s">
        <v>9</v>
      </c>
      <c r="E7194" s="3">
        <v>23</v>
      </c>
      <c r="F7194" s="3">
        <v>70</v>
      </c>
      <c r="G7194" s="3">
        <v>1</v>
      </c>
      <c r="H7194" s="3">
        <v>5</v>
      </c>
      <c r="I7194" s="3">
        <v>21</v>
      </c>
      <c r="J7194" s="3">
        <v>1</v>
      </c>
      <c r="K7194" s="3">
        <v>24</v>
      </c>
      <c r="L7194" s="3">
        <v>1</v>
      </c>
      <c r="M7194" s="3">
        <v>0</v>
      </c>
      <c r="N7194" s="3">
        <v>22</v>
      </c>
      <c r="O7194" s="3"/>
      <c r="P7194" s="3"/>
      <c r="Q7194" s="3"/>
    </row>
    <row r="7195" spans="1:17" ht="15" x14ac:dyDescent="0.25">
      <c r="A7195" s="3">
        <f>7188</f>
        <v>7188</v>
      </c>
      <c r="B7195" s="3" t="s">
        <v>7197</v>
      </c>
      <c r="C7195" s="3" t="s">
        <v>10</v>
      </c>
      <c r="D7195" s="3" t="s">
        <v>9</v>
      </c>
      <c r="E7195" s="3">
        <v>23</v>
      </c>
      <c r="F7195" s="3">
        <v>70</v>
      </c>
      <c r="G7195" s="3">
        <v>1</v>
      </c>
      <c r="H7195" s="3">
        <v>5</v>
      </c>
      <c r="I7195" s="3">
        <v>21</v>
      </c>
      <c r="J7195" s="3">
        <v>1</v>
      </c>
      <c r="K7195" s="3">
        <v>24</v>
      </c>
      <c r="L7195" s="3">
        <v>1</v>
      </c>
      <c r="M7195" s="3">
        <v>0</v>
      </c>
      <c r="N7195" s="3">
        <v>22</v>
      </c>
      <c r="O7195" s="3"/>
      <c r="P7195" s="3"/>
      <c r="Q7195" s="3"/>
    </row>
    <row r="7196" spans="1:17" ht="15" x14ac:dyDescent="0.25">
      <c r="A7196" s="3">
        <f>7189</f>
        <v>7189</v>
      </c>
      <c r="B7196" s="3" t="s">
        <v>7198</v>
      </c>
      <c r="C7196" s="3" t="s">
        <v>10</v>
      </c>
      <c r="D7196" s="3" t="s">
        <v>9</v>
      </c>
      <c r="E7196" s="3">
        <v>23</v>
      </c>
      <c r="F7196" s="3">
        <v>70</v>
      </c>
      <c r="G7196" s="3">
        <v>1</v>
      </c>
      <c r="H7196" s="3">
        <v>5</v>
      </c>
      <c r="I7196" s="3">
        <v>21</v>
      </c>
      <c r="J7196" s="3">
        <v>1</v>
      </c>
      <c r="K7196" s="3">
        <v>24</v>
      </c>
      <c r="L7196" s="3">
        <v>1</v>
      </c>
      <c r="M7196" s="3">
        <v>0</v>
      </c>
      <c r="N7196" s="3">
        <v>22</v>
      </c>
      <c r="O7196" s="3"/>
      <c r="P7196" s="3"/>
      <c r="Q7196" s="3"/>
    </row>
    <row r="7197" spans="1:17" ht="15" x14ac:dyDescent="0.25">
      <c r="A7197" s="3">
        <f>7190</f>
        <v>7190</v>
      </c>
      <c r="B7197" s="3" t="s">
        <v>7199</v>
      </c>
      <c r="C7197" s="3" t="s">
        <v>10</v>
      </c>
      <c r="D7197" s="3" t="s">
        <v>9</v>
      </c>
      <c r="E7197" s="3">
        <v>23</v>
      </c>
      <c r="F7197" s="3">
        <v>70</v>
      </c>
      <c r="G7197" s="3">
        <v>1</v>
      </c>
      <c r="H7197" s="3">
        <v>5</v>
      </c>
      <c r="I7197" s="3">
        <v>21</v>
      </c>
      <c r="J7197" s="3">
        <v>1</v>
      </c>
      <c r="K7197" s="3">
        <v>24</v>
      </c>
      <c r="L7197" s="3">
        <v>1</v>
      </c>
      <c r="M7197" s="3">
        <v>0</v>
      </c>
      <c r="N7197" s="3">
        <v>22</v>
      </c>
      <c r="O7197" s="3"/>
      <c r="P7197" s="3"/>
      <c r="Q7197" s="3"/>
    </row>
    <row r="7198" spans="1:17" ht="15" x14ac:dyDescent="0.25">
      <c r="A7198" s="3">
        <f>7191</f>
        <v>7191</v>
      </c>
      <c r="B7198" s="3" t="s">
        <v>7200</v>
      </c>
      <c r="C7198" s="3" t="s">
        <v>10</v>
      </c>
      <c r="D7198" s="3" t="s">
        <v>9</v>
      </c>
      <c r="E7198" s="3">
        <v>23</v>
      </c>
      <c r="F7198" s="3">
        <v>70</v>
      </c>
      <c r="G7198" s="3">
        <v>1</v>
      </c>
      <c r="H7198" s="3">
        <v>5</v>
      </c>
      <c r="I7198" s="3">
        <v>21</v>
      </c>
      <c r="J7198" s="3">
        <v>1</v>
      </c>
      <c r="K7198" s="3">
        <v>24</v>
      </c>
      <c r="L7198" s="3">
        <v>1</v>
      </c>
      <c r="M7198" s="3">
        <v>0</v>
      </c>
      <c r="N7198" s="3">
        <v>22</v>
      </c>
      <c r="O7198" s="3"/>
      <c r="P7198" s="3"/>
      <c r="Q7198" s="3"/>
    </row>
    <row r="7199" spans="1:17" ht="15" x14ac:dyDescent="0.25">
      <c r="A7199" s="3">
        <f>7192</f>
        <v>7192</v>
      </c>
      <c r="B7199" s="3" t="s">
        <v>7201</v>
      </c>
      <c r="C7199" s="3" t="s">
        <v>10</v>
      </c>
      <c r="D7199" s="3" t="s">
        <v>9</v>
      </c>
      <c r="E7199" s="3">
        <v>23</v>
      </c>
      <c r="F7199" s="3">
        <v>70</v>
      </c>
      <c r="G7199" s="3">
        <v>1</v>
      </c>
      <c r="H7199" s="3">
        <v>5</v>
      </c>
      <c r="I7199" s="3">
        <v>21</v>
      </c>
      <c r="J7199" s="3">
        <v>1</v>
      </c>
      <c r="K7199" s="3">
        <v>24</v>
      </c>
      <c r="L7199" s="3">
        <v>1</v>
      </c>
      <c r="M7199" s="3">
        <v>0</v>
      </c>
      <c r="N7199" s="3">
        <v>22</v>
      </c>
      <c r="O7199" s="3"/>
      <c r="P7199" s="3"/>
      <c r="Q7199" s="3"/>
    </row>
    <row r="7200" spans="1:17" ht="15" x14ac:dyDescent="0.25">
      <c r="A7200" s="3">
        <f>7193</f>
        <v>7193</v>
      </c>
      <c r="B7200" s="3" t="s">
        <v>7202</v>
      </c>
      <c r="C7200" s="3" t="s">
        <v>10</v>
      </c>
      <c r="D7200" s="3" t="s">
        <v>9</v>
      </c>
      <c r="E7200" s="3">
        <v>23</v>
      </c>
      <c r="F7200" s="3">
        <v>70</v>
      </c>
      <c r="G7200" s="3">
        <v>1</v>
      </c>
      <c r="H7200" s="3">
        <v>5</v>
      </c>
      <c r="I7200" s="3">
        <v>21</v>
      </c>
      <c r="J7200" s="3">
        <v>1</v>
      </c>
      <c r="K7200" s="3">
        <v>24</v>
      </c>
      <c r="L7200" s="3">
        <v>1</v>
      </c>
      <c r="M7200" s="3">
        <v>0</v>
      </c>
      <c r="N7200" s="3">
        <v>22</v>
      </c>
      <c r="O7200" s="3"/>
      <c r="P7200" s="3"/>
      <c r="Q7200" s="3"/>
    </row>
    <row r="7201" spans="1:17" ht="15" x14ac:dyDescent="0.25">
      <c r="A7201" s="3">
        <f>7194</f>
        <v>7194</v>
      </c>
      <c r="B7201" s="3" t="s">
        <v>7203</v>
      </c>
      <c r="C7201" s="3" t="s">
        <v>10</v>
      </c>
      <c r="D7201" s="3" t="s">
        <v>9</v>
      </c>
      <c r="E7201" s="3">
        <v>23</v>
      </c>
      <c r="F7201" s="3">
        <v>70</v>
      </c>
      <c r="G7201" s="3">
        <v>1</v>
      </c>
      <c r="H7201" s="3">
        <v>5</v>
      </c>
      <c r="I7201" s="3">
        <v>21</v>
      </c>
      <c r="J7201" s="3">
        <v>1</v>
      </c>
      <c r="K7201" s="3">
        <v>24</v>
      </c>
      <c r="L7201" s="3">
        <v>1</v>
      </c>
      <c r="M7201" s="3">
        <v>0</v>
      </c>
      <c r="N7201" s="3">
        <v>22</v>
      </c>
      <c r="O7201" s="3"/>
      <c r="P7201" s="3"/>
      <c r="Q7201" s="3"/>
    </row>
    <row r="7202" spans="1:17" ht="15" x14ac:dyDescent="0.25">
      <c r="A7202" s="3">
        <f>7195</f>
        <v>7195</v>
      </c>
      <c r="B7202" s="3" t="s">
        <v>7204</v>
      </c>
      <c r="C7202" s="3" t="s">
        <v>10</v>
      </c>
      <c r="D7202" s="3" t="s">
        <v>9</v>
      </c>
      <c r="E7202" s="3">
        <v>23</v>
      </c>
      <c r="F7202" s="3">
        <v>70</v>
      </c>
      <c r="G7202" s="3">
        <v>1</v>
      </c>
      <c r="H7202" s="3">
        <v>5</v>
      </c>
      <c r="I7202" s="3">
        <v>21</v>
      </c>
      <c r="J7202" s="3">
        <v>1</v>
      </c>
      <c r="K7202" s="3">
        <v>24</v>
      </c>
      <c r="L7202" s="3">
        <v>1</v>
      </c>
      <c r="M7202" s="3">
        <v>0</v>
      </c>
      <c r="N7202" s="3">
        <v>22</v>
      </c>
      <c r="O7202" s="3"/>
      <c r="P7202" s="3"/>
      <c r="Q7202" s="3"/>
    </row>
    <row r="7203" spans="1:17" ht="15" x14ac:dyDescent="0.25">
      <c r="A7203" s="3">
        <f>7196</f>
        <v>7196</v>
      </c>
      <c r="B7203" s="3" t="s">
        <v>7205</v>
      </c>
      <c r="C7203" s="3" t="s">
        <v>10</v>
      </c>
      <c r="D7203" s="3" t="s">
        <v>9</v>
      </c>
      <c r="E7203" s="3">
        <v>23</v>
      </c>
      <c r="F7203" s="3">
        <v>70</v>
      </c>
      <c r="G7203" s="3">
        <v>1</v>
      </c>
      <c r="H7203" s="3">
        <v>5</v>
      </c>
      <c r="I7203" s="3">
        <v>21</v>
      </c>
      <c r="J7203" s="3">
        <v>1</v>
      </c>
      <c r="K7203" s="3">
        <v>24</v>
      </c>
      <c r="L7203" s="3">
        <v>1</v>
      </c>
      <c r="M7203" s="3">
        <v>0</v>
      </c>
      <c r="N7203" s="3">
        <v>22</v>
      </c>
      <c r="O7203" s="3"/>
      <c r="P7203" s="3"/>
      <c r="Q7203" s="3"/>
    </row>
    <row r="7204" spans="1:17" ht="15" x14ac:dyDescent="0.25">
      <c r="A7204" s="3">
        <f>7197</f>
        <v>7197</v>
      </c>
      <c r="B7204" s="3" t="s">
        <v>7206</v>
      </c>
      <c r="C7204" s="3" t="s">
        <v>10</v>
      </c>
      <c r="D7204" s="3" t="s">
        <v>9</v>
      </c>
      <c r="E7204" s="3">
        <v>23</v>
      </c>
      <c r="F7204" s="3">
        <v>70</v>
      </c>
      <c r="G7204" s="3">
        <v>1</v>
      </c>
      <c r="H7204" s="3">
        <v>5</v>
      </c>
      <c r="I7204" s="3">
        <v>21</v>
      </c>
      <c r="J7204" s="3">
        <v>1</v>
      </c>
      <c r="K7204" s="3">
        <v>24</v>
      </c>
      <c r="L7204" s="3">
        <v>1</v>
      </c>
      <c r="M7204" s="3">
        <v>0</v>
      </c>
      <c r="N7204" s="3">
        <v>22</v>
      </c>
      <c r="O7204" s="3"/>
      <c r="P7204" s="3"/>
      <c r="Q7204" s="3"/>
    </row>
    <row r="7205" spans="1:17" ht="15" x14ac:dyDescent="0.25">
      <c r="A7205" s="3">
        <f>7198</f>
        <v>7198</v>
      </c>
      <c r="B7205" s="3" t="s">
        <v>7207</v>
      </c>
      <c r="C7205" s="3" t="s">
        <v>10</v>
      </c>
      <c r="D7205" s="3" t="s">
        <v>9</v>
      </c>
      <c r="E7205" s="3">
        <v>23</v>
      </c>
      <c r="F7205" s="3">
        <v>70</v>
      </c>
      <c r="G7205" s="3">
        <v>1</v>
      </c>
      <c r="H7205" s="3">
        <v>5</v>
      </c>
      <c r="I7205" s="3">
        <v>21</v>
      </c>
      <c r="J7205" s="3">
        <v>1</v>
      </c>
      <c r="K7205" s="3">
        <v>24</v>
      </c>
      <c r="L7205" s="3">
        <v>1</v>
      </c>
      <c r="M7205" s="3">
        <v>0</v>
      </c>
      <c r="N7205" s="3">
        <v>22</v>
      </c>
      <c r="O7205" s="3"/>
      <c r="P7205" s="3"/>
      <c r="Q7205" s="3"/>
    </row>
    <row r="7206" spans="1:17" ht="15" x14ac:dyDescent="0.25">
      <c r="A7206" s="3">
        <f>7199</f>
        <v>7199</v>
      </c>
      <c r="B7206" s="3" t="s">
        <v>7208</v>
      </c>
      <c r="C7206" s="3" t="s">
        <v>10</v>
      </c>
      <c r="D7206" s="3" t="s">
        <v>9</v>
      </c>
      <c r="E7206" s="3">
        <v>23</v>
      </c>
      <c r="F7206" s="3">
        <v>70</v>
      </c>
      <c r="G7206" s="3">
        <v>1</v>
      </c>
      <c r="H7206" s="3">
        <v>5</v>
      </c>
      <c r="I7206" s="3">
        <v>21</v>
      </c>
      <c r="J7206" s="3">
        <v>1</v>
      </c>
      <c r="K7206" s="3">
        <v>24</v>
      </c>
      <c r="L7206" s="3">
        <v>1</v>
      </c>
      <c r="M7206" s="3">
        <v>0</v>
      </c>
      <c r="N7206" s="3">
        <v>22</v>
      </c>
      <c r="O7206" s="3"/>
      <c r="P7206" s="3"/>
      <c r="Q7206" s="3"/>
    </row>
    <row r="7207" spans="1:17" ht="15" x14ac:dyDescent="0.25">
      <c r="A7207" s="3">
        <f>7200</f>
        <v>7200</v>
      </c>
      <c r="B7207" s="3" t="s">
        <v>7209</v>
      </c>
      <c r="C7207" s="3" t="s">
        <v>10</v>
      </c>
      <c r="D7207" s="3" t="s">
        <v>9</v>
      </c>
      <c r="E7207" s="3">
        <v>23</v>
      </c>
      <c r="F7207" s="3">
        <v>70</v>
      </c>
      <c r="G7207" s="3">
        <v>1</v>
      </c>
      <c r="H7207" s="3">
        <v>5</v>
      </c>
      <c r="I7207" s="3">
        <v>21</v>
      </c>
      <c r="J7207" s="3">
        <v>1</v>
      </c>
      <c r="K7207" s="3">
        <v>24</v>
      </c>
      <c r="L7207" s="3">
        <v>1</v>
      </c>
      <c r="M7207" s="3">
        <v>0</v>
      </c>
      <c r="N7207" s="3">
        <v>22</v>
      </c>
      <c r="O7207" s="3"/>
      <c r="P7207" s="3"/>
      <c r="Q7207" s="3"/>
    </row>
    <row r="7208" spans="1:17" ht="15" x14ac:dyDescent="0.25">
      <c r="A7208" s="3">
        <f>7201</f>
        <v>7201</v>
      </c>
      <c r="B7208" s="3" t="s">
        <v>7210</v>
      </c>
      <c r="C7208" s="3" t="s">
        <v>10</v>
      </c>
      <c r="D7208" s="3" t="s">
        <v>9</v>
      </c>
      <c r="E7208" s="3">
        <v>23</v>
      </c>
      <c r="F7208" s="3">
        <v>70</v>
      </c>
      <c r="G7208" s="3">
        <v>1</v>
      </c>
      <c r="H7208" s="3">
        <v>5</v>
      </c>
      <c r="I7208" s="3">
        <v>21</v>
      </c>
      <c r="J7208" s="3">
        <v>1</v>
      </c>
      <c r="K7208" s="3">
        <v>24</v>
      </c>
      <c r="L7208" s="3">
        <v>1</v>
      </c>
      <c r="M7208" s="3">
        <v>0</v>
      </c>
      <c r="N7208" s="3">
        <v>22</v>
      </c>
      <c r="O7208" s="3"/>
      <c r="P7208" s="3"/>
      <c r="Q7208" s="3"/>
    </row>
    <row r="7209" spans="1:17" ht="15" x14ac:dyDescent="0.25">
      <c r="A7209" s="3">
        <f>7202</f>
        <v>7202</v>
      </c>
      <c r="B7209" s="3" t="s">
        <v>7211</v>
      </c>
      <c r="C7209" s="3" t="s">
        <v>10</v>
      </c>
      <c r="D7209" s="3" t="s">
        <v>9</v>
      </c>
      <c r="E7209" s="3">
        <v>23</v>
      </c>
      <c r="F7209" s="3">
        <v>70</v>
      </c>
      <c r="G7209" s="3">
        <v>1</v>
      </c>
      <c r="H7209" s="3">
        <v>5</v>
      </c>
      <c r="I7209" s="3">
        <v>21</v>
      </c>
      <c r="J7209" s="3">
        <v>1</v>
      </c>
      <c r="K7209" s="3">
        <v>24</v>
      </c>
      <c r="L7209" s="3">
        <v>1</v>
      </c>
      <c r="M7209" s="3">
        <v>0</v>
      </c>
      <c r="N7209" s="3">
        <v>22</v>
      </c>
      <c r="O7209" s="3"/>
      <c r="P7209" s="3"/>
      <c r="Q7209" s="3"/>
    </row>
    <row r="7210" spans="1:17" ht="15" x14ac:dyDescent="0.25">
      <c r="A7210" s="3">
        <f>7203</f>
        <v>7203</v>
      </c>
      <c r="B7210" s="3" t="s">
        <v>7212</v>
      </c>
      <c r="C7210" s="3" t="s">
        <v>10</v>
      </c>
      <c r="D7210" s="3" t="s">
        <v>9</v>
      </c>
      <c r="E7210" s="3">
        <v>23</v>
      </c>
      <c r="F7210" s="3">
        <v>70</v>
      </c>
      <c r="G7210" s="3">
        <v>1</v>
      </c>
      <c r="H7210" s="3">
        <v>5</v>
      </c>
      <c r="I7210" s="3">
        <v>21</v>
      </c>
      <c r="J7210" s="3">
        <v>1</v>
      </c>
      <c r="K7210" s="3">
        <v>24</v>
      </c>
      <c r="L7210" s="3">
        <v>1</v>
      </c>
      <c r="M7210" s="3">
        <v>0</v>
      </c>
      <c r="N7210" s="3">
        <v>22</v>
      </c>
      <c r="O7210" s="3"/>
      <c r="P7210" s="3"/>
      <c r="Q7210" s="3"/>
    </row>
    <row r="7211" spans="1:17" ht="15" x14ac:dyDescent="0.25">
      <c r="A7211" s="3">
        <f>7204</f>
        <v>7204</v>
      </c>
      <c r="B7211" s="3" t="s">
        <v>7213</v>
      </c>
      <c r="C7211" s="3" t="s">
        <v>10</v>
      </c>
      <c r="D7211" s="3" t="s">
        <v>9</v>
      </c>
      <c r="E7211" s="3">
        <v>23</v>
      </c>
      <c r="F7211" s="3">
        <v>70</v>
      </c>
      <c r="G7211" s="3">
        <v>1</v>
      </c>
      <c r="H7211" s="3">
        <v>5</v>
      </c>
      <c r="I7211" s="3">
        <v>21</v>
      </c>
      <c r="J7211" s="3">
        <v>1</v>
      </c>
      <c r="K7211" s="3">
        <v>24</v>
      </c>
      <c r="L7211" s="3">
        <v>1</v>
      </c>
      <c r="M7211" s="3">
        <v>0</v>
      </c>
      <c r="N7211" s="3">
        <v>22</v>
      </c>
      <c r="O7211" s="3"/>
      <c r="P7211" s="3"/>
      <c r="Q7211" s="3"/>
    </row>
    <row r="7212" spans="1:17" ht="15" x14ac:dyDescent="0.25">
      <c r="A7212" s="3">
        <f>7205</f>
        <v>7205</v>
      </c>
      <c r="B7212" s="3" t="s">
        <v>7214</v>
      </c>
      <c r="C7212" s="3" t="s">
        <v>10</v>
      </c>
      <c r="D7212" s="3" t="s">
        <v>9</v>
      </c>
      <c r="E7212" s="3">
        <v>23</v>
      </c>
      <c r="F7212" s="3">
        <v>70</v>
      </c>
      <c r="G7212" s="3">
        <v>1</v>
      </c>
      <c r="H7212" s="3">
        <v>5</v>
      </c>
      <c r="I7212" s="3">
        <v>21</v>
      </c>
      <c r="J7212" s="3">
        <v>1</v>
      </c>
      <c r="K7212" s="3">
        <v>24</v>
      </c>
      <c r="L7212" s="3">
        <v>1</v>
      </c>
      <c r="M7212" s="3">
        <v>0</v>
      </c>
      <c r="N7212" s="3">
        <v>22</v>
      </c>
      <c r="O7212" s="3"/>
      <c r="P7212" s="3"/>
      <c r="Q7212" s="3"/>
    </row>
    <row r="7213" spans="1:17" ht="15" x14ac:dyDescent="0.25">
      <c r="A7213" s="3">
        <f>7206</f>
        <v>7206</v>
      </c>
      <c r="B7213" s="3" t="s">
        <v>7215</v>
      </c>
      <c r="C7213" s="3" t="s">
        <v>10</v>
      </c>
      <c r="D7213" s="3" t="s">
        <v>9</v>
      </c>
      <c r="E7213" s="3">
        <v>23</v>
      </c>
      <c r="F7213" s="3">
        <v>70</v>
      </c>
      <c r="G7213" s="3">
        <v>1</v>
      </c>
      <c r="H7213" s="3">
        <v>5</v>
      </c>
      <c r="I7213" s="3">
        <v>21</v>
      </c>
      <c r="J7213" s="3">
        <v>1</v>
      </c>
      <c r="K7213" s="3">
        <v>24</v>
      </c>
      <c r="L7213" s="3">
        <v>1</v>
      </c>
      <c r="M7213" s="3">
        <v>0</v>
      </c>
      <c r="N7213" s="3">
        <v>22</v>
      </c>
      <c r="O7213" s="3"/>
      <c r="P7213" s="3"/>
      <c r="Q7213" s="3"/>
    </row>
    <row r="7214" spans="1:17" ht="15" x14ac:dyDescent="0.25">
      <c r="A7214" s="3">
        <f>7207</f>
        <v>7207</v>
      </c>
      <c r="B7214" s="3" t="s">
        <v>7216</v>
      </c>
      <c r="C7214" s="3" t="s">
        <v>10</v>
      </c>
      <c r="D7214" s="3" t="s">
        <v>9</v>
      </c>
      <c r="E7214" s="3">
        <v>23</v>
      </c>
      <c r="F7214" s="3">
        <v>70</v>
      </c>
      <c r="G7214" s="3">
        <v>1</v>
      </c>
      <c r="H7214" s="3">
        <v>5</v>
      </c>
      <c r="I7214" s="3">
        <v>21</v>
      </c>
      <c r="J7214" s="3">
        <v>1</v>
      </c>
      <c r="K7214" s="3">
        <v>24</v>
      </c>
      <c r="L7214" s="3">
        <v>1</v>
      </c>
      <c r="M7214" s="3">
        <v>0</v>
      </c>
      <c r="N7214" s="3">
        <v>22</v>
      </c>
      <c r="O7214" s="3"/>
      <c r="P7214" s="3"/>
      <c r="Q7214" s="3"/>
    </row>
    <row r="7215" spans="1:17" ht="15" x14ac:dyDescent="0.25">
      <c r="A7215" s="3">
        <f>7208</f>
        <v>7208</v>
      </c>
      <c r="B7215" s="3" t="s">
        <v>7217</v>
      </c>
      <c r="C7215" s="3" t="s">
        <v>10</v>
      </c>
      <c r="D7215" s="3" t="s">
        <v>9</v>
      </c>
      <c r="E7215" s="3">
        <v>23</v>
      </c>
      <c r="F7215" s="3">
        <v>70</v>
      </c>
      <c r="G7215" s="3">
        <v>1</v>
      </c>
      <c r="H7215" s="3">
        <v>5</v>
      </c>
      <c r="I7215" s="3">
        <v>21</v>
      </c>
      <c r="J7215" s="3">
        <v>1</v>
      </c>
      <c r="K7215" s="3">
        <v>24</v>
      </c>
      <c r="L7215" s="3">
        <v>1</v>
      </c>
      <c r="M7215" s="3">
        <v>0</v>
      </c>
      <c r="N7215" s="3">
        <v>22</v>
      </c>
      <c r="O7215" s="3"/>
      <c r="P7215" s="3"/>
      <c r="Q7215" s="3"/>
    </row>
    <row r="7216" spans="1:17" ht="15" x14ac:dyDescent="0.25">
      <c r="A7216" s="3">
        <f>7209</f>
        <v>7209</v>
      </c>
      <c r="B7216" s="3" t="s">
        <v>7218</v>
      </c>
      <c r="C7216" s="3" t="s">
        <v>10</v>
      </c>
      <c r="D7216" s="3" t="s">
        <v>9</v>
      </c>
      <c r="E7216" s="3">
        <v>23</v>
      </c>
      <c r="F7216" s="3">
        <v>70</v>
      </c>
      <c r="G7216" s="3">
        <v>1</v>
      </c>
      <c r="H7216" s="3">
        <v>5</v>
      </c>
      <c r="I7216" s="3">
        <v>21</v>
      </c>
      <c r="J7216" s="3">
        <v>1</v>
      </c>
      <c r="K7216" s="3">
        <v>24</v>
      </c>
      <c r="L7216" s="3">
        <v>1</v>
      </c>
      <c r="M7216" s="3">
        <v>0</v>
      </c>
      <c r="N7216" s="3">
        <v>22</v>
      </c>
      <c r="O7216" s="3"/>
      <c r="P7216" s="3"/>
      <c r="Q7216" s="3"/>
    </row>
    <row r="7217" spans="1:17" ht="15" x14ac:dyDescent="0.25">
      <c r="A7217" s="3">
        <f>7210</f>
        <v>7210</v>
      </c>
      <c r="B7217" s="3" t="s">
        <v>7219</v>
      </c>
      <c r="C7217" s="3" t="s">
        <v>10</v>
      </c>
      <c r="D7217" s="3" t="s">
        <v>9</v>
      </c>
      <c r="E7217" s="3">
        <v>23</v>
      </c>
      <c r="F7217" s="3">
        <v>70</v>
      </c>
      <c r="G7217" s="3">
        <v>1</v>
      </c>
      <c r="H7217" s="3">
        <v>5</v>
      </c>
      <c r="I7217" s="3">
        <v>21</v>
      </c>
      <c r="J7217" s="3">
        <v>1</v>
      </c>
      <c r="K7217" s="3">
        <v>24</v>
      </c>
      <c r="L7217" s="3">
        <v>1</v>
      </c>
      <c r="M7217" s="3">
        <v>0</v>
      </c>
      <c r="N7217" s="3">
        <v>22</v>
      </c>
      <c r="O7217" s="3"/>
      <c r="P7217" s="3"/>
      <c r="Q7217" s="3"/>
    </row>
    <row r="7218" spans="1:17" ht="15" x14ac:dyDescent="0.25">
      <c r="A7218" s="3">
        <f>7211</f>
        <v>7211</v>
      </c>
      <c r="B7218" s="3" t="s">
        <v>7220</v>
      </c>
      <c r="C7218" s="3" t="s">
        <v>10</v>
      </c>
      <c r="D7218" s="3" t="s">
        <v>9</v>
      </c>
      <c r="E7218" s="3">
        <v>23</v>
      </c>
      <c r="F7218" s="3">
        <v>70</v>
      </c>
      <c r="G7218" s="3">
        <v>1</v>
      </c>
      <c r="H7218" s="3">
        <v>5</v>
      </c>
      <c r="I7218" s="3">
        <v>21</v>
      </c>
      <c r="J7218" s="3">
        <v>1</v>
      </c>
      <c r="K7218" s="3">
        <v>24</v>
      </c>
      <c r="L7218" s="3">
        <v>1</v>
      </c>
      <c r="M7218" s="3">
        <v>0</v>
      </c>
      <c r="N7218" s="3">
        <v>22</v>
      </c>
      <c r="O7218" s="3"/>
      <c r="P7218" s="3"/>
      <c r="Q7218" s="3"/>
    </row>
    <row r="7219" spans="1:17" ht="15" x14ac:dyDescent="0.25">
      <c r="A7219" s="3">
        <f>7212</f>
        <v>7212</v>
      </c>
      <c r="B7219" s="3" t="s">
        <v>7221</v>
      </c>
      <c r="C7219" s="3" t="s">
        <v>10</v>
      </c>
      <c r="D7219" s="3" t="s">
        <v>9</v>
      </c>
      <c r="E7219" s="3">
        <v>23</v>
      </c>
      <c r="F7219" s="3">
        <v>70</v>
      </c>
      <c r="G7219" s="3">
        <v>1</v>
      </c>
      <c r="H7219" s="3">
        <v>5</v>
      </c>
      <c r="I7219" s="3">
        <v>21</v>
      </c>
      <c r="J7219" s="3">
        <v>1</v>
      </c>
      <c r="K7219" s="3">
        <v>24</v>
      </c>
      <c r="L7219" s="3">
        <v>1</v>
      </c>
      <c r="M7219" s="3">
        <v>0</v>
      </c>
      <c r="N7219" s="3">
        <v>22</v>
      </c>
      <c r="O7219" s="3"/>
      <c r="P7219" s="3"/>
      <c r="Q7219" s="3"/>
    </row>
    <row r="7220" spans="1:17" ht="15" x14ac:dyDescent="0.25">
      <c r="A7220" s="3">
        <f>7213</f>
        <v>7213</v>
      </c>
      <c r="B7220" s="3" t="s">
        <v>7222</v>
      </c>
      <c r="C7220" s="3" t="s">
        <v>10</v>
      </c>
      <c r="D7220" s="3" t="s">
        <v>9</v>
      </c>
      <c r="E7220" s="3">
        <v>23</v>
      </c>
      <c r="F7220" s="3">
        <v>70</v>
      </c>
      <c r="G7220" s="3">
        <v>1</v>
      </c>
      <c r="H7220" s="3">
        <v>5</v>
      </c>
      <c r="I7220" s="3">
        <v>21</v>
      </c>
      <c r="J7220" s="3">
        <v>1</v>
      </c>
      <c r="K7220" s="3">
        <v>24</v>
      </c>
      <c r="L7220" s="3">
        <v>1</v>
      </c>
      <c r="M7220" s="3">
        <v>0</v>
      </c>
      <c r="N7220" s="3">
        <v>22</v>
      </c>
      <c r="O7220" s="3"/>
      <c r="P7220" s="3"/>
      <c r="Q7220" s="3"/>
    </row>
    <row r="7221" spans="1:17" ht="15" x14ac:dyDescent="0.25">
      <c r="A7221" s="3">
        <f>7214</f>
        <v>7214</v>
      </c>
      <c r="B7221" s="3" t="s">
        <v>7223</v>
      </c>
      <c r="C7221" s="3" t="s">
        <v>10</v>
      </c>
      <c r="D7221" s="3" t="s">
        <v>9</v>
      </c>
      <c r="E7221" s="3">
        <v>23</v>
      </c>
      <c r="F7221" s="3">
        <v>70</v>
      </c>
      <c r="G7221" s="3">
        <v>1</v>
      </c>
      <c r="H7221" s="3">
        <v>5</v>
      </c>
      <c r="I7221" s="3">
        <v>21</v>
      </c>
      <c r="J7221" s="3">
        <v>1</v>
      </c>
      <c r="K7221" s="3">
        <v>24</v>
      </c>
      <c r="L7221" s="3">
        <v>1</v>
      </c>
      <c r="M7221" s="3">
        <v>0</v>
      </c>
      <c r="N7221" s="3">
        <v>22</v>
      </c>
      <c r="O7221" s="3"/>
      <c r="P7221" s="3"/>
      <c r="Q7221" s="3"/>
    </row>
    <row r="7222" spans="1:17" ht="15" x14ac:dyDescent="0.25">
      <c r="A7222" s="3">
        <f>7215</f>
        <v>7215</v>
      </c>
      <c r="B7222" s="3" t="s">
        <v>7224</v>
      </c>
      <c r="C7222" s="3" t="s">
        <v>10</v>
      </c>
      <c r="D7222" s="3" t="s">
        <v>9</v>
      </c>
      <c r="E7222" s="3">
        <v>23</v>
      </c>
      <c r="F7222" s="3">
        <v>70</v>
      </c>
      <c r="G7222" s="3">
        <v>1</v>
      </c>
      <c r="H7222" s="3">
        <v>5</v>
      </c>
      <c r="I7222" s="3">
        <v>21</v>
      </c>
      <c r="J7222" s="3">
        <v>1</v>
      </c>
      <c r="K7222" s="3">
        <v>24</v>
      </c>
      <c r="L7222" s="3">
        <v>1</v>
      </c>
      <c r="M7222" s="3">
        <v>0</v>
      </c>
      <c r="N7222" s="3">
        <v>22</v>
      </c>
      <c r="O7222" s="3"/>
      <c r="P7222" s="3"/>
      <c r="Q7222" s="3"/>
    </row>
    <row r="7223" spans="1:17" ht="15" x14ac:dyDescent="0.25">
      <c r="A7223" s="3">
        <f>7216</f>
        <v>7216</v>
      </c>
      <c r="B7223" s="3" t="s">
        <v>7225</v>
      </c>
      <c r="C7223" s="3" t="s">
        <v>10</v>
      </c>
      <c r="D7223" s="3" t="s">
        <v>9</v>
      </c>
      <c r="E7223" s="3">
        <v>23</v>
      </c>
      <c r="F7223" s="3">
        <v>70</v>
      </c>
      <c r="G7223" s="3">
        <v>1</v>
      </c>
      <c r="H7223" s="3">
        <v>5</v>
      </c>
      <c r="I7223" s="3">
        <v>21</v>
      </c>
      <c r="J7223" s="3">
        <v>1</v>
      </c>
      <c r="K7223" s="3">
        <v>24</v>
      </c>
      <c r="L7223" s="3">
        <v>1</v>
      </c>
      <c r="M7223" s="3">
        <v>0</v>
      </c>
      <c r="N7223" s="3">
        <v>22</v>
      </c>
      <c r="O7223" s="3"/>
      <c r="P7223" s="3"/>
      <c r="Q7223" s="3"/>
    </row>
    <row r="7224" spans="1:17" ht="15" x14ac:dyDescent="0.25">
      <c r="A7224" s="3">
        <f>7217</f>
        <v>7217</v>
      </c>
      <c r="B7224" s="3" t="s">
        <v>7226</v>
      </c>
      <c r="C7224" s="3" t="s">
        <v>10</v>
      </c>
      <c r="D7224" s="3" t="s">
        <v>9</v>
      </c>
      <c r="E7224" s="3">
        <v>23</v>
      </c>
      <c r="F7224" s="3">
        <v>70</v>
      </c>
      <c r="G7224" s="3">
        <v>1</v>
      </c>
      <c r="H7224" s="3">
        <v>5</v>
      </c>
      <c r="I7224" s="3">
        <v>21</v>
      </c>
      <c r="J7224" s="3">
        <v>1</v>
      </c>
      <c r="K7224" s="3">
        <v>24</v>
      </c>
      <c r="L7224" s="3">
        <v>1</v>
      </c>
      <c r="M7224" s="3">
        <v>0</v>
      </c>
      <c r="N7224" s="3">
        <v>22</v>
      </c>
      <c r="O7224" s="3"/>
      <c r="P7224" s="3"/>
      <c r="Q7224" s="3"/>
    </row>
    <row r="7225" spans="1:17" ht="15" x14ac:dyDescent="0.25">
      <c r="A7225" s="3">
        <f>7218</f>
        <v>7218</v>
      </c>
      <c r="B7225" s="3" t="s">
        <v>7227</v>
      </c>
      <c r="C7225" s="3" t="s">
        <v>10</v>
      </c>
      <c r="D7225" s="3" t="s">
        <v>9</v>
      </c>
      <c r="E7225" s="3">
        <v>23</v>
      </c>
      <c r="F7225" s="3">
        <v>70</v>
      </c>
      <c r="G7225" s="3">
        <v>1</v>
      </c>
      <c r="H7225" s="3">
        <v>5</v>
      </c>
      <c r="I7225" s="3">
        <v>21</v>
      </c>
      <c r="J7225" s="3">
        <v>1</v>
      </c>
      <c r="K7225" s="3">
        <v>24</v>
      </c>
      <c r="L7225" s="3">
        <v>1</v>
      </c>
      <c r="M7225" s="3">
        <v>0</v>
      </c>
      <c r="N7225" s="3">
        <v>22</v>
      </c>
      <c r="O7225" s="3"/>
      <c r="P7225" s="3"/>
      <c r="Q7225" s="3"/>
    </row>
    <row r="7226" spans="1:17" ht="15" x14ac:dyDescent="0.25">
      <c r="A7226" s="3">
        <f>7219</f>
        <v>7219</v>
      </c>
      <c r="B7226" s="3" t="s">
        <v>7228</v>
      </c>
      <c r="C7226" s="3" t="s">
        <v>10</v>
      </c>
      <c r="D7226" s="3" t="s">
        <v>9</v>
      </c>
      <c r="E7226" s="3">
        <v>23</v>
      </c>
      <c r="F7226" s="3">
        <v>70</v>
      </c>
      <c r="G7226" s="3">
        <v>1</v>
      </c>
      <c r="H7226" s="3">
        <v>5</v>
      </c>
      <c r="I7226" s="3">
        <v>21</v>
      </c>
      <c r="J7226" s="3">
        <v>1</v>
      </c>
      <c r="K7226" s="3">
        <v>24</v>
      </c>
      <c r="L7226" s="3">
        <v>1</v>
      </c>
      <c r="M7226" s="3">
        <v>0</v>
      </c>
      <c r="N7226" s="3">
        <v>22</v>
      </c>
      <c r="O7226" s="3"/>
      <c r="P7226" s="3"/>
      <c r="Q7226" s="3"/>
    </row>
    <row r="7227" spans="1:17" ht="15" x14ac:dyDescent="0.25">
      <c r="A7227" s="3">
        <f>7220</f>
        <v>7220</v>
      </c>
      <c r="B7227" s="3" t="s">
        <v>7229</v>
      </c>
      <c r="C7227" s="3" t="s">
        <v>10</v>
      </c>
      <c r="D7227" s="3" t="s">
        <v>9</v>
      </c>
      <c r="E7227" s="3">
        <v>23</v>
      </c>
      <c r="F7227" s="3">
        <v>70</v>
      </c>
      <c r="G7227" s="3">
        <v>1</v>
      </c>
      <c r="H7227" s="3">
        <v>5</v>
      </c>
      <c r="I7227" s="3">
        <v>21</v>
      </c>
      <c r="J7227" s="3">
        <v>1</v>
      </c>
      <c r="K7227" s="3">
        <v>24</v>
      </c>
      <c r="L7227" s="3">
        <v>1</v>
      </c>
      <c r="M7227" s="3">
        <v>0</v>
      </c>
      <c r="N7227" s="3">
        <v>22</v>
      </c>
      <c r="O7227" s="3"/>
      <c r="P7227" s="3"/>
      <c r="Q7227" s="3"/>
    </row>
    <row r="7228" spans="1:17" ht="15" x14ac:dyDescent="0.25">
      <c r="A7228" s="3">
        <f>7221</f>
        <v>7221</v>
      </c>
      <c r="B7228" s="3" t="s">
        <v>7230</v>
      </c>
      <c r="C7228" s="3" t="s">
        <v>10</v>
      </c>
      <c r="D7228" s="3" t="s">
        <v>9</v>
      </c>
      <c r="E7228" s="3">
        <v>23</v>
      </c>
      <c r="F7228" s="3">
        <v>70</v>
      </c>
      <c r="G7228" s="3">
        <v>1</v>
      </c>
      <c r="H7228" s="3">
        <v>5</v>
      </c>
      <c r="I7228" s="3">
        <v>21</v>
      </c>
      <c r="J7228" s="3">
        <v>1</v>
      </c>
      <c r="K7228" s="3">
        <v>24</v>
      </c>
      <c r="L7228" s="3">
        <v>1</v>
      </c>
      <c r="M7228" s="3">
        <v>0</v>
      </c>
      <c r="N7228" s="3">
        <v>22</v>
      </c>
      <c r="O7228" s="3"/>
      <c r="P7228" s="3"/>
      <c r="Q7228" s="3"/>
    </row>
    <row r="7229" spans="1:17" ht="15" x14ac:dyDescent="0.25">
      <c r="A7229" s="3">
        <f>7222</f>
        <v>7222</v>
      </c>
      <c r="B7229" s="3" t="s">
        <v>7231</v>
      </c>
      <c r="C7229" s="3" t="s">
        <v>10</v>
      </c>
      <c r="D7229" s="3" t="s">
        <v>9</v>
      </c>
      <c r="E7229" s="3">
        <v>23</v>
      </c>
      <c r="F7229" s="3">
        <v>70</v>
      </c>
      <c r="G7229" s="3">
        <v>1</v>
      </c>
      <c r="H7229" s="3">
        <v>5</v>
      </c>
      <c r="I7229" s="3">
        <v>21</v>
      </c>
      <c r="J7229" s="3">
        <v>1</v>
      </c>
      <c r="K7229" s="3">
        <v>24</v>
      </c>
      <c r="L7229" s="3">
        <v>1</v>
      </c>
      <c r="M7229" s="3">
        <v>0</v>
      </c>
      <c r="N7229" s="3">
        <v>22</v>
      </c>
      <c r="O7229" s="3"/>
      <c r="P7229" s="3"/>
      <c r="Q7229" s="3"/>
    </row>
    <row r="7230" spans="1:17" ht="15" x14ac:dyDescent="0.25">
      <c r="A7230" s="3">
        <f>7223</f>
        <v>7223</v>
      </c>
      <c r="B7230" s="3" t="s">
        <v>7232</v>
      </c>
      <c r="C7230" s="3" t="s">
        <v>10</v>
      </c>
      <c r="D7230" s="3" t="s">
        <v>9</v>
      </c>
      <c r="E7230" s="3">
        <v>23</v>
      </c>
      <c r="F7230" s="3">
        <v>70</v>
      </c>
      <c r="G7230" s="3">
        <v>1</v>
      </c>
      <c r="H7230" s="3">
        <v>5</v>
      </c>
      <c r="I7230" s="3">
        <v>21</v>
      </c>
      <c r="J7230" s="3">
        <v>1</v>
      </c>
      <c r="K7230" s="3">
        <v>24</v>
      </c>
      <c r="L7230" s="3">
        <v>1</v>
      </c>
      <c r="M7230" s="3">
        <v>0</v>
      </c>
      <c r="N7230" s="3">
        <v>22</v>
      </c>
      <c r="O7230" s="3"/>
      <c r="P7230" s="3"/>
      <c r="Q7230" s="3"/>
    </row>
    <row r="7231" spans="1:17" ht="15" x14ac:dyDescent="0.25">
      <c r="A7231" s="3">
        <f>7224</f>
        <v>7224</v>
      </c>
      <c r="B7231" s="3" t="s">
        <v>7233</v>
      </c>
      <c r="C7231" s="3" t="s">
        <v>10</v>
      </c>
      <c r="D7231" s="3" t="s">
        <v>9</v>
      </c>
      <c r="E7231" s="3">
        <v>23</v>
      </c>
      <c r="F7231" s="3">
        <v>70</v>
      </c>
      <c r="G7231" s="3">
        <v>1</v>
      </c>
      <c r="H7231" s="3">
        <v>5</v>
      </c>
      <c r="I7231" s="3">
        <v>21</v>
      </c>
      <c r="J7231" s="3">
        <v>1</v>
      </c>
      <c r="K7231" s="3">
        <v>24</v>
      </c>
      <c r="L7231" s="3">
        <v>1</v>
      </c>
      <c r="M7231" s="3">
        <v>0</v>
      </c>
      <c r="N7231" s="3">
        <v>22</v>
      </c>
      <c r="O7231" s="3"/>
      <c r="P7231" s="3"/>
      <c r="Q7231" s="3"/>
    </row>
    <row r="7232" spans="1:17" ht="15" x14ac:dyDescent="0.25">
      <c r="A7232" s="3">
        <f>7225</f>
        <v>7225</v>
      </c>
      <c r="B7232" s="3" t="s">
        <v>7234</v>
      </c>
      <c r="C7232" s="3" t="s">
        <v>10</v>
      </c>
      <c r="D7232" s="3" t="s">
        <v>9</v>
      </c>
      <c r="E7232" s="3">
        <v>23</v>
      </c>
      <c r="F7232" s="3">
        <v>70</v>
      </c>
      <c r="G7232" s="3">
        <v>1</v>
      </c>
      <c r="H7232" s="3">
        <v>5</v>
      </c>
      <c r="I7232" s="3">
        <v>21</v>
      </c>
      <c r="J7232" s="3">
        <v>1</v>
      </c>
      <c r="K7232" s="3">
        <v>24</v>
      </c>
      <c r="L7232" s="3">
        <v>1</v>
      </c>
      <c r="M7232" s="3">
        <v>0</v>
      </c>
      <c r="N7232" s="3">
        <v>22</v>
      </c>
      <c r="O7232" s="3"/>
      <c r="P7232" s="3"/>
      <c r="Q7232" s="3"/>
    </row>
    <row r="7233" spans="1:17" ht="15" x14ac:dyDescent="0.25">
      <c r="A7233" s="3">
        <f>7226</f>
        <v>7226</v>
      </c>
      <c r="B7233" s="3" t="s">
        <v>7235</v>
      </c>
      <c r="C7233" s="3" t="s">
        <v>10</v>
      </c>
      <c r="D7233" s="3" t="s">
        <v>9</v>
      </c>
      <c r="E7233" s="3">
        <v>23</v>
      </c>
      <c r="F7233" s="3">
        <v>70</v>
      </c>
      <c r="G7233" s="3">
        <v>1</v>
      </c>
      <c r="H7233" s="3">
        <v>5</v>
      </c>
      <c r="I7233" s="3">
        <v>21</v>
      </c>
      <c r="J7233" s="3">
        <v>1</v>
      </c>
      <c r="K7233" s="3">
        <v>24</v>
      </c>
      <c r="L7233" s="3">
        <v>1</v>
      </c>
      <c r="M7233" s="3">
        <v>0</v>
      </c>
      <c r="N7233" s="3">
        <v>22</v>
      </c>
      <c r="O7233" s="3"/>
      <c r="P7233" s="3"/>
      <c r="Q7233" s="3"/>
    </row>
    <row r="7234" spans="1:17" ht="15" x14ac:dyDescent="0.25">
      <c r="A7234" s="3">
        <f>7227</f>
        <v>7227</v>
      </c>
      <c r="B7234" s="3" t="s">
        <v>7236</v>
      </c>
      <c r="C7234" s="3" t="s">
        <v>10</v>
      </c>
      <c r="D7234" s="3" t="s">
        <v>9</v>
      </c>
      <c r="E7234" s="3">
        <v>23</v>
      </c>
      <c r="F7234" s="3">
        <v>70</v>
      </c>
      <c r="G7234" s="3">
        <v>1</v>
      </c>
      <c r="H7234" s="3">
        <v>5</v>
      </c>
      <c r="I7234" s="3">
        <v>21</v>
      </c>
      <c r="J7234" s="3">
        <v>1</v>
      </c>
      <c r="K7234" s="3">
        <v>24</v>
      </c>
      <c r="L7234" s="3">
        <v>1</v>
      </c>
      <c r="M7234" s="3">
        <v>0</v>
      </c>
      <c r="N7234" s="3">
        <v>22</v>
      </c>
      <c r="O7234" s="3"/>
      <c r="P7234" s="3"/>
      <c r="Q7234" s="3"/>
    </row>
    <row r="7235" spans="1:17" ht="15" x14ac:dyDescent="0.25">
      <c r="A7235" s="3">
        <f>7228</f>
        <v>7228</v>
      </c>
      <c r="B7235" s="3" t="s">
        <v>7237</v>
      </c>
      <c r="C7235" s="3" t="s">
        <v>10</v>
      </c>
      <c r="D7235" s="3" t="s">
        <v>9</v>
      </c>
      <c r="E7235" s="3">
        <v>23</v>
      </c>
      <c r="F7235" s="3">
        <v>70</v>
      </c>
      <c r="G7235" s="3">
        <v>1</v>
      </c>
      <c r="H7235" s="3">
        <v>5</v>
      </c>
      <c r="I7235" s="3">
        <v>21</v>
      </c>
      <c r="J7235" s="3">
        <v>1</v>
      </c>
      <c r="K7235" s="3">
        <v>24</v>
      </c>
      <c r="L7235" s="3">
        <v>1</v>
      </c>
      <c r="M7235" s="3">
        <v>0</v>
      </c>
      <c r="N7235" s="3">
        <v>22</v>
      </c>
      <c r="O7235" s="3"/>
      <c r="P7235" s="3"/>
      <c r="Q7235" s="3"/>
    </row>
    <row r="7236" spans="1:17" ht="15" x14ac:dyDescent="0.25">
      <c r="A7236" s="3">
        <f>7229</f>
        <v>7229</v>
      </c>
      <c r="B7236" s="3" t="s">
        <v>7238</v>
      </c>
      <c r="C7236" s="3" t="s">
        <v>10</v>
      </c>
      <c r="D7236" s="3" t="s">
        <v>9</v>
      </c>
      <c r="E7236" s="3">
        <v>23</v>
      </c>
      <c r="F7236" s="3">
        <v>70</v>
      </c>
      <c r="G7236" s="3">
        <v>1</v>
      </c>
      <c r="H7236" s="3">
        <v>5</v>
      </c>
      <c r="I7236" s="3">
        <v>21</v>
      </c>
      <c r="J7236" s="3">
        <v>1</v>
      </c>
      <c r="K7236" s="3">
        <v>24</v>
      </c>
      <c r="L7236" s="3">
        <v>1</v>
      </c>
      <c r="M7236" s="3">
        <v>0</v>
      </c>
      <c r="N7236" s="3">
        <v>22</v>
      </c>
      <c r="O7236" s="3"/>
      <c r="P7236" s="3"/>
      <c r="Q7236" s="3"/>
    </row>
    <row r="7237" spans="1:17" ht="15" x14ac:dyDescent="0.25">
      <c r="A7237" s="3">
        <f>7230</f>
        <v>7230</v>
      </c>
      <c r="B7237" s="3" t="s">
        <v>7239</v>
      </c>
      <c r="C7237" s="3" t="s">
        <v>10</v>
      </c>
      <c r="D7237" s="3" t="s">
        <v>9</v>
      </c>
      <c r="E7237" s="3">
        <v>23</v>
      </c>
      <c r="F7237" s="3">
        <v>70</v>
      </c>
      <c r="G7237" s="3">
        <v>1</v>
      </c>
      <c r="H7237" s="3">
        <v>5</v>
      </c>
      <c r="I7237" s="3">
        <v>21</v>
      </c>
      <c r="J7237" s="3">
        <v>1</v>
      </c>
      <c r="K7237" s="3">
        <v>24</v>
      </c>
      <c r="L7237" s="3">
        <v>1</v>
      </c>
      <c r="M7237" s="3">
        <v>0</v>
      </c>
      <c r="N7237" s="3">
        <v>22</v>
      </c>
      <c r="O7237" s="3"/>
      <c r="P7237" s="3"/>
      <c r="Q7237" s="3"/>
    </row>
    <row r="7238" spans="1:17" ht="15" x14ac:dyDescent="0.25">
      <c r="A7238" s="3">
        <f>7231</f>
        <v>7231</v>
      </c>
      <c r="B7238" s="3" t="s">
        <v>7240</v>
      </c>
      <c r="C7238" s="3" t="s">
        <v>10</v>
      </c>
      <c r="D7238" s="3" t="s">
        <v>9</v>
      </c>
      <c r="E7238" s="3">
        <v>23</v>
      </c>
      <c r="F7238" s="3">
        <v>70</v>
      </c>
      <c r="G7238" s="3">
        <v>1</v>
      </c>
      <c r="H7238" s="3">
        <v>5</v>
      </c>
      <c r="I7238" s="3">
        <v>21</v>
      </c>
      <c r="J7238" s="3">
        <v>1</v>
      </c>
      <c r="K7238" s="3">
        <v>24</v>
      </c>
      <c r="L7238" s="3">
        <v>1</v>
      </c>
      <c r="M7238" s="3">
        <v>0</v>
      </c>
      <c r="N7238" s="3">
        <v>22</v>
      </c>
      <c r="O7238" s="3"/>
      <c r="P7238" s="3"/>
      <c r="Q7238" s="3"/>
    </row>
    <row r="7239" spans="1:17" ht="15" x14ac:dyDescent="0.25">
      <c r="A7239" s="3">
        <f>7232</f>
        <v>7232</v>
      </c>
      <c r="B7239" s="3" t="s">
        <v>7241</v>
      </c>
      <c r="C7239" s="3" t="s">
        <v>10</v>
      </c>
      <c r="D7239" s="3" t="s">
        <v>9</v>
      </c>
      <c r="E7239" s="3">
        <v>23</v>
      </c>
      <c r="F7239" s="3">
        <v>70</v>
      </c>
      <c r="G7239" s="3">
        <v>1</v>
      </c>
      <c r="H7239" s="3">
        <v>5</v>
      </c>
      <c r="I7239" s="3">
        <v>21</v>
      </c>
      <c r="J7239" s="3">
        <v>1</v>
      </c>
      <c r="K7239" s="3">
        <v>24</v>
      </c>
      <c r="L7239" s="3">
        <v>1</v>
      </c>
      <c r="M7239" s="3">
        <v>0</v>
      </c>
      <c r="N7239" s="3">
        <v>22</v>
      </c>
      <c r="O7239" s="3"/>
      <c r="P7239" s="3"/>
      <c r="Q7239" s="3"/>
    </row>
    <row r="7240" spans="1:17" ht="15" x14ac:dyDescent="0.25">
      <c r="A7240" s="3">
        <f>7233</f>
        <v>7233</v>
      </c>
      <c r="B7240" s="3" t="s">
        <v>7242</v>
      </c>
      <c r="C7240" s="3" t="s">
        <v>10</v>
      </c>
      <c r="D7240" s="3" t="s">
        <v>9</v>
      </c>
      <c r="E7240" s="3">
        <v>23</v>
      </c>
      <c r="F7240" s="3">
        <v>70</v>
      </c>
      <c r="G7240" s="3">
        <v>1</v>
      </c>
      <c r="H7240" s="3">
        <v>5</v>
      </c>
      <c r="I7240" s="3">
        <v>21</v>
      </c>
      <c r="J7240" s="3">
        <v>1</v>
      </c>
      <c r="K7240" s="3">
        <v>24</v>
      </c>
      <c r="L7240" s="3">
        <v>1</v>
      </c>
      <c r="M7240" s="3">
        <v>0</v>
      </c>
      <c r="N7240" s="3">
        <v>22</v>
      </c>
      <c r="O7240" s="3"/>
      <c r="P7240" s="3"/>
      <c r="Q7240" s="3"/>
    </row>
    <row r="7241" spans="1:17" ht="15" x14ac:dyDescent="0.25">
      <c r="A7241" s="3">
        <f>7234</f>
        <v>7234</v>
      </c>
      <c r="B7241" s="3" t="s">
        <v>7243</v>
      </c>
      <c r="C7241" s="3" t="s">
        <v>10</v>
      </c>
      <c r="D7241" s="3" t="s">
        <v>9</v>
      </c>
      <c r="E7241" s="3">
        <v>23</v>
      </c>
      <c r="F7241" s="3">
        <v>70</v>
      </c>
      <c r="G7241" s="3">
        <v>1</v>
      </c>
      <c r="H7241" s="3">
        <v>5</v>
      </c>
      <c r="I7241" s="3">
        <v>21</v>
      </c>
      <c r="J7241" s="3">
        <v>1</v>
      </c>
      <c r="K7241" s="3">
        <v>24</v>
      </c>
      <c r="L7241" s="3">
        <v>1</v>
      </c>
      <c r="M7241" s="3">
        <v>0</v>
      </c>
      <c r="N7241" s="3">
        <v>22</v>
      </c>
      <c r="O7241" s="3"/>
      <c r="P7241" s="3"/>
      <c r="Q7241" s="3"/>
    </row>
    <row r="7242" spans="1:17" ht="15" x14ac:dyDescent="0.25">
      <c r="A7242" s="3">
        <f>7235</f>
        <v>7235</v>
      </c>
      <c r="B7242" s="3" t="s">
        <v>7244</v>
      </c>
      <c r="C7242" s="3" t="s">
        <v>10</v>
      </c>
      <c r="D7242" s="3" t="s">
        <v>9</v>
      </c>
      <c r="E7242" s="3">
        <v>23</v>
      </c>
      <c r="F7242" s="3">
        <v>70</v>
      </c>
      <c r="G7242" s="3">
        <v>1</v>
      </c>
      <c r="H7242" s="3">
        <v>5</v>
      </c>
      <c r="I7242" s="3">
        <v>21</v>
      </c>
      <c r="J7242" s="3">
        <v>1</v>
      </c>
      <c r="K7242" s="3">
        <v>24</v>
      </c>
      <c r="L7242" s="3">
        <v>1</v>
      </c>
      <c r="M7242" s="3">
        <v>0</v>
      </c>
      <c r="N7242" s="3">
        <v>22</v>
      </c>
      <c r="O7242" s="3"/>
      <c r="P7242" s="3"/>
      <c r="Q7242" s="3"/>
    </row>
    <row r="7243" spans="1:17" ht="15" x14ac:dyDescent="0.25">
      <c r="A7243" s="3">
        <f>7236</f>
        <v>7236</v>
      </c>
      <c r="B7243" s="3" t="s">
        <v>7245</v>
      </c>
      <c r="C7243" s="3" t="s">
        <v>10</v>
      </c>
      <c r="D7243" s="3" t="s">
        <v>9</v>
      </c>
      <c r="E7243" s="3">
        <v>23</v>
      </c>
      <c r="F7243" s="3">
        <v>70</v>
      </c>
      <c r="G7243" s="3">
        <v>1</v>
      </c>
      <c r="H7243" s="3">
        <v>5</v>
      </c>
      <c r="I7243" s="3">
        <v>21</v>
      </c>
      <c r="J7243" s="3">
        <v>1</v>
      </c>
      <c r="K7243" s="3">
        <v>24</v>
      </c>
      <c r="L7243" s="3">
        <v>1</v>
      </c>
      <c r="M7243" s="3">
        <v>0</v>
      </c>
      <c r="N7243" s="3">
        <v>22</v>
      </c>
      <c r="O7243" s="3"/>
      <c r="P7243" s="3"/>
      <c r="Q7243" s="3"/>
    </row>
    <row r="7244" spans="1:17" ht="15" x14ac:dyDescent="0.25">
      <c r="A7244" s="3">
        <f>7237</f>
        <v>7237</v>
      </c>
      <c r="B7244" s="3" t="s">
        <v>7246</v>
      </c>
      <c r="C7244" s="3" t="s">
        <v>10</v>
      </c>
      <c r="D7244" s="3" t="s">
        <v>9</v>
      </c>
      <c r="E7244" s="3">
        <v>23</v>
      </c>
      <c r="F7244" s="3">
        <v>70</v>
      </c>
      <c r="G7244" s="3">
        <v>1</v>
      </c>
      <c r="H7244" s="3">
        <v>5</v>
      </c>
      <c r="I7244" s="3">
        <v>21</v>
      </c>
      <c r="J7244" s="3">
        <v>1</v>
      </c>
      <c r="K7244" s="3">
        <v>24</v>
      </c>
      <c r="L7244" s="3">
        <v>1</v>
      </c>
      <c r="M7244" s="3">
        <v>0</v>
      </c>
      <c r="N7244" s="3">
        <v>22</v>
      </c>
      <c r="O7244" s="3"/>
      <c r="P7244" s="3"/>
      <c r="Q7244" s="3"/>
    </row>
    <row r="7245" spans="1:17" ht="15" x14ac:dyDescent="0.25">
      <c r="A7245" s="3">
        <f>7238</f>
        <v>7238</v>
      </c>
      <c r="B7245" s="3" t="s">
        <v>7247</v>
      </c>
      <c r="C7245" s="3" t="s">
        <v>10</v>
      </c>
      <c r="D7245" s="3" t="s">
        <v>9</v>
      </c>
      <c r="E7245" s="3">
        <v>23</v>
      </c>
      <c r="F7245" s="3">
        <v>70</v>
      </c>
      <c r="G7245" s="3">
        <v>1</v>
      </c>
      <c r="H7245" s="3">
        <v>5</v>
      </c>
      <c r="I7245" s="3">
        <v>21</v>
      </c>
      <c r="J7245" s="3">
        <v>1</v>
      </c>
      <c r="K7245" s="3">
        <v>24</v>
      </c>
      <c r="L7245" s="3">
        <v>1</v>
      </c>
      <c r="M7245" s="3">
        <v>0</v>
      </c>
      <c r="N7245" s="3">
        <v>22</v>
      </c>
      <c r="O7245" s="3"/>
      <c r="P7245" s="3"/>
      <c r="Q7245" s="3"/>
    </row>
    <row r="7246" spans="1:17" ht="15" x14ac:dyDescent="0.25">
      <c r="A7246" s="3">
        <f>7239</f>
        <v>7239</v>
      </c>
      <c r="B7246" s="3" t="s">
        <v>7248</v>
      </c>
      <c r="C7246" s="3" t="s">
        <v>10</v>
      </c>
      <c r="D7246" s="3" t="s">
        <v>9</v>
      </c>
      <c r="E7246" s="3">
        <v>23</v>
      </c>
      <c r="F7246" s="3">
        <v>70</v>
      </c>
      <c r="G7246" s="3">
        <v>1</v>
      </c>
      <c r="H7246" s="3">
        <v>5</v>
      </c>
      <c r="I7246" s="3">
        <v>21</v>
      </c>
      <c r="J7246" s="3">
        <v>1</v>
      </c>
      <c r="K7246" s="3">
        <v>24</v>
      </c>
      <c r="L7246" s="3">
        <v>1</v>
      </c>
      <c r="M7246" s="3">
        <v>0</v>
      </c>
      <c r="N7246" s="3">
        <v>22</v>
      </c>
      <c r="O7246" s="3"/>
      <c r="P7246" s="3"/>
      <c r="Q7246" s="3"/>
    </row>
    <row r="7247" spans="1:17" ht="15" x14ac:dyDescent="0.25">
      <c r="A7247" s="3">
        <f>7240</f>
        <v>7240</v>
      </c>
      <c r="B7247" s="3" t="s">
        <v>7249</v>
      </c>
      <c r="C7247" s="3" t="s">
        <v>10</v>
      </c>
      <c r="D7247" s="3" t="s">
        <v>9</v>
      </c>
      <c r="E7247" s="3">
        <v>23</v>
      </c>
      <c r="F7247" s="3">
        <v>70</v>
      </c>
      <c r="G7247" s="3">
        <v>1</v>
      </c>
      <c r="H7247" s="3">
        <v>5</v>
      </c>
      <c r="I7247" s="3">
        <v>21</v>
      </c>
      <c r="J7247" s="3">
        <v>1</v>
      </c>
      <c r="K7247" s="3">
        <v>24</v>
      </c>
      <c r="L7247" s="3">
        <v>1</v>
      </c>
      <c r="M7247" s="3">
        <v>0</v>
      </c>
      <c r="N7247" s="3">
        <v>22</v>
      </c>
      <c r="O7247" s="3"/>
      <c r="P7247" s="3"/>
      <c r="Q7247" s="3"/>
    </row>
    <row r="7248" spans="1:17" ht="15" x14ac:dyDescent="0.25">
      <c r="A7248" s="3">
        <f>7241</f>
        <v>7241</v>
      </c>
      <c r="B7248" s="3" t="s">
        <v>7250</v>
      </c>
      <c r="C7248" s="3" t="s">
        <v>10</v>
      </c>
      <c r="D7248" s="3" t="s">
        <v>9</v>
      </c>
      <c r="E7248" s="3">
        <v>23</v>
      </c>
      <c r="F7248" s="3">
        <v>70</v>
      </c>
      <c r="G7248" s="3">
        <v>1</v>
      </c>
      <c r="H7248" s="3">
        <v>5</v>
      </c>
      <c r="I7248" s="3">
        <v>21</v>
      </c>
      <c r="J7248" s="3">
        <v>1</v>
      </c>
      <c r="K7248" s="3">
        <v>24</v>
      </c>
      <c r="L7248" s="3">
        <v>1</v>
      </c>
      <c r="M7248" s="3">
        <v>0</v>
      </c>
      <c r="N7248" s="3">
        <v>22</v>
      </c>
      <c r="O7248" s="3"/>
      <c r="P7248" s="3"/>
      <c r="Q7248" s="3"/>
    </row>
    <row r="7249" spans="1:17" ht="15" x14ac:dyDescent="0.25">
      <c r="A7249" s="3">
        <f>7242</f>
        <v>7242</v>
      </c>
      <c r="B7249" s="3" t="s">
        <v>7251</v>
      </c>
      <c r="C7249" s="3" t="s">
        <v>10</v>
      </c>
      <c r="D7249" s="3" t="s">
        <v>9</v>
      </c>
      <c r="E7249" s="3">
        <v>23</v>
      </c>
      <c r="F7249" s="3">
        <v>70</v>
      </c>
      <c r="G7249" s="3">
        <v>1</v>
      </c>
      <c r="H7249" s="3">
        <v>5</v>
      </c>
      <c r="I7249" s="3">
        <v>21</v>
      </c>
      <c r="J7249" s="3">
        <v>1</v>
      </c>
      <c r="K7249" s="3">
        <v>24</v>
      </c>
      <c r="L7249" s="3">
        <v>1</v>
      </c>
      <c r="M7249" s="3">
        <v>0</v>
      </c>
      <c r="N7249" s="3">
        <v>22</v>
      </c>
      <c r="O7249" s="3"/>
      <c r="P7249" s="3"/>
      <c r="Q7249" s="3"/>
    </row>
    <row r="7250" spans="1:17" ht="15" x14ac:dyDescent="0.25">
      <c r="A7250" s="3">
        <f>7243</f>
        <v>7243</v>
      </c>
      <c r="B7250" s="3" t="s">
        <v>7252</v>
      </c>
      <c r="C7250" s="3" t="s">
        <v>10</v>
      </c>
      <c r="D7250" s="3" t="s">
        <v>9</v>
      </c>
      <c r="E7250" s="3">
        <v>23</v>
      </c>
      <c r="F7250" s="3">
        <v>70</v>
      </c>
      <c r="G7250" s="3">
        <v>1</v>
      </c>
      <c r="H7250" s="3">
        <v>5</v>
      </c>
      <c r="I7250" s="3">
        <v>21</v>
      </c>
      <c r="J7250" s="3">
        <v>1</v>
      </c>
      <c r="K7250" s="3">
        <v>24</v>
      </c>
      <c r="L7250" s="3">
        <v>1</v>
      </c>
      <c r="M7250" s="3">
        <v>0</v>
      </c>
      <c r="N7250" s="3">
        <v>22</v>
      </c>
      <c r="O7250" s="3"/>
      <c r="P7250" s="3"/>
      <c r="Q7250" s="3"/>
    </row>
    <row r="7251" spans="1:17" ht="15" x14ac:dyDescent="0.25">
      <c r="A7251" s="3">
        <f>7244</f>
        <v>7244</v>
      </c>
      <c r="B7251" s="3" t="s">
        <v>7253</v>
      </c>
      <c r="C7251" s="3" t="s">
        <v>10</v>
      </c>
      <c r="D7251" s="3" t="s">
        <v>9</v>
      </c>
      <c r="E7251" s="3">
        <v>23</v>
      </c>
      <c r="F7251" s="3">
        <v>70</v>
      </c>
      <c r="G7251" s="3">
        <v>1</v>
      </c>
      <c r="H7251" s="3">
        <v>5</v>
      </c>
      <c r="I7251" s="3">
        <v>21</v>
      </c>
      <c r="J7251" s="3">
        <v>1</v>
      </c>
      <c r="K7251" s="3">
        <v>24</v>
      </c>
      <c r="L7251" s="3">
        <v>1</v>
      </c>
      <c r="M7251" s="3">
        <v>0</v>
      </c>
      <c r="N7251" s="3">
        <v>22</v>
      </c>
      <c r="O7251" s="3"/>
      <c r="P7251" s="3"/>
      <c r="Q7251" s="3"/>
    </row>
    <row r="7252" spans="1:17" ht="15" x14ac:dyDescent="0.25">
      <c r="A7252" s="3">
        <f>7245</f>
        <v>7245</v>
      </c>
      <c r="B7252" s="3" t="s">
        <v>7254</v>
      </c>
      <c r="C7252" s="3" t="s">
        <v>10</v>
      </c>
      <c r="D7252" s="3" t="s">
        <v>9</v>
      </c>
      <c r="E7252" s="3">
        <v>23</v>
      </c>
      <c r="F7252" s="3">
        <v>70</v>
      </c>
      <c r="G7252" s="3">
        <v>1</v>
      </c>
      <c r="H7252" s="3">
        <v>5</v>
      </c>
      <c r="I7252" s="3">
        <v>21</v>
      </c>
      <c r="J7252" s="3">
        <v>1</v>
      </c>
      <c r="K7252" s="3">
        <v>24</v>
      </c>
      <c r="L7252" s="3">
        <v>1</v>
      </c>
      <c r="M7252" s="3">
        <v>0</v>
      </c>
      <c r="N7252" s="3">
        <v>22</v>
      </c>
      <c r="O7252" s="3"/>
      <c r="P7252" s="3"/>
      <c r="Q7252" s="3"/>
    </row>
    <row r="7253" spans="1:17" ht="15" x14ac:dyDescent="0.25">
      <c r="A7253" s="3">
        <f>7246</f>
        <v>7246</v>
      </c>
      <c r="B7253" s="3" t="s">
        <v>7255</v>
      </c>
      <c r="C7253" s="3" t="s">
        <v>10</v>
      </c>
      <c r="D7253" s="3" t="s">
        <v>9</v>
      </c>
      <c r="E7253" s="3">
        <v>23</v>
      </c>
      <c r="F7253" s="3">
        <v>70</v>
      </c>
      <c r="G7253" s="3">
        <v>1</v>
      </c>
      <c r="H7253" s="3">
        <v>5</v>
      </c>
      <c r="I7253" s="3">
        <v>21</v>
      </c>
      <c r="J7253" s="3">
        <v>1</v>
      </c>
      <c r="K7253" s="3">
        <v>24</v>
      </c>
      <c r="L7253" s="3">
        <v>1</v>
      </c>
      <c r="M7253" s="3">
        <v>0</v>
      </c>
      <c r="N7253" s="3">
        <v>22</v>
      </c>
      <c r="O7253" s="3"/>
      <c r="P7253" s="3"/>
      <c r="Q7253" s="3"/>
    </row>
    <row r="7254" spans="1:17" ht="15" x14ac:dyDescent="0.25">
      <c r="A7254" s="3">
        <f>7247</f>
        <v>7247</v>
      </c>
      <c r="B7254" s="3" t="s">
        <v>7256</v>
      </c>
      <c r="C7254" s="3" t="s">
        <v>10</v>
      </c>
      <c r="D7254" s="3" t="s">
        <v>9</v>
      </c>
      <c r="E7254" s="3">
        <v>23</v>
      </c>
      <c r="F7254" s="3">
        <v>70</v>
      </c>
      <c r="G7254" s="3">
        <v>1</v>
      </c>
      <c r="H7254" s="3">
        <v>5</v>
      </c>
      <c r="I7254" s="3">
        <v>21</v>
      </c>
      <c r="J7254" s="3">
        <v>1</v>
      </c>
      <c r="K7254" s="3">
        <v>24</v>
      </c>
      <c r="L7254" s="3">
        <v>1</v>
      </c>
      <c r="M7254" s="3">
        <v>0</v>
      </c>
      <c r="N7254" s="3">
        <v>22</v>
      </c>
      <c r="O7254" s="3"/>
      <c r="P7254" s="3"/>
      <c r="Q7254" s="3"/>
    </row>
    <row r="7255" spans="1:17" ht="15" x14ac:dyDescent="0.25">
      <c r="A7255" s="3">
        <f>7248</f>
        <v>7248</v>
      </c>
      <c r="B7255" s="3" t="s">
        <v>7257</v>
      </c>
      <c r="C7255" s="3" t="s">
        <v>10</v>
      </c>
      <c r="D7255" s="3" t="s">
        <v>9</v>
      </c>
      <c r="E7255" s="3">
        <v>23</v>
      </c>
      <c r="F7255" s="3">
        <v>70</v>
      </c>
      <c r="G7255" s="3">
        <v>1</v>
      </c>
      <c r="H7255" s="3">
        <v>5</v>
      </c>
      <c r="I7255" s="3">
        <v>21</v>
      </c>
      <c r="J7255" s="3">
        <v>1</v>
      </c>
      <c r="K7255" s="3">
        <v>24</v>
      </c>
      <c r="L7255" s="3">
        <v>1</v>
      </c>
      <c r="M7255" s="3">
        <v>0</v>
      </c>
      <c r="N7255" s="3">
        <v>22</v>
      </c>
      <c r="O7255" s="3"/>
      <c r="P7255" s="3"/>
      <c r="Q7255" s="3"/>
    </row>
    <row r="7256" spans="1:17" ht="15" x14ac:dyDescent="0.25">
      <c r="A7256" s="3">
        <f>7249</f>
        <v>7249</v>
      </c>
      <c r="B7256" s="3" t="s">
        <v>7258</v>
      </c>
      <c r="C7256" s="3" t="s">
        <v>10</v>
      </c>
      <c r="D7256" s="3" t="s">
        <v>9</v>
      </c>
      <c r="E7256" s="3">
        <v>23</v>
      </c>
      <c r="F7256" s="3">
        <v>70</v>
      </c>
      <c r="G7256" s="3">
        <v>1</v>
      </c>
      <c r="H7256" s="3">
        <v>5</v>
      </c>
      <c r="I7256" s="3">
        <v>21</v>
      </c>
      <c r="J7256" s="3">
        <v>1</v>
      </c>
      <c r="K7256" s="3">
        <v>24</v>
      </c>
      <c r="L7256" s="3">
        <v>1</v>
      </c>
      <c r="M7256" s="3">
        <v>0</v>
      </c>
      <c r="N7256" s="3">
        <v>22</v>
      </c>
      <c r="O7256" s="3"/>
      <c r="P7256" s="3"/>
      <c r="Q7256" s="3"/>
    </row>
    <row r="7257" spans="1:17" ht="15" x14ac:dyDescent="0.25">
      <c r="A7257" s="3">
        <f>7250</f>
        <v>7250</v>
      </c>
      <c r="B7257" s="3" t="s">
        <v>7259</v>
      </c>
      <c r="C7257" s="3" t="s">
        <v>10</v>
      </c>
      <c r="D7257" s="3" t="s">
        <v>9</v>
      </c>
      <c r="E7257" s="3">
        <v>23</v>
      </c>
      <c r="F7257" s="3">
        <v>70</v>
      </c>
      <c r="G7257" s="3">
        <v>1</v>
      </c>
      <c r="H7257" s="3">
        <v>5</v>
      </c>
      <c r="I7257" s="3">
        <v>21</v>
      </c>
      <c r="J7257" s="3">
        <v>1</v>
      </c>
      <c r="K7257" s="3">
        <v>24</v>
      </c>
      <c r="L7257" s="3">
        <v>1</v>
      </c>
      <c r="M7257" s="3">
        <v>0</v>
      </c>
      <c r="N7257" s="3">
        <v>22</v>
      </c>
      <c r="O7257" s="3"/>
      <c r="P7257" s="3"/>
      <c r="Q7257" s="3"/>
    </row>
    <row r="7258" spans="1:17" ht="15" x14ac:dyDescent="0.25">
      <c r="A7258" s="3">
        <f>7251</f>
        <v>7251</v>
      </c>
      <c r="B7258" s="3" t="s">
        <v>7260</v>
      </c>
      <c r="C7258" s="3" t="s">
        <v>10</v>
      </c>
      <c r="D7258" s="3" t="s">
        <v>9</v>
      </c>
      <c r="E7258" s="3">
        <v>23</v>
      </c>
      <c r="F7258" s="3">
        <v>70</v>
      </c>
      <c r="G7258" s="3">
        <v>1</v>
      </c>
      <c r="H7258" s="3">
        <v>5</v>
      </c>
      <c r="I7258" s="3">
        <v>21</v>
      </c>
      <c r="J7258" s="3">
        <v>1</v>
      </c>
      <c r="K7258" s="3">
        <v>24</v>
      </c>
      <c r="L7258" s="3">
        <v>1</v>
      </c>
      <c r="M7258" s="3">
        <v>0</v>
      </c>
      <c r="N7258" s="3">
        <v>22</v>
      </c>
      <c r="O7258" s="3"/>
      <c r="P7258" s="3"/>
      <c r="Q7258" s="3"/>
    </row>
    <row r="7259" spans="1:17" ht="15" x14ac:dyDescent="0.25">
      <c r="A7259" s="3">
        <f>7252</f>
        <v>7252</v>
      </c>
      <c r="B7259" s="3" t="s">
        <v>7261</v>
      </c>
      <c r="C7259" s="3" t="s">
        <v>10</v>
      </c>
      <c r="D7259" s="3" t="s">
        <v>9</v>
      </c>
      <c r="E7259" s="3">
        <v>23</v>
      </c>
      <c r="F7259" s="3">
        <v>70</v>
      </c>
      <c r="G7259" s="3">
        <v>1</v>
      </c>
      <c r="H7259" s="3">
        <v>5</v>
      </c>
      <c r="I7259" s="3">
        <v>21</v>
      </c>
      <c r="J7259" s="3">
        <v>1</v>
      </c>
      <c r="K7259" s="3">
        <v>24</v>
      </c>
      <c r="L7259" s="3">
        <v>1</v>
      </c>
      <c r="M7259" s="3">
        <v>0</v>
      </c>
      <c r="N7259" s="3">
        <v>22</v>
      </c>
      <c r="O7259" s="3"/>
      <c r="P7259" s="3"/>
      <c r="Q7259" s="3"/>
    </row>
    <row r="7260" spans="1:17" ht="15" x14ac:dyDescent="0.25">
      <c r="A7260" s="3">
        <f>7253</f>
        <v>7253</v>
      </c>
      <c r="B7260" s="3" t="s">
        <v>7262</v>
      </c>
      <c r="C7260" s="3" t="s">
        <v>10</v>
      </c>
      <c r="D7260" s="3" t="s">
        <v>9</v>
      </c>
      <c r="E7260" s="3">
        <v>23</v>
      </c>
      <c r="F7260" s="3">
        <v>70</v>
      </c>
      <c r="G7260" s="3">
        <v>1</v>
      </c>
      <c r="H7260" s="3">
        <v>5</v>
      </c>
      <c r="I7260" s="3">
        <v>21</v>
      </c>
      <c r="J7260" s="3">
        <v>1</v>
      </c>
      <c r="K7260" s="3">
        <v>24</v>
      </c>
      <c r="L7260" s="3">
        <v>1</v>
      </c>
      <c r="M7260" s="3">
        <v>0</v>
      </c>
      <c r="N7260" s="3">
        <v>22</v>
      </c>
      <c r="O7260" s="3"/>
      <c r="P7260" s="3"/>
      <c r="Q7260" s="3"/>
    </row>
    <row r="7261" spans="1:17" ht="15" x14ac:dyDescent="0.25">
      <c r="A7261" s="3">
        <f>7254</f>
        <v>7254</v>
      </c>
      <c r="B7261" s="3" t="s">
        <v>7263</v>
      </c>
      <c r="C7261" s="3" t="s">
        <v>10</v>
      </c>
      <c r="D7261" s="3" t="s">
        <v>9</v>
      </c>
      <c r="E7261" s="3">
        <v>23</v>
      </c>
      <c r="F7261" s="3">
        <v>70</v>
      </c>
      <c r="G7261" s="3">
        <v>1</v>
      </c>
      <c r="H7261" s="3">
        <v>5</v>
      </c>
      <c r="I7261" s="3">
        <v>21</v>
      </c>
      <c r="J7261" s="3">
        <v>1</v>
      </c>
      <c r="K7261" s="3">
        <v>24</v>
      </c>
      <c r="L7261" s="3">
        <v>1</v>
      </c>
      <c r="M7261" s="3">
        <v>0</v>
      </c>
      <c r="N7261" s="3">
        <v>22</v>
      </c>
      <c r="O7261" s="3"/>
      <c r="P7261" s="3"/>
      <c r="Q7261" s="3"/>
    </row>
    <row r="7262" spans="1:17" ht="15" x14ac:dyDescent="0.25">
      <c r="A7262" s="3">
        <f>7255</f>
        <v>7255</v>
      </c>
      <c r="B7262" s="3" t="s">
        <v>7264</v>
      </c>
      <c r="C7262" s="3" t="s">
        <v>10</v>
      </c>
      <c r="D7262" s="3" t="s">
        <v>9</v>
      </c>
      <c r="E7262" s="3">
        <v>23</v>
      </c>
      <c r="F7262" s="3">
        <v>70</v>
      </c>
      <c r="G7262" s="3">
        <v>1</v>
      </c>
      <c r="H7262" s="3">
        <v>5</v>
      </c>
      <c r="I7262" s="3">
        <v>21</v>
      </c>
      <c r="J7262" s="3">
        <v>1</v>
      </c>
      <c r="K7262" s="3">
        <v>24</v>
      </c>
      <c r="L7262" s="3">
        <v>1</v>
      </c>
      <c r="M7262" s="3">
        <v>0</v>
      </c>
      <c r="N7262" s="3">
        <v>22</v>
      </c>
      <c r="O7262" s="3"/>
      <c r="P7262" s="3"/>
      <c r="Q7262" s="3"/>
    </row>
    <row r="7263" spans="1:17" ht="15" x14ac:dyDescent="0.25">
      <c r="A7263" s="3">
        <f>7256</f>
        <v>7256</v>
      </c>
      <c r="B7263" s="3" t="s">
        <v>7265</v>
      </c>
      <c r="C7263" s="3" t="s">
        <v>10</v>
      </c>
      <c r="D7263" s="3" t="s">
        <v>9</v>
      </c>
      <c r="E7263" s="3">
        <v>23</v>
      </c>
      <c r="F7263" s="3">
        <v>70</v>
      </c>
      <c r="G7263" s="3">
        <v>1</v>
      </c>
      <c r="H7263" s="3">
        <v>5</v>
      </c>
      <c r="I7263" s="3">
        <v>21</v>
      </c>
      <c r="J7263" s="3">
        <v>1</v>
      </c>
      <c r="K7263" s="3">
        <v>24</v>
      </c>
      <c r="L7263" s="3">
        <v>1</v>
      </c>
      <c r="M7263" s="3">
        <v>0</v>
      </c>
      <c r="N7263" s="3">
        <v>22</v>
      </c>
      <c r="O7263" s="3"/>
      <c r="P7263" s="3"/>
      <c r="Q7263" s="3"/>
    </row>
    <row r="7264" spans="1:17" ht="15" x14ac:dyDescent="0.25">
      <c r="A7264" s="3">
        <f>7257</f>
        <v>7257</v>
      </c>
      <c r="B7264" s="3" t="s">
        <v>7266</v>
      </c>
      <c r="C7264" s="3" t="s">
        <v>10</v>
      </c>
      <c r="D7264" s="3" t="s">
        <v>9</v>
      </c>
      <c r="E7264" s="3">
        <v>23</v>
      </c>
      <c r="F7264" s="3">
        <v>70</v>
      </c>
      <c r="G7264" s="3">
        <v>1</v>
      </c>
      <c r="H7264" s="3">
        <v>5</v>
      </c>
      <c r="I7264" s="3">
        <v>21</v>
      </c>
      <c r="J7264" s="3">
        <v>1</v>
      </c>
      <c r="K7264" s="3">
        <v>24</v>
      </c>
      <c r="L7264" s="3">
        <v>1</v>
      </c>
      <c r="M7264" s="3">
        <v>0</v>
      </c>
      <c r="N7264" s="3">
        <v>22</v>
      </c>
      <c r="O7264" s="3"/>
      <c r="P7264" s="3"/>
      <c r="Q7264" s="3"/>
    </row>
    <row r="7265" spans="1:17" ht="15" x14ac:dyDescent="0.25">
      <c r="A7265" s="3">
        <f>7258</f>
        <v>7258</v>
      </c>
      <c r="B7265" s="3" t="s">
        <v>7267</v>
      </c>
      <c r="C7265" s="3" t="s">
        <v>10</v>
      </c>
      <c r="D7265" s="3" t="s">
        <v>9</v>
      </c>
      <c r="E7265" s="3">
        <v>23</v>
      </c>
      <c r="F7265" s="3">
        <v>70</v>
      </c>
      <c r="G7265" s="3">
        <v>1</v>
      </c>
      <c r="H7265" s="3">
        <v>5</v>
      </c>
      <c r="I7265" s="3">
        <v>21</v>
      </c>
      <c r="J7265" s="3">
        <v>1</v>
      </c>
      <c r="K7265" s="3">
        <v>24</v>
      </c>
      <c r="L7265" s="3">
        <v>1</v>
      </c>
      <c r="M7265" s="3">
        <v>0</v>
      </c>
      <c r="N7265" s="3">
        <v>22</v>
      </c>
      <c r="O7265" s="3"/>
      <c r="P7265" s="3"/>
      <c r="Q7265" s="3"/>
    </row>
    <row r="7266" spans="1:17" ht="15" x14ac:dyDescent="0.25">
      <c r="A7266" s="3">
        <f>7259</f>
        <v>7259</v>
      </c>
      <c r="B7266" s="3" t="s">
        <v>7268</v>
      </c>
      <c r="C7266" s="3" t="s">
        <v>10</v>
      </c>
      <c r="D7266" s="3" t="s">
        <v>9</v>
      </c>
      <c r="E7266" s="3">
        <v>23</v>
      </c>
      <c r="F7266" s="3">
        <v>70</v>
      </c>
      <c r="G7266" s="3">
        <v>1</v>
      </c>
      <c r="H7266" s="3">
        <v>5</v>
      </c>
      <c r="I7266" s="3">
        <v>21</v>
      </c>
      <c r="J7266" s="3">
        <v>1</v>
      </c>
      <c r="K7266" s="3">
        <v>24</v>
      </c>
      <c r="L7266" s="3">
        <v>1</v>
      </c>
      <c r="M7266" s="3">
        <v>0</v>
      </c>
      <c r="N7266" s="3">
        <v>22</v>
      </c>
      <c r="O7266" s="3"/>
      <c r="P7266" s="3"/>
      <c r="Q7266" s="3"/>
    </row>
    <row r="7267" spans="1:17" ht="15" x14ac:dyDescent="0.25">
      <c r="A7267" s="3">
        <f>7260</f>
        <v>7260</v>
      </c>
      <c r="B7267" s="3" t="s">
        <v>7269</v>
      </c>
      <c r="C7267" s="3" t="s">
        <v>10</v>
      </c>
      <c r="D7267" s="3" t="s">
        <v>9</v>
      </c>
      <c r="E7267" s="3">
        <v>23</v>
      </c>
      <c r="F7267" s="3">
        <v>70</v>
      </c>
      <c r="G7267" s="3">
        <v>1</v>
      </c>
      <c r="H7267" s="3">
        <v>5</v>
      </c>
      <c r="I7267" s="3">
        <v>21</v>
      </c>
      <c r="J7267" s="3">
        <v>1</v>
      </c>
      <c r="K7267" s="3">
        <v>24</v>
      </c>
      <c r="L7267" s="3">
        <v>1</v>
      </c>
      <c r="M7267" s="3">
        <v>0</v>
      </c>
      <c r="N7267" s="3">
        <v>22</v>
      </c>
      <c r="O7267" s="3"/>
      <c r="P7267" s="3"/>
      <c r="Q7267" s="3"/>
    </row>
    <row r="7268" spans="1:17" ht="15" x14ac:dyDescent="0.25">
      <c r="A7268" s="3">
        <f>7261</f>
        <v>7261</v>
      </c>
      <c r="B7268" s="3" t="s">
        <v>7270</v>
      </c>
      <c r="C7268" s="3" t="s">
        <v>10</v>
      </c>
      <c r="D7268" s="3" t="s">
        <v>9</v>
      </c>
      <c r="E7268" s="3">
        <v>23</v>
      </c>
      <c r="F7268" s="3">
        <v>70</v>
      </c>
      <c r="G7268" s="3">
        <v>1</v>
      </c>
      <c r="H7268" s="3">
        <v>5</v>
      </c>
      <c r="I7268" s="3">
        <v>21</v>
      </c>
      <c r="J7268" s="3">
        <v>1</v>
      </c>
      <c r="K7268" s="3">
        <v>24</v>
      </c>
      <c r="L7268" s="3">
        <v>1</v>
      </c>
      <c r="M7268" s="3">
        <v>0</v>
      </c>
      <c r="N7268" s="3">
        <v>22</v>
      </c>
      <c r="O7268" s="3"/>
      <c r="P7268" s="3"/>
      <c r="Q7268" s="3"/>
    </row>
    <row r="7269" spans="1:17" ht="15" x14ac:dyDescent="0.25">
      <c r="A7269" s="3">
        <f>7262</f>
        <v>7262</v>
      </c>
      <c r="B7269" s="3" t="s">
        <v>7271</v>
      </c>
      <c r="C7269" s="3" t="s">
        <v>10</v>
      </c>
      <c r="D7269" s="3" t="s">
        <v>9</v>
      </c>
      <c r="E7269" s="3">
        <v>23</v>
      </c>
      <c r="F7269" s="3">
        <v>70</v>
      </c>
      <c r="G7269" s="3">
        <v>1</v>
      </c>
      <c r="H7269" s="3">
        <v>5</v>
      </c>
      <c r="I7269" s="3">
        <v>21</v>
      </c>
      <c r="J7269" s="3">
        <v>1</v>
      </c>
      <c r="K7269" s="3">
        <v>24</v>
      </c>
      <c r="L7269" s="3">
        <v>1</v>
      </c>
      <c r="M7269" s="3">
        <v>0</v>
      </c>
      <c r="N7269" s="3">
        <v>22</v>
      </c>
      <c r="O7269" s="3"/>
      <c r="P7269" s="3"/>
      <c r="Q7269" s="3"/>
    </row>
    <row r="7270" spans="1:17" ht="15" x14ac:dyDescent="0.25">
      <c r="A7270" s="3">
        <f>7263</f>
        <v>7263</v>
      </c>
      <c r="B7270" s="3" t="s">
        <v>7272</v>
      </c>
      <c r="C7270" s="3" t="s">
        <v>10</v>
      </c>
      <c r="D7270" s="3" t="s">
        <v>9</v>
      </c>
      <c r="E7270" s="3">
        <v>23</v>
      </c>
      <c r="F7270" s="3">
        <v>70</v>
      </c>
      <c r="G7270" s="3">
        <v>1</v>
      </c>
      <c r="H7270" s="3">
        <v>5</v>
      </c>
      <c r="I7270" s="3">
        <v>21</v>
      </c>
      <c r="J7270" s="3">
        <v>1</v>
      </c>
      <c r="K7270" s="3">
        <v>24</v>
      </c>
      <c r="L7270" s="3">
        <v>1</v>
      </c>
      <c r="M7270" s="3">
        <v>0</v>
      </c>
      <c r="N7270" s="3">
        <v>22</v>
      </c>
      <c r="O7270" s="3"/>
      <c r="P7270" s="3"/>
      <c r="Q7270" s="3"/>
    </row>
    <row r="7271" spans="1:17" ht="15" x14ac:dyDescent="0.25">
      <c r="A7271" s="3">
        <f>7264</f>
        <v>7264</v>
      </c>
      <c r="B7271" s="3" t="s">
        <v>7273</v>
      </c>
      <c r="C7271" s="3" t="s">
        <v>10</v>
      </c>
      <c r="D7271" s="3" t="s">
        <v>9</v>
      </c>
      <c r="E7271" s="3">
        <v>23</v>
      </c>
      <c r="F7271" s="3">
        <v>70</v>
      </c>
      <c r="G7271" s="3">
        <v>1</v>
      </c>
      <c r="H7271" s="3">
        <v>5</v>
      </c>
      <c r="I7271" s="3">
        <v>21</v>
      </c>
      <c r="J7271" s="3">
        <v>1</v>
      </c>
      <c r="K7271" s="3">
        <v>24</v>
      </c>
      <c r="L7271" s="3">
        <v>1</v>
      </c>
      <c r="M7271" s="3">
        <v>0</v>
      </c>
      <c r="N7271" s="3">
        <v>22</v>
      </c>
      <c r="O7271" s="3"/>
      <c r="P7271" s="3"/>
      <c r="Q7271" s="3"/>
    </row>
    <row r="7272" spans="1:17" ht="15" x14ac:dyDescent="0.25">
      <c r="A7272" s="3">
        <f>7265</f>
        <v>7265</v>
      </c>
      <c r="B7272" s="3" t="s">
        <v>7274</v>
      </c>
      <c r="C7272" s="3" t="s">
        <v>10</v>
      </c>
      <c r="D7272" s="3" t="s">
        <v>9</v>
      </c>
      <c r="E7272" s="3">
        <v>23</v>
      </c>
      <c r="F7272" s="3">
        <v>70</v>
      </c>
      <c r="G7272" s="3">
        <v>1</v>
      </c>
      <c r="H7272" s="3">
        <v>5</v>
      </c>
      <c r="I7272" s="3">
        <v>21</v>
      </c>
      <c r="J7272" s="3">
        <v>1</v>
      </c>
      <c r="K7272" s="3">
        <v>24</v>
      </c>
      <c r="L7272" s="3">
        <v>1</v>
      </c>
      <c r="M7272" s="3">
        <v>0</v>
      </c>
      <c r="N7272" s="3">
        <v>22</v>
      </c>
      <c r="O7272" s="3"/>
      <c r="P7272" s="3"/>
      <c r="Q7272" s="3"/>
    </row>
    <row r="7273" spans="1:17" ht="15" x14ac:dyDescent="0.25">
      <c r="A7273" s="3">
        <f>7266</f>
        <v>7266</v>
      </c>
      <c r="B7273" s="3" t="s">
        <v>7275</v>
      </c>
      <c r="C7273" s="3" t="s">
        <v>10</v>
      </c>
      <c r="D7273" s="3" t="s">
        <v>9</v>
      </c>
      <c r="E7273" s="3">
        <v>23</v>
      </c>
      <c r="F7273" s="3">
        <v>70</v>
      </c>
      <c r="G7273" s="3">
        <v>1</v>
      </c>
      <c r="H7273" s="3">
        <v>5</v>
      </c>
      <c r="I7273" s="3">
        <v>21</v>
      </c>
      <c r="J7273" s="3">
        <v>1</v>
      </c>
      <c r="K7273" s="3">
        <v>24</v>
      </c>
      <c r="L7273" s="3">
        <v>1</v>
      </c>
      <c r="M7273" s="3">
        <v>0</v>
      </c>
      <c r="N7273" s="3">
        <v>22</v>
      </c>
      <c r="O7273" s="3"/>
      <c r="P7273" s="3"/>
      <c r="Q7273" s="3"/>
    </row>
    <row r="7274" spans="1:17" ht="15" x14ac:dyDescent="0.25">
      <c r="A7274" s="3">
        <f>7267</f>
        <v>7267</v>
      </c>
      <c r="B7274" s="3" t="s">
        <v>7276</v>
      </c>
      <c r="C7274" s="3" t="s">
        <v>10</v>
      </c>
      <c r="D7274" s="3" t="s">
        <v>9</v>
      </c>
      <c r="E7274" s="3">
        <v>23</v>
      </c>
      <c r="F7274" s="3">
        <v>70</v>
      </c>
      <c r="G7274" s="3">
        <v>1</v>
      </c>
      <c r="H7274" s="3">
        <v>5</v>
      </c>
      <c r="I7274" s="3">
        <v>21</v>
      </c>
      <c r="J7274" s="3">
        <v>1</v>
      </c>
      <c r="K7274" s="3">
        <v>24</v>
      </c>
      <c r="L7274" s="3">
        <v>1</v>
      </c>
      <c r="M7274" s="3">
        <v>0</v>
      </c>
      <c r="N7274" s="3">
        <v>22</v>
      </c>
      <c r="O7274" s="3"/>
      <c r="P7274" s="3"/>
      <c r="Q7274" s="3"/>
    </row>
    <row r="7275" spans="1:17" ht="15" x14ac:dyDescent="0.25">
      <c r="A7275" s="3">
        <f>7268</f>
        <v>7268</v>
      </c>
      <c r="B7275" s="3" t="s">
        <v>7277</v>
      </c>
      <c r="C7275" s="3" t="s">
        <v>10</v>
      </c>
      <c r="D7275" s="3" t="s">
        <v>9</v>
      </c>
      <c r="E7275" s="3">
        <v>23</v>
      </c>
      <c r="F7275" s="3">
        <v>70</v>
      </c>
      <c r="G7275" s="3">
        <v>1</v>
      </c>
      <c r="H7275" s="3">
        <v>5</v>
      </c>
      <c r="I7275" s="3">
        <v>21</v>
      </c>
      <c r="J7275" s="3">
        <v>1</v>
      </c>
      <c r="K7275" s="3">
        <v>24</v>
      </c>
      <c r="L7275" s="3">
        <v>1</v>
      </c>
      <c r="M7275" s="3">
        <v>0</v>
      </c>
      <c r="N7275" s="3">
        <v>22</v>
      </c>
      <c r="O7275" s="3"/>
      <c r="P7275" s="3"/>
      <c r="Q7275" s="3"/>
    </row>
    <row r="7276" spans="1:17" ht="15" x14ac:dyDescent="0.25">
      <c r="A7276" s="3">
        <f>7269</f>
        <v>7269</v>
      </c>
      <c r="B7276" s="3" t="s">
        <v>7278</v>
      </c>
      <c r="C7276" s="3" t="s">
        <v>10</v>
      </c>
      <c r="D7276" s="3" t="s">
        <v>9</v>
      </c>
      <c r="E7276" s="3">
        <v>23</v>
      </c>
      <c r="F7276" s="3">
        <v>70</v>
      </c>
      <c r="G7276" s="3">
        <v>1</v>
      </c>
      <c r="H7276" s="3">
        <v>5</v>
      </c>
      <c r="I7276" s="3">
        <v>21</v>
      </c>
      <c r="J7276" s="3">
        <v>1</v>
      </c>
      <c r="K7276" s="3">
        <v>24</v>
      </c>
      <c r="L7276" s="3">
        <v>1</v>
      </c>
      <c r="M7276" s="3">
        <v>0</v>
      </c>
      <c r="N7276" s="3">
        <v>22</v>
      </c>
      <c r="O7276" s="3"/>
      <c r="P7276" s="3"/>
      <c r="Q7276" s="3"/>
    </row>
    <row r="7277" spans="1:17" ht="15" x14ac:dyDescent="0.25">
      <c r="A7277" s="3">
        <f>7270</f>
        <v>7270</v>
      </c>
      <c r="B7277" s="3" t="s">
        <v>7279</v>
      </c>
      <c r="C7277" s="3" t="s">
        <v>10</v>
      </c>
      <c r="D7277" s="3" t="s">
        <v>9</v>
      </c>
      <c r="E7277" s="3">
        <v>23</v>
      </c>
      <c r="F7277" s="3">
        <v>70</v>
      </c>
      <c r="G7277" s="3">
        <v>1</v>
      </c>
      <c r="H7277" s="3">
        <v>5</v>
      </c>
      <c r="I7277" s="3">
        <v>21</v>
      </c>
      <c r="J7277" s="3">
        <v>1</v>
      </c>
      <c r="K7277" s="3">
        <v>24</v>
      </c>
      <c r="L7277" s="3">
        <v>1</v>
      </c>
      <c r="M7277" s="3">
        <v>0</v>
      </c>
      <c r="N7277" s="3">
        <v>22</v>
      </c>
      <c r="O7277" s="3"/>
      <c r="P7277" s="3"/>
      <c r="Q7277" s="3"/>
    </row>
    <row r="7278" spans="1:17" ht="15" x14ac:dyDescent="0.25">
      <c r="A7278" s="3">
        <f>7271</f>
        <v>7271</v>
      </c>
      <c r="B7278" s="3" t="s">
        <v>7280</v>
      </c>
      <c r="C7278" s="3" t="s">
        <v>10</v>
      </c>
      <c r="D7278" s="3" t="s">
        <v>9</v>
      </c>
      <c r="E7278" s="3">
        <v>23</v>
      </c>
      <c r="F7278" s="3">
        <v>70</v>
      </c>
      <c r="G7278" s="3">
        <v>1</v>
      </c>
      <c r="H7278" s="3">
        <v>5</v>
      </c>
      <c r="I7278" s="3">
        <v>21</v>
      </c>
      <c r="J7278" s="3">
        <v>1</v>
      </c>
      <c r="K7278" s="3">
        <v>24</v>
      </c>
      <c r="L7278" s="3">
        <v>1</v>
      </c>
      <c r="M7278" s="3">
        <v>0</v>
      </c>
      <c r="N7278" s="3">
        <v>22</v>
      </c>
      <c r="O7278" s="3"/>
      <c r="P7278" s="3"/>
      <c r="Q7278" s="3"/>
    </row>
    <row r="7279" spans="1:17" ht="15" x14ac:dyDescent="0.25">
      <c r="A7279" s="3">
        <f>7272</f>
        <v>7272</v>
      </c>
      <c r="B7279" s="3" t="s">
        <v>7281</v>
      </c>
      <c r="C7279" s="3" t="s">
        <v>10</v>
      </c>
      <c r="D7279" s="3" t="s">
        <v>9</v>
      </c>
      <c r="E7279" s="3">
        <v>23</v>
      </c>
      <c r="F7279" s="3">
        <v>70</v>
      </c>
      <c r="G7279" s="3">
        <v>1</v>
      </c>
      <c r="H7279" s="3">
        <v>5</v>
      </c>
      <c r="I7279" s="3">
        <v>21</v>
      </c>
      <c r="J7279" s="3">
        <v>1</v>
      </c>
      <c r="K7279" s="3">
        <v>24</v>
      </c>
      <c r="L7279" s="3">
        <v>1</v>
      </c>
      <c r="M7279" s="3">
        <v>0</v>
      </c>
      <c r="N7279" s="3">
        <v>22</v>
      </c>
      <c r="O7279" s="3"/>
      <c r="P7279" s="3"/>
      <c r="Q7279" s="3"/>
    </row>
    <row r="7280" spans="1:17" ht="15" x14ac:dyDescent="0.25">
      <c r="A7280" s="3">
        <f>7273</f>
        <v>7273</v>
      </c>
      <c r="B7280" s="3" t="s">
        <v>7282</v>
      </c>
      <c r="C7280" s="3" t="s">
        <v>10</v>
      </c>
      <c r="D7280" s="3" t="s">
        <v>9</v>
      </c>
      <c r="E7280" s="3">
        <v>23</v>
      </c>
      <c r="F7280" s="3">
        <v>70</v>
      </c>
      <c r="G7280" s="3">
        <v>1</v>
      </c>
      <c r="H7280" s="3">
        <v>5</v>
      </c>
      <c r="I7280" s="3">
        <v>21</v>
      </c>
      <c r="J7280" s="3">
        <v>1</v>
      </c>
      <c r="K7280" s="3">
        <v>24</v>
      </c>
      <c r="L7280" s="3">
        <v>1</v>
      </c>
      <c r="M7280" s="3">
        <v>0</v>
      </c>
      <c r="N7280" s="3">
        <v>22</v>
      </c>
      <c r="O7280" s="3"/>
      <c r="P7280" s="3"/>
      <c r="Q7280" s="3"/>
    </row>
    <row r="7281" spans="1:17" ht="15" x14ac:dyDescent="0.25">
      <c r="A7281" s="3">
        <f>7274</f>
        <v>7274</v>
      </c>
      <c r="B7281" s="3" t="s">
        <v>7283</v>
      </c>
      <c r="C7281" s="3" t="s">
        <v>10</v>
      </c>
      <c r="D7281" s="3" t="s">
        <v>9</v>
      </c>
      <c r="E7281" s="3">
        <v>23</v>
      </c>
      <c r="F7281" s="3">
        <v>70</v>
      </c>
      <c r="G7281" s="3">
        <v>1</v>
      </c>
      <c r="H7281" s="3">
        <v>5</v>
      </c>
      <c r="I7281" s="3">
        <v>21</v>
      </c>
      <c r="J7281" s="3">
        <v>1</v>
      </c>
      <c r="K7281" s="3">
        <v>24</v>
      </c>
      <c r="L7281" s="3">
        <v>1</v>
      </c>
      <c r="M7281" s="3">
        <v>0</v>
      </c>
      <c r="N7281" s="3">
        <v>22</v>
      </c>
      <c r="O7281" s="3"/>
      <c r="P7281" s="3"/>
      <c r="Q7281" s="3"/>
    </row>
    <row r="7282" spans="1:17" ht="15" x14ac:dyDescent="0.25">
      <c r="A7282" s="3">
        <f>7275</f>
        <v>7275</v>
      </c>
      <c r="B7282" s="3" t="s">
        <v>7284</v>
      </c>
      <c r="C7282" s="3" t="s">
        <v>10</v>
      </c>
      <c r="D7282" s="3" t="s">
        <v>9</v>
      </c>
      <c r="E7282" s="3">
        <v>23</v>
      </c>
      <c r="F7282" s="3">
        <v>70</v>
      </c>
      <c r="G7282" s="3">
        <v>1</v>
      </c>
      <c r="H7282" s="3">
        <v>5</v>
      </c>
      <c r="I7282" s="3">
        <v>21</v>
      </c>
      <c r="J7282" s="3">
        <v>1</v>
      </c>
      <c r="K7282" s="3">
        <v>24</v>
      </c>
      <c r="L7282" s="3">
        <v>1</v>
      </c>
      <c r="M7282" s="3">
        <v>0</v>
      </c>
      <c r="N7282" s="3">
        <v>22</v>
      </c>
      <c r="O7282" s="3"/>
      <c r="P7282" s="3"/>
      <c r="Q7282" s="3"/>
    </row>
    <row r="7283" spans="1:17" ht="15" x14ac:dyDescent="0.25">
      <c r="A7283" s="3">
        <f>7276</f>
        <v>7276</v>
      </c>
      <c r="B7283" s="3" t="s">
        <v>7285</v>
      </c>
      <c r="C7283" s="3" t="s">
        <v>10</v>
      </c>
      <c r="D7283" s="3" t="s">
        <v>9</v>
      </c>
      <c r="E7283" s="3">
        <v>23</v>
      </c>
      <c r="F7283" s="3">
        <v>70</v>
      </c>
      <c r="G7283" s="3">
        <v>1</v>
      </c>
      <c r="H7283" s="3">
        <v>5</v>
      </c>
      <c r="I7283" s="3">
        <v>21</v>
      </c>
      <c r="J7283" s="3">
        <v>1</v>
      </c>
      <c r="K7283" s="3">
        <v>24</v>
      </c>
      <c r="L7283" s="3">
        <v>1</v>
      </c>
      <c r="M7283" s="3">
        <v>0</v>
      </c>
      <c r="N7283" s="3">
        <v>22</v>
      </c>
      <c r="O7283" s="3"/>
      <c r="P7283" s="3"/>
      <c r="Q7283" s="3"/>
    </row>
    <row r="7284" spans="1:17" ht="15" x14ac:dyDescent="0.25">
      <c r="A7284" s="3">
        <f>7277</f>
        <v>7277</v>
      </c>
      <c r="B7284" s="3" t="s">
        <v>7286</v>
      </c>
      <c r="C7284" s="3" t="s">
        <v>10</v>
      </c>
      <c r="D7284" s="3" t="s">
        <v>9</v>
      </c>
      <c r="E7284" s="3">
        <v>23</v>
      </c>
      <c r="F7284" s="3">
        <v>70</v>
      </c>
      <c r="G7284" s="3">
        <v>1</v>
      </c>
      <c r="H7284" s="3">
        <v>5</v>
      </c>
      <c r="I7284" s="3">
        <v>21</v>
      </c>
      <c r="J7284" s="3">
        <v>1</v>
      </c>
      <c r="K7284" s="3">
        <v>24</v>
      </c>
      <c r="L7284" s="3">
        <v>1</v>
      </c>
      <c r="M7284" s="3">
        <v>0</v>
      </c>
      <c r="N7284" s="3">
        <v>22</v>
      </c>
      <c r="O7284" s="3"/>
      <c r="P7284" s="3"/>
      <c r="Q7284" s="3"/>
    </row>
    <row r="7285" spans="1:17" ht="15" x14ac:dyDescent="0.25">
      <c r="A7285" s="3">
        <f>7278</f>
        <v>7278</v>
      </c>
      <c r="B7285" s="3" t="s">
        <v>7287</v>
      </c>
      <c r="C7285" s="3" t="s">
        <v>10</v>
      </c>
      <c r="D7285" s="3" t="s">
        <v>9</v>
      </c>
      <c r="E7285" s="3">
        <v>23</v>
      </c>
      <c r="F7285" s="3">
        <v>70</v>
      </c>
      <c r="G7285" s="3">
        <v>1</v>
      </c>
      <c r="H7285" s="3">
        <v>5</v>
      </c>
      <c r="I7285" s="3">
        <v>21</v>
      </c>
      <c r="J7285" s="3">
        <v>1</v>
      </c>
      <c r="K7285" s="3">
        <v>24</v>
      </c>
      <c r="L7285" s="3">
        <v>1</v>
      </c>
      <c r="M7285" s="3">
        <v>0</v>
      </c>
      <c r="N7285" s="3">
        <v>22</v>
      </c>
      <c r="O7285" s="3"/>
      <c r="P7285" s="3"/>
      <c r="Q7285" s="3"/>
    </row>
    <row r="7286" spans="1:17" ht="15" x14ac:dyDescent="0.25">
      <c r="A7286" s="3">
        <f>7279</f>
        <v>7279</v>
      </c>
      <c r="B7286" s="3" t="s">
        <v>7288</v>
      </c>
      <c r="C7286" s="3" t="s">
        <v>10</v>
      </c>
      <c r="D7286" s="3" t="s">
        <v>9</v>
      </c>
      <c r="E7286" s="3">
        <v>23</v>
      </c>
      <c r="F7286" s="3">
        <v>70</v>
      </c>
      <c r="G7286" s="3">
        <v>1</v>
      </c>
      <c r="H7286" s="3">
        <v>5</v>
      </c>
      <c r="I7286" s="3">
        <v>21</v>
      </c>
      <c r="J7286" s="3">
        <v>1</v>
      </c>
      <c r="K7286" s="3">
        <v>24</v>
      </c>
      <c r="L7286" s="3">
        <v>1</v>
      </c>
      <c r="M7286" s="3">
        <v>0</v>
      </c>
      <c r="N7286" s="3">
        <v>22</v>
      </c>
      <c r="O7286" s="3"/>
      <c r="P7286" s="3"/>
      <c r="Q7286" s="3"/>
    </row>
    <row r="7287" spans="1:17" ht="15" x14ac:dyDescent="0.25">
      <c r="A7287" s="3">
        <f>7280</f>
        <v>7280</v>
      </c>
      <c r="B7287" s="3" t="s">
        <v>7289</v>
      </c>
      <c r="C7287" s="3" t="s">
        <v>10</v>
      </c>
      <c r="D7287" s="3" t="s">
        <v>9</v>
      </c>
      <c r="E7287" s="3">
        <v>23</v>
      </c>
      <c r="F7287" s="3">
        <v>70</v>
      </c>
      <c r="G7287" s="3">
        <v>1</v>
      </c>
      <c r="H7287" s="3">
        <v>5</v>
      </c>
      <c r="I7287" s="3">
        <v>21</v>
      </c>
      <c r="J7287" s="3">
        <v>1</v>
      </c>
      <c r="K7287" s="3">
        <v>24</v>
      </c>
      <c r="L7287" s="3">
        <v>1</v>
      </c>
      <c r="M7287" s="3">
        <v>0</v>
      </c>
      <c r="N7287" s="3">
        <v>22</v>
      </c>
      <c r="O7287" s="3"/>
      <c r="P7287" s="3"/>
      <c r="Q7287" s="3"/>
    </row>
    <row r="7288" spans="1:17" ht="15" x14ac:dyDescent="0.25">
      <c r="A7288" s="3">
        <f>7281</f>
        <v>7281</v>
      </c>
      <c r="B7288" s="3" t="s">
        <v>7290</v>
      </c>
      <c r="C7288" s="3" t="s">
        <v>10</v>
      </c>
      <c r="D7288" s="3" t="s">
        <v>9</v>
      </c>
      <c r="E7288" s="3">
        <v>23</v>
      </c>
      <c r="F7288" s="3">
        <v>70</v>
      </c>
      <c r="G7288" s="3">
        <v>1</v>
      </c>
      <c r="H7288" s="3">
        <v>5</v>
      </c>
      <c r="I7288" s="3">
        <v>21</v>
      </c>
      <c r="J7288" s="3">
        <v>1</v>
      </c>
      <c r="K7288" s="3">
        <v>24</v>
      </c>
      <c r="L7288" s="3">
        <v>1</v>
      </c>
      <c r="M7288" s="3">
        <v>0</v>
      </c>
      <c r="N7288" s="3">
        <v>22</v>
      </c>
      <c r="O7288" s="3"/>
      <c r="P7288" s="3"/>
      <c r="Q7288" s="3"/>
    </row>
    <row r="7289" spans="1:17" ht="15" x14ac:dyDescent="0.25">
      <c r="A7289" s="3">
        <f>7282</f>
        <v>7282</v>
      </c>
      <c r="B7289" s="3" t="s">
        <v>7291</v>
      </c>
      <c r="C7289" s="3" t="s">
        <v>10</v>
      </c>
      <c r="D7289" s="3" t="s">
        <v>9</v>
      </c>
      <c r="E7289" s="3">
        <v>23</v>
      </c>
      <c r="F7289" s="3">
        <v>70</v>
      </c>
      <c r="G7289" s="3">
        <v>1</v>
      </c>
      <c r="H7289" s="3">
        <v>5</v>
      </c>
      <c r="I7289" s="3">
        <v>21</v>
      </c>
      <c r="J7289" s="3">
        <v>1</v>
      </c>
      <c r="K7289" s="3">
        <v>24</v>
      </c>
      <c r="L7289" s="3">
        <v>1</v>
      </c>
      <c r="M7289" s="3">
        <v>0</v>
      </c>
      <c r="N7289" s="3">
        <v>22</v>
      </c>
      <c r="O7289" s="3"/>
      <c r="P7289" s="3"/>
      <c r="Q7289" s="3"/>
    </row>
    <row r="7290" spans="1:17" ht="15" x14ac:dyDescent="0.25">
      <c r="A7290" s="3">
        <f>7283</f>
        <v>7283</v>
      </c>
      <c r="B7290" s="3" t="s">
        <v>7292</v>
      </c>
      <c r="C7290" s="3" t="s">
        <v>10</v>
      </c>
      <c r="D7290" s="3" t="s">
        <v>9</v>
      </c>
      <c r="E7290" s="3">
        <v>23</v>
      </c>
      <c r="F7290" s="3">
        <v>70</v>
      </c>
      <c r="G7290" s="3">
        <v>1</v>
      </c>
      <c r="H7290" s="3">
        <v>5</v>
      </c>
      <c r="I7290" s="3">
        <v>21</v>
      </c>
      <c r="J7290" s="3">
        <v>1</v>
      </c>
      <c r="K7290" s="3">
        <v>24</v>
      </c>
      <c r="L7290" s="3">
        <v>1</v>
      </c>
      <c r="M7290" s="3">
        <v>0</v>
      </c>
      <c r="N7290" s="3">
        <v>22</v>
      </c>
      <c r="O7290" s="3"/>
      <c r="P7290" s="3"/>
      <c r="Q7290" s="3"/>
    </row>
    <row r="7291" spans="1:17" ht="15" x14ac:dyDescent="0.25">
      <c r="A7291" s="3">
        <f>7284</f>
        <v>7284</v>
      </c>
      <c r="B7291" s="3" t="s">
        <v>7293</v>
      </c>
      <c r="C7291" s="3" t="s">
        <v>10</v>
      </c>
      <c r="D7291" s="3" t="s">
        <v>9</v>
      </c>
      <c r="E7291" s="3">
        <v>23</v>
      </c>
      <c r="F7291" s="3">
        <v>70</v>
      </c>
      <c r="G7291" s="3">
        <v>1</v>
      </c>
      <c r="H7291" s="3">
        <v>5</v>
      </c>
      <c r="I7291" s="3">
        <v>21</v>
      </c>
      <c r="J7291" s="3">
        <v>1</v>
      </c>
      <c r="K7291" s="3">
        <v>24</v>
      </c>
      <c r="L7291" s="3">
        <v>1</v>
      </c>
      <c r="M7291" s="3">
        <v>0</v>
      </c>
      <c r="N7291" s="3">
        <v>22</v>
      </c>
      <c r="O7291" s="3"/>
      <c r="P7291" s="3"/>
      <c r="Q7291" s="3"/>
    </row>
    <row r="7292" spans="1:17" ht="15" x14ac:dyDescent="0.25">
      <c r="A7292" s="3">
        <f>7285</f>
        <v>7285</v>
      </c>
      <c r="B7292" s="3" t="s">
        <v>7294</v>
      </c>
      <c r="C7292" s="3" t="s">
        <v>10</v>
      </c>
      <c r="D7292" s="3" t="s">
        <v>9</v>
      </c>
      <c r="E7292" s="3">
        <v>23</v>
      </c>
      <c r="F7292" s="3">
        <v>70</v>
      </c>
      <c r="G7292" s="3">
        <v>1</v>
      </c>
      <c r="H7292" s="3">
        <v>5</v>
      </c>
      <c r="I7292" s="3">
        <v>21</v>
      </c>
      <c r="J7292" s="3">
        <v>1</v>
      </c>
      <c r="K7292" s="3">
        <v>24</v>
      </c>
      <c r="L7292" s="3">
        <v>1</v>
      </c>
      <c r="M7292" s="3">
        <v>0</v>
      </c>
      <c r="N7292" s="3">
        <v>22</v>
      </c>
      <c r="O7292" s="3"/>
      <c r="P7292" s="3"/>
      <c r="Q7292" s="3"/>
    </row>
    <row r="7293" spans="1:17" ht="15" x14ac:dyDescent="0.25">
      <c r="A7293" s="3">
        <f>7286</f>
        <v>7286</v>
      </c>
      <c r="B7293" s="3" t="s">
        <v>7295</v>
      </c>
      <c r="C7293" s="3" t="s">
        <v>10</v>
      </c>
      <c r="D7293" s="3" t="s">
        <v>9</v>
      </c>
      <c r="E7293" s="3">
        <v>23</v>
      </c>
      <c r="F7293" s="3">
        <v>70</v>
      </c>
      <c r="G7293" s="3">
        <v>1</v>
      </c>
      <c r="H7293" s="3">
        <v>5</v>
      </c>
      <c r="I7293" s="3">
        <v>21</v>
      </c>
      <c r="J7293" s="3">
        <v>1</v>
      </c>
      <c r="K7293" s="3">
        <v>24</v>
      </c>
      <c r="L7293" s="3">
        <v>1</v>
      </c>
      <c r="M7293" s="3">
        <v>0</v>
      </c>
      <c r="N7293" s="3">
        <v>22</v>
      </c>
      <c r="O7293" s="3"/>
      <c r="P7293" s="3"/>
      <c r="Q7293" s="3"/>
    </row>
    <row r="7294" spans="1:17" ht="15" x14ac:dyDescent="0.25">
      <c r="A7294" s="3">
        <f>7287</f>
        <v>7287</v>
      </c>
      <c r="B7294" s="3" t="s">
        <v>7296</v>
      </c>
      <c r="C7294" s="3" t="s">
        <v>10</v>
      </c>
      <c r="D7294" s="3" t="s">
        <v>9</v>
      </c>
      <c r="E7294" s="3">
        <v>23</v>
      </c>
      <c r="F7294" s="3">
        <v>70</v>
      </c>
      <c r="G7294" s="3">
        <v>1</v>
      </c>
      <c r="H7294" s="3">
        <v>5</v>
      </c>
      <c r="I7294" s="3">
        <v>21</v>
      </c>
      <c r="J7294" s="3">
        <v>1</v>
      </c>
      <c r="K7294" s="3">
        <v>24</v>
      </c>
      <c r="L7294" s="3">
        <v>1</v>
      </c>
      <c r="M7294" s="3">
        <v>0</v>
      </c>
      <c r="N7294" s="3">
        <v>22</v>
      </c>
      <c r="O7294" s="3"/>
      <c r="P7294" s="3"/>
      <c r="Q7294" s="3"/>
    </row>
    <row r="7295" spans="1:17" ht="15" x14ac:dyDescent="0.25">
      <c r="A7295" s="3">
        <f>7288</f>
        <v>7288</v>
      </c>
      <c r="B7295" s="3" t="s">
        <v>7297</v>
      </c>
      <c r="C7295" s="3" t="s">
        <v>10</v>
      </c>
      <c r="D7295" s="3" t="s">
        <v>9</v>
      </c>
      <c r="E7295" s="3">
        <v>23</v>
      </c>
      <c r="F7295" s="3">
        <v>70</v>
      </c>
      <c r="G7295" s="3">
        <v>1</v>
      </c>
      <c r="H7295" s="3">
        <v>5</v>
      </c>
      <c r="I7295" s="3">
        <v>21</v>
      </c>
      <c r="J7295" s="3">
        <v>1</v>
      </c>
      <c r="K7295" s="3">
        <v>24</v>
      </c>
      <c r="L7295" s="3">
        <v>1</v>
      </c>
      <c r="M7295" s="3">
        <v>0</v>
      </c>
      <c r="N7295" s="3">
        <v>22</v>
      </c>
      <c r="O7295" s="3"/>
      <c r="P7295" s="3"/>
      <c r="Q7295" s="3"/>
    </row>
    <row r="7296" spans="1:17" ht="15" x14ac:dyDescent="0.25">
      <c r="A7296" s="3">
        <f>7289</f>
        <v>7289</v>
      </c>
      <c r="B7296" s="3" t="s">
        <v>7298</v>
      </c>
      <c r="C7296" s="3" t="s">
        <v>10</v>
      </c>
      <c r="D7296" s="3" t="s">
        <v>9</v>
      </c>
      <c r="E7296" s="3">
        <v>23</v>
      </c>
      <c r="F7296" s="3">
        <v>70</v>
      </c>
      <c r="G7296" s="3">
        <v>1</v>
      </c>
      <c r="H7296" s="3">
        <v>5</v>
      </c>
      <c r="I7296" s="3">
        <v>21</v>
      </c>
      <c r="J7296" s="3">
        <v>1</v>
      </c>
      <c r="K7296" s="3">
        <v>24</v>
      </c>
      <c r="L7296" s="3">
        <v>1</v>
      </c>
      <c r="M7296" s="3">
        <v>0</v>
      </c>
      <c r="N7296" s="3">
        <v>22</v>
      </c>
      <c r="O7296" s="3"/>
      <c r="P7296" s="3"/>
      <c r="Q7296" s="3"/>
    </row>
    <row r="7297" spans="1:17" ht="15" x14ac:dyDescent="0.25">
      <c r="A7297" s="3">
        <f>7290</f>
        <v>7290</v>
      </c>
      <c r="B7297" s="3" t="s">
        <v>7299</v>
      </c>
      <c r="C7297" s="3" t="s">
        <v>10</v>
      </c>
      <c r="D7297" s="3" t="s">
        <v>9</v>
      </c>
      <c r="E7297" s="3">
        <v>23</v>
      </c>
      <c r="F7297" s="3">
        <v>70</v>
      </c>
      <c r="G7297" s="3">
        <v>1</v>
      </c>
      <c r="H7297" s="3">
        <v>5</v>
      </c>
      <c r="I7297" s="3">
        <v>21</v>
      </c>
      <c r="J7297" s="3">
        <v>1</v>
      </c>
      <c r="K7297" s="3">
        <v>24</v>
      </c>
      <c r="L7297" s="3">
        <v>1</v>
      </c>
      <c r="M7297" s="3">
        <v>0</v>
      </c>
      <c r="N7297" s="3">
        <v>22</v>
      </c>
      <c r="O7297" s="3"/>
      <c r="P7297" s="3"/>
      <c r="Q7297" s="3"/>
    </row>
    <row r="7298" spans="1:17" ht="15" x14ac:dyDescent="0.25">
      <c r="A7298" s="3">
        <f>7291</f>
        <v>7291</v>
      </c>
      <c r="B7298" s="3" t="s">
        <v>7300</v>
      </c>
      <c r="C7298" s="3" t="s">
        <v>10</v>
      </c>
      <c r="D7298" s="3" t="s">
        <v>9</v>
      </c>
      <c r="E7298" s="3">
        <v>23</v>
      </c>
      <c r="F7298" s="3">
        <v>70</v>
      </c>
      <c r="G7298" s="3">
        <v>1</v>
      </c>
      <c r="H7298" s="3">
        <v>5</v>
      </c>
      <c r="I7298" s="3">
        <v>21</v>
      </c>
      <c r="J7298" s="3">
        <v>1</v>
      </c>
      <c r="K7298" s="3">
        <v>24</v>
      </c>
      <c r="L7298" s="3">
        <v>1</v>
      </c>
      <c r="M7298" s="3">
        <v>0</v>
      </c>
      <c r="N7298" s="3">
        <v>22</v>
      </c>
      <c r="O7298" s="3"/>
      <c r="P7298" s="3"/>
      <c r="Q7298" s="3"/>
    </row>
    <row r="7299" spans="1:17" ht="15" x14ac:dyDescent="0.25">
      <c r="A7299" s="3">
        <f>7292</f>
        <v>7292</v>
      </c>
      <c r="B7299" s="3" t="s">
        <v>7301</v>
      </c>
      <c r="C7299" s="3" t="s">
        <v>10</v>
      </c>
      <c r="D7299" s="3" t="s">
        <v>9</v>
      </c>
      <c r="E7299" s="3">
        <v>23</v>
      </c>
      <c r="F7299" s="3">
        <v>70</v>
      </c>
      <c r="G7299" s="3">
        <v>1</v>
      </c>
      <c r="H7299" s="3">
        <v>5</v>
      </c>
      <c r="I7299" s="3">
        <v>21</v>
      </c>
      <c r="J7299" s="3">
        <v>1</v>
      </c>
      <c r="K7299" s="3">
        <v>24</v>
      </c>
      <c r="L7299" s="3">
        <v>1</v>
      </c>
      <c r="M7299" s="3">
        <v>0</v>
      </c>
      <c r="N7299" s="3">
        <v>22</v>
      </c>
      <c r="O7299" s="3"/>
      <c r="P7299" s="3"/>
      <c r="Q7299" s="3"/>
    </row>
    <row r="7300" spans="1:17" ht="15" x14ac:dyDescent="0.25">
      <c r="A7300" s="3">
        <f>7293</f>
        <v>7293</v>
      </c>
      <c r="B7300" s="3" t="s">
        <v>7302</v>
      </c>
      <c r="C7300" s="3" t="s">
        <v>10</v>
      </c>
      <c r="D7300" s="3" t="s">
        <v>9</v>
      </c>
      <c r="E7300" s="3">
        <v>23</v>
      </c>
      <c r="F7300" s="3">
        <v>70</v>
      </c>
      <c r="G7300" s="3">
        <v>1</v>
      </c>
      <c r="H7300" s="3">
        <v>5</v>
      </c>
      <c r="I7300" s="3">
        <v>21</v>
      </c>
      <c r="J7300" s="3">
        <v>1</v>
      </c>
      <c r="K7300" s="3">
        <v>24</v>
      </c>
      <c r="L7300" s="3">
        <v>1</v>
      </c>
      <c r="M7300" s="3">
        <v>0</v>
      </c>
      <c r="N7300" s="3">
        <v>22</v>
      </c>
      <c r="O7300" s="3"/>
      <c r="P7300" s="3"/>
      <c r="Q7300" s="3"/>
    </row>
    <row r="7301" spans="1:17" ht="15" x14ac:dyDescent="0.25">
      <c r="A7301" s="3">
        <f>7294</f>
        <v>7294</v>
      </c>
      <c r="B7301" s="3" t="s">
        <v>7303</v>
      </c>
      <c r="C7301" s="3" t="s">
        <v>10</v>
      </c>
      <c r="D7301" s="3" t="s">
        <v>9</v>
      </c>
      <c r="E7301" s="3">
        <v>23</v>
      </c>
      <c r="F7301" s="3">
        <v>70</v>
      </c>
      <c r="G7301" s="3">
        <v>1</v>
      </c>
      <c r="H7301" s="3">
        <v>5</v>
      </c>
      <c r="I7301" s="3">
        <v>21</v>
      </c>
      <c r="J7301" s="3">
        <v>1</v>
      </c>
      <c r="K7301" s="3">
        <v>24</v>
      </c>
      <c r="L7301" s="3">
        <v>1</v>
      </c>
      <c r="M7301" s="3">
        <v>0</v>
      </c>
      <c r="N7301" s="3">
        <v>22</v>
      </c>
      <c r="O7301" s="3"/>
      <c r="P7301" s="3"/>
      <c r="Q7301" s="3"/>
    </row>
    <row r="7302" spans="1:17" ht="15" x14ac:dyDescent="0.25">
      <c r="A7302" s="3">
        <f>7295</f>
        <v>7295</v>
      </c>
      <c r="B7302" s="3" t="s">
        <v>7304</v>
      </c>
      <c r="C7302" s="3" t="s">
        <v>10</v>
      </c>
      <c r="D7302" s="3" t="s">
        <v>9</v>
      </c>
      <c r="E7302" s="3">
        <v>23</v>
      </c>
      <c r="F7302" s="3">
        <v>70</v>
      </c>
      <c r="G7302" s="3">
        <v>1</v>
      </c>
      <c r="H7302" s="3">
        <v>5</v>
      </c>
      <c r="I7302" s="3">
        <v>21</v>
      </c>
      <c r="J7302" s="3">
        <v>1</v>
      </c>
      <c r="K7302" s="3">
        <v>24</v>
      </c>
      <c r="L7302" s="3">
        <v>1</v>
      </c>
      <c r="M7302" s="3">
        <v>0</v>
      </c>
      <c r="N7302" s="3">
        <v>22</v>
      </c>
      <c r="O7302" s="3"/>
      <c r="P7302" s="3"/>
      <c r="Q7302" s="3"/>
    </row>
    <row r="7303" spans="1:17" ht="15" x14ac:dyDescent="0.25">
      <c r="A7303" s="3">
        <f>7296</f>
        <v>7296</v>
      </c>
      <c r="B7303" s="3" t="s">
        <v>7305</v>
      </c>
      <c r="C7303" s="3" t="s">
        <v>10</v>
      </c>
      <c r="D7303" s="3" t="s">
        <v>9</v>
      </c>
      <c r="E7303" s="3">
        <v>23</v>
      </c>
      <c r="F7303" s="3">
        <v>70</v>
      </c>
      <c r="G7303" s="3">
        <v>1</v>
      </c>
      <c r="H7303" s="3">
        <v>5</v>
      </c>
      <c r="I7303" s="3">
        <v>21</v>
      </c>
      <c r="J7303" s="3">
        <v>1</v>
      </c>
      <c r="K7303" s="3">
        <v>24</v>
      </c>
      <c r="L7303" s="3">
        <v>1</v>
      </c>
      <c r="M7303" s="3">
        <v>0</v>
      </c>
      <c r="N7303" s="3">
        <v>22</v>
      </c>
      <c r="O7303" s="3"/>
      <c r="P7303" s="3"/>
      <c r="Q7303" s="3"/>
    </row>
    <row r="7304" spans="1:17" ht="15" x14ac:dyDescent="0.25">
      <c r="A7304" s="3">
        <f>7297</f>
        <v>7297</v>
      </c>
      <c r="B7304" s="3" t="s">
        <v>7306</v>
      </c>
      <c r="C7304" s="3" t="s">
        <v>10</v>
      </c>
      <c r="D7304" s="3" t="s">
        <v>9</v>
      </c>
      <c r="E7304" s="3">
        <v>23</v>
      </c>
      <c r="F7304" s="3">
        <v>70</v>
      </c>
      <c r="G7304" s="3">
        <v>1</v>
      </c>
      <c r="H7304" s="3">
        <v>5</v>
      </c>
      <c r="I7304" s="3">
        <v>21</v>
      </c>
      <c r="J7304" s="3">
        <v>1</v>
      </c>
      <c r="K7304" s="3">
        <v>24</v>
      </c>
      <c r="L7304" s="3">
        <v>1</v>
      </c>
      <c r="M7304" s="3">
        <v>0</v>
      </c>
      <c r="N7304" s="3">
        <v>22</v>
      </c>
      <c r="O7304" s="3"/>
      <c r="P7304" s="3"/>
      <c r="Q7304" s="3"/>
    </row>
    <row r="7305" spans="1:17" ht="15" x14ac:dyDescent="0.25">
      <c r="A7305" s="3">
        <f>7298</f>
        <v>7298</v>
      </c>
      <c r="B7305" s="3" t="s">
        <v>7307</v>
      </c>
      <c r="C7305" s="3" t="s">
        <v>10</v>
      </c>
      <c r="D7305" s="3" t="s">
        <v>9</v>
      </c>
      <c r="E7305" s="3">
        <v>23</v>
      </c>
      <c r="F7305" s="3">
        <v>70</v>
      </c>
      <c r="G7305" s="3">
        <v>1</v>
      </c>
      <c r="H7305" s="3">
        <v>5</v>
      </c>
      <c r="I7305" s="3">
        <v>21</v>
      </c>
      <c r="J7305" s="3">
        <v>1</v>
      </c>
      <c r="K7305" s="3">
        <v>24</v>
      </c>
      <c r="L7305" s="3">
        <v>1</v>
      </c>
      <c r="M7305" s="3">
        <v>0</v>
      </c>
      <c r="N7305" s="3">
        <v>22</v>
      </c>
      <c r="O7305" s="3"/>
      <c r="P7305" s="3"/>
      <c r="Q7305" s="3"/>
    </row>
    <row r="7306" spans="1:17" ht="15" x14ac:dyDescent="0.25">
      <c r="A7306" s="3">
        <f>7299</f>
        <v>7299</v>
      </c>
      <c r="B7306" s="3" t="s">
        <v>7308</v>
      </c>
      <c r="C7306" s="3" t="s">
        <v>10</v>
      </c>
      <c r="D7306" s="3" t="s">
        <v>9</v>
      </c>
      <c r="E7306" s="3">
        <v>23</v>
      </c>
      <c r="F7306" s="3">
        <v>70</v>
      </c>
      <c r="G7306" s="3">
        <v>1</v>
      </c>
      <c r="H7306" s="3">
        <v>5</v>
      </c>
      <c r="I7306" s="3">
        <v>21</v>
      </c>
      <c r="J7306" s="3">
        <v>1</v>
      </c>
      <c r="K7306" s="3">
        <v>24</v>
      </c>
      <c r="L7306" s="3">
        <v>1</v>
      </c>
      <c r="M7306" s="3">
        <v>0</v>
      </c>
      <c r="N7306" s="3">
        <v>22</v>
      </c>
      <c r="O7306" s="3"/>
      <c r="P7306" s="3"/>
      <c r="Q7306" s="3"/>
    </row>
    <row r="7307" spans="1:17" ht="15" x14ac:dyDescent="0.25">
      <c r="A7307" s="3">
        <f>7300</f>
        <v>7300</v>
      </c>
      <c r="B7307" s="3" t="s">
        <v>7309</v>
      </c>
      <c r="C7307" s="3" t="s">
        <v>10</v>
      </c>
      <c r="D7307" s="3" t="s">
        <v>9</v>
      </c>
      <c r="E7307" s="3">
        <v>23</v>
      </c>
      <c r="F7307" s="3">
        <v>70</v>
      </c>
      <c r="G7307" s="3">
        <v>1</v>
      </c>
      <c r="H7307" s="3">
        <v>5</v>
      </c>
      <c r="I7307" s="3">
        <v>21</v>
      </c>
      <c r="J7307" s="3">
        <v>1</v>
      </c>
      <c r="K7307" s="3">
        <v>24</v>
      </c>
      <c r="L7307" s="3">
        <v>1</v>
      </c>
      <c r="M7307" s="3">
        <v>0</v>
      </c>
      <c r="N7307" s="3">
        <v>22</v>
      </c>
      <c r="O7307" s="3"/>
      <c r="P7307" s="3"/>
      <c r="Q7307" s="3"/>
    </row>
    <row r="7308" spans="1:17" ht="15" x14ac:dyDescent="0.25">
      <c r="A7308" s="3">
        <f>7301</f>
        <v>7301</v>
      </c>
      <c r="B7308" s="3" t="s">
        <v>7310</v>
      </c>
      <c r="C7308" s="3" t="s">
        <v>10</v>
      </c>
      <c r="D7308" s="3" t="s">
        <v>9</v>
      </c>
      <c r="E7308" s="3">
        <v>23</v>
      </c>
      <c r="F7308" s="3">
        <v>70</v>
      </c>
      <c r="G7308" s="3">
        <v>1</v>
      </c>
      <c r="H7308" s="3">
        <v>5</v>
      </c>
      <c r="I7308" s="3">
        <v>21</v>
      </c>
      <c r="J7308" s="3">
        <v>1</v>
      </c>
      <c r="K7308" s="3">
        <v>24</v>
      </c>
      <c r="L7308" s="3">
        <v>1</v>
      </c>
      <c r="M7308" s="3">
        <v>0</v>
      </c>
      <c r="N7308" s="3">
        <v>22</v>
      </c>
      <c r="O7308" s="3"/>
      <c r="P7308" s="3"/>
      <c r="Q7308" s="3"/>
    </row>
    <row r="7309" spans="1:17" ht="15" x14ac:dyDescent="0.25">
      <c r="A7309" s="3">
        <f>7302</f>
        <v>7302</v>
      </c>
      <c r="B7309" s="3" t="s">
        <v>7311</v>
      </c>
      <c r="C7309" s="3" t="s">
        <v>10</v>
      </c>
      <c r="D7309" s="3" t="s">
        <v>9</v>
      </c>
      <c r="E7309" s="3">
        <v>23</v>
      </c>
      <c r="F7309" s="3">
        <v>70</v>
      </c>
      <c r="G7309" s="3">
        <v>1</v>
      </c>
      <c r="H7309" s="3">
        <v>5</v>
      </c>
      <c r="I7309" s="3">
        <v>21</v>
      </c>
      <c r="J7309" s="3">
        <v>1</v>
      </c>
      <c r="K7309" s="3">
        <v>24</v>
      </c>
      <c r="L7309" s="3">
        <v>1</v>
      </c>
      <c r="M7309" s="3">
        <v>0</v>
      </c>
      <c r="N7309" s="3">
        <v>22</v>
      </c>
      <c r="O7309" s="3"/>
      <c r="P7309" s="3"/>
      <c r="Q7309" s="3"/>
    </row>
    <row r="7310" spans="1:17" ht="15" x14ac:dyDescent="0.25">
      <c r="A7310" s="3">
        <f>7303</f>
        <v>7303</v>
      </c>
      <c r="B7310" s="3" t="s">
        <v>7312</v>
      </c>
      <c r="C7310" s="3" t="s">
        <v>10</v>
      </c>
      <c r="D7310" s="3" t="s">
        <v>9</v>
      </c>
      <c r="E7310" s="3">
        <v>23</v>
      </c>
      <c r="F7310" s="3">
        <v>70</v>
      </c>
      <c r="G7310" s="3">
        <v>1</v>
      </c>
      <c r="H7310" s="3">
        <v>5</v>
      </c>
      <c r="I7310" s="3">
        <v>21</v>
      </c>
      <c r="J7310" s="3">
        <v>1</v>
      </c>
      <c r="K7310" s="3">
        <v>24</v>
      </c>
      <c r="L7310" s="3">
        <v>1</v>
      </c>
      <c r="M7310" s="3">
        <v>0</v>
      </c>
      <c r="N7310" s="3">
        <v>22</v>
      </c>
      <c r="O7310" s="3"/>
      <c r="P7310" s="3"/>
      <c r="Q7310" s="3"/>
    </row>
    <row r="7311" spans="1:17" ht="15" x14ac:dyDescent="0.25">
      <c r="A7311" s="3">
        <f>7304</f>
        <v>7304</v>
      </c>
      <c r="B7311" s="3" t="s">
        <v>7313</v>
      </c>
      <c r="C7311" s="3" t="s">
        <v>10</v>
      </c>
      <c r="D7311" s="3" t="s">
        <v>9</v>
      </c>
      <c r="E7311" s="3">
        <v>23</v>
      </c>
      <c r="F7311" s="3">
        <v>70</v>
      </c>
      <c r="G7311" s="3">
        <v>1</v>
      </c>
      <c r="H7311" s="3">
        <v>5</v>
      </c>
      <c r="I7311" s="3">
        <v>21</v>
      </c>
      <c r="J7311" s="3">
        <v>1</v>
      </c>
      <c r="K7311" s="3">
        <v>24</v>
      </c>
      <c r="L7311" s="3">
        <v>1</v>
      </c>
      <c r="M7311" s="3">
        <v>0</v>
      </c>
      <c r="N7311" s="3">
        <v>22</v>
      </c>
      <c r="O7311" s="3"/>
      <c r="P7311" s="3"/>
      <c r="Q7311" s="3"/>
    </row>
    <row r="7312" spans="1:17" ht="15" x14ac:dyDescent="0.25">
      <c r="A7312" s="3">
        <f>7305</f>
        <v>7305</v>
      </c>
      <c r="B7312" s="3" t="s">
        <v>7314</v>
      </c>
      <c r="C7312" s="3" t="s">
        <v>10</v>
      </c>
      <c r="D7312" s="3" t="s">
        <v>9</v>
      </c>
      <c r="E7312" s="3">
        <v>23</v>
      </c>
      <c r="F7312" s="3">
        <v>70</v>
      </c>
      <c r="G7312" s="3">
        <v>1</v>
      </c>
      <c r="H7312" s="3">
        <v>5</v>
      </c>
      <c r="I7312" s="3">
        <v>21</v>
      </c>
      <c r="J7312" s="3">
        <v>1</v>
      </c>
      <c r="K7312" s="3">
        <v>24</v>
      </c>
      <c r="L7312" s="3">
        <v>1</v>
      </c>
      <c r="M7312" s="3">
        <v>0</v>
      </c>
      <c r="N7312" s="3">
        <v>22</v>
      </c>
      <c r="O7312" s="3"/>
      <c r="P7312" s="3"/>
      <c r="Q7312" s="3"/>
    </row>
    <row r="7313" spans="1:17" ht="15" x14ac:dyDescent="0.25">
      <c r="A7313" s="3">
        <f>7306</f>
        <v>7306</v>
      </c>
      <c r="B7313" s="3" t="s">
        <v>7315</v>
      </c>
      <c r="C7313" s="3" t="s">
        <v>10</v>
      </c>
      <c r="D7313" s="3" t="s">
        <v>9</v>
      </c>
      <c r="E7313" s="3">
        <v>23</v>
      </c>
      <c r="F7313" s="3">
        <v>70</v>
      </c>
      <c r="G7313" s="3">
        <v>1</v>
      </c>
      <c r="H7313" s="3">
        <v>5</v>
      </c>
      <c r="I7313" s="3">
        <v>21</v>
      </c>
      <c r="J7313" s="3">
        <v>1</v>
      </c>
      <c r="K7313" s="3">
        <v>24</v>
      </c>
      <c r="L7313" s="3">
        <v>1</v>
      </c>
      <c r="M7313" s="3">
        <v>0</v>
      </c>
      <c r="N7313" s="3">
        <v>22</v>
      </c>
      <c r="O7313" s="3"/>
      <c r="P7313" s="3"/>
      <c r="Q7313" s="3"/>
    </row>
    <row r="7314" spans="1:17" ht="15" x14ac:dyDescent="0.25">
      <c r="A7314" s="3">
        <f>7307</f>
        <v>7307</v>
      </c>
      <c r="B7314" s="3" t="s">
        <v>7316</v>
      </c>
      <c r="C7314" s="3" t="s">
        <v>10</v>
      </c>
      <c r="D7314" s="3" t="s">
        <v>9</v>
      </c>
      <c r="E7314" s="3">
        <v>23</v>
      </c>
      <c r="F7314" s="3">
        <v>70</v>
      </c>
      <c r="G7314" s="3">
        <v>1</v>
      </c>
      <c r="H7314" s="3">
        <v>5</v>
      </c>
      <c r="I7314" s="3">
        <v>21</v>
      </c>
      <c r="J7314" s="3">
        <v>1</v>
      </c>
      <c r="K7314" s="3">
        <v>24</v>
      </c>
      <c r="L7314" s="3">
        <v>1</v>
      </c>
      <c r="M7314" s="3">
        <v>0</v>
      </c>
      <c r="N7314" s="3">
        <v>22</v>
      </c>
      <c r="O7314" s="3"/>
      <c r="P7314" s="3"/>
      <c r="Q7314" s="3"/>
    </row>
    <row r="7315" spans="1:17" ht="15" x14ac:dyDescent="0.25">
      <c r="A7315" s="3">
        <f>7308</f>
        <v>7308</v>
      </c>
      <c r="B7315" s="3" t="s">
        <v>7317</v>
      </c>
      <c r="C7315" s="3" t="s">
        <v>9</v>
      </c>
      <c r="D7315" s="3" t="s">
        <v>10</v>
      </c>
      <c r="E7315" s="3">
        <v>23</v>
      </c>
      <c r="F7315" s="3">
        <v>70</v>
      </c>
      <c r="G7315" s="3">
        <v>1</v>
      </c>
      <c r="H7315" s="3">
        <v>5</v>
      </c>
      <c r="I7315" s="3">
        <v>21</v>
      </c>
      <c r="J7315" s="3">
        <v>1</v>
      </c>
      <c r="K7315" s="3">
        <v>24</v>
      </c>
      <c r="L7315" s="3">
        <v>1</v>
      </c>
      <c r="M7315" s="3">
        <v>0</v>
      </c>
      <c r="N7315" s="3">
        <v>22</v>
      </c>
      <c r="O7315" s="3"/>
      <c r="P7315" s="3"/>
      <c r="Q7315" s="3"/>
    </row>
    <row r="7316" spans="1:17" ht="15" x14ac:dyDescent="0.25">
      <c r="A7316" s="3">
        <f>7309</f>
        <v>7309</v>
      </c>
      <c r="B7316" s="3" t="s">
        <v>7318</v>
      </c>
      <c r="C7316" s="3" t="s">
        <v>10</v>
      </c>
      <c r="D7316" s="3" t="s">
        <v>9</v>
      </c>
      <c r="E7316" s="3">
        <v>23</v>
      </c>
      <c r="F7316" s="3">
        <v>70</v>
      </c>
      <c r="G7316" s="3">
        <v>1</v>
      </c>
      <c r="H7316" s="3">
        <v>5</v>
      </c>
      <c r="I7316" s="3">
        <v>21</v>
      </c>
      <c r="J7316" s="3">
        <v>1</v>
      </c>
      <c r="K7316" s="3">
        <v>24</v>
      </c>
      <c r="L7316" s="3">
        <v>1</v>
      </c>
      <c r="M7316" s="3">
        <v>0</v>
      </c>
      <c r="N7316" s="3">
        <v>22</v>
      </c>
      <c r="O7316" s="3"/>
      <c r="P7316" s="3"/>
      <c r="Q7316" s="3"/>
    </row>
    <row r="7317" spans="1:17" ht="15" x14ac:dyDescent="0.25">
      <c r="A7317" s="3">
        <f>7310</f>
        <v>7310</v>
      </c>
      <c r="B7317" s="3" t="s">
        <v>7319</v>
      </c>
      <c r="C7317" s="3" t="s">
        <v>10</v>
      </c>
      <c r="D7317" s="3" t="s">
        <v>9</v>
      </c>
      <c r="E7317" s="3">
        <v>23</v>
      </c>
      <c r="F7317" s="3">
        <v>70</v>
      </c>
      <c r="G7317" s="3">
        <v>1</v>
      </c>
      <c r="H7317" s="3">
        <v>5</v>
      </c>
      <c r="I7317" s="3">
        <v>21</v>
      </c>
      <c r="J7317" s="3">
        <v>1</v>
      </c>
      <c r="K7317" s="3">
        <v>24</v>
      </c>
      <c r="L7317" s="3">
        <v>1</v>
      </c>
      <c r="M7317" s="3">
        <v>0</v>
      </c>
      <c r="N7317" s="3">
        <v>22</v>
      </c>
      <c r="O7317" s="3"/>
      <c r="P7317" s="3"/>
      <c r="Q7317" s="3"/>
    </row>
    <row r="7318" spans="1:17" ht="15" x14ac:dyDescent="0.25">
      <c r="A7318" s="3">
        <f>7311</f>
        <v>7311</v>
      </c>
      <c r="B7318" s="3" t="s">
        <v>7320</v>
      </c>
      <c r="C7318" s="3" t="s">
        <v>10</v>
      </c>
      <c r="D7318" s="3" t="s">
        <v>9</v>
      </c>
      <c r="E7318" s="3">
        <v>23</v>
      </c>
      <c r="F7318" s="3">
        <v>70</v>
      </c>
      <c r="G7318" s="3">
        <v>1</v>
      </c>
      <c r="H7318" s="3">
        <v>5</v>
      </c>
      <c r="I7318" s="3">
        <v>21</v>
      </c>
      <c r="J7318" s="3">
        <v>1</v>
      </c>
      <c r="K7318" s="3">
        <v>24</v>
      </c>
      <c r="L7318" s="3">
        <v>1</v>
      </c>
      <c r="M7318" s="3">
        <v>0</v>
      </c>
      <c r="N7318" s="3">
        <v>22</v>
      </c>
      <c r="O7318" s="3"/>
      <c r="P7318" s="3"/>
      <c r="Q7318" s="3"/>
    </row>
    <row r="7319" spans="1:17" ht="15" x14ac:dyDescent="0.25">
      <c r="A7319" s="3">
        <f>7312</f>
        <v>7312</v>
      </c>
      <c r="B7319" s="3" t="s">
        <v>7321</v>
      </c>
      <c r="C7319" s="3" t="s">
        <v>10</v>
      </c>
      <c r="D7319" s="3" t="s">
        <v>9</v>
      </c>
      <c r="E7319" s="3">
        <v>23</v>
      </c>
      <c r="F7319" s="3">
        <v>70</v>
      </c>
      <c r="G7319" s="3">
        <v>1</v>
      </c>
      <c r="H7319" s="3">
        <v>5</v>
      </c>
      <c r="I7319" s="3">
        <v>21</v>
      </c>
      <c r="J7319" s="3">
        <v>1</v>
      </c>
      <c r="K7319" s="3">
        <v>24</v>
      </c>
      <c r="L7319" s="3">
        <v>1</v>
      </c>
      <c r="M7319" s="3">
        <v>0</v>
      </c>
      <c r="N7319" s="3">
        <v>22</v>
      </c>
      <c r="O7319" s="3"/>
      <c r="P7319" s="3"/>
      <c r="Q7319" s="3"/>
    </row>
    <row r="7320" spans="1:17" ht="15" x14ac:dyDescent="0.25">
      <c r="A7320" s="3">
        <f>7313</f>
        <v>7313</v>
      </c>
      <c r="B7320" s="3" t="s">
        <v>7322</v>
      </c>
      <c r="C7320" s="3" t="s">
        <v>10</v>
      </c>
      <c r="D7320" s="3" t="s">
        <v>9</v>
      </c>
      <c r="E7320" s="3">
        <v>23</v>
      </c>
      <c r="F7320" s="3">
        <v>70</v>
      </c>
      <c r="G7320" s="3">
        <v>1</v>
      </c>
      <c r="H7320" s="3">
        <v>5</v>
      </c>
      <c r="I7320" s="3">
        <v>21</v>
      </c>
      <c r="J7320" s="3">
        <v>1</v>
      </c>
      <c r="K7320" s="3">
        <v>24</v>
      </c>
      <c r="L7320" s="3">
        <v>1</v>
      </c>
      <c r="M7320" s="3">
        <v>0</v>
      </c>
      <c r="N7320" s="3">
        <v>22</v>
      </c>
      <c r="O7320" s="3"/>
      <c r="P7320" s="3"/>
      <c r="Q7320" s="3"/>
    </row>
    <row r="7321" spans="1:17" ht="15" x14ac:dyDescent="0.25">
      <c r="A7321" s="3">
        <f>7314</f>
        <v>7314</v>
      </c>
      <c r="B7321" s="3" t="s">
        <v>7323</v>
      </c>
      <c r="C7321" s="3" t="s">
        <v>10</v>
      </c>
      <c r="D7321" s="3" t="s">
        <v>9</v>
      </c>
      <c r="E7321" s="3">
        <v>23</v>
      </c>
      <c r="F7321" s="3">
        <v>70</v>
      </c>
      <c r="G7321" s="3">
        <v>1</v>
      </c>
      <c r="H7321" s="3">
        <v>5</v>
      </c>
      <c r="I7321" s="3">
        <v>21</v>
      </c>
      <c r="J7321" s="3">
        <v>1</v>
      </c>
      <c r="K7321" s="3">
        <v>24</v>
      </c>
      <c r="L7321" s="3">
        <v>1</v>
      </c>
      <c r="M7321" s="3">
        <v>0</v>
      </c>
      <c r="N7321" s="3">
        <v>22</v>
      </c>
      <c r="O7321" s="3"/>
      <c r="P7321" s="3"/>
      <c r="Q7321" s="3"/>
    </row>
    <row r="7322" spans="1:17" ht="15" x14ac:dyDescent="0.25">
      <c r="A7322" s="3">
        <f>7315</f>
        <v>7315</v>
      </c>
      <c r="B7322" s="3" t="s">
        <v>7324</v>
      </c>
      <c r="C7322" s="3" t="s">
        <v>10</v>
      </c>
      <c r="D7322" s="3" t="s">
        <v>9</v>
      </c>
      <c r="E7322" s="3">
        <v>23</v>
      </c>
      <c r="F7322" s="3">
        <v>70</v>
      </c>
      <c r="G7322" s="3">
        <v>1</v>
      </c>
      <c r="H7322" s="3">
        <v>5</v>
      </c>
      <c r="I7322" s="3">
        <v>21</v>
      </c>
      <c r="J7322" s="3">
        <v>1</v>
      </c>
      <c r="K7322" s="3">
        <v>24</v>
      </c>
      <c r="L7322" s="3">
        <v>1</v>
      </c>
      <c r="M7322" s="3">
        <v>0</v>
      </c>
      <c r="N7322" s="3">
        <v>22</v>
      </c>
      <c r="O7322" s="3"/>
      <c r="P7322" s="3"/>
      <c r="Q7322" s="3"/>
    </row>
    <row r="7323" spans="1:17" ht="15" x14ac:dyDescent="0.25">
      <c r="A7323" s="3">
        <f>7316</f>
        <v>7316</v>
      </c>
      <c r="B7323" s="3" t="s">
        <v>7325</v>
      </c>
      <c r="C7323" s="3" t="s">
        <v>10</v>
      </c>
      <c r="D7323" s="3" t="s">
        <v>9</v>
      </c>
      <c r="E7323" s="3">
        <v>23</v>
      </c>
      <c r="F7323" s="3">
        <v>70</v>
      </c>
      <c r="G7323" s="3">
        <v>1</v>
      </c>
      <c r="H7323" s="3">
        <v>5</v>
      </c>
      <c r="I7323" s="3">
        <v>21</v>
      </c>
      <c r="J7323" s="3">
        <v>1</v>
      </c>
      <c r="K7323" s="3">
        <v>24</v>
      </c>
      <c r="L7323" s="3">
        <v>1</v>
      </c>
      <c r="M7323" s="3">
        <v>0</v>
      </c>
      <c r="N7323" s="3">
        <v>22</v>
      </c>
      <c r="O7323" s="3"/>
      <c r="P7323" s="3"/>
      <c r="Q7323" s="3"/>
    </row>
    <row r="7324" spans="1:17" ht="15" x14ac:dyDescent="0.25">
      <c r="A7324" s="3">
        <f>7317</f>
        <v>7317</v>
      </c>
      <c r="B7324" s="3" t="s">
        <v>7326</v>
      </c>
      <c r="C7324" s="3" t="s">
        <v>10</v>
      </c>
      <c r="D7324" s="3" t="s">
        <v>9</v>
      </c>
      <c r="E7324" s="3">
        <v>23</v>
      </c>
      <c r="F7324" s="3">
        <v>70</v>
      </c>
      <c r="G7324" s="3">
        <v>1</v>
      </c>
      <c r="H7324" s="3">
        <v>5</v>
      </c>
      <c r="I7324" s="3">
        <v>21</v>
      </c>
      <c r="J7324" s="3">
        <v>1</v>
      </c>
      <c r="K7324" s="3">
        <v>24</v>
      </c>
      <c r="L7324" s="3">
        <v>1</v>
      </c>
      <c r="M7324" s="3">
        <v>0</v>
      </c>
      <c r="N7324" s="3">
        <v>22</v>
      </c>
      <c r="O7324" s="3"/>
      <c r="P7324" s="3"/>
      <c r="Q7324" s="3"/>
    </row>
    <row r="7325" spans="1:17" ht="15" x14ac:dyDescent="0.25">
      <c r="A7325" s="3">
        <f>7318</f>
        <v>7318</v>
      </c>
      <c r="B7325" s="3" t="s">
        <v>7327</v>
      </c>
      <c r="C7325" s="3" t="s">
        <v>10</v>
      </c>
      <c r="D7325" s="3" t="s">
        <v>9</v>
      </c>
      <c r="E7325" s="3">
        <v>23</v>
      </c>
      <c r="F7325" s="3">
        <v>70</v>
      </c>
      <c r="G7325" s="3">
        <v>1</v>
      </c>
      <c r="H7325" s="3">
        <v>5</v>
      </c>
      <c r="I7325" s="3">
        <v>21</v>
      </c>
      <c r="J7325" s="3">
        <v>1</v>
      </c>
      <c r="K7325" s="3">
        <v>24</v>
      </c>
      <c r="L7325" s="3">
        <v>1</v>
      </c>
      <c r="M7325" s="3">
        <v>0</v>
      </c>
      <c r="N7325" s="3">
        <v>22</v>
      </c>
      <c r="O7325" s="3"/>
      <c r="P7325" s="3"/>
      <c r="Q7325" s="3"/>
    </row>
    <row r="7326" spans="1:17" ht="15" x14ac:dyDescent="0.25">
      <c r="A7326" s="3">
        <f>7319</f>
        <v>7319</v>
      </c>
      <c r="B7326" s="3" t="s">
        <v>7328</v>
      </c>
      <c r="C7326" s="3" t="s">
        <v>10</v>
      </c>
      <c r="D7326" s="3" t="s">
        <v>9</v>
      </c>
      <c r="E7326" s="3">
        <v>23</v>
      </c>
      <c r="F7326" s="3">
        <v>70</v>
      </c>
      <c r="G7326" s="3">
        <v>1</v>
      </c>
      <c r="H7326" s="3">
        <v>5</v>
      </c>
      <c r="I7326" s="3">
        <v>21</v>
      </c>
      <c r="J7326" s="3">
        <v>1</v>
      </c>
      <c r="K7326" s="3">
        <v>24</v>
      </c>
      <c r="L7326" s="3">
        <v>1</v>
      </c>
      <c r="M7326" s="3">
        <v>0</v>
      </c>
      <c r="N7326" s="3">
        <v>22</v>
      </c>
      <c r="O7326" s="3"/>
      <c r="P7326" s="3"/>
      <c r="Q7326" s="3"/>
    </row>
    <row r="7327" spans="1:17" ht="15" x14ac:dyDescent="0.25">
      <c r="A7327" s="3">
        <f>7320</f>
        <v>7320</v>
      </c>
      <c r="B7327" s="3" t="s">
        <v>7329</v>
      </c>
      <c r="C7327" s="3" t="s">
        <v>10</v>
      </c>
      <c r="D7327" s="3" t="s">
        <v>9</v>
      </c>
      <c r="E7327" s="3">
        <v>23</v>
      </c>
      <c r="F7327" s="3">
        <v>70</v>
      </c>
      <c r="G7327" s="3">
        <v>1</v>
      </c>
      <c r="H7327" s="3">
        <v>5</v>
      </c>
      <c r="I7327" s="3">
        <v>21</v>
      </c>
      <c r="J7327" s="3">
        <v>1</v>
      </c>
      <c r="K7327" s="3">
        <v>24</v>
      </c>
      <c r="L7327" s="3">
        <v>1</v>
      </c>
      <c r="M7327" s="3">
        <v>0</v>
      </c>
      <c r="N7327" s="3">
        <v>22</v>
      </c>
      <c r="O7327" s="3"/>
      <c r="P7327" s="3"/>
      <c r="Q7327" s="3"/>
    </row>
    <row r="7328" spans="1:17" ht="15" x14ac:dyDescent="0.25">
      <c r="A7328" s="3">
        <f>7321</f>
        <v>7321</v>
      </c>
      <c r="B7328" s="3" t="s">
        <v>7330</v>
      </c>
      <c r="C7328" s="3" t="s">
        <v>10</v>
      </c>
      <c r="D7328" s="3" t="s">
        <v>9</v>
      </c>
      <c r="E7328" s="3">
        <v>23</v>
      </c>
      <c r="F7328" s="3">
        <v>70</v>
      </c>
      <c r="G7328" s="3">
        <v>1</v>
      </c>
      <c r="H7328" s="3">
        <v>5</v>
      </c>
      <c r="I7328" s="3">
        <v>21</v>
      </c>
      <c r="J7328" s="3">
        <v>1</v>
      </c>
      <c r="K7328" s="3">
        <v>24</v>
      </c>
      <c r="L7328" s="3">
        <v>1</v>
      </c>
      <c r="M7328" s="3">
        <v>0</v>
      </c>
      <c r="N7328" s="3">
        <v>22</v>
      </c>
      <c r="O7328" s="3"/>
      <c r="P7328" s="3"/>
      <c r="Q7328" s="3"/>
    </row>
    <row r="7329" spans="1:17" ht="15" x14ac:dyDescent="0.25">
      <c r="A7329" s="3">
        <f>7322</f>
        <v>7322</v>
      </c>
      <c r="B7329" s="3" t="s">
        <v>7331</v>
      </c>
      <c r="C7329" s="3" t="s">
        <v>10</v>
      </c>
      <c r="D7329" s="3" t="s">
        <v>9</v>
      </c>
      <c r="E7329" s="3">
        <v>23</v>
      </c>
      <c r="F7329" s="3">
        <v>70</v>
      </c>
      <c r="G7329" s="3">
        <v>1</v>
      </c>
      <c r="H7329" s="3">
        <v>5</v>
      </c>
      <c r="I7329" s="3">
        <v>21</v>
      </c>
      <c r="J7329" s="3">
        <v>1</v>
      </c>
      <c r="K7329" s="3">
        <v>24</v>
      </c>
      <c r="L7329" s="3">
        <v>1</v>
      </c>
      <c r="M7329" s="3">
        <v>0</v>
      </c>
      <c r="N7329" s="3">
        <v>22</v>
      </c>
      <c r="O7329" s="3"/>
      <c r="P7329" s="3"/>
      <c r="Q7329" s="3"/>
    </row>
    <row r="7330" spans="1:17" ht="15" x14ac:dyDescent="0.25">
      <c r="A7330" s="3">
        <f>7323</f>
        <v>7323</v>
      </c>
      <c r="B7330" s="3" t="s">
        <v>7332</v>
      </c>
      <c r="C7330" s="3" t="s">
        <v>10</v>
      </c>
      <c r="D7330" s="3" t="s">
        <v>9</v>
      </c>
      <c r="E7330" s="3">
        <v>23</v>
      </c>
      <c r="F7330" s="3">
        <v>70</v>
      </c>
      <c r="G7330" s="3">
        <v>1</v>
      </c>
      <c r="H7330" s="3">
        <v>5</v>
      </c>
      <c r="I7330" s="3">
        <v>21</v>
      </c>
      <c r="J7330" s="3">
        <v>1</v>
      </c>
      <c r="K7330" s="3">
        <v>24</v>
      </c>
      <c r="L7330" s="3">
        <v>1</v>
      </c>
      <c r="M7330" s="3">
        <v>0</v>
      </c>
      <c r="N7330" s="3">
        <v>22</v>
      </c>
      <c r="O7330" s="3"/>
      <c r="P7330" s="3"/>
      <c r="Q7330" s="3"/>
    </row>
    <row r="7331" spans="1:17" ht="15" x14ac:dyDescent="0.25">
      <c r="A7331" s="3">
        <f>7324</f>
        <v>7324</v>
      </c>
      <c r="B7331" s="3" t="s">
        <v>7333</v>
      </c>
      <c r="C7331" s="3" t="s">
        <v>10</v>
      </c>
      <c r="D7331" s="3" t="s">
        <v>9</v>
      </c>
      <c r="E7331" s="3">
        <v>23</v>
      </c>
      <c r="F7331" s="3">
        <v>70</v>
      </c>
      <c r="G7331" s="3">
        <v>1</v>
      </c>
      <c r="H7331" s="3">
        <v>5</v>
      </c>
      <c r="I7331" s="3">
        <v>21</v>
      </c>
      <c r="J7331" s="3">
        <v>1</v>
      </c>
      <c r="K7331" s="3">
        <v>24</v>
      </c>
      <c r="L7331" s="3">
        <v>1</v>
      </c>
      <c r="M7331" s="3">
        <v>0</v>
      </c>
      <c r="N7331" s="3">
        <v>22</v>
      </c>
      <c r="O7331" s="3"/>
      <c r="P7331" s="3"/>
      <c r="Q7331" s="3"/>
    </row>
    <row r="7332" spans="1:17" ht="15" x14ac:dyDescent="0.25">
      <c r="A7332" s="3">
        <f>7325</f>
        <v>7325</v>
      </c>
      <c r="B7332" s="3" t="s">
        <v>7334</v>
      </c>
      <c r="C7332" s="3" t="s">
        <v>10</v>
      </c>
      <c r="D7332" s="3" t="s">
        <v>9</v>
      </c>
      <c r="E7332" s="3">
        <v>23</v>
      </c>
      <c r="F7332" s="3">
        <v>70</v>
      </c>
      <c r="G7332" s="3">
        <v>1</v>
      </c>
      <c r="H7332" s="3">
        <v>5</v>
      </c>
      <c r="I7332" s="3">
        <v>21</v>
      </c>
      <c r="J7332" s="3">
        <v>1</v>
      </c>
      <c r="K7332" s="3">
        <v>24</v>
      </c>
      <c r="L7332" s="3">
        <v>1</v>
      </c>
      <c r="M7332" s="3">
        <v>0</v>
      </c>
      <c r="N7332" s="3">
        <v>22</v>
      </c>
      <c r="O7332" s="3"/>
      <c r="P7332" s="3"/>
      <c r="Q7332" s="3"/>
    </row>
    <row r="7333" spans="1:17" ht="15" x14ac:dyDescent="0.25">
      <c r="A7333" s="3">
        <f>7326</f>
        <v>7326</v>
      </c>
      <c r="B7333" s="3" t="s">
        <v>7335</v>
      </c>
      <c r="C7333" s="3" t="s">
        <v>10</v>
      </c>
      <c r="D7333" s="3" t="s">
        <v>9</v>
      </c>
      <c r="E7333" s="3">
        <v>23</v>
      </c>
      <c r="F7333" s="3">
        <v>70</v>
      </c>
      <c r="G7333" s="3">
        <v>1</v>
      </c>
      <c r="H7333" s="3">
        <v>5</v>
      </c>
      <c r="I7333" s="3">
        <v>21</v>
      </c>
      <c r="J7333" s="3">
        <v>1</v>
      </c>
      <c r="K7333" s="3">
        <v>24</v>
      </c>
      <c r="L7333" s="3">
        <v>1</v>
      </c>
      <c r="M7333" s="3">
        <v>0</v>
      </c>
      <c r="N7333" s="3">
        <v>22</v>
      </c>
      <c r="O7333" s="3"/>
      <c r="P7333" s="3"/>
      <c r="Q7333" s="3"/>
    </row>
    <row r="7334" spans="1:17" ht="15" x14ac:dyDescent="0.25">
      <c r="A7334" s="3">
        <f>7327</f>
        <v>7327</v>
      </c>
      <c r="B7334" s="3" t="s">
        <v>7336</v>
      </c>
      <c r="C7334" s="3" t="s">
        <v>10</v>
      </c>
      <c r="D7334" s="3" t="s">
        <v>9</v>
      </c>
      <c r="E7334" s="3">
        <v>23</v>
      </c>
      <c r="F7334" s="3">
        <v>70</v>
      </c>
      <c r="G7334" s="3">
        <v>1</v>
      </c>
      <c r="H7334" s="3">
        <v>5</v>
      </c>
      <c r="I7334" s="3">
        <v>21</v>
      </c>
      <c r="J7334" s="3">
        <v>1</v>
      </c>
      <c r="K7334" s="3">
        <v>24</v>
      </c>
      <c r="L7334" s="3">
        <v>1</v>
      </c>
      <c r="M7334" s="3">
        <v>0</v>
      </c>
      <c r="N7334" s="3">
        <v>22</v>
      </c>
      <c r="O7334" s="3"/>
      <c r="P7334" s="3"/>
      <c r="Q7334" s="3"/>
    </row>
    <row r="7335" spans="1:17" ht="15" x14ac:dyDescent="0.25">
      <c r="A7335" s="3">
        <f>7328</f>
        <v>7328</v>
      </c>
      <c r="B7335" s="3" t="s">
        <v>7337</v>
      </c>
      <c r="C7335" s="3" t="s">
        <v>10</v>
      </c>
      <c r="D7335" s="3" t="s">
        <v>9</v>
      </c>
      <c r="E7335" s="3">
        <v>23</v>
      </c>
      <c r="F7335" s="3">
        <v>70</v>
      </c>
      <c r="G7335" s="3">
        <v>1</v>
      </c>
      <c r="H7335" s="3">
        <v>5</v>
      </c>
      <c r="I7335" s="3">
        <v>21</v>
      </c>
      <c r="J7335" s="3">
        <v>1</v>
      </c>
      <c r="K7335" s="3">
        <v>24</v>
      </c>
      <c r="L7335" s="3">
        <v>1</v>
      </c>
      <c r="M7335" s="3">
        <v>0</v>
      </c>
      <c r="N7335" s="3">
        <v>22</v>
      </c>
      <c r="O7335" s="3"/>
      <c r="P7335" s="3"/>
      <c r="Q7335" s="3"/>
    </row>
    <row r="7336" spans="1:17" ht="15" x14ac:dyDescent="0.25">
      <c r="A7336" s="3">
        <f>7329</f>
        <v>7329</v>
      </c>
      <c r="B7336" s="3" t="s">
        <v>7338</v>
      </c>
      <c r="C7336" s="3" t="s">
        <v>10</v>
      </c>
      <c r="D7336" s="3" t="s">
        <v>9</v>
      </c>
      <c r="E7336" s="3">
        <v>23</v>
      </c>
      <c r="F7336" s="3">
        <v>70</v>
      </c>
      <c r="G7336" s="3">
        <v>1</v>
      </c>
      <c r="H7336" s="3">
        <v>5</v>
      </c>
      <c r="I7336" s="3">
        <v>21</v>
      </c>
      <c r="J7336" s="3">
        <v>1</v>
      </c>
      <c r="K7336" s="3">
        <v>24</v>
      </c>
      <c r="L7336" s="3">
        <v>1</v>
      </c>
      <c r="M7336" s="3">
        <v>0</v>
      </c>
      <c r="N7336" s="3">
        <v>22</v>
      </c>
      <c r="O7336" s="3"/>
      <c r="P7336" s="3"/>
      <c r="Q7336" s="3"/>
    </row>
    <row r="7337" spans="1:17" ht="15" x14ac:dyDescent="0.25">
      <c r="A7337" s="3">
        <f>7330</f>
        <v>7330</v>
      </c>
      <c r="B7337" s="3" t="s">
        <v>7339</v>
      </c>
      <c r="C7337" s="3" t="s">
        <v>10</v>
      </c>
      <c r="D7337" s="3" t="s">
        <v>9</v>
      </c>
      <c r="E7337" s="3">
        <v>23</v>
      </c>
      <c r="F7337" s="3">
        <v>70</v>
      </c>
      <c r="G7337" s="3">
        <v>1</v>
      </c>
      <c r="H7337" s="3">
        <v>5</v>
      </c>
      <c r="I7337" s="3">
        <v>21</v>
      </c>
      <c r="J7337" s="3">
        <v>1</v>
      </c>
      <c r="K7337" s="3">
        <v>24</v>
      </c>
      <c r="L7337" s="3">
        <v>1</v>
      </c>
      <c r="M7337" s="3">
        <v>0</v>
      </c>
      <c r="N7337" s="3">
        <v>22</v>
      </c>
      <c r="O7337" s="3"/>
      <c r="P7337" s="3"/>
      <c r="Q7337" s="3"/>
    </row>
    <row r="7338" spans="1:17" ht="15" x14ac:dyDescent="0.25">
      <c r="A7338" s="3">
        <f>7331</f>
        <v>7331</v>
      </c>
      <c r="B7338" s="3" t="s">
        <v>7340</v>
      </c>
      <c r="C7338" s="3" t="s">
        <v>10</v>
      </c>
      <c r="D7338" s="3" t="s">
        <v>9</v>
      </c>
      <c r="E7338" s="3">
        <v>23</v>
      </c>
      <c r="F7338" s="3">
        <v>70</v>
      </c>
      <c r="G7338" s="3">
        <v>1</v>
      </c>
      <c r="H7338" s="3">
        <v>5</v>
      </c>
      <c r="I7338" s="3">
        <v>21</v>
      </c>
      <c r="J7338" s="3">
        <v>1</v>
      </c>
      <c r="K7338" s="3">
        <v>24</v>
      </c>
      <c r="L7338" s="3">
        <v>1</v>
      </c>
      <c r="M7338" s="3">
        <v>0</v>
      </c>
      <c r="N7338" s="3">
        <v>22</v>
      </c>
      <c r="O7338" s="3"/>
      <c r="P7338" s="3"/>
      <c r="Q7338" s="3"/>
    </row>
    <row r="7339" spans="1:17" ht="15" x14ac:dyDescent="0.25">
      <c r="A7339" s="3">
        <f>7332</f>
        <v>7332</v>
      </c>
      <c r="B7339" s="3" t="s">
        <v>7341</v>
      </c>
      <c r="C7339" s="3" t="s">
        <v>10</v>
      </c>
      <c r="D7339" s="3" t="s">
        <v>9</v>
      </c>
      <c r="E7339" s="3">
        <v>23</v>
      </c>
      <c r="F7339" s="3">
        <v>70</v>
      </c>
      <c r="G7339" s="3">
        <v>1</v>
      </c>
      <c r="H7339" s="3">
        <v>5</v>
      </c>
      <c r="I7339" s="3">
        <v>21</v>
      </c>
      <c r="J7339" s="3">
        <v>1</v>
      </c>
      <c r="K7339" s="3">
        <v>24</v>
      </c>
      <c r="L7339" s="3">
        <v>1</v>
      </c>
      <c r="M7339" s="3">
        <v>0</v>
      </c>
      <c r="N7339" s="3">
        <v>22</v>
      </c>
      <c r="O7339" s="3"/>
      <c r="P7339" s="3"/>
      <c r="Q7339" s="3"/>
    </row>
    <row r="7340" spans="1:17" ht="15" x14ac:dyDescent="0.25">
      <c r="A7340" s="3">
        <f>7333</f>
        <v>7333</v>
      </c>
      <c r="B7340" s="3" t="s">
        <v>7342</v>
      </c>
      <c r="C7340" s="3" t="s">
        <v>10</v>
      </c>
      <c r="D7340" s="3" t="s">
        <v>9</v>
      </c>
      <c r="E7340" s="3">
        <v>23</v>
      </c>
      <c r="F7340" s="3">
        <v>70</v>
      </c>
      <c r="G7340" s="3">
        <v>1</v>
      </c>
      <c r="H7340" s="3">
        <v>5</v>
      </c>
      <c r="I7340" s="3">
        <v>21</v>
      </c>
      <c r="J7340" s="3">
        <v>1</v>
      </c>
      <c r="K7340" s="3">
        <v>24</v>
      </c>
      <c r="L7340" s="3">
        <v>1</v>
      </c>
      <c r="M7340" s="3">
        <v>0</v>
      </c>
      <c r="N7340" s="3">
        <v>22</v>
      </c>
      <c r="O7340" s="3"/>
      <c r="P7340" s="3"/>
      <c r="Q7340" s="3"/>
    </row>
    <row r="7341" spans="1:17" ht="15" x14ac:dyDescent="0.25">
      <c r="A7341" s="3">
        <f>7334</f>
        <v>7334</v>
      </c>
      <c r="B7341" s="3" t="s">
        <v>7343</v>
      </c>
      <c r="C7341" s="3" t="s">
        <v>10</v>
      </c>
      <c r="D7341" s="3" t="s">
        <v>9</v>
      </c>
      <c r="E7341" s="3">
        <v>23</v>
      </c>
      <c r="F7341" s="3">
        <v>70</v>
      </c>
      <c r="G7341" s="3">
        <v>1</v>
      </c>
      <c r="H7341" s="3">
        <v>5</v>
      </c>
      <c r="I7341" s="3">
        <v>21</v>
      </c>
      <c r="J7341" s="3">
        <v>1</v>
      </c>
      <c r="K7341" s="3">
        <v>24</v>
      </c>
      <c r="L7341" s="3">
        <v>1</v>
      </c>
      <c r="M7341" s="3">
        <v>0</v>
      </c>
      <c r="N7341" s="3">
        <v>22</v>
      </c>
      <c r="O7341" s="3"/>
      <c r="P7341" s="3"/>
      <c r="Q7341" s="3"/>
    </row>
    <row r="7342" spans="1:17" ht="15" x14ac:dyDescent="0.25">
      <c r="A7342" s="3">
        <f>7335</f>
        <v>7335</v>
      </c>
      <c r="B7342" s="3" t="s">
        <v>7344</v>
      </c>
      <c r="C7342" s="3" t="s">
        <v>10</v>
      </c>
      <c r="D7342" s="3" t="s">
        <v>9</v>
      </c>
      <c r="E7342" s="3">
        <v>24</v>
      </c>
      <c r="F7342" s="3">
        <v>70</v>
      </c>
      <c r="G7342" s="3">
        <v>1</v>
      </c>
      <c r="H7342" s="3">
        <v>5</v>
      </c>
      <c r="I7342" s="3">
        <v>21</v>
      </c>
      <c r="J7342" s="3">
        <v>1</v>
      </c>
      <c r="K7342" s="3">
        <v>24</v>
      </c>
      <c r="L7342" s="3">
        <v>1</v>
      </c>
      <c r="M7342" s="3">
        <v>0</v>
      </c>
      <c r="N7342" s="3">
        <v>22</v>
      </c>
      <c r="O7342" s="3"/>
      <c r="P7342" s="3"/>
      <c r="Q7342" s="3"/>
    </row>
    <row r="7343" spans="1:17" ht="15" x14ac:dyDescent="0.25">
      <c r="A7343" s="3">
        <f>7336</f>
        <v>7336</v>
      </c>
      <c r="B7343" s="3" t="s">
        <v>7345</v>
      </c>
      <c r="C7343" s="3" t="s">
        <v>10</v>
      </c>
      <c r="D7343" s="3" t="s">
        <v>9</v>
      </c>
      <c r="E7343" s="3">
        <v>24</v>
      </c>
      <c r="F7343" s="3">
        <v>70</v>
      </c>
      <c r="G7343" s="3">
        <v>1</v>
      </c>
      <c r="H7343" s="3">
        <v>5</v>
      </c>
      <c r="I7343" s="3">
        <v>21</v>
      </c>
      <c r="J7343" s="3">
        <v>1</v>
      </c>
      <c r="K7343" s="3">
        <v>24</v>
      </c>
      <c r="L7343" s="3">
        <v>1</v>
      </c>
      <c r="M7343" s="3">
        <v>0</v>
      </c>
      <c r="N7343" s="3">
        <v>22</v>
      </c>
      <c r="O7343" s="3"/>
      <c r="P7343" s="3"/>
      <c r="Q7343" s="3"/>
    </row>
    <row r="7344" spans="1:17" ht="15" x14ac:dyDescent="0.25">
      <c r="A7344" s="3">
        <f>7337</f>
        <v>7337</v>
      </c>
      <c r="B7344" s="3" t="s">
        <v>7346</v>
      </c>
      <c r="C7344" s="3" t="s">
        <v>10</v>
      </c>
      <c r="D7344" s="3" t="s">
        <v>9</v>
      </c>
      <c r="E7344" s="3">
        <v>24</v>
      </c>
      <c r="F7344" s="3">
        <v>70</v>
      </c>
      <c r="G7344" s="3">
        <v>1</v>
      </c>
      <c r="H7344" s="3">
        <v>5</v>
      </c>
      <c r="I7344" s="3">
        <v>21</v>
      </c>
      <c r="J7344" s="3">
        <v>1</v>
      </c>
      <c r="K7344" s="3">
        <v>24</v>
      </c>
      <c r="L7344" s="3">
        <v>1</v>
      </c>
      <c r="M7344" s="3">
        <v>0</v>
      </c>
      <c r="N7344" s="3">
        <v>22</v>
      </c>
      <c r="O7344" s="3"/>
      <c r="P7344" s="3"/>
      <c r="Q7344" s="3"/>
    </row>
    <row r="7345" spans="1:17" ht="15" x14ac:dyDescent="0.25">
      <c r="A7345" s="3">
        <f>7338</f>
        <v>7338</v>
      </c>
      <c r="B7345" s="3" t="s">
        <v>7347</v>
      </c>
      <c r="C7345" s="3" t="s">
        <v>10</v>
      </c>
      <c r="D7345" s="3" t="s">
        <v>9</v>
      </c>
      <c r="E7345" s="3">
        <v>24</v>
      </c>
      <c r="F7345" s="3">
        <v>70</v>
      </c>
      <c r="G7345" s="3">
        <v>1</v>
      </c>
      <c r="H7345" s="3">
        <v>5</v>
      </c>
      <c r="I7345" s="3">
        <v>21</v>
      </c>
      <c r="J7345" s="3">
        <v>1</v>
      </c>
      <c r="K7345" s="3">
        <v>24</v>
      </c>
      <c r="L7345" s="3">
        <v>1</v>
      </c>
      <c r="M7345" s="3">
        <v>0</v>
      </c>
      <c r="N7345" s="3">
        <v>22</v>
      </c>
      <c r="O7345" s="3"/>
      <c r="P7345" s="3"/>
      <c r="Q7345" s="3"/>
    </row>
    <row r="7346" spans="1:17" ht="15" x14ac:dyDescent="0.25">
      <c r="A7346" s="3">
        <f>7339</f>
        <v>7339</v>
      </c>
      <c r="B7346" s="3" t="s">
        <v>7348</v>
      </c>
      <c r="C7346" s="3" t="s">
        <v>10</v>
      </c>
      <c r="D7346" s="3" t="s">
        <v>9</v>
      </c>
      <c r="E7346" s="3">
        <v>24</v>
      </c>
      <c r="F7346" s="3">
        <v>70</v>
      </c>
      <c r="G7346" s="3">
        <v>1</v>
      </c>
      <c r="H7346" s="3">
        <v>5</v>
      </c>
      <c r="I7346" s="3">
        <v>21</v>
      </c>
      <c r="J7346" s="3">
        <v>1</v>
      </c>
      <c r="K7346" s="3">
        <v>24</v>
      </c>
      <c r="L7346" s="3">
        <v>1</v>
      </c>
      <c r="M7346" s="3">
        <v>0</v>
      </c>
      <c r="N7346" s="3">
        <v>22</v>
      </c>
      <c r="O7346" s="3"/>
      <c r="P7346" s="3"/>
      <c r="Q7346" s="3"/>
    </row>
    <row r="7347" spans="1:17" ht="15" x14ac:dyDescent="0.25">
      <c r="A7347" s="3">
        <f>7340</f>
        <v>7340</v>
      </c>
      <c r="B7347" s="3" t="s">
        <v>7349</v>
      </c>
      <c r="C7347" s="3" t="s">
        <v>10</v>
      </c>
      <c r="D7347" s="3" t="s">
        <v>9</v>
      </c>
      <c r="E7347" s="3">
        <v>24</v>
      </c>
      <c r="F7347" s="3">
        <v>70</v>
      </c>
      <c r="G7347" s="3">
        <v>1</v>
      </c>
      <c r="H7347" s="3">
        <v>5</v>
      </c>
      <c r="I7347" s="3">
        <v>21</v>
      </c>
      <c r="J7347" s="3">
        <v>1</v>
      </c>
      <c r="K7347" s="3">
        <v>24</v>
      </c>
      <c r="L7347" s="3">
        <v>1</v>
      </c>
      <c r="M7347" s="3">
        <v>0</v>
      </c>
      <c r="N7347" s="3">
        <v>22</v>
      </c>
      <c r="O7347" s="3"/>
      <c r="P7347" s="3"/>
      <c r="Q7347" s="3"/>
    </row>
    <row r="7348" spans="1:17" ht="15" x14ac:dyDescent="0.25">
      <c r="A7348" s="3">
        <f>7341</f>
        <v>7341</v>
      </c>
      <c r="B7348" s="3" t="s">
        <v>7350</v>
      </c>
      <c r="C7348" s="3" t="s">
        <v>10</v>
      </c>
      <c r="D7348" s="3" t="s">
        <v>9</v>
      </c>
      <c r="E7348" s="3">
        <v>19</v>
      </c>
      <c r="F7348" s="3">
        <v>70</v>
      </c>
      <c r="G7348" s="3">
        <v>1</v>
      </c>
      <c r="H7348" s="3">
        <v>5</v>
      </c>
      <c r="I7348" s="3">
        <v>21</v>
      </c>
      <c r="J7348" s="3">
        <v>1</v>
      </c>
      <c r="K7348" s="3">
        <v>24</v>
      </c>
      <c r="L7348" s="3">
        <v>1</v>
      </c>
      <c r="M7348" s="3">
        <v>0</v>
      </c>
      <c r="N7348" s="3">
        <v>22</v>
      </c>
      <c r="O7348" s="3"/>
      <c r="P7348" s="3"/>
      <c r="Q7348" s="3"/>
    </row>
    <row r="7349" spans="1:17" ht="15" x14ac:dyDescent="0.25">
      <c r="A7349" s="3">
        <f>7342</f>
        <v>7342</v>
      </c>
      <c r="B7349" s="3" t="s">
        <v>7351</v>
      </c>
      <c r="C7349" s="3" t="s">
        <v>10</v>
      </c>
      <c r="D7349" s="3" t="s">
        <v>9</v>
      </c>
      <c r="E7349" s="3">
        <v>19</v>
      </c>
      <c r="F7349" s="3">
        <v>70</v>
      </c>
      <c r="G7349" s="3">
        <v>1</v>
      </c>
      <c r="H7349" s="3">
        <v>5</v>
      </c>
      <c r="I7349" s="3">
        <v>21</v>
      </c>
      <c r="J7349" s="3">
        <v>1</v>
      </c>
      <c r="K7349" s="3">
        <v>24</v>
      </c>
      <c r="L7349" s="3">
        <v>1</v>
      </c>
      <c r="M7349" s="3">
        <v>0</v>
      </c>
      <c r="N7349" s="3">
        <v>22</v>
      </c>
      <c r="O7349" s="3"/>
      <c r="P7349" s="3"/>
      <c r="Q7349" s="3"/>
    </row>
    <row r="7350" spans="1:17" ht="15" x14ac:dyDescent="0.25">
      <c r="A7350" s="3">
        <f>7343</f>
        <v>7343</v>
      </c>
      <c r="B7350" s="3" t="s">
        <v>7352</v>
      </c>
      <c r="C7350" s="3" t="s">
        <v>10</v>
      </c>
      <c r="D7350" s="3" t="s">
        <v>9</v>
      </c>
      <c r="E7350" s="3">
        <v>24</v>
      </c>
      <c r="F7350" s="3">
        <v>70</v>
      </c>
      <c r="G7350" s="3">
        <v>1</v>
      </c>
      <c r="H7350" s="3">
        <v>5</v>
      </c>
      <c r="I7350" s="3">
        <v>21</v>
      </c>
      <c r="J7350" s="3">
        <v>1</v>
      </c>
      <c r="K7350" s="3">
        <v>24</v>
      </c>
      <c r="L7350" s="3">
        <v>1</v>
      </c>
      <c r="M7350" s="3">
        <v>0</v>
      </c>
      <c r="N7350" s="3">
        <v>22</v>
      </c>
      <c r="O7350" s="3"/>
      <c r="P7350" s="3"/>
      <c r="Q7350" s="3"/>
    </row>
    <row r="7351" spans="1:17" ht="15" x14ac:dyDescent="0.25">
      <c r="A7351" s="3">
        <f>7344</f>
        <v>7344</v>
      </c>
      <c r="B7351" s="3" t="s">
        <v>7353</v>
      </c>
      <c r="C7351" s="3" t="s">
        <v>10</v>
      </c>
      <c r="D7351" s="3" t="s">
        <v>9</v>
      </c>
      <c r="E7351" s="3">
        <v>24</v>
      </c>
      <c r="F7351" s="3">
        <v>70</v>
      </c>
      <c r="G7351" s="3">
        <v>1</v>
      </c>
      <c r="H7351" s="3">
        <v>5</v>
      </c>
      <c r="I7351" s="3">
        <v>21</v>
      </c>
      <c r="J7351" s="3">
        <v>1</v>
      </c>
      <c r="K7351" s="3">
        <v>24</v>
      </c>
      <c r="L7351" s="3">
        <v>1</v>
      </c>
      <c r="M7351" s="3">
        <v>0</v>
      </c>
      <c r="N7351" s="3">
        <v>22</v>
      </c>
      <c r="O7351" s="3"/>
      <c r="P7351" s="3"/>
      <c r="Q7351" s="3"/>
    </row>
    <row r="7352" spans="1:17" ht="15" x14ac:dyDescent="0.25">
      <c r="A7352" s="3">
        <f>7345</f>
        <v>7345</v>
      </c>
      <c r="B7352" s="3" t="s">
        <v>7354</v>
      </c>
      <c r="C7352" s="3" t="s">
        <v>10</v>
      </c>
      <c r="D7352" s="3" t="s">
        <v>9</v>
      </c>
      <c r="E7352" s="3">
        <v>24</v>
      </c>
      <c r="F7352" s="3">
        <v>70</v>
      </c>
      <c r="G7352" s="3">
        <v>1</v>
      </c>
      <c r="H7352" s="3">
        <v>5</v>
      </c>
      <c r="I7352" s="3">
        <v>21</v>
      </c>
      <c r="J7352" s="3">
        <v>1</v>
      </c>
      <c r="K7352" s="3">
        <v>24</v>
      </c>
      <c r="L7352" s="3">
        <v>1</v>
      </c>
      <c r="M7352" s="3">
        <v>0</v>
      </c>
      <c r="N7352" s="3">
        <v>22</v>
      </c>
      <c r="O7352" s="3"/>
      <c r="P7352" s="3"/>
      <c r="Q7352" s="3"/>
    </row>
    <row r="7353" spans="1:17" ht="15" x14ac:dyDescent="0.25">
      <c r="A7353" s="3">
        <f>7346</f>
        <v>7346</v>
      </c>
      <c r="B7353" s="3" t="s">
        <v>7355</v>
      </c>
      <c r="C7353" s="3" t="s">
        <v>10</v>
      </c>
      <c r="D7353" s="3" t="s">
        <v>9</v>
      </c>
      <c r="E7353" s="3">
        <v>24</v>
      </c>
      <c r="F7353" s="3">
        <v>70</v>
      </c>
      <c r="G7353" s="3">
        <v>1</v>
      </c>
      <c r="H7353" s="3">
        <v>5</v>
      </c>
      <c r="I7353" s="3">
        <v>21</v>
      </c>
      <c r="J7353" s="3">
        <v>1</v>
      </c>
      <c r="K7353" s="3">
        <v>24</v>
      </c>
      <c r="L7353" s="3">
        <v>1</v>
      </c>
      <c r="M7353" s="3">
        <v>0</v>
      </c>
      <c r="N7353" s="3">
        <v>22</v>
      </c>
      <c r="O7353" s="3"/>
      <c r="P7353" s="3"/>
      <c r="Q7353" s="3"/>
    </row>
    <row r="7354" spans="1:17" ht="15" x14ac:dyDescent="0.25">
      <c r="A7354" s="3">
        <f>7347</f>
        <v>7347</v>
      </c>
      <c r="B7354" s="3" t="s">
        <v>7356</v>
      </c>
      <c r="C7354" s="3" t="s">
        <v>10</v>
      </c>
      <c r="D7354" s="3" t="s">
        <v>9</v>
      </c>
      <c r="E7354" s="3">
        <v>24</v>
      </c>
      <c r="F7354" s="3">
        <v>70</v>
      </c>
      <c r="G7354" s="3">
        <v>1</v>
      </c>
      <c r="H7354" s="3">
        <v>5</v>
      </c>
      <c r="I7354" s="3">
        <v>21</v>
      </c>
      <c r="J7354" s="3">
        <v>1</v>
      </c>
      <c r="K7354" s="3">
        <v>24</v>
      </c>
      <c r="L7354" s="3">
        <v>1</v>
      </c>
      <c r="M7354" s="3">
        <v>0</v>
      </c>
      <c r="N7354" s="3">
        <v>22</v>
      </c>
      <c r="O7354" s="3"/>
      <c r="P7354" s="3"/>
      <c r="Q7354" s="3"/>
    </row>
    <row r="7355" spans="1:17" ht="15" x14ac:dyDescent="0.25">
      <c r="A7355" s="3">
        <f>7348</f>
        <v>7348</v>
      </c>
      <c r="B7355" s="3" t="s">
        <v>7357</v>
      </c>
      <c r="C7355" s="3" t="s">
        <v>10</v>
      </c>
      <c r="D7355" s="3" t="s">
        <v>9</v>
      </c>
      <c r="E7355" s="3">
        <v>24</v>
      </c>
      <c r="F7355" s="3">
        <v>70</v>
      </c>
      <c r="G7355" s="3">
        <v>1</v>
      </c>
      <c r="H7355" s="3">
        <v>5</v>
      </c>
      <c r="I7355" s="3">
        <v>21</v>
      </c>
      <c r="J7355" s="3">
        <v>1</v>
      </c>
      <c r="K7355" s="3">
        <v>24</v>
      </c>
      <c r="L7355" s="3">
        <v>1</v>
      </c>
      <c r="M7355" s="3">
        <v>0</v>
      </c>
      <c r="N7355" s="3">
        <v>22</v>
      </c>
      <c r="O7355" s="3"/>
      <c r="P7355" s="3"/>
      <c r="Q7355" s="3"/>
    </row>
    <row r="7356" spans="1:17" ht="15" x14ac:dyDescent="0.25">
      <c r="A7356" s="3">
        <f>7349</f>
        <v>7349</v>
      </c>
      <c r="B7356" s="3" t="s">
        <v>7358</v>
      </c>
      <c r="C7356" s="3" t="s">
        <v>10</v>
      </c>
      <c r="D7356" s="3" t="s">
        <v>9</v>
      </c>
      <c r="E7356" s="3">
        <v>24</v>
      </c>
      <c r="F7356" s="3">
        <v>70</v>
      </c>
      <c r="G7356" s="3">
        <v>1</v>
      </c>
      <c r="H7356" s="3">
        <v>5</v>
      </c>
      <c r="I7356" s="3">
        <v>21</v>
      </c>
      <c r="J7356" s="3">
        <v>1</v>
      </c>
      <c r="K7356" s="3">
        <v>24</v>
      </c>
      <c r="L7356" s="3">
        <v>1</v>
      </c>
      <c r="M7356" s="3">
        <v>0</v>
      </c>
      <c r="N7356" s="3">
        <v>22</v>
      </c>
      <c r="O7356" s="3"/>
      <c r="P7356" s="3"/>
      <c r="Q7356" s="3"/>
    </row>
    <row r="7357" spans="1:17" ht="15" x14ac:dyDescent="0.25">
      <c r="A7357" s="3">
        <f>7350</f>
        <v>7350</v>
      </c>
      <c r="B7357" s="3" t="s">
        <v>7359</v>
      </c>
      <c r="C7357" s="3" t="s">
        <v>10</v>
      </c>
      <c r="D7357" s="3" t="s">
        <v>9</v>
      </c>
      <c r="E7357" s="3">
        <v>24</v>
      </c>
      <c r="F7357" s="3">
        <v>70</v>
      </c>
      <c r="G7357" s="3">
        <v>1</v>
      </c>
      <c r="H7357" s="3">
        <v>5</v>
      </c>
      <c r="I7357" s="3">
        <v>21</v>
      </c>
      <c r="J7357" s="3">
        <v>1</v>
      </c>
      <c r="K7357" s="3">
        <v>24</v>
      </c>
      <c r="L7357" s="3">
        <v>1</v>
      </c>
      <c r="M7357" s="3">
        <v>0</v>
      </c>
      <c r="N7357" s="3">
        <v>22</v>
      </c>
      <c r="O7357" s="3"/>
      <c r="P7357" s="3"/>
      <c r="Q7357" s="3"/>
    </row>
    <row r="7358" spans="1:17" ht="15" x14ac:dyDescent="0.25">
      <c r="A7358" s="3">
        <f>7351</f>
        <v>7351</v>
      </c>
      <c r="B7358" s="3" t="s">
        <v>7360</v>
      </c>
      <c r="C7358" s="3" t="s">
        <v>10</v>
      </c>
      <c r="D7358" s="3" t="s">
        <v>9</v>
      </c>
      <c r="E7358" s="3">
        <v>24</v>
      </c>
      <c r="F7358" s="3">
        <v>70</v>
      </c>
      <c r="G7358" s="3">
        <v>1</v>
      </c>
      <c r="H7358" s="3">
        <v>5</v>
      </c>
      <c r="I7358" s="3">
        <v>21</v>
      </c>
      <c r="J7358" s="3">
        <v>1</v>
      </c>
      <c r="K7358" s="3">
        <v>24</v>
      </c>
      <c r="L7358" s="3">
        <v>1</v>
      </c>
      <c r="M7358" s="3">
        <v>0</v>
      </c>
      <c r="N7358" s="3">
        <v>22</v>
      </c>
      <c r="O7358" s="3"/>
      <c r="P7358" s="3"/>
      <c r="Q7358" s="3"/>
    </row>
    <row r="7359" spans="1:17" ht="15" x14ac:dyDescent="0.25">
      <c r="A7359" s="3">
        <f>7352</f>
        <v>7352</v>
      </c>
      <c r="B7359" s="3" t="s">
        <v>7361</v>
      </c>
      <c r="C7359" s="3" t="s">
        <v>10</v>
      </c>
      <c r="D7359" s="3" t="s">
        <v>9</v>
      </c>
      <c r="E7359" s="3">
        <v>24</v>
      </c>
      <c r="F7359" s="3">
        <v>70</v>
      </c>
      <c r="G7359" s="3">
        <v>1</v>
      </c>
      <c r="H7359" s="3">
        <v>5</v>
      </c>
      <c r="I7359" s="3">
        <v>21</v>
      </c>
      <c r="J7359" s="3">
        <v>1</v>
      </c>
      <c r="K7359" s="3">
        <v>24</v>
      </c>
      <c r="L7359" s="3">
        <v>1</v>
      </c>
      <c r="M7359" s="3">
        <v>0</v>
      </c>
      <c r="N7359" s="3">
        <v>22</v>
      </c>
      <c r="O7359" s="3"/>
      <c r="P7359" s="3"/>
      <c r="Q7359" s="3"/>
    </row>
    <row r="7360" spans="1:17" ht="15" x14ac:dyDescent="0.25">
      <c r="A7360" s="3">
        <f>7353</f>
        <v>7353</v>
      </c>
      <c r="B7360" s="3" t="s">
        <v>7362</v>
      </c>
      <c r="C7360" s="3" t="s">
        <v>10</v>
      </c>
      <c r="D7360" s="3" t="s">
        <v>9</v>
      </c>
      <c r="E7360" s="3">
        <v>24</v>
      </c>
      <c r="F7360" s="3">
        <v>70</v>
      </c>
      <c r="G7360" s="3">
        <v>1</v>
      </c>
      <c r="H7360" s="3">
        <v>5</v>
      </c>
      <c r="I7360" s="3">
        <v>21</v>
      </c>
      <c r="J7360" s="3">
        <v>1</v>
      </c>
      <c r="K7360" s="3">
        <v>24</v>
      </c>
      <c r="L7360" s="3">
        <v>1</v>
      </c>
      <c r="M7360" s="3">
        <v>0</v>
      </c>
      <c r="N7360" s="3">
        <v>22</v>
      </c>
      <c r="O7360" s="3"/>
      <c r="P7360" s="3"/>
      <c r="Q7360" s="3"/>
    </row>
    <row r="7361" spans="1:17" ht="15" x14ac:dyDescent="0.25">
      <c r="A7361" s="3">
        <f>7354</f>
        <v>7354</v>
      </c>
      <c r="B7361" s="3" t="s">
        <v>7363</v>
      </c>
      <c r="C7361" s="3" t="s">
        <v>10</v>
      </c>
      <c r="D7361" s="3" t="s">
        <v>9</v>
      </c>
      <c r="E7361" s="3">
        <v>24</v>
      </c>
      <c r="F7361" s="3">
        <v>70</v>
      </c>
      <c r="G7361" s="3">
        <v>1</v>
      </c>
      <c r="H7361" s="3">
        <v>5</v>
      </c>
      <c r="I7361" s="3">
        <v>21</v>
      </c>
      <c r="J7361" s="3">
        <v>1</v>
      </c>
      <c r="K7361" s="3">
        <v>24</v>
      </c>
      <c r="L7361" s="3">
        <v>1</v>
      </c>
      <c r="M7361" s="3">
        <v>0</v>
      </c>
      <c r="N7361" s="3">
        <v>22</v>
      </c>
      <c r="O7361" s="3"/>
      <c r="P7361" s="3"/>
      <c r="Q7361" s="3"/>
    </row>
    <row r="7362" spans="1:17" ht="15" x14ac:dyDescent="0.25">
      <c r="A7362" s="3">
        <f>7355</f>
        <v>7355</v>
      </c>
      <c r="B7362" s="3" t="s">
        <v>7364</v>
      </c>
      <c r="C7362" s="3" t="s">
        <v>10</v>
      </c>
      <c r="D7362" s="3" t="s">
        <v>9</v>
      </c>
      <c r="E7362" s="3">
        <v>24</v>
      </c>
      <c r="F7362" s="3">
        <v>70</v>
      </c>
      <c r="G7362" s="3">
        <v>1</v>
      </c>
      <c r="H7362" s="3">
        <v>5</v>
      </c>
      <c r="I7362" s="3">
        <v>21</v>
      </c>
      <c r="J7362" s="3">
        <v>1</v>
      </c>
      <c r="K7362" s="3">
        <v>24</v>
      </c>
      <c r="L7362" s="3">
        <v>1</v>
      </c>
      <c r="M7362" s="3">
        <v>0</v>
      </c>
      <c r="N7362" s="3">
        <v>22</v>
      </c>
      <c r="O7362" s="3"/>
      <c r="P7362" s="3"/>
      <c r="Q7362" s="3"/>
    </row>
    <row r="7363" spans="1:17" ht="15" x14ac:dyDescent="0.25">
      <c r="A7363" s="3">
        <f>7356</f>
        <v>7356</v>
      </c>
      <c r="B7363" s="3" t="s">
        <v>7365</v>
      </c>
      <c r="C7363" s="3" t="s">
        <v>10</v>
      </c>
      <c r="D7363" s="3" t="s">
        <v>9</v>
      </c>
      <c r="E7363" s="3">
        <v>24</v>
      </c>
      <c r="F7363" s="3">
        <v>70</v>
      </c>
      <c r="G7363" s="3">
        <v>1</v>
      </c>
      <c r="H7363" s="3">
        <v>5</v>
      </c>
      <c r="I7363" s="3">
        <v>21</v>
      </c>
      <c r="J7363" s="3">
        <v>1</v>
      </c>
      <c r="K7363" s="3">
        <v>24</v>
      </c>
      <c r="L7363" s="3">
        <v>1</v>
      </c>
      <c r="M7363" s="3">
        <v>0</v>
      </c>
      <c r="N7363" s="3">
        <v>22</v>
      </c>
      <c r="O7363" s="3"/>
      <c r="P7363" s="3"/>
      <c r="Q7363" s="3"/>
    </row>
    <row r="7364" spans="1:17" ht="15" x14ac:dyDescent="0.25">
      <c r="A7364" s="3">
        <f>7357</f>
        <v>7357</v>
      </c>
      <c r="B7364" s="3" t="s">
        <v>7366</v>
      </c>
      <c r="C7364" s="3" t="s">
        <v>10</v>
      </c>
      <c r="D7364" s="3" t="s">
        <v>9</v>
      </c>
      <c r="E7364" s="3">
        <v>24</v>
      </c>
      <c r="F7364" s="3">
        <v>70</v>
      </c>
      <c r="G7364" s="3">
        <v>1</v>
      </c>
      <c r="H7364" s="3">
        <v>5</v>
      </c>
      <c r="I7364" s="3">
        <v>21</v>
      </c>
      <c r="J7364" s="3">
        <v>1</v>
      </c>
      <c r="K7364" s="3">
        <v>24</v>
      </c>
      <c r="L7364" s="3">
        <v>1</v>
      </c>
      <c r="M7364" s="3">
        <v>0</v>
      </c>
      <c r="N7364" s="3">
        <v>22</v>
      </c>
      <c r="O7364" s="3"/>
      <c r="P7364" s="3"/>
      <c r="Q7364" s="3"/>
    </row>
    <row r="7365" spans="1:17" ht="15" x14ac:dyDescent="0.25">
      <c r="A7365" s="3">
        <f>7358</f>
        <v>7358</v>
      </c>
      <c r="B7365" s="3" t="s">
        <v>7367</v>
      </c>
      <c r="C7365" s="3" t="s">
        <v>10</v>
      </c>
      <c r="D7365" s="3" t="s">
        <v>9</v>
      </c>
      <c r="E7365" s="3">
        <v>24</v>
      </c>
      <c r="F7365" s="3">
        <v>70</v>
      </c>
      <c r="G7365" s="3">
        <v>1</v>
      </c>
      <c r="H7365" s="3">
        <v>5</v>
      </c>
      <c r="I7365" s="3">
        <v>21</v>
      </c>
      <c r="J7365" s="3">
        <v>1</v>
      </c>
      <c r="K7365" s="3">
        <v>24</v>
      </c>
      <c r="L7365" s="3">
        <v>1</v>
      </c>
      <c r="M7365" s="3">
        <v>0</v>
      </c>
      <c r="N7365" s="3">
        <v>22</v>
      </c>
      <c r="O7365" s="3"/>
      <c r="P7365" s="3"/>
      <c r="Q7365" s="3"/>
    </row>
    <row r="7366" spans="1:17" ht="15" x14ac:dyDescent="0.25">
      <c r="A7366" s="3">
        <f>7359</f>
        <v>7359</v>
      </c>
      <c r="B7366" s="3" t="s">
        <v>7368</v>
      </c>
      <c r="C7366" s="3" t="s">
        <v>10</v>
      </c>
      <c r="D7366" s="3" t="s">
        <v>9</v>
      </c>
      <c r="E7366" s="3">
        <v>24</v>
      </c>
      <c r="F7366" s="3">
        <v>70</v>
      </c>
      <c r="G7366" s="3">
        <v>1</v>
      </c>
      <c r="H7366" s="3">
        <v>5</v>
      </c>
      <c r="I7366" s="3">
        <v>21</v>
      </c>
      <c r="J7366" s="3">
        <v>1</v>
      </c>
      <c r="K7366" s="3">
        <v>24</v>
      </c>
      <c r="L7366" s="3">
        <v>1</v>
      </c>
      <c r="M7366" s="3">
        <v>0</v>
      </c>
      <c r="N7366" s="3">
        <v>22</v>
      </c>
      <c r="O7366" s="3"/>
      <c r="P7366" s="3"/>
      <c r="Q7366" s="3"/>
    </row>
    <row r="7367" spans="1:17" ht="15" x14ac:dyDescent="0.25">
      <c r="A7367" s="3">
        <f>7360</f>
        <v>7360</v>
      </c>
      <c r="B7367" s="3" t="s">
        <v>7369</v>
      </c>
      <c r="C7367" s="3" t="s">
        <v>10</v>
      </c>
      <c r="D7367" s="3" t="s">
        <v>9</v>
      </c>
      <c r="E7367" s="3">
        <v>24</v>
      </c>
      <c r="F7367" s="3">
        <v>70</v>
      </c>
      <c r="G7367" s="3">
        <v>1</v>
      </c>
      <c r="H7367" s="3">
        <v>5</v>
      </c>
      <c r="I7367" s="3">
        <v>21</v>
      </c>
      <c r="J7367" s="3">
        <v>1</v>
      </c>
      <c r="K7367" s="3">
        <v>24</v>
      </c>
      <c r="L7367" s="3">
        <v>1</v>
      </c>
      <c r="M7367" s="3">
        <v>0</v>
      </c>
      <c r="N7367" s="3">
        <v>22</v>
      </c>
      <c r="O7367" s="3"/>
      <c r="P7367" s="3"/>
      <c r="Q7367" s="3"/>
    </row>
    <row r="7368" spans="1:17" ht="15" x14ac:dyDescent="0.25">
      <c r="A7368" s="3">
        <f>7361</f>
        <v>7361</v>
      </c>
      <c r="B7368" s="3" t="s">
        <v>7370</v>
      </c>
      <c r="C7368" s="3" t="s">
        <v>10</v>
      </c>
      <c r="D7368" s="3" t="s">
        <v>9</v>
      </c>
      <c r="E7368" s="3">
        <v>24</v>
      </c>
      <c r="F7368" s="3">
        <v>70</v>
      </c>
      <c r="G7368" s="3">
        <v>1</v>
      </c>
      <c r="H7368" s="3">
        <v>5</v>
      </c>
      <c r="I7368" s="3">
        <v>21</v>
      </c>
      <c r="J7368" s="3">
        <v>1</v>
      </c>
      <c r="K7368" s="3">
        <v>24</v>
      </c>
      <c r="L7368" s="3">
        <v>1</v>
      </c>
      <c r="M7368" s="3">
        <v>0</v>
      </c>
      <c r="N7368" s="3">
        <v>22</v>
      </c>
      <c r="O7368" s="3"/>
      <c r="P7368" s="3"/>
      <c r="Q7368" s="3"/>
    </row>
    <row r="7369" spans="1:17" ht="15" x14ac:dyDescent="0.25">
      <c r="A7369" s="3">
        <f>7362</f>
        <v>7362</v>
      </c>
      <c r="B7369" s="3" t="s">
        <v>7371</v>
      </c>
      <c r="C7369" s="3" t="s">
        <v>10</v>
      </c>
      <c r="D7369" s="3" t="s">
        <v>9</v>
      </c>
      <c r="E7369" s="3">
        <v>24</v>
      </c>
      <c r="F7369" s="3">
        <v>70</v>
      </c>
      <c r="G7369" s="3">
        <v>1</v>
      </c>
      <c r="H7369" s="3">
        <v>5</v>
      </c>
      <c r="I7369" s="3">
        <v>21</v>
      </c>
      <c r="J7369" s="3">
        <v>1</v>
      </c>
      <c r="K7369" s="3">
        <v>24</v>
      </c>
      <c r="L7369" s="3">
        <v>1</v>
      </c>
      <c r="M7369" s="3">
        <v>0</v>
      </c>
      <c r="N7369" s="3">
        <v>22</v>
      </c>
      <c r="O7369" s="3"/>
      <c r="P7369" s="3"/>
      <c r="Q7369" s="3"/>
    </row>
    <row r="7370" spans="1:17" ht="15" x14ac:dyDescent="0.25">
      <c r="A7370" s="3">
        <f>7363</f>
        <v>7363</v>
      </c>
      <c r="B7370" s="3" t="s">
        <v>7372</v>
      </c>
      <c r="C7370" s="3" t="s">
        <v>10</v>
      </c>
      <c r="D7370" s="3" t="s">
        <v>9</v>
      </c>
      <c r="E7370" s="3">
        <v>24</v>
      </c>
      <c r="F7370" s="3">
        <v>70</v>
      </c>
      <c r="G7370" s="3">
        <v>1</v>
      </c>
      <c r="H7370" s="3">
        <v>5</v>
      </c>
      <c r="I7370" s="3">
        <v>21</v>
      </c>
      <c r="J7370" s="3">
        <v>1</v>
      </c>
      <c r="K7370" s="3">
        <v>24</v>
      </c>
      <c r="L7370" s="3">
        <v>1</v>
      </c>
      <c r="M7370" s="3">
        <v>0</v>
      </c>
      <c r="N7370" s="3">
        <v>22</v>
      </c>
      <c r="O7370" s="3"/>
      <c r="P7370" s="3"/>
      <c r="Q7370" s="3"/>
    </row>
    <row r="7371" spans="1:17" ht="15" x14ac:dyDescent="0.25">
      <c r="A7371" s="3">
        <f>7364</f>
        <v>7364</v>
      </c>
      <c r="B7371" s="3" t="s">
        <v>7373</v>
      </c>
      <c r="C7371" s="3" t="s">
        <v>10</v>
      </c>
      <c r="D7371" s="3" t="s">
        <v>9</v>
      </c>
      <c r="E7371" s="3">
        <v>24</v>
      </c>
      <c r="F7371" s="3">
        <v>70</v>
      </c>
      <c r="G7371" s="3">
        <v>1</v>
      </c>
      <c r="H7371" s="3">
        <v>5</v>
      </c>
      <c r="I7371" s="3">
        <v>21</v>
      </c>
      <c r="J7371" s="3">
        <v>1</v>
      </c>
      <c r="K7371" s="3">
        <v>24</v>
      </c>
      <c r="L7371" s="3">
        <v>1</v>
      </c>
      <c r="M7371" s="3">
        <v>0</v>
      </c>
      <c r="N7371" s="3">
        <v>22</v>
      </c>
      <c r="O7371" s="3"/>
      <c r="P7371" s="3"/>
      <c r="Q7371" s="3"/>
    </row>
    <row r="7372" spans="1:17" ht="15" x14ac:dyDescent="0.25">
      <c r="A7372" s="3">
        <f>7365</f>
        <v>7365</v>
      </c>
      <c r="B7372" s="3" t="s">
        <v>7374</v>
      </c>
      <c r="C7372" s="3" t="s">
        <v>10</v>
      </c>
      <c r="D7372" s="3" t="s">
        <v>9</v>
      </c>
      <c r="E7372" s="3">
        <v>24</v>
      </c>
      <c r="F7372" s="3">
        <v>70</v>
      </c>
      <c r="G7372" s="3">
        <v>1</v>
      </c>
      <c r="H7372" s="3">
        <v>5</v>
      </c>
      <c r="I7372" s="3">
        <v>21</v>
      </c>
      <c r="J7372" s="3">
        <v>1</v>
      </c>
      <c r="K7372" s="3">
        <v>24</v>
      </c>
      <c r="L7372" s="3">
        <v>1</v>
      </c>
      <c r="M7372" s="3">
        <v>0</v>
      </c>
      <c r="N7372" s="3">
        <v>22</v>
      </c>
      <c r="O7372" s="3"/>
      <c r="P7372" s="3"/>
      <c r="Q7372" s="3"/>
    </row>
    <row r="7373" spans="1:17" ht="15" x14ac:dyDescent="0.25">
      <c r="A7373" s="3">
        <f>7366</f>
        <v>7366</v>
      </c>
      <c r="B7373" s="3" t="s">
        <v>7375</v>
      </c>
      <c r="C7373" s="3" t="s">
        <v>10</v>
      </c>
      <c r="D7373" s="3" t="s">
        <v>9</v>
      </c>
      <c r="E7373" s="3">
        <v>24</v>
      </c>
      <c r="F7373" s="3">
        <v>70</v>
      </c>
      <c r="G7373" s="3">
        <v>1</v>
      </c>
      <c r="H7373" s="3">
        <v>5</v>
      </c>
      <c r="I7373" s="3">
        <v>21</v>
      </c>
      <c r="J7373" s="3">
        <v>1</v>
      </c>
      <c r="K7373" s="3">
        <v>24</v>
      </c>
      <c r="L7373" s="3">
        <v>1</v>
      </c>
      <c r="M7373" s="3">
        <v>0</v>
      </c>
      <c r="N7373" s="3">
        <v>22</v>
      </c>
      <c r="O7373" s="3"/>
      <c r="P7373" s="3"/>
      <c r="Q7373" s="3"/>
    </row>
    <row r="7374" spans="1:17" ht="15" x14ac:dyDescent="0.25">
      <c r="A7374" s="3">
        <f>7367</f>
        <v>7367</v>
      </c>
      <c r="B7374" s="3" t="s">
        <v>7376</v>
      </c>
      <c r="C7374" s="3" t="s">
        <v>10</v>
      </c>
      <c r="D7374" s="3" t="s">
        <v>9</v>
      </c>
      <c r="E7374" s="3">
        <v>24</v>
      </c>
      <c r="F7374" s="3">
        <v>70</v>
      </c>
      <c r="G7374" s="3">
        <v>1</v>
      </c>
      <c r="H7374" s="3">
        <v>5</v>
      </c>
      <c r="I7374" s="3">
        <v>21</v>
      </c>
      <c r="J7374" s="3">
        <v>1</v>
      </c>
      <c r="K7374" s="3">
        <v>24</v>
      </c>
      <c r="L7374" s="3">
        <v>1</v>
      </c>
      <c r="M7374" s="3">
        <v>0</v>
      </c>
      <c r="N7374" s="3">
        <v>22</v>
      </c>
      <c r="O7374" s="3"/>
      <c r="P7374" s="3"/>
      <c r="Q7374" s="3"/>
    </row>
    <row r="7375" spans="1:17" ht="15" x14ac:dyDescent="0.25">
      <c r="A7375" s="3">
        <f>7368</f>
        <v>7368</v>
      </c>
      <c r="B7375" s="3" t="s">
        <v>7377</v>
      </c>
      <c r="C7375" s="3" t="s">
        <v>10</v>
      </c>
      <c r="D7375" s="3" t="s">
        <v>9</v>
      </c>
      <c r="E7375" s="3">
        <v>24</v>
      </c>
      <c r="F7375" s="3">
        <v>70</v>
      </c>
      <c r="G7375" s="3">
        <v>1</v>
      </c>
      <c r="H7375" s="3">
        <v>5</v>
      </c>
      <c r="I7375" s="3">
        <v>21</v>
      </c>
      <c r="J7375" s="3">
        <v>1</v>
      </c>
      <c r="K7375" s="3">
        <v>24</v>
      </c>
      <c r="L7375" s="3">
        <v>1</v>
      </c>
      <c r="M7375" s="3">
        <v>0</v>
      </c>
      <c r="N7375" s="3">
        <v>22</v>
      </c>
      <c r="O7375" s="3"/>
      <c r="P7375" s="3"/>
      <c r="Q7375" s="3"/>
    </row>
    <row r="7376" spans="1:17" ht="15" x14ac:dyDescent="0.25">
      <c r="A7376" s="3">
        <f>7369</f>
        <v>7369</v>
      </c>
      <c r="B7376" s="3" t="s">
        <v>7378</v>
      </c>
      <c r="C7376" s="3" t="s">
        <v>10</v>
      </c>
      <c r="D7376" s="3" t="s">
        <v>9</v>
      </c>
      <c r="E7376" s="3">
        <v>24</v>
      </c>
      <c r="F7376" s="3">
        <v>70</v>
      </c>
      <c r="G7376" s="3">
        <v>1</v>
      </c>
      <c r="H7376" s="3">
        <v>5</v>
      </c>
      <c r="I7376" s="3">
        <v>21</v>
      </c>
      <c r="J7376" s="3">
        <v>1</v>
      </c>
      <c r="K7376" s="3">
        <v>24</v>
      </c>
      <c r="L7376" s="3">
        <v>1</v>
      </c>
      <c r="M7376" s="3">
        <v>0</v>
      </c>
      <c r="N7376" s="3">
        <v>22</v>
      </c>
      <c r="O7376" s="3"/>
      <c r="P7376" s="3"/>
      <c r="Q7376" s="3"/>
    </row>
    <row r="7377" spans="1:17" ht="15" x14ac:dyDescent="0.25">
      <c r="A7377" s="3">
        <f>7370</f>
        <v>7370</v>
      </c>
      <c r="B7377" s="3" t="s">
        <v>7379</v>
      </c>
      <c r="C7377" s="3" t="s">
        <v>10</v>
      </c>
      <c r="D7377" s="3" t="s">
        <v>9</v>
      </c>
      <c r="E7377" s="3">
        <v>24</v>
      </c>
      <c r="F7377" s="3">
        <v>70</v>
      </c>
      <c r="G7377" s="3">
        <v>1</v>
      </c>
      <c r="H7377" s="3">
        <v>5</v>
      </c>
      <c r="I7377" s="3">
        <v>21</v>
      </c>
      <c r="J7377" s="3">
        <v>1</v>
      </c>
      <c r="K7377" s="3">
        <v>24</v>
      </c>
      <c r="L7377" s="3">
        <v>1</v>
      </c>
      <c r="M7377" s="3">
        <v>0</v>
      </c>
      <c r="N7377" s="3">
        <v>22</v>
      </c>
      <c r="O7377" s="3"/>
      <c r="P7377" s="3"/>
      <c r="Q7377" s="3"/>
    </row>
    <row r="7378" spans="1:17" ht="15" x14ac:dyDescent="0.25">
      <c r="A7378" s="3">
        <f>7371</f>
        <v>7371</v>
      </c>
      <c r="B7378" s="3" t="s">
        <v>7380</v>
      </c>
      <c r="C7378" s="3" t="s">
        <v>10</v>
      </c>
      <c r="D7378" s="3" t="s">
        <v>9</v>
      </c>
      <c r="E7378" s="3">
        <v>24</v>
      </c>
      <c r="F7378" s="3">
        <v>70</v>
      </c>
      <c r="G7378" s="3">
        <v>1</v>
      </c>
      <c r="H7378" s="3">
        <v>5</v>
      </c>
      <c r="I7378" s="3">
        <v>21</v>
      </c>
      <c r="J7378" s="3">
        <v>1</v>
      </c>
      <c r="K7378" s="3">
        <v>24</v>
      </c>
      <c r="L7378" s="3">
        <v>1</v>
      </c>
      <c r="M7378" s="3">
        <v>0</v>
      </c>
      <c r="N7378" s="3">
        <v>22</v>
      </c>
      <c r="O7378" s="3"/>
      <c r="P7378" s="3"/>
      <c r="Q7378" s="3"/>
    </row>
    <row r="7379" spans="1:17" ht="15" x14ac:dyDescent="0.25">
      <c r="A7379" s="3">
        <f>7372</f>
        <v>7372</v>
      </c>
      <c r="B7379" s="3" t="s">
        <v>7381</v>
      </c>
      <c r="C7379" s="3" t="s">
        <v>10</v>
      </c>
      <c r="D7379" s="3" t="s">
        <v>9</v>
      </c>
      <c r="E7379" s="3">
        <v>24</v>
      </c>
      <c r="F7379" s="3">
        <v>70</v>
      </c>
      <c r="G7379" s="3">
        <v>1</v>
      </c>
      <c r="H7379" s="3">
        <v>5</v>
      </c>
      <c r="I7379" s="3">
        <v>21</v>
      </c>
      <c r="J7379" s="3">
        <v>1</v>
      </c>
      <c r="K7379" s="3">
        <v>24</v>
      </c>
      <c r="L7379" s="3">
        <v>1</v>
      </c>
      <c r="M7379" s="3">
        <v>0</v>
      </c>
      <c r="N7379" s="3">
        <v>22</v>
      </c>
      <c r="O7379" s="3"/>
      <c r="P7379" s="3"/>
      <c r="Q7379" s="3"/>
    </row>
    <row r="7380" spans="1:17" ht="15" x14ac:dyDescent="0.25">
      <c r="A7380" s="3">
        <f>7373</f>
        <v>7373</v>
      </c>
      <c r="B7380" s="3" t="s">
        <v>7382</v>
      </c>
      <c r="C7380" s="3" t="s">
        <v>10</v>
      </c>
      <c r="D7380" s="3" t="s">
        <v>9</v>
      </c>
      <c r="E7380" s="3">
        <v>24</v>
      </c>
      <c r="F7380" s="3">
        <v>70</v>
      </c>
      <c r="G7380" s="3">
        <v>1</v>
      </c>
      <c r="H7380" s="3">
        <v>5</v>
      </c>
      <c r="I7380" s="3">
        <v>21</v>
      </c>
      <c r="J7380" s="3">
        <v>1</v>
      </c>
      <c r="K7380" s="3">
        <v>24</v>
      </c>
      <c r="L7380" s="3">
        <v>1</v>
      </c>
      <c r="M7380" s="3">
        <v>0</v>
      </c>
      <c r="N7380" s="3">
        <v>22</v>
      </c>
      <c r="O7380" s="3"/>
      <c r="P7380" s="3"/>
      <c r="Q7380" s="3"/>
    </row>
    <row r="7381" spans="1:17" ht="15" x14ac:dyDescent="0.25">
      <c r="A7381" s="3">
        <f>7374</f>
        <v>7374</v>
      </c>
      <c r="B7381" s="3" t="s">
        <v>7383</v>
      </c>
      <c r="C7381" s="3" t="s">
        <v>10</v>
      </c>
      <c r="D7381" s="3" t="s">
        <v>9</v>
      </c>
      <c r="E7381" s="3">
        <v>24</v>
      </c>
      <c r="F7381" s="3">
        <v>70</v>
      </c>
      <c r="G7381" s="3">
        <v>1</v>
      </c>
      <c r="H7381" s="3">
        <v>5</v>
      </c>
      <c r="I7381" s="3">
        <v>21</v>
      </c>
      <c r="J7381" s="3">
        <v>1</v>
      </c>
      <c r="K7381" s="3">
        <v>24</v>
      </c>
      <c r="L7381" s="3">
        <v>1</v>
      </c>
      <c r="M7381" s="3">
        <v>0</v>
      </c>
      <c r="N7381" s="3">
        <v>22</v>
      </c>
      <c r="O7381" s="3"/>
      <c r="P7381" s="3"/>
      <c r="Q7381" s="3"/>
    </row>
    <row r="7382" spans="1:17" ht="15" x14ac:dyDescent="0.25">
      <c r="A7382" s="3">
        <f>7375</f>
        <v>7375</v>
      </c>
      <c r="B7382" s="3" t="s">
        <v>7384</v>
      </c>
      <c r="C7382" s="3" t="s">
        <v>10</v>
      </c>
      <c r="D7382" s="3" t="s">
        <v>9</v>
      </c>
      <c r="E7382" s="3">
        <v>24</v>
      </c>
      <c r="F7382" s="3">
        <v>70</v>
      </c>
      <c r="G7382" s="3">
        <v>1</v>
      </c>
      <c r="H7382" s="3">
        <v>5</v>
      </c>
      <c r="I7382" s="3">
        <v>21</v>
      </c>
      <c r="J7382" s="3">
        <v>1</v>
      </c>
      <c r="K7382" s="3">
        <v>24</v>
      </c>
      <c r="L7382" s="3">
        <v>1</v>
      </c>
      <c r="M7382" s="3">
        <v>0</v>
      </c>
      <c r="N7382" s="3">
        <v>22</v>
      </c>
      <c r="O7382" s="3"/>
      <c r="P7382" s="3"/>
      <c r="Q7382" s="3"/>
    </row>
    <row r="7383" spans="1:17" ht="15" x14ac:dyDescent="0.25">
      <c r="A7383" s="3">
        <f>7376</f>
        <v>7376</v>
      </c>
      <c r="B7383" s="3" t="s">
        <v>7385</v>
      </c>
      <c r="C7383" s="3" t="s">
        <v>10</v>
      </c>
      <c r="D7383" s="3" t="s">
        <v>9</v>
      </c>
      <c r="E7383" s="3">
        <v>24</v>
      </c>
      <c r="F7383" s="3">
        <v>70</v>
      </c>
      <c r="G7383" s="3">
        <v>1</v>
      </c>
      <c r="H7383" s="3">
        <v>5</v>
      </c>
      <c r="I7383" s="3">
        <v>21</v>
      </c>
      <c r="J7383" s="3">
        <v>1</v>
      </c>
      <c r="K7383" s="3">
        <v>24</v>
      </c>
      <c r="L7383" s="3">
        <v>1</v>
      </c>
      <c r="M7383" s="3">
        <v>0</v>
      </c>
      <c r="N7383" s="3">
        <v>22</v>
      </c>
      <c r="O7383" s="3"/>
      <c r="P7383" s="3"/>
      <c r="Q7383" s="3"/>
    </row>
    <row r="7384" spans="1:17" ht="15" x14ac:dyDescent="0.25">
      <c r="A7384" s="3">
        <f>7377</f>
        <v>7377</v>
      </c>
      <c r="B7384" s="3" t="s">
        <v>7386</v>
      </c>
      <c r="C7384" s="3" t="s">
        <v>10</v>
      </c>
      <c r="D7384" s="3" t="s">
        <v>9</v>
      </c>
      <c r="E7384" s="3">
        <v>24</v>
      </c>
      <c r="F7384" s="3">
        <v>70</v>
      </c>
      <c r="G7384" s="3">
        <v>1</v>
      </c>
      <c r="H7384" s="3">
        <v>5</v>
      </c>
      <c r="I7384" s="3">
        <v>21</v>
      </c>
      <c r="J7384" s="3">
        <v>1</v>
      </c>
      <c r="K7384" s="3">
        <v>24</v>
      </c>
      <c r="L7384" s="3">
        <v>1</v>
      </c>
      <c r="M7384" s="3">
        <v>0</v>
      </c>
      <c r="N7384" s="3">
        <v>22</v>
      </c>
      <c r="O7384" s="3"/>
      <c r="P7384" s="3"/>
      <c r="Q7384" s="3"/>
    </row>
    <row r="7385" spans="1:17" ht="15" x14ac:dyDescent="0.25">
      <c r="A7385" s="3">
        <f>7378</f>
        <v>7378</v>
      </c>
      <c r="B7385" s="3" t="s">
        <v>7387</v>
      </c>
      <c r="C7385" s="3" t="s">
        <v>10</v>
      </c>
      <c r="D7385" s="3" t="s">
        <v>9</v>
      </c>
      <c r="E7385" s="3">
        <v>24</v>
      </c>
      <c r="F7385" s="3">
        <v>70</v>
      </c>
      <c r="G7385" s="3">
        <v>1</v>
      </c>
      <c r="H7385" s="3">
        <v>5</v>
      </c>
      <c r="I7385" s="3">
        <v>21</v>
      </c>
      <c r="J7385" s="3">
        <v>1</v>
      </c>
      <c r="K7385" s="3">
        <v>24</v>
      </c>
      <c r="L7385" s="3">
        <v>1</v>
      </c>
      <c r="M7385" s="3">
        <v>0</v>
      </c>
      <c r="N7385" s="3">
        <v>22</v>
      </c>
      <c r="O7385" s="3"/>
      <c r="P7385" s="3"/>
      <c r="Q7385" s="3"/>
    </row>
    <row r="7386" spans="1:17" ht="15" x14ac:dyDescent="0.25">
      <c r="A7386" s="3">
        <f>7379</f>
        <v>7379</v>
      </c>
      <c r="B7386" s="3" t="s">
        <v>7388</v>
      </c>
      <c r="C7386" s="3" t="s">
        <v>10</v>
      </c>
      <c r="D7386" s="3" t="s">
        <v>9</v>
      </c>
      <c r="E7386" s="3">
        <v>24</v>
      </c>
      <c r="F7386" s="3">
        <v>70</v>
      </c>
      <c r="G7386" s="3">
        <v>1</v>
      </c>
      <c r="H7386" s="3">
        <v>5</v>
      </c>
      <c r="I7386" s="3">
        <v>21</v>
      </c>
      <c r="J7386" s="3">
        <v>1</v>
      </c>
      <c r="K7386" s="3">
        <v>24</v>
      </c>
      <c r="L7386" s="3">
        <v>1</v>
      </c>
      <c r="M7386" s="3">
        <v>0</v>
      </c>
      <c r="N7386" s="3">
        <v>22</v>
      </c>
      <c r="O7386" s="3"/>
      <c r="P7386" s="3"/>
      <c r="Q7386" s="3"/>
    </row>
    <row r="7387" spans="1:17" ht="15" x14ac:dyDescent="0.25">
      <c r="A7387" s="3">
        <f>7380</f>
        <v>7380</v>
      </c>
      <c r="B7387" s="3" t="s">
        <v>7389</v>
      </c>
      <c r="C7387" s="3" t="s">
        <v>10</v>
      </c>
      <c r="D7387" s="3" t="s">
        <v>9</v>
      </c>
      <c r="E7387" s="3">
        <v>24</v>
      </c>
      <c r="F7387" s="3">
        <v>70</v>
      </c>
      <c r="G7387" s="3">
        <v>1</v>
      </c>
      <c r="H7387" s="3">
        <v>5</v>
      </c>
      <c r="I7387" s="3">
        <v>21</v>
      </c>
      <c r="J7387" s="3">
        <v>1</v>
      </c>
      <c r="K7387" s="3">
        <v>24</v>
      </c>
      <c r="L7387" s="3">
        <v>1</v>
      </c>
      <c r="M7387" s="3">
        <v>0</v>
      </c>
      <c r="N7387" s="3">
        <v>22</v>
      </c>
      <c r="O7387" s="3"/>
      <c r="P7387" s="3"/>
      <c r="Q7387" s="3"/>
    </row>
    <row r="7388" spans="1:17" ht="15" x14ac:dyDescent="0.25">
      <c r="A7388" s="3">
        <f>7381</f>
        <v>7381</v>
      </c>
      <c r="B7388" s="3" t="s">
        <v>7390</v>
      </c>
      <c r="C7388" s="3" t="s">
        <v>10</v>
      </c>
      <c r="D7388" s="3" t="s">
        <v>9</v>
      </c>
      <c r="E7388" s="3">
        <v>24</v>
      </c>
      <c r="F7388" s="3">
        <v>70</v>
      </c>
      <c r="G7388" s="3">
        <v>1</v>
      </c>
      <c r="H7388" s="3">
        <v>5</v>
      </c>
      <c r="I7388" s="3">
        <v>21</v>
      </c>
      <c r="J7388" s="3">
        <v>1</v>
      </c>
      <c r="K7388" s="3">
        <v>24</v>
      </c>
      <c r="L7388" s="3">
        <v>1</v>
      </c>
      <c r="M7388" s="3">
        <v>0</v>
      </c>
      <c r="N7388" s="3">
        <v>22</v>
      </c>
      <c r="O7388" s="3"/>
      <c r="P7388" s="3"/>
      <c r="Q7388" s="3"/>
    </row>
    <row r="7389" spans="1:17" ht="15" x14ac:dyDescent="0.25">
      <c r="A7389" s="3">
        <f>7382</f>
        <v>7382</v>
      </c>
      <c r="B7389" s="3" t="s">
        <v>7391</v>
      </c>
      <c r="C7389" s="3" t="s">
        <v>10</v>
      </c>
      <c r="D7389" s="3" t="s">
        <v>9</v>
      </c>
      <c r="E7389" s="3">
        <v>24</v>
      </c>
      <c r="F7389" s="3">
        <v>70</v>
      </c>
      <c r="G7389" s="3">
        <v>1</v>
      </c>
      <c r="H7389" s="3">
        <v>5</v>
      </c>
      <c r="I7389" s="3">
        <v>21</v>
      </c>
      <c r="J7389" s="3">
        <v>1</v>
      </c>
      <c r="K7389" s="3">
        <v>24</v>
      </c>
      <c r="L7389" s="3">
        <v>1</v>
      </c>
      <c r="M7389" s="3">
        <v>0</v>
      </c>
      <c r="N7389" s="3">
        <v>22</v>
      </c>
      <c r="O7389" s="3"/>
      <c r="P7389" s="3"/>
      <c r="Q7389" s="3"/>
    </row>
    <row r="7390" spans="1:17" ht="15" x14ac:dyDescent="0.25">
      <c r="A7390" s="3">
        <f>7383</f>
        <v>7383</v>
      </c>
      <c r="B7390" s="3" t="s">
        <v>7392</v>
      </c>
      <c r="C7390" s="3" t="s">
        <v>10</v>
      </c>
      <c r="D7390" s="3" t="s">
        <v>9</v>
      </c>
      <c r="E7390" s="3">
        <v>24</v>
      </c>
      <c r="F7390" s="3">
        <v>70</v>
      </c>
      <c r="G7390" s="3">
        <v>1</v>
      </c>
      <c r="H7390" s="3">
        <v>5</v>
      </c>
      <c r="I7390" s="3">
        <v>21</v>
      </c>
      <c r="J7390" s="3">
        <v>1</v>
      </c>
      <c r="K7390" s="3">
        <v>24</v>
      </c>
      <c r="L7390" s="3">
        <v>1</v>
      </c>
      <c r="M7390" s="3">
        <v>0</v>
      </c>
      <c r="N7390" s="3">
        <v>22</v>
      </c>
      <c r="O7390" s="3"/>
      <c r="P7390" s="3"/>
      <c r="Q7390" s="3"/>
    </row>
    <row r="7391" spans="1:17" ht="15" x14ac:dyDescent="0.25">
      <c r="A7391" s="3">
        <f>7384</f>
        <v>7384</v>
      </c>
      <c r="B7391" s="3" t="s">
        <v>7393</v>
      </c>
      <c r="C7391" s="3" t="s">
        <v>10</v>
      </c>
      <c r="D7391" s="3" t="s">
        <v>9</v>
      </c>
      <c r="E7391" s="3">
        <v>24</v>
      </c>
      <c r="F7391" s="3">
        <v>70</v>
      </c>
      <c r="G7391" s="3">
        <v>1</v>
      </c>
      <c r="H7391" s="3">
        <v>5</v>
      </c>
      <c r="I7391" s="3">
        <v>21</v>
      </c>
      <c r="J7391" s="3">
        <v>1</v>
      </c>
      <c r="K7391" s="3">
        <v>24</v>
      </c>
      <c r="L7391" s="3">
        <v>1</v>
      </c>
      <c r="M7391" s="3">
        <v>0</v>
      </c>
      <c r="N7391" s="3">
        <v>22</v>
      </c>
      <c r="O7391" s="3"/>
      <c r="P7391" s="3"/>
      <c r="Q7391" s="3"/>
    </row>
    <row r="7392" spans="1:17" ht="15" x14ac:dyDescent="0.25">
      <c r="A7392" s="3">
        <f>7385</f>
        <v>7385</v>
      </c>
      <c r="B7392" s="3" t="s">
        <v>7394</v>
      </c>
      <c r="C7392" s="3" t="s">
        <v>10</v>
      </c>
      <c r="D7392" s="3" t="s">
        <v>9</v>
      </c>
      <c r="E7392" s="3">
        <v>24</v>
      </c>
      <c r="F7392" s="3">
        <v>70</v>
      </c>
      <c r="G7392" s="3">
        <v>1</v>
      </c>
      <c r="H7392" s="3">
        <v>5</v>
      </c>
      <c r="I7392" s="3">
        <v>21</v>
      </c>
      <c r="J7392" s="3">
        <v>1</v>
      </c>
      <c r="K7392" s="3">
        <v>24</v>
      </c>
      <c r="L7392" s="3">
        <v>1</v>
      </c>
      <c r="M7392" s="3">
        <v>0</v>
      </c>
      <c r="N7392" s="3">
        <v>22</v>
      </c>
      <c r="O7392" s="3"/>
      <c r="P7392" s="3"/>
      <c r="Q7392" s="3"/>
    </row>
    <row r="7393" spans="1:17" ht="15" x14ac:dyDescent="0.25">
      <c r="A7393" s="3">
        <f>7386</f>
        <v>7386</v>
      </c>
      <c r="B7393" s="3" t="s">
        <v>7395</v>
      </c>
      <c r="C7393" s="3" t="s">
        <v>10</v>
      </c>
      <c r="D7393" s="3" t="s">
        <v>9</v>
      </c>
      <c r="E7393" s="3">
        <v>24</v>
      </c>
      <c r="F7393" s="3">
        <v>70</v>
      </c>
      <c r="G7393" s="3">
        <v>1</v>
      </c>
      <c r="H7393" s="3">
        <v>5</v>
      </c>
      <c r="I7393" s="3">
        <v>21</v>
      </c>
      <c r="J7393" s="3">
        <v>1</v>
      </c>
      <c r="K7393" s="3">
        <v>24</v>
      </c>
      <c r="L7393" s="3">
        <v>1</v>
      </c>
      <c r="M7393" s="3">
        <v>0</v>
      </c>
      <c r="N7393" s="3">
        <v>22</v>
      </c>
      <c r="O7393" s="3"/>
      <c r="P7393" s="3"/>
      <c r="Q7393" s="3"/>
    </row>
    <row r="7394" spans="1:17" ht="15" x14ac:dyDescent="0.25">
      <c r="A7394" s="3">
        <f>7387</f>
        <v>7387</v>
      </c>
      <c r="B7394" s="3" t="s">
        <v>7396</v>
      </c>
      <c r="C7394" s="3" t="s">
        <v>10</v>
      </c>
      <c r="D7394" s="3" t="s">
        <v>9</v>
      </c>
      <c r="E7394" s="3">
        <v>24</v>
      </c>
      <c r="F7394" s="3">
        <v>70</v>
      </c>
      <c r="G7394" s="3">
        <v>1</v>
      </c>
      <c r="H7394" s="3">
        <v>5</v>
      </c>
      <c r="I7394" s="3">
        <v>21</v>
      </c>
      <c r="J7394" s="3">
        <v>1</v>
      </c>
      <c r="K7394" s="3">
        <v>24</v>
      </c>
      <c r="L7394" s="3">
        <v>1</v>
      </c>
      <c r="M7394" s="3">
        <v>0</v>
      </c>
      <c r="N7394" s="3">
        <v>22</v>
      </c>
      <c r="O7394" s="3"/>
      <c r="P7394" s="3"/>
      <c r="Q7394" s="3"/>
    </row>
    <row r="7395" spans="1:17" ht="15" x14ac:dyDescent="0.25">
      <c r="A7395" s="3">
        <f>7388</f>
        <v>7388</v>
      </c>
      <c r="B7395" s="3" t="s">
        <v>7397</v>
      </c>
      <c r="C7395" s="3" t="s">
        <v>10</v>
      </c>
      <c r="D7395" s="3" t="s">
        <v>9</v>
      </c>
      <c r="E7395" s="3">
        <v>24</v>
      </c>
      <c r="F7395" s="3">
        <v>70</v>
      </c>
      <c r="G7395" s="3">
        <v>1</v>
      </c>
      <c r="H7395" s="3">
        <v>5</v>
      </c>
      <c r="I7395" s="3">
        <v>21</v>
      </c>
      <c r="J7395" s="3">
        <v>1</v>
      </c>
      <c r="K7395" s="3">
        <v>24</v>
      </c>
      <c r="L7395" s="3">
        <v>1</v>
      </c>
      <c r="M7395" s="3">
        <v>0</v>
      </c>
      <c r="N7395" s="3">
        <v>22</v>
      </c>
      <c r="O7395" s="3"/>
      <c r="P7395" s="3"/>
      <c r="Q7395" s="3"/>
    </row>
    <row r="7396" spans="1:17" ht="15" x14ac:dyDescent="0.25">
      <c r="A7396" s="3">
        <f>7389</f>
        <v>7389</v>
      </c>
      <c r="B7396" s="3" t="s">
        <v>7398</v>
      </c>
      <c r="C7396" s="3" t="s">
        <v>10</v>
      </c>
      <c r="D7396" s="3" t="s">
        <v>9</v>
      </c>
      <c r="E7396" s="3">
        <v>24</v>
      </c>
      <c r="F7396" s="3">
        <v>70</v>
      </c>
      <c r="G7396" s="3">
        <v>1</v>
      </c>
      <c r="H7396" s="3">
        <v>5</v>
      </c>
      <c r="I7396" s="3">
        <v>21</v>
      </c>
      <c r="J7396" s="3">
        <v>1</v>
      </c>
      <c r="K7396" s="3">
        <v>24</v>
      </c>
      <c r="L7396" s="3">
        <v>1</v>
      </c>
      <c r="M7396" s="3">
        <v>0</v>
      </c>
      <c r="N7396" s="3">
        <v>22</v>
      </c>
      <c r="O7396" s="3"/>
      <c r="P7396" s="3"/>
      <c r="Q7396" s="3"/>
    </row>
    <row r="7397" spans="1:17" ht="15" x14ac:dyDescent="0.25">
      <c r="A7397" s="3">
        <f>7390</f>
        <v>7390</v>
      </c>
      <c r="B7397" s="3" t="s">
        <v>7399</v>
      </c>
      <c r="C7397" s="3" t="s">
        <v>10</v>
      </c>
      <c r="D7397" s="3" t="s">
        <v>9</v>
      </c>
      <c r="E7397" s="3">
        <v>24</v>
      </c>
      <c r="F7397" s="3">
        <v>70</v>
      </c>
      <c r="G7397" s="3">
        <v>1</v>
      </c>
      <c r="H7397" s="3">
        <v>5</v>
      </c>
      <c r="I7397" s="3">
        <v>21</v>
      </c>
      <c r="J7397" s="3">
        <v>1</v>
      </c>
      <c r="K7397" s="3">
        <v>24</v>
      </c>
      <c r="L7397" s="3">
        <v>1</v>
      </c>
      <c r="M7397" s="3">
        <v>0</v>
      </c>
      <c r="N7397" s="3">
        <v>22</v>
      </c>
      <c r="O7397" s="3"/>
      <c r="P7397" s="3"/>
      <c r="Q7397" s="3"/>
    </row>
    <row r="7398" spans="1:17" ht="15" x14ac:dyDescent="0.25">
      <c r="A7398" s="3">
        <f>7391</f>
        <v>7391</v>
      </c>
      <c r="B7398" s="3" t="s">
        <v>7400</v>
      </c>
      <c r="C7398" s="3" t="s">
        <v>10</v>
      </c>
      <c r="D7398" s="3" t="s">
        <v>9</v>
      </c>
      <c r="E7398" s="3">
        <v>24</v>
      </c>
      <c r="F7398" s="3">
        <v>70</v>
      </c>
      <c r="G7398" s="3">
        <v>1</v>
      </c>
      <c r="H7398" s="3">
        <v>5</v>
      </c>
      <c r="I7398" s="3">
        <v>21</v>
      </c>
      <c r="J7398" s="3">
        <v>1</v>
      </c>
      <c r="K7398" s="3">
        <v>24</v>
      </c>
      <c r="L7398" s="3">
        <v>1</v>
      </c>
      <c r="M7398" s="3">
        <v>0</v>
      </c>
      <c r="N7398" s="3">
        <v>22</v>
      </c>
      <c r="O7398" s="3"/>
      <c r="P7398" s="3"/>
      <c r="Q7398" s="3"/>
    </row>
    <row r="7399" spans="1:17" ht="15" x14ac:dyDescent="0.25">
      <c r="A7399" s="3">
        <f>7392</f>
        <v>7392</v>
      </c>
      <c r="B7399" s="3" t="s">
        <v>7401</v>
      </c>
      <c r="C7399" s="3" t="s">
        <v>10</v>
      </c>
      <c r="D7399" s="3" t="s">
        <v>9</v>
      </c>
      <c r="E7399" s="3">
        <v>24</v>
      </c>
      <c r="F7399" s="3">
        <v>70</v>
      </c>
      <c r="G7399" s="3">
        <v>1</v>
      </c>
      <c r="H7399" s="3">
        <v>5</v>
      </c>
      <c r="I7399" s="3">
        <v>21</v>
      </c>
      <c r="J7399" s="3">
        <v>1</v>
      </c>
      <c r="K7399" s="3">
        <v>24</v>
      </c>
      <c r="L7399" s="3">
        <v>1</v>
      </c>
      <c r="M7399" s="3">
        <v>0</v>
      </c>
      <c r="N7399" s="3">
        <v>22</v>
      </c>
      <c r="O7399" s="3"/>
      <c r="P7399" s="3"/>
      <c r="Q7399" s="3"/>
    </row>
    <row r="7400" spans="1:17" ht="15" x14ac:dyDescent="0.25">
      <c r="A7400" s="3">
        <f>7393</f>
        <v>7393</v>
      </c>
      <c r="B7400" s="3" t="s">
        <v>7402</v>
      </c>
      <c r="C7400" s="3" t="s">
        <v>10</v>
      </c>
      <c r="D7400" s="3" t="s">
        <v>9</v>
      </c>
      <c r="E7400" s="3">
        <v>24</v>
      </c>
      <c r="F7400" s="3">
        <v>70</v>
      </c>
      <c r="G7400" s="3">
        <v>1</v>
      </c>
      <c r="H7400" s="3">
        <v>5</v>
      </c>
      <c r="I7400" s="3">
        <v>21</v>
      </c>
      <c r="J7400" s="3">
        <v>1</v>
      </c>
      <c r="K7400" s="3">
        <v>24</v>
      </c>
      <c r="L7400" s="3">
        <v>1</v>
      </c>
      <c r="M7400" s="3">
        <v>0</v>
      </c>
      <c r="N7400" s="3">
        <v>22</v>
      </c>
      <c r="O7400" s="3"/>
      <c r="P7400" s="3"/>
      <c r="Q7400" s="3"/>
    </row>
    <row r="7401" spans="1:17" ht="15" x14ac:dyDescent="0.25">
      <c r="A7401" s="3">
        <f>7394</f>
        <v>7394</v>
      </c>
      <c r="B7401" s="3" t="s">
        <v>7403</v>
      </c>
      <c r="C7401" s="3" t="s">
        <v>10</v>
      </c>
      <c r="D7401" s="3" t="s">
        <v>9</v>
      </c>
      <c r="E7401" s="3">
        <v>24</v>
      </c>
      <c r="F7401" s="3">
        <v>70</v>
      </c>
      <c r="G7401" s="3">
        <v>1</v>
      </c>
      <c r="H7401" s="3">
        <v>5</v>
      </c>
      <c r="I7401" s="3">
        <v>21</v>
      </c>
      <c r="J7401" s="3">
        <v>1</v>
      </c>
      <c r="K7401" s="3">
        <v>24</v>
      </c>
      <c r="L7401" s="3">
        <v>1</v>
      </c>
      <c r="M7401" s="3">
        <v>0</v>
      </c>
      <c r="N7401" s="3">
        <v>22</v>
      </c>
      <c r="O7401" s="3"/>
      <c r="P7401" s="3"/>
      <c r="Q7401" s="3"/>
    </row>
    <row r="7402" spans="1:17" ht="15" x14ac:dyDescent="0.25">
      <c r="A7402" s="3">
        <f>7395</f>
        <v>7395</v>
      </c>
      <c r="B7402" s="3" t="s">
        <v>7404</v>
      </c>
      <c r="C7402" s="3" t="s">
        <v>10</v>
      </c>
      <c r="D7402" s="3" t="s">
        <v>9</v>
      </c>
      <c r="E7402" s="3">
        <v>24</v>
      </c>
      <c r="F7402" s="3">
        <v>70</v>
      </c>
      <c r="G7402" s="3">
        <v>1</v>
      </c>
      <c r="H7402" s="3">
        <v>5</v>
      </c>
      <c r="I7402" s="3">
        <v>21</v>
      </c>
      <c r="J7402" s="3">
        <v>1</v>
      </c>
      <c r="K7402" s="3">
        <v>24</v>
      </c>
      <c r="L7402" s="3">
        <v>1</v>
      </c>
      <c r="M7402" s="3">
        <v>0</v>
      </c>
      <c r="N7402" s="3">
        <v>22</v>
      </c>
      <c r="O7402" s="3"/>
      <c r="P7402" s="3"/>
      <c r="Q7402" s="3"/>
    </row>
    <row r="7403" spans="1:17" ht="15" x14ac:dyDescent="0.25">
      <c r="A7403" s="3">
        <f>7396</f>
        <v>7396</v>
      </c>
      <c r="B7403" s="3" t="s">
        <v>7405</v>
      </c>
      <c r="C7403" s="3" t="s">
        <v>10</v>
      </c>
      <c r="D7403" s="3" t="s">
        <v>9</v>
      </c>
      <c r="E7403" s="3">
        <v>24</v>
      </c>
      <c r="F7403" s="3">
        <v>70</v>
      </c>
      <c r="G7403" s="3">
        <v>1</v>
      </c>
      <c r="H7403" s="3">
        <v>5</v>
      </c>
      <c r="I7403" s="3">
        <v>21</v>
      </c>
      <c r="J7403" s="3">
        <v>1</v>
      </c>
      <c r="K7403" s="3">
        <v>24</v>
      </c>
      <c r="L7403" s="3">
        <v>1</v>
      </c>
      <c r="M7403" s="3">
        <v>0</v>
      </c>
      <c r="N7403" s="3">
        <v>22</v>
      </c>
      <c r="O7403" s="3"/>
      <c r="P7403" s="3"/>
      <c r="Q7403" s="3"/>
    </row>
    <row r="7404" spans="1:17" ht="15" x14ac:dyDescent="0.25">
      <c r="A7404" s="3">
        <f>7397</f>
        <v>7397</v>
      </c>
      <c r="B7404" s="3" t="s">
        <v>7406</v>
      </c>
      <c r="C7404" s="3" t="s">
        <v>10</v>
      </c>
      <c r="D7404" s="3" t="s">
        <v>9</v>
      </c>
      <c r="E7404" s="3">
        <v>24</v>
      </c>
      <c r="F7404" s="3">
        <v>70</v>
      </c>
      <c r="G7404" s="3">
        <v>1</v>
      </c>
      <c r="H7404" s="3">
        <v>5</v>
      </c>
      <c r="I7404" s="3">
        <v>21</v>
      </c>
      <c r="J7404" s="3">
        <v>1</v>
      </c>
      <c r="K7404" s="3">
        <v>24</v>
      </c>
      <c r="L7404" s="3">
        <v>1</v>
      </c>
      <c r="M7404" s="3">
        <v>0</v>
      </c>
      <c r="N7404" s="3">
        <v>22</v>
      </c>
      <c r="O7404" s="3"/>
      <c r="P7404" s="3"/>
      <c r="Q7404" s="3"/>
    </row>
    <row r="7405" spans="1:17" ht="15" x14ac:dyDescent="0.25">
      <c r="A7405" s="3">
        <f>7398</f>
        <v>7398</v>
      </c>
      <c r="B7405" s="3" t="s">
        <v>7407</v>
      </c>
      <c r="C7405" s="3" t="s">
        <v>10</v>
      </c>
      <c r="D7405" s="3" t="s">
        <v>9</v>
      </c>
      <c r="E7405" s="3">
        <v>24</v>
      </c>
      <c r="F7405" s="3">
        <v>70</v>
      </c>
      <c r="G7405" s="3">
        <v>1</v>
      </c>
      <c r="H7405" s="3">
        <v>5</v>
      </c>
      <c r="I7405" s="3">
        <v>21</v>
      </c>
      <c r="J7405" s="3">
        <v>1</v>
      </c>
      <c r="K7405" s="3">
        <v>24</v>
      </c>
      <c r="L7405" s="3">
        <v>1</v>
      </c>
      <c r="M7405" s="3">
        <v>0</v>
      </c>
      <c r="N7405" s="3">
        <v>22</v>
      </c>
      <c r="O7405" s="3"/>
      <c r="P7405" s="3"/>
      <c r="Q7405" s="3"/>
    </row>
    <row r="7406" spans="1:17" ht="15" x14ac:dyDescent="0.25">
      <c r="A7406" s="3">
        <f>7399</f>
        <v>7399</v>
      </c>
      <c r="B7406" s="3" t="s">
        <v>7408</v>
      </c>
      <c r="C7406" s="3" t="s">
        <v>10</v>
      </c>
      <c r="D7406" s="3" t="s">
        <v>9</v>
      </c>
      <c r="E7406" s="3">
        <v>24</v>
      </c>
      <c r="F7406" s="3">
        <v>70</v>
      </c>
      <c r="G7406" s="3">
        <v>1</v>
      </c>
      <c r="H7406" s="3">
        <v>5</v>
      </c>
      <c r="I7406" s="3">
        <v>21</v>
      </c>
      <c r="J7406" s="3">
        <v>1</v>
      </c>
      <c r="K7406" s="3">
        <v>24</v>
      </c>
      <c r="L7406" s="3">
        <v>1</v>
      </c>
      <c r="M7406" s="3">
        <v>0</v>
      </c>
      <c r="N7406" s="3">
        <v>22</v>
      </c>
      <c r="O7406" s="3"/>
      <c r="P7406" s="3"/>
      <c r="Q7406" s="3"/>
    </row>
    <row r="7407" spans="1:17" ht="15" x14ac:dyDescent="0.25">
      <c r="A7407" s="3">
        <f>7400</f>
        <v>7400</v>
      </c>
      <c r="B7407" s="3" t="s">
        <v>7409</v>
      </c>
      <c r="C7407" s="3" t="s">
        <v>10</v>
      </c>
      <c r="D7407" s="3" t="s">
        <v>9</v>
      </c>
      <c r="E7407" s="3">
        <v>24</v>
      </c>
      <c r="F7407" s="3">
        <v>70</v>
      </c>
      <c r="G7407" s="3">
        <v>1</v>
      </c>
      <c r="H7407" s="3">
        <v>5</v>
      </c>
      <c r="I7407" s="3">
        <v>21</v>
      </c>
      <c r="J7407" s="3">
        <v>1</v>
      </c>
      <c r="K7407" s="3">
        <v>24</v>
      </c>
      <c r="L7407" s="3">
        <v>1</v>
      </c>
      <c r="M7407" s="3">
        <v>0</v>
      </c>
      <c r="N7407" s="3">
        <v>22</v>
      </c>
      <c r="O7407" s="3"/>
      <c r="P7407" s="3"/>
      <c r="Q7407" s="3"/>
    </row>
    <row r="7408" spans="1:17" ht="15" x14ac:dyDescent="0.25">
      <c r="A7408" s="3">
        <f>7401</f>
        <v>7401</v>
      </c>
      <c r="B7408" s="3" t="s">
        <v>7410</v>
      </c>
      <c r="C7408" s="3" t="s">
        <v>10</v>
      </c>
      <c r="D7408" s="3" t="s">
        <v>9</v>
      </c>
      <c r="E7408" s="3">
        <v>24</v>
      </c>
      <c r="F7408" s="3">
        <v>70</v>
      </c>
      <c r="G7408" s="3">
        <v>1</v>
      </c>
      <c r="H7408" s="3">
        <v>5</v>
      </c>
      <c r="I7408" s="3">
        <v>21</v>
      </c>
      <c r="J7408" s="3">
        <v>1</v>
      </c>
      <c r="K7408" s="3">
        <v>24</v>
      </c>
      <c r="L7408" s="3">
        <v>1</v>
      </c>
      <c r="M7408" s="3">
        <v>0</v>
      </c>
      <c r="N7408" s="3">
        <v>22</v>
      </c>
      <c r="O7408" s="3"/>
      <c r="P7408" s="3"/>
      <c r="Q7408" s="3"/>
    </row>
    <row r="7409" spans="1:17" ht="15" x14ac:dyDescent="0.25">
      <c r="A7409" s="3">
        <f>7402</f>
        <v>7402</v>
      </c>
      <c r="B7409" s="3" t="s">
        <v>7411</v>
      </c>
      <c r="C7409" s="3" t="s">
        <v>10</v>
      </c>
      <c r="D7409" s="3" t="s">
        <v>9</v>
      </c>
      <c r="E7409" s="3">
        <v>24</v>
      </c>
      <c r="F7409" s="3">
        <v>70</v>
      </c>
      <c r="G7409" s="3">
        <v>1</v>
      </c>
      <c r="H7409" s="3">
        <v>5</v>
      </c>
      <c r="I7409" s="3">
        <v>21</v>
      </c>
      <c r="J7409" s="3">
        <v>1</v>
      </c>
      <c r="K7409" s="3">
        <v>24</v>
      </c>
      <c r="L7409" s="3">
        <v>1</v>
      </c>
      <c r="M7409" s="3">
        <v>0</v>
      </c>
      <c r="N7409" s="3">
        <v>22</v>
      </c>
      <c r="O7409" s="3"/>
      <c r="P7409" s="3"/>
      <c r="Q7409" s="3"/>
    </row>
    <row r="7410" spans="1:17" ht="15" x14ac:dyDescent="0.25">
      <c r="A7410" s="3">
        <f>7403</f>
        <v>7403</v>
      </c>
      <c r="B7410" s="3" t="s">
        <v>7412</v>
      </c>
      <c r="C7410" s="3" t="s">
        <v>10</v>
      </c>
      <c r="D7410" s="3" t="s">
        <v>9</v>
      </c>
      <c r="E7410" s="3">
        <v>24</v>
      </c>
      <c r="F7410" s="3">
        <v>70</v>
      </c>
      <c r="G7410" s="3">
        <v>1</v>
      </c>
      <c r="H7410" s="3">
        <v>5</v>
      </c>
      <c r="I7410" s="3">
        <v>21</v>
      </c>
      <c r="J7410" s="3">
        <v>1</v>
      </c>
      <c r="K7410" s="3">
        <v>24</v>
      </c>
      <c r="L7410" s="3">
        <v>1</v>
      </c>
      <c r="M7410" s="3">
        <v>0</v>
      </c>
      <c r="N7410" s="3">
        <v>22</v>
      </c>
      <c r="O7410" s="3"/>
      <c r="P7410" s="3"/>
      <c r="Q7410" s="3"/>
    </row>
    <row r="7411" spans="1:17" ht="15" x14ac:dyDescent="0.25">
      <c r="A7411" s="3">
        <f>7404</f>
        <v>7404</v>
      </c>
      <c r="B7411" s="3" t="s">
        <v>7413</v>
      </c>
      <c r="C7411" s="3" t="s">
        <v>10</v>
      </c>
      <c r="D7411" s="3" t="s">
        <v>9</v>
      </c>
      <c r="E7411" s="3">
        <v>24</v>
      </c>
      <c r="F7411" s="3">
        <v>70</v>
      </c>
      <c r="G7411" s="3">
        <v>1</v>
      </c>
      <c r="H7411" s="3">
        <v>5</v>
      </c>
      <c r="I7411" s="3">
        <v>21</v>
      </c>
      <c r="J7411" s="3">
        <v>1</v>
      </c>
      <c r="K7411" s="3">
        <v>24</v>
      </c>
      <c r="L7411" s="3">
        <v>1</v>
      </c>
      <c r="M7411" s="3">
        <v>0</v>
      </c>
      <c r="N7411" s="3">
        <v>22</v>
      </c>
      <c r="O7411" s="3"/>
      <c r="P7411" s="3"/>
      <c r="Q7411" s="3"/>
    </row>
    <row r="7412" spans="1:17" ht="15" x14ac:dyDescent="0.25">
      <c r="A7412" s="3">
        <f>7405</f>
        <v>7405</v>
      </c>
      <c r="B7412" s="3" t="s">
        <v>7414</v>
      </c>
      <c r="C7412" s="3" t="s">
        <v>10</v>
      </c>
      <c r="D7412" s="3" t="s">
        <v>9</v>
      </c>
      <c r="E7412" s="3">
        <v>24</v>
      </c>
      <c r="F7412" s="3">
        <v>70</v>
      </c>
      <c r="G7412" s="3">
        <v>1</v>
      </c>
      <c r="H7412" s="3">
        <v>5</v>
      </c>
      <c r="I7412" s="3">
        <v>21</v>
      </c>
      <c r="J7412" s="3">
        <v>1</v>
      </c>
      <c r="K7412" s="3">
        <v>24</v>
      </c>
      <c r="L7412" s="3">
        <v>1</v>
      </c>
      <c r="M7412" s="3">
        <v>0</v>
      </c>
      <c r="N7412" s="3">
        <v>22</v>
      </c>
      <c r="O7412" s="3"/>
      <c r="P7412" s="3"/>
      <c r="Q7412" s="3"/>
    </row>
    <row r="7413" spans="1:17" ht="15" x14ac:dyDescent="0.25">
      <c r="A7413" s="3">
        <f>7406</f>
        <v>7406</v>
      </c>
      <c r="B7413" s="3" t="s">
        <v>7415</v>
      </c>
      <c r="C7413" s="3" t="s">
        <v>10</v>
      </c>
      <c r="D7413" s="3" t="s">
        <v>9</v>
      </c>
      <c r="E7413" s="3">
        <v>24</v>
      </c>
      <c r="F7413" s="3">
        <v>70</v>
      </c>
      <c r="G7413" s="3">
        <v>1</v>
      </c>
      <c r="H7413" s="3">
        <v>5</v>
      </c>
      <c r="I7413" s="3">
        <v>21</v>
      </c>
      <c r="J7413" s="3">
        <v>1</v>
      </c>
      <c r="K7413" s="3">
        <v>24</v>
      </c>
      <c r="L7413" s="3">
        <v>1</v>
      </c>
      <c r="M7413" s="3">
        <v>0</v>
      </c>
      <c r="N7413" s="3">
        <v>22</v>
      </c>
      <c r="O7413" s="3"/>
      <c r="P7413" s="3"/>
      <c r="Q7413" s="3"/>
    </row>
    <row r="7414" spans="1:17" ht="15" x14ac:dyDescent="0.25">
      <c r="A7414" s="3">
        <f>7407</f>
        <v>7407</v>
      </c>
      <c r="B7414" s="3" t="s">
        <v>7416</v>
      </c>
      <c r="C7414" s="3" t="s">
        <v>10</v>
      </c>
      <c r="D7414" s="3" t="s">
        <v>9</v>
      </c>
      <c r="E7414" s="3">
        <v>24</v>
      </c>
      <c r="F7414" s="3">
        <v>70</v>
      </c>
      <c r="G7414" s="3">
        <v>1</v>
      </c>
      <c r="H7414" s="3">
        <v>5</v>
      </c>
      <c r="I7414" s="3">
        <v>21</v>
      </c>
      <c r="J7414" s="3">
        <v>1</v>
      </c>
      <c r="K7414" s="3">
        <v>24</v>
      </c>
      <c r="L7414" s="3">
        <v>1</v>
      </c>
      <c r="M7414" s="3">
        <v>0</v>
      </c>
      <c r="N7414" s="3">
        <v>22</v>
      </c>
      <c r="O7414" s="3"/>
      <c r="P7414" s="3"/>
      <c r="Q7414" s="3"/>
    </row>
    <row r="7415" spans="1:17" ht="15" x14ac:dyDescent="0.25">
      <c r="A7415" s="3">
        <f>7408</f>
        <v>7408</v>
      </c>
      <c r="B7415" s="3" t="s">
        <v>7417</v>
      </c>
      <c r="C7415" s="3" t="s">
        <v>10</v>
      </c>
      <c r="D7415" s="3" t="s">
        <v>9</v>
      </c>
      <c r="E7415" s="3">
        <v>24</v>
      </c>
      <c r="F7415" s="3">
        <v>70</v>
      </c>
      <c r="G7415" s="3">
        <v>1</v>
      </c>
      <c r="H7415" s="3">
        <v>5</v>
      </c>
      <c r="I7415" s="3">
        <v>21</v>
      </c>
      <c r="J7415" s="3">
        <v>1</v>
      </c>
      <c r="K7415" s="3">
        <v>24</v>
      </c>
      <c r="L7415" s="3">
        <v>1</v>
      </c>
      <c r="M7415" s="3">
        <v>0</v>
      </c>
      <c r="N7415" s="3">
        <v>22</v>
      </c>
      <c r="O7415" s="3"/>
      <c r="P7415" s="3"/>
      <c r="Q7415" s="3"/>
    </row>
    <row r="7416" spans="1:17" ht="15" x14ac:dyDescent="0.25">
      <c r="A7416" s="3">
        <f>7409</f>
        <v>7409</v>
      </c>
      <c r="B7416" s="3" t="s">
        <v>7418</v>
      </c>
      <c r="C7416" s="3" t="s">
        <v>10</v>
      </c>
      <c r="D7416" s="3" t="s">
        <v>9</v>
      </c>
      <c r="E7416" s="3">
        <v>24</v>
      </c>
      <c r="F7416" s="3">
        <v>70</v>
      </c>
      <c r="G7416" s="3">
        <v>1</v>
      </c>
      <c r="H7416" s="3">
        <v>5</v>
      </c>
      <c r="I7416" s="3">
        <v>21</v>
      </c>
      <c r="J7416" s="3">
        <v>1</v>
      </c>
      <c r="K7416" s="3">
        <v>24</v>
      </c>
      <c r="L7416" s="3">
        <v>1</v>
      </c>
      <c r="M7416" s="3">
        <v>0</v>
      </c>
      <c r="N7416" s="3">
        <v>22</v>
      </c>
      <c r="O7416" s="3"/>
      <c r="P7416" s="3"/>
      <c r="Q7416" s="3"/>
    </row>
    <row r="7417" spans="1:17" ht="15" x14ac:dyDescent="0.25">
      <c r="A7417" s="3">
        <f>7410</f>
        <v>7410</v>
      </c>
      <c r="B7417" s="3" t="s">
        <v>7419</v>
      </c>
      <c r="C7417" s="3" t="s">
        <v>10</v>
      </c>
      <c r="D7417" s="3" t="s">
        <v>9</v>
      </c>
      <c r="E7417" s="3">
        <v>24</v>
      </c>
      <c r="F7417" s="3">
        <v>70</v>
      </c>
      <c r="G7417" s="3">
        <v>1</v>
      </c>
      <c r="H7417" s="3">
        <v>5</v>
      </c>
      <c r="I7417" s="3">
        <v>21</v>
      </c>
      <c r="J7417" s="3">
        <v>1</v>
      </c>
      <c r="K7417" s="3">
        <v>24</v>
      </c>
      <c r="L7417" s="3">
        <v>1</v>
      </c>
      <c r="M7417" s="3">
        <v>0</v>
      </c>
      <c r="N7417" s="3">
        <v>22</v>
      </c>
      <c r="O7417" s="3"/>
      <c r="P7417" s="3"/>
      <c r="Q7417" s="3"/>
    </row>
    <row r="7418" spans="1:17" ht="15" x14ac:dyDescent="0.25">
      <c r="A7418" s="3">
        <f>7411</f>
        <v>7411</v>
      </c>
      <c r="B7418" s="3" t="s">
        <v>7420</v>
      </c>
      <c r="C7418" s="3" t="s">
        <v>10</v>
      </c>
      <c r="D7418" s="3" t="s">
        <v>9</v>
      </c>
      <c r="E7418" s="3">
        <v>24</v>
      </c>
      <c r="F7418" s="3">
        <v>70</v>
      </c>
      <c r="G7418" s="3">
        <v>1</v>
      </c>
      <c r="H7418" s="3">
        <v>5</v>
      </c>
      <c r="I7418" s="3">
        <v>21</v>
      </c>
      <c r="J7418" s="3">
        <v>1</v>
      </c>
      <c r="K7418" s="3">
        <v>24</v>
      </c>
      <c r="L7418" s="3">
        <v>1</v>
      </c>
      <c r="M7418" s="3">
        <v>0</v>
      </c>
      <c r="N7418" s="3">
        <v>22</v>
      </c>
      <c r="O7418" s="3"/>
      <c r="P7418" s="3"/>
      <c r="Q7418" s="3"/>
    </row>
    <row r="7419" spans="1:17" ht="15" x14ac:dyDescent="0.25">
      <c r="A7419" s="3">
        <f>7412</f>
        <v>7412</v>
      </c>
      <c r="B7419" s="3" t="s">
        <v>7421</v>
      </c>
      <c r="C7419" s="3" t="s">
        <v>10</v>
      </c>
      <c r="D7419" s="3" t="s">
        <v>9</v>
      </c>
      <c r="E7419" s="3">
        <v>24</v>
      </c>
      <c r="F7419" s="3">
        <v>70</v>
      </c>
      <c r="G7419" s="3">
        <v>1</v>
      </c>
      <c r="H7419" s="3">
        <v>5</v>
      </c>
      <c r="I7419" s="3">
        <v>21</v>
      </c>
      <c r="J7419" s="3">
        <v>1</v>
      </c>
      <c r="K7419" s="3">
        <v>24</v>
      </c>
      <c r="L7419" s="3">
        <v>1</v>
      </c>
      <c r="M7419" s="3">
        <v>0</v>
      </c>
      <c r="N7419" s="3">
        <v>22</v>
      </c>
      <c r="O7419" s="3"/>
      <c r="P7419" s="3"/>
      <c r="Q7419" s="3"/>
    </row>
    <row r="7420" spans="1:17" ht="15" x14ac:dyDescent="0.25">
      <c r="A7420" s="3">
        <f>7413</f>
        <v>7413</v>
      </c>
      <c r="B7420" s="3" t="s">
        <v>7422</v>
      </c>
      <c r="C7420" s="3" t="s">
        <v>10</v>
      </c>
      <c r="D7420" s="3" t="s">
        <v>9</v>
      </c>
      <c r="E7420" s="3">
        <v>24</v>
      </c>
      <c r="F7420" s="3">
        <v>70</v>
      </c>
      <c r="G7420" s="3">
        <v>1</v>
      </c>
      <c r="H7420" s="3">
        <v>5</v>
      </c>
      <c r="I7420" s="3">
        <v>21</v>
      </c>
      <c r="J7420" s="3">
        <v>1</v>
      </c>
      <c r="K7420" s="3">
        <v>24</v>
      </c>
      <c r="L7420" s="3">
        <v>1</v>
      </c>
      <c r="M7420" s="3">
        <v>0</v>
      </c>
      <c r="N7420" s="3">
        <v>22</v>
      </c>
      <c r="O7420" s="3"/>
      <c r="P7420" s="3"/>
      <c r="Q7420" s="3"/>
    </row>
    <row r="7421" spans="1:17" ht="15" x14ac:dyDescent="0.25">
      <c r="A7421" s="3">
        <f>7414</f>
        <v>7414</v>
      </c>
      <c r="B7421" s="3" t="s">
        <v>7423</v>
      </c>
      <c r="C7421" s="3" t="s">
        <v>10</v>
      </c>
      <c r="D7421" s="3" t="s">
        <v>9</v>
      </c>
      <c r="E7421" s="3">
        <v>24</v>
      </c>
      <c r="F7421" s="3">
        <v>70</v>
      </c>
      <c r="G7421" s="3">
        <v>1</v>
      </c>
      <c r="H7421" s="3">
        <v>5</v>
      </c>
      <c r="I7421" s="3">
        <v>21</v>
      </c>
      <c r="J7421" s="3">
        <v>1</v>
      </c>
      <c r="K7421" s="3">
        <v>24</v>
      </c>
      <c r="L7421" s="3">
        <v>1</v>
      </c>
      <c r="M7421" s="3">
        <v>0</v>
      </c>
      <c r="N7421" s="3">
        <v>22</v>
      </c>
      <c r="O7421" s="3"/>
      <c r="P7421" s="3"/>
      <c r="Q7421" s="3"/>
    </row>
    <row r="7422" spans="1:17" ht="15" x14ac:dyDescent="0.25">
      <c r="A7422" s="3">
        <f>7415</f>
        <v>7415</v>
      </c>
      <c r="B7422" s="3" t="s">
        <v>7424</v>
      </c>
      <c r="C7422" s="3" t="s">
        <v>10</v>
      </c>
      <c r="D7422" s="3" t="s">
        <v>9</v>
      </c>
      <c r="E7422" s="3">
        <v>24</v>
      </c>
      <c r="F7422" s="3">
        <v>70</v>
      </c>
      <c r="G7422" s="3">
        <v>1</v>
      </c>
      <c r="H7422" s="3">
        <v>5</v>
      </c>
      <c r="I7422" s="3">
        <v>21</v>
      </c>
      <c r="J7422" s="3">
        <v>1</v>
      </c>
      <c r="K7422" s="3">
        <v>24</v>
      </c>
      <c r="L7422" s="3">
        <v>1</v>
      </c>
      <c r="M7422" s="3">
        <v>0</v>
      </c>
      <c r="N7422" s="3">
        <v>22</v>
      </c>
      <c r="O7422" s="3"/>
      <c r="P7422" s="3"/>
      <c r="Q7422" s="3"/>
    </row>
    <row r="7423" spans="1:17" ht="15" x14ac:dyDescent="0.25">
      <c r="A7423" s="3">
        <f>7416</f>
        <v>7416</v>
      </c>
      <c r="B7423" s="3" t="s">
        <v>7425</v>
      </c>
      <c r="C7423" s="3" t="s">
        <v>10</v>
      </c>
      <c r="D7423" s="3" t="s">
        <v>9</v>
      </c>
      <c r="E7423" s="3">
        <v>24</v>
      </c>
      <c r="F7423" s="3">
        <v>70</v>
      </c>
      <c r="G7423" s="3">
        <v>1</v>
      </c>
      <c r="H7423" s="3">
        <v>5</v>
      </c>
      <c r="I7423" s="3">
        <v>21</v>
      </c>
      <c r="J7423" s="3">
        <v>1</v>
      </c>
      <c r="K7423" s="3">
        <v>24</v>
      </c>
      <c r="L7423" s="3">
        <v>1</v>
      </c>
      <c r="M7423" s="3">
        <v>0</v>
      </c>
      <c r="N7423" s="3">
        <v>22</v>
      </c>
      <c r="O7423" s="3"/>
      <c r="P7423" s="3"/>
      <c r="Q7423" s="3"/>
    </row>
    <row r="7424" spans="1:17" ht="15" x14ac:dyDescent="0.25">
      <c r="A7424" s="3">
        <f>7417</f>
        <v>7417</v>
      </c>
      <c r="B7424" s="3" t="s">
        <v>7426</v>
      </c>
      <c r="C7424" s="3" t="s">
        <v>10</v>
      </c>
      <c r="D7424" s="3" t="s">
        <v>9</v>
      </c>
      <c r="E7424" s="3">
        <v>24</v>
      </c>
      <c r="F7424" s="3">
        <v>70</v>
      </c>
      <c r="G7424" s="3">
        <v>1</v>
      </c>
      <c r="H7424" s="3">
        <v>5</v>
      </c>
      <c r="I7424" s="3">
        <v>21</v>
      </c>
      <c r="J7424" s="3">
        <v>1</v>
      </c>
      <c r="K7424" s="3">
        <v>24</v>
      </c>
      <c r="L7424" s="3">
        <v>1</v>
      </c>
      <c r="M7424" s="3">
        <v>0</v>
      </c>
      <c r="N7424" s="3">
        <v>22</v>
      </c>
      <c r="O7424" s="3"/>
      <c r="P7424" s="3"/>
      <c r="Q7424" s="3"/>
    </row>
    <row r="7425" spans="1:17" ht="15" x14ac:dyDescent="0.25">
      <c r="A7425" s="3">
        <f>7418</f>
        <v>7418</v>
      </c>
      <c r="B7425" s="3" t="s">
        <v>7427</v>
      </c>
      <c r="C7425" s="3" t="s">
        <v>10</v>
      </c>
      <c r="D7425" s="3" t="s">
        <v>9</v>
      </c>
      <c r="E7425" s="3">
        <v>24</v>
      </c>
      <c r="F7425" s="3">
        <v>70</v>
      </c>
      <c r="G7425" s="3">
        <v>1</v>
      </c>
      <c r="H7425" s="3">
        <v>5</v>
      </c>
      <c r="I7425" s="3">
        <v>21</v>
      </c>
      <c r="J7425" s="3">
        <v>1</v>
      </c>
      <c r="K7425" s="3">
        <v>24</v>
      </c>
      <c r="L7425" s="3">
        <v>1</v>
      </c>
      <c r="M7425" s="3">
        <v>0</v>
      </c>
      <c r="N7425" s="3">
        <v>22</v>
      </c>
      <c r="O7425" s="3"/>
      <c r="P7425" s="3"/>
      <c r="Q7425" s="3"/>
    </row>
    <row r="7426" spans="1:17" ht="15" x14ac:dyDescent="0.25">
      <c r="A7426" s="3">
        <f>7419</f>
        <v>7419</v>
      </c>
      <c r="B7426" s="3" t="s">
        <v>7428</v>
      </c>
      <c r="C7426" s="3" t="s">
        <v>10</v>
      </c>
      <c r="D7426" s="3" t="s">
        <v>9</v>
      </c>
      <c r="E7426" s="3">
        <v>24</v>
      </c>
      <c r="F7426" s="3">
        <v>70</v>
      </c>
      <c r="G7426" s="3">
        <v>1</v>
      </c>
      <c r="H7426" s="3">
        <v>5</v>
      </c>
      <c r="I7426" s="3">
        <v>21</v>
      </c>
      <c r="J7426" s="3">
        <v>1</v>
      </c>
      <c r="K7426" s="3">
        <v>24</v>
      </c>
      <c r="L7426" s="3">
        <v>1</v>
      </c>
      <c r="M7426" s="3">
        <v>0</v>
      </c>
      <c r="N7426" s="3">
        <v>22</v>
      </c>
      <c r="O7426" s="3"/>
      <c r="P7426" s="3"/>
      <c r="Q7426" s="3"/>
    </row>
    <row r="7427" spans="1:17" ht="15" x14ac:dyDescent="0.25">
      <c r="A7427" s="3">
        <f>7420</f>
        <v>7420</v>
      </c>
      <c r="B7427" s="3" t="s">
        <v>7429</v>
      </c>
      <c r="C7427" s="3" t="s">
        <v>10</v>
      </c>
      <c r="D7427" s="3" t="s">
        <v>9</v>
      </c>
      <c r="E7427" s="3">
        <v>24</v>
      </c>
      <c r="F7427" s="3">
        <v>70</v>
      </c>
      <c r="G7427" s="3">
        <v>1</v>
      </c>
      <c r="H7427" s="3">
        <v>5</v>
      </c>
      <c r="I7427" s="3">
        <v>21</v>
      </c>
      <c r="J7427" s="3">
        <v>1</v>
      </c>
      <c r="K7427" s="3">
        <v>24</v>
      </c>
      <c r="L7427" s="3">
        <v>1</v>
      </c>
      <c r="M7427" s="3">
        <v>0</v>
      </c>
      <c r="N7427" s="3">
        <v>22</v>
      </c>
      <c r="O7427" s="3"/>
      <c r="P7427" s="3"/>
      <c r="Q7427" s="3"/>
    </row>
    <row r="7428" spans="1:17" ht="15" x14ac:dyDescent="0.25">
      <c r="A7428" s="3">
        <f>7421</f>
        <v>7421</v>
      </c>
      <c r="B7428" s="3" t="s">
        <v>7430</v>
      </c>
      <c r="C7428" s="3" t="s">
        <v>10</v>
      </c>
      <c r="D7428" s="3" t="s">
        <v>9</v>
      </c>
      <c r="E7428" s="3">
        <v>24</v>
      </c>
      <c r="F7428" s="3">
        <v>70</v>
      </c>
      <c r="G7428" s="3">
        <v>1</v>
      </c>
      <c r="H7428" s="3">
        <v>5</v>
      </c>
      <c r="I7428" s="3">
        <v>21</v>
      </c>
      <c r="J7428" s="3">
        <v>1</v>
      </c>
      <c r="K7428" s="3">
        <v>24</v>
      </c>
      <c r="L7428" s="3">
        <v>1</v>
      </c>
      <c r="M7428" s="3">
        <v>0</v>
      </c>
      <c r="N7428" s="3">
        <v>22</v>
      </c>
      <c r="O7428" s="3"/>
      <c r="P7428" s="3"/>
      <c r="Q7428" s="3"/>
    </row>
    <row r="7429" spans="1:17" ht="15" x14ac:dyDescent="0.25">
      <c r="A7429" s="3">
        <f>7422</f>
        <v>7422</v>
      </c>
      <c r="B7429" s="3" t="s">
        <v>7431</v>
      </c>
      <c r="C7429" s="3" t="s">
        <v>10</v>
      </c>
      <c r="D7429" s="3" t="s">
        <v>9</v>
      </c>
      <c r="E7429" s="3">
        <v>24</v>
      </c>
      <c r="F7429" s="3">
        <v>70</v>
      </c>
      <c r="G7429" s="3">
        <v>1</v>
      </c>
      <c r="H7429" s="3">
        <v>5</v>
      </c>
      <c r="I7429" s="3">
        <v>21</v>
      </c>
      <c r="J7429" s="3">
        <v>1</v>
      </c>
      <c r="K7429" s="3">
        <v>24</v>
      </c>
      <c r="L7429" s="3">
        <v>1</v>
      </c>
      <c r="M7429" s="3">
        <v>0</v>
      </c>
      <c r="N7429" s="3">
        <v>22</v>
      </c>
      <c r="O7429" s="3"/>
      <c r="P7429" s="3"/>
      <c r="Q7429" s="3"/>
    </row>
    <row r="7430" spans="1:17" ht="15" x14ac:dyDescent="0.25">
      <c r="A7430" s="3">
        <f>7423</f>
        <v>7423</v>
      </c>
      <c r="B7430" s="3" t="s">
        <v>7432</v>
      </c>
      <c r="C7430" s="3" t="s">
        <v>10</v>
      </c>
      <c r="D7430" s="3" t="s">
        <v>9</v>
      </c>
      <c r="E7430" s="3">
        <v>24</v>
      </c>
      <c r="F7430" s="3">
        <v>70</v>
      </c>
      <c r="G7430" s="3">
        <v>1</v>
      </c>
      <c r="H7430" s="3">
        <v>5</v>
      </c>
      <c r="I7430" s="3">
        <v>21</v>
      </c>
      <c r="J7430" s="3">
        <v>1</v>
      </c>
      <c r="K7430" s="3">
        <v>24</v>
      </c>
      <c r="L7430" s="3">
        <v>1</v>
      </c>
      <c r="M7430" s="3">
        <v>0</v>
      </c>
      <c r="N7430" s="3">
        <v>22</v>
      </c>
      <c r="O7430" s="3"/>
      <c r="P7430" s="3"/>
      <c r="Q7430" s="3"/>
    </row>
    <row r="7431" spans="1:17" ht="15" x14ac:dyDescent="0.25">
      <c r="A7431" s="3">
        <f>7424</f>
        <v>7424</v>
      </c>
      <c r="B7431" s="3" t="s">
        <v>7433</v>
      </c>
      <c r="C7431" s="3" t="s">
        <v>10</v>
      </c>
      <c r="D7431" s="3" t="s">
        <v>9</v>
      </c>
      <c r="E7431" s="3">
        <v>24</v>
      </c>
      <c r="F7431" s="3">
        <v>70</v>
      </c>
      <c r="G7431" s="3">
        <v>1</v>
      </c>
      <c r="H7431" s="3">
        <v>5</v>
      </c>
      <c r="I7431" s="3">
        <v>21</v>
      </c>
      <c r="J7431" s="3">
        <v>1</v>
      </c>
      <c r="K7431" s="3">
        <v>24</v>
      </c>
      <c r="L7431" s="3">
        <v>1</v>
      </c>
      <c r="M7431" s="3">
        <v>0</v>
      </c>
      <c r="N7431" s="3">
        <v>22</v>
      </c>
      <c r="O7431" s="3"/>
      <c r="P7431" s="3"/>
      <c r="Q7431" s="3"/>
    </row>
    <row r="7432" spans="1:17" ht="15" x14ac:dyDescent="0.25">
      <c r="A7432" s="3">
        <f>7425</f>
        <v>7425</v>
      </c>
      <c r="B7432" s="3" t="s">
        <v>7434</v>
      </c>
      <c r="C7432" s="3" t="s">
        <v>10</v>
      </c>
      <c r="D7432" s="3" t="s">
        <v>9</v>
      </c>
      <c r="E7432" s="3">
        <v>24</v>
      </c>
      <c r="F7432" s="3">
        <v>70</v>
      </c>
      <c r="G7432" s="3">
        <v>1</v>
      </c>
      <c r="H7432" s="3">
        <v>5</v>
      </c>
      <c r="I7432" s="3">
        <v>21</v>
      </c>
      <c r="J7432" s="3">
        <v>1</v>
      </c>
      <c r="K7432" s="3">
        <v>24</v>
      </c>
      <c r="L7432" s="3">
        <v>1</v>
      </c>
      <c r="M7432" s="3">
        <v>0</v>
      </c>
      <c r="N7432" s="3">
        <v>22</v>
      </c>
      <c r="O7432" s="3"/>
      <c r="P7432" s="3"/>
      <c r="Q7432" s="3"/>
    </row>
    <row r="7433" spans="1:17" ht="15" x14ac:dyDescent="0.25">
      <c r="A7433" s="3">
        <f>7426</f>
        <v>7426</v>
      </c>
      <c r="B7433" s="3" t="s">
        <v>7435</v>
      </c>
      <c r="C7433" s="3" t="s">
        <v>10</v>
      </c>
      <c r="D7433" s="3" t="s">
        <v>9</v>
      </c>
      <c r="E7433" s="3">
        <v>24</v>
      </c>
      <c r="F7433" s="3">
        <v>70</v>
      </c>
      <c r="G7433" s="3">
        <v>1</v>
      </c>
      <c r="H7433" s="3">
        <v>5</v>
      </c>
      <c r="I7433" s="3">
        <v>21</v>
      </c>
      <c r="J7433" s="3">
        <v>1</v>
      </c>
      <c r="K7433" s="3">
        <v>24</v>
      </c>
      <c r="L7433" s="3">
        <v>1</v>
      </c>
      <c r="M7433" s="3">
        <v>0</v>
      </c>
      <c r="N7433" s="3">
        <v>22</v>
      </c>
      <c r="O7433" s="3"/>
      <c r="P7433" s="3"/>
      <c r="Q7433" s="3"/>
    </row>
    <row r="7434" spans="1:17" ht="15" x14ac:dyDescent="0.25">
      <c r="A7434" s="3">
        <f>7427</f>
        <v>7427</v>
      </c>
      <c r="B7434" s="3" t="s">
        <v>7436</v>
      </c>
      <c r="C7434" s="3" t="s">
        <v>10</v>
      </c>
      <c r="D7434" s="3" t="s">
        <v>9</v>
      </c>
      <c r="E7434" s="3">
        <v>24</v>
      </c>
      <c r="F7434" s="3">
        <v>70</v>
      </c>
      <c r="G7434" s="3">
        <v>1</v>
      </c>
      <c r="H7434" s="3">
        <v>5</v>
      </c>
      <c r="I7434" s="3">
        <v>21</v>
      </c>
      <c r="J7434" s="3">
        <v>1</v>
      </c>
      <c r="K7434" s="3">
        <v>24</v>
      </c>
      <c r="L7434" s="3">
        <v>1</v>
      </c>
      <c r="M7434" s="3">
        <v>0</v>
      </c>
      <c r="N7434" s="3">
        <v>22</v>
      </c>
      <c r="O7434" s="3"/>
      <c r="P7434" s="3"/>
      <c r="Q7434" s="3"/>
    </row>
    <row r="7435" spans="1:17" ht="15" x14ac:dyDescent="0.25">
      <c r="A7435" s="3">
        <f>7428</f>
        <v>7428</v>
      </c>
      <c r="B7435" s="3" t="s">
        <v>7437</v>
      </c>
      <c r="C7435" s="3" t="s">
        <v>10</v>
      </c>
      <c r="D7435" s="3" t="s">
        <v>9</v>
      </c>
      <c r="E7435" s="3">
        <v>24</v>
      </c>
      <c r="F7435" s="3">
        <v>70</v>
      </c>
      <c r="G7435" s="3">
        <v>1</v>
      </c>
      <c r="H7435" s="3">
        <v>5</v>
      </c>
      <c r="I7435" s="3">
        <v>21</v>
      </c>
      <c r="J7435" s="3">
        <v>1</v>
      </c>
      <c r="K7435" s="3">
        <v>24</v>
      </c>
      <c r="L7435" s="3">
        <v>1</v>
      </c>
      <c r="M7435" s="3">
        <v>0</v>
      </c>
      <c r="N7435" s="3">
        <v>22</v>
      </c>
      <c r="O7435" s="3"/>
      <c r="P7435" s="3"/>
      <c r="Q7435" s="3"/>
    </row>
    <row r="7436" spans="1:17" ht="15" x14ac:dyDescent="0.25">
      <c r="A7436" s="3">
        <f>7429</f>
        <v>7429</v>
      </c>
      <c r="B7436" s="3" t="s">
        <v>7438</v>
      </c>
      <c r="C7436" s="3" t="s">
        <v>10</v>
      </c>
      <c r="D7436" s="3" t="s">
        <v>9</v>
      </c>
      <c r="E7436" s="3">
        <v>24</v>
      </c>
      <c r="F7436" s="3">
        <v>70</v>
      </c>
      <c r="G7436" s="3">
        <v>1</v>
      </c>
      <c r="H7436" s="3">
        <v>5</v>
      </c>
      <c r="I7436" s="3">
        <v>21</v>
      </c>
      <c r="J7436" s="3">
        <v>1</v>
      </c>
      <c r="K7436" s="3">
        <v>24</v>
      </c>
      <c r="L7436" s="3">
        <v>1</v>
      </c>
      <c r="M7436" s="3">
        <v>0</v>
      </c>
      <c r="N7436" s="3">
        <v>22</v>
      </c>
      <c r="O7436" s="3"/>
      <c r="P7436" s="3"/>
      <c r="Q7436" s="3"/>
    </row>
    <row r="7437" spans="1:17" ht="15" x14ac:dyDescent="0.25">
      <c r="A7437" s="3">
        <f>7430</f>
        <v>7430</v>
      </c>
      <c r="B7437" s="3" t="s">
        <v>7439</v>
      </c>
      <c r="C7437" s="3" t="s">
        <v>10</v>
      </c>
      <c r="D7437" s="3" t="s">
        <v>9</v>
      </c>
      <c r="E7437" s="3">
        <v>24</v>
      </c>
      <c r="F7437" s="3">
        <v>70</v>
      </c>
      <c r="G7437" s="3">
        <v>1</v>
      </c>
      <c r="H7437" s="3">
        <v>5</v>
      </c>
      <c r="I7437" s="3">
        <v>21</v>
      </c>
      <c r="J7437" s="3">
        <v>1</v>
      </c>
      <c r="K7437" s="3">
        <v>24</v>
      </c>
      <c r="L7437" s="3">
        <v>1</v>
      </c>
      <c r="M7437" s="3">
        <v>0</v>
      </c>
      <c r="N7437" s="3">
        <v>22</v>
      </c>
      <c r="O7437" s="3"/>
      <c r="P7437" s="3"/>
      <c r="Q7437" s="3"/>
    </row>
    <row r="7438" spans="1:17" ht="15" x14ac:dyDescent="0.25">
      <c r="A7438" s="3">
        <f>7431</f>
        <v>7431</v>
      </c>
      <c r="B7438" s="3" t="s">
        <v>7440</v>
      </c>
      <c r="C7438" s="3" t="s">
        <v>10</v>
      </c>
      <c r="D7438" s="3" t="s">
        <v>9</v>
      </c>
      <c r="E7438" s="3">
        <v>24</v>
      </c>
      <c r="F7438" s="3">
        <v>70</v>
      </c>
      <c r="G7438" s="3">
        <v>1</v>
      </c>
      <c r="H7438" s="3">
        <v>5</v>
      </c>
      <c r="I7438" s="3">
        <v>21</v>
      </c>
      <c r="J7438" s="3">
        <v>1</v>
      </c>
      <c r="K7438" s="3">
        <v>24</v>
      </c>
      <c r="L7438" s="3">
        <v>1</v>
      </c>
      <c r="M7438" s="3">
        <v>0</v>
      </c>
      <c r="N7438" s="3">
        <v>22</v>
      </c>
      <c r="O7438" s="3"/>
      <c r="P7438" s="3"/>
      <c r="Q7438" s="3"/>
    </row>
    <row r="7439" spans="1:17" ht="15" x14ac:dyDescent="0.25">
      <c r="A7439" s="3">
        <f>7432</f>
        <v>7432</v>
      </c>
      <c r="B7439" s="3" t="s">
        <v>7441</v>
      </c>
      <c r="C7439" s="3" t="s">
        <v>10</v>
      </c>
      <c r="D7439" s="3" t="s">
        <v>9</v>
      </c>
      <c r="E7439" s="3">
        <v>24</v>
      </c>
      <c r="F7439" s="3">
        <v>70</v>
      </c>
      <c r="G7439" s="3">
        <v>1</v>
      </c>
      <c r="H7439" s="3">
        <v>5</v>
      </c>
      <c r="I7439" s="3">
        <v>21</v>
      </c>
      <c r="J7439" s="3">
        <v>1</v>
      </c>
      <c r="K7439" s="3">
        <v>24</v>
      </c>
      <c r="L7439" s="3">
        <v>1</v>
      </c>
      <c r="M7439" s="3">
        <v>0</v>
      </c>
      <c r="N7439" s="3">
        <v>22</v>
      </c>
      <c r="O7439" s="3"/>
      <c r="P7439" s="3"/>
      <c r="Q7439" s="3"/>
    </row>
    <row r="7440" spans="1:17" ht="15" x14ac:dyDescent="0.25">
      <c r="A7440" s="3">
        <f>7433</f>
        <v>7433</v>
      </c>
      <c r="B7440" s="3" t="s">
        <v>7442</v>
      </c>
      <c r="C7440" s="3" t="s">
        <v>10</v>
      </c>
      <c r="D7440" s="3" t="s">
        <v>9</v>
      </c>
      <c r="E7440" s="3">
        <v>24</v>
      </c>
      <c r="F7440" s="3">
        <v>70</v>
      </c>
      <c r="G7440" s="3">
        <v>1</v>
      </c>
      <c r="H7440" s="3">
        <v>5</v>
      </c>
      <c r="I7440" s="3">
        <v>21</v>
      </c>
      <c r="J7440" s="3">
        <v>1</v>
      </c>
      <c r="K7440" s="3">
        <v>24</v>
      </c>
      <c r="L7440" s="3">
        <v>1</v>
      </c>
      <c r="M7440" s="3">
        <v>0</v>
      </c>
      <c r="N7440" s="3">
        <v>22</v>
      </c>
      <c r="O7440" s="3"/>
      <c r="P7440" s="3"/>
      <c r="Q7440" s="3"/>
    </row>
    <row r="7441" spans="1:17" ht="15" x14ac:dyDescent="0.25">
      <c r="A7441" s="3">
        <f>7434</f>
        <v>7434</v>
      </c>
      <c r="B7441" s="3" t="s">
        <v>7443</v>
      </c>
      <c r="C7441" s="3" t="s">
        <v>10</v>
      </c>
      <c r="D7441" s="3" t="s">
        <v>9</v>
      </c>
      <c r="E7441" s="3">
        <v>24</v>
      </c>
      <c r="F7441" s="3">
        <v>70</v>
      </c>
      <c r="G7441" s="3">
        <v>1</v>
      </c>
      <c r="H7441" s="3">
        <v>5</v>
      </c>
      <c r="I7441" s="3">
        <v>21</v>
      </c>
      <c r="J7441" s="3">
        <v>1</v>
      </c>
      <c r="K7441" s="3">
        <v>24</v>
      </c>
      <c r="L7441" s="3">
        <v>1</v>
      </c>
      <c r="M7441" s="3">
        <v>0</v>
      </c>
      <c r="N7441" s="3">
        <v>22</v>
      </c>
      <c r="O7441" s="3"/>
      <c r="P7441" s="3"/>
      <c r="Q7441" s="3"/>
    </row>
    <row r="7442" spans="1:17" ht="15" x14ac:dyDescent="0.25">
      <c r="A7442" s="3">
        <f>7435</f>
        <v>7435</v>
      </c>
      <c r="B7442" s="3" t="s">
        <v>7444</v>
      </c>
      <c r="C7442" s="3" t="s">
        <v>10</v>
      </c>
      <c r="D7442" s="3" t="s">
        <v>9</v>
      </c>
      <c r="E7442" s="3">
        <v>24</v>
      </c>
      <c r="F7442" s="3">
        <v>70</v>
      </c>
      <c r="G7442" s="3">
        <v>1</v>
      </c>
      <c r="H7442" s="3">
        <v>5</v>
      </c>
      <c r="I7442" s="3">
        <v>21</v>
      </c>
      <c r="J7442" s="3">
        <v>1</v>
      </c>
      <c r="K7442" s="3">
        <v>24</v>
      </c>
      <c r="L7442" s="3">
        <v>1</v>
      </c>
      <c r="M7442" s="3">
        <v>0</v>
      </c>
      <c r="N7442" s="3">
        <v>22</v>
      </c>
      <c r="O7442" s="3"/>
      <c r="P7442" s="3"/>
      <c r="Q7442" s="3"/>
    </row>
    <row r="7443" spans="1:17" ht="15" x14ac:dyDescent="0.25">
      <c r="A7443" s="3">
        <f>7436</f>
        <v>7436</v>
      </c>
      <c r="B7443" s="3" t="s">
        <v>7445</v>
      </c>
      <c r="C7443" s="3" t="s">
        <v>10</v>
      </c>
      <c r="D7443" s="3" t="s">
        <v>9</v>
      </c>
      <c r="E7443" s="3">
        <v>24</v>
      </c>
      <c r="F7443" s="3">
        <v>70</v>
      </c>
      <c r="G7443" s="3">
        <v>1</v>
      </c>
      <c r="H7443" s="3">
        <v>5</v>
      </c>
      <c r="I7443" s="3">
        <v>21</v>
      </c>
      <c r="J7443" s="3">
        <v>1</v>
      </c>
      <c r="K7443" s="3">
        <v>24</v>
      </c>
      <c r="L7443" s="3">
        <v>1</v>
      </c>
      <c r="M7443" s="3">
        <v>0</v>
      </c>
      <c r="N7443" s="3">
        <v>22</v>
      </c>
      <c r="O7443" s="3"/>
      <c r="P7443" s="3"/>
      <c r="Q7443" s="3"/>
    </row>
    <row r="7444" spans="1:17" ht="15" x14ac:dyDescent="0.25">
      <c r="A7444" s="3">
        <f>7437</f>
        <v>7437</v>
      </c>
      <c r="B7444" s="3" t="s">
        <v>7446</v>
      </c>
      <c r="C7444" s="3" t="s">
        <v>10</v>
      </c>
      <c r="D7444" s="3" t="s">
        <v>9</v>
      </c>
      <c r="E7444" s="3">
        <v>24</v>
      </c>
      <c r="F7444" s="3">
        <v>70</v>
      </c>
      <c r="G7444" s="3">
        <v>1</v>
      </c>
      <c r="H7444" s="3">
        <v>5</v>
      </c>
      <c r="I7444" s="3">
        <v>21</v>
      </c>
      <c r="J7444" s="3">
        <v>1</v>
      </c>
      <c r="K7444" s="3">
        <v>24</v>
      </c>
      <c r="L7444" s="3">
        <v>1</v>
      </c>
      <c r="M7444" s="3">
        <v>0</v>
      </c>
      <c r="N7444" s="3">
        <v>22</v>
      </c>
      <c r="O7444" s="3"/>
      <c r="P7444" s="3"/>
      <c r="Q7444" s="3"/>
    </row>
    <row r="7445" spans="1:17" ht="15" x14ac:dyDescent="0.25">
      <c r="A7445" s="3">
        <f>7438</f>
        <v>7438</v>
      </c>
      <c r="B7445" s="3" t="s">
        <v>7447</v>
      </c>
      <c r="C7445" s="3" t="s">
        <v>10</v>
      </c>
      <c r="D7445" s="3" t="s">
        <v>9</v>
      </c>
      <c r="E7445" s="3">
        <v>24</v>
      </c>
      <c r="F7445" s="3">
        <v>70</v>
      </c>
      <c r="G7445" s="3">
        <v>1</v>
      </c>
      <c r="H7445" s="3">
        <v>5</v>
      </c>
      <c r="I7445" s="3">
        <v>21</v>
      </c>
      <c r="J7445" s="3">
        <v>1</v>
      </c>
      <c r="K7445" s="3">
        <v>24</v>
      </c>
      <c r="L7445" s="3">
        <v>1</v>
      </c>
      <c r="M7445" s="3">
        <v>0</v>
      </c>
      <c r="N7445" s="3">
        <v>22</v>
      </c>
      <c r="O7445" s="3"/>
      <c r="P7445" s="3"/>
      <c r="Q7445" s="3"/>
    </row>
    <row r="7446" spans="1:17" ht="15" x14ac:dyDescent="0.25">
      <c r="A7446" s="3">
        <f>7439</f>
        <v>7439</v>
      </c>
      <c r="B7446" s="3" t="s">
        <v>7448</v>
      </c>
      <c r="C7446" s="3" t="s">
        <v>10</v>
      </c>
      <c r="D7446" s="3" t="s">
        <v>9</v>
      </c>
      <c r="E7446" s="3">
        <v>24</v>
      </c>
      <c r="F7446" s="3">
        <v>70</v>
      </c>
      <c r="G7446" s="3">
        <v>1</v>
      </c>
      <c r="H7446" s="3">
        <v>5</v>
      </c>
      <c r="I7446" s="3">
        <v>21</v>
      </c>
      <c r="J7446" s="3">
        <v>1</v>
      </c>
      <c r="K7446" s="3">
        <v>24</v>
      </c>
      <c r="L7446" s="3">
        <v>1</v>
      </c>
      <c r="M7446" s="3">
        <v>0</v>
      </c>
      <c r="N7446" s="3">
        <v>22</v>
      </c>
      <c r="O7446" s="3"/>
      <c r="P7446" s="3"/>
      <c r="Q7446" s="3"/>
    </row>
    <row r="7447" spans="1:17" ht="15" x14ac:dyDescent="0.25">
      <c r="A7447" s="3">
        <f>7440</f>
        <v>7440</v>
      </c>
      <c r="B7447" s="3" t="s">
        <v>7449</v>
      </c>
      <c r="C7447" s="3" t="s">
        <v>10</v>
      </c>
      <c r="D7447" s="3" t="s">
        <v>9</v>
      </c>
      <c r="E7447" s="3">
        <v>24</v>
      </c>
      <c r="F7447" s="3">
        <v>70</v>
      </c>
      <c r="G7447" s="3">
        <v>1</v>
      </c>
      <c r="H7447" s="3">
        <v>5</v>
      </c>
      <c r="I7447" s="3">
        <v>21</v>
      </c>
      <c r="J7447" s="3">
        <v>1</v>
      </c>
      <c r="K7447" s="3">
        <v>24</v>
      </c>
      <c r="L7447" s="3">
        <v>1</v>
      </c>
      <c r="M7447" s="3">
        <v>0</v>
      </c>
      <c r="N7447" s="3">
        <v>22</v>
      </c>
      <c r="O7447" s="3"/>
      <c r="P7447" s="3"/>
      <c r="Q7447" s="3"/>
    </row>
    <row r="7448" spans="1:17" ht="15" x14ac:dyDescent="0.25">
      <c r="A7448" s="3">
        <f>7441</f>
        <v>7441</v>
      </c>
      <c r="B7448" s="3" t="s">
        <v>7450</v>
      </c>
      <c r="C7448" s="3" t="s">
        <v>10</v>
      </c>
      <c r="D7448" s="3" t="s">
        <v>9</v>
      </c>
      <c r="E7448" s="3">
        <v>24</v>
      </c>
      <c r="F7448" s="3">
        <v>70</v>
      </c>
      <c r="G7448" s="3">
        <v>1</v>
      </c>
      <c r="H7448" s="3">
        <v>5</v>
      </c>
      <c r="I7448" s="3">
        <v>21</v>
      </c>
      <c r="J7448" s="3">
        <v>1</v>
      </c>
      <c r="K7448" s="3">
        <v>24</v>
      </c>
      <c r="L7448" s="3">
        <v>1</v>
      </c>
      <c r="M7448" s="3">
        <v>0</v>
      </c>
      <c r="N7448" s="3">
        <v>22</v>
      </c>
      <c r="O7448" s="3"/>
      <c r="P7448" s="3"/>
      <c r="Q7448" s="3"/>
    </row>
    <row r="7449" spans="1:17" ht="15" x14ac:dyDescent="0.25">
      <c r="A7449" s="3">
        <f>7442</f>
        <v>7442</v>
      </c>
      <c r="B7449" s="3" t="s">
        <v>7451</v>
      </c>
      <c r="C7449" s="3" t="s">
        <v>10</v>
      </c>
      <c r="D7449" s="3" t="s">
        <v>9</v>
      </c>
      <c r="E7449" s="3">
        <v>24</v>
      </c>
      <c r="F7449" s="3">
        <v>70</v>
      </c>
      <c r="G7449" s="3">
        <v>1</v>
      </c>
      <c r="H7449" s="3">
        <v>5</v>
      </c>
      <c r="I7449" s="3">
        <v>21</v>
      </c>
      <c r="J7449" s="3">
        <v>1</v>
      </c>
      <c r="K7449" s="3">
        <v>24</v>
      </c>
      <c r="L7449" s="3">
        <v>1</v>
      </c>
      <c r="M7449" s="3">
        <v>0</v>
      </c>
      <c r="N7449" s="3">
        <v>22</v>
      </c>
      <c r="O7449" s="3"/>
      <c r="P7449" s="3"/>
      <c r="Q7449" s="3"/>
    </row>
    <row r="7450" spans="1:17" ht="15" x14ac:dyDescent="0.25">
      <c r="A7450" s="3">
        <f>7443</f>
        <v>7443</v>
      </c>
      <c r="B7450" s="3" t="s">
        <v>7452</v>
      </c>
      <c r="C7450" s="3" t="s">
        <v>10</v>
      </c>
      <c r="D7450" s="3" t="s">
        <v>9</v>
      </c>
      <c r="E7450" s="3">
        <v>24</v>
      </c>
      <c r="F7450" s="3">
        <v>70</v>
      </c>
      <c r="G7450" s="3">
        <v>1</v>
      </c>
      <c r="H7450" s="3">
        <v>5</v>
      </c>
      <c r="I7450" s="3">
        <v>21</v>
      </c>
      <c r="J7450" s="3">
        <v>1</v>
      </c>
      <c r="K7450" s="3">
        <v>24</v>
      </c>
      <c r="L7450" s="3">
        <v>1</v>
      </c>
      <c r="M7450" s="3">
        <v>0</v>
      </c>
      <c r="N7450" s="3">
        <v>22</v>
      </c>
      <c r="O7450" s="3"/>
      <c r="P7450" s="3"/>
      <c r="Q7450" s="3"/>
    </row>
    <row r="7451" spans="1:17" ht="15" x14ac:dyDescent="0.25">
      <c r="A7451" s="3">
        <f>7444</f>
        <v>7444</v>
      </c>
      <c r="B7451" s="3" t="s">
        <v>7453</v>
      </c>
      <c r="C7451" s="3" t="s">
        <v>10</v>
      </c>
      <c r="D7451" s="3" t="s">
        <v>9</v>
      </c>
      <c r="E7451" s="3">
        <v>24</v>
      </c>
      <c r="F7451" s="3">
        <v>70</v>
      </c>
      <c r="G7451" s="3">
        <v>1</v>
      </c>
      <c r="H7451" s="3">
        <v>5</v>
      </c>
      <c r="I7451" s="3">
        <v>21</v>
      </c>
      <c r="J7451" s="3">
        <v>1</v>
      </c>
      <c r="K7451" s="3">
        <v>24</v>
      </c>
      <c r="L7451" s="3">
        <v>1</v>
      </c>
      <c r="M7451" s="3">
        <v>0</v>
      </c>
      <c r="N7451" s="3">
        <v>22</v>
      </c>
      <c r="O7451" s="3"/>
      <c r="P7451" s="3"/>
      <c r="Q7451" s="3"/>
    </row>
    <row r="7452" spans="1:17" ht="15" x14ac:dyDescent="0.25">
      <c r="A7452" s="3">
        <f>7445</f>
        <v>7445</v>
      </c>
      <c r="B7452" s="3" t="s">
        <v>7454</v>
      </c>
      <c r="C7452" s="3" t="s">
        <v>10</v>
      </c>
      <c r="D7452" s="3" t="s">
        <v>9</v>
      </c>
      <c r="E7452" s="3">
        <v>24</v>
      </c>
      <c r="F7452" s="3">
        <v>70</v>
      </c>
      <c r="G7452" s="3">
        <v>1</v>
      </c>
      <c r="H7452" s="3">
        <v>5</v>
      </c>
      <c r="I7452" s="3">
        <v>21</v>
      </c>
      <c r="J7452" s="3">
        <v>1</v>
      </c>
      <c r="K7452" s="3">
        <v>24</v>
      </c>
      <c r="L7452" s="3">
        <v>1</v>
      </c>
      <c r="M7452" s="3">
        <v>0</v>
      </c>
      <c r="N7452" s="3">
        <v>22</v>
      </c>
      <c r="O7452" s="3"/>
      <c r="P7452" s="3"/>
      <c r="Q7452" s="3"/>
    </row>
    <row r="7453" spans="1:17" ht="15" x14ac:dyDescent="0.25">
      <c r="A7453" s="3">
        <f>7446</f>
        <v>7446</v>
      </c>
      <c r="B7453" s="3" t="s">
        <v>7455</v>
      </c>
      <c r="C7453" s="3" t="s">
        <v>10</v>
      </c>
      <c r="D7453" s="3" t="s">
        <v>9</v>
      </c>
      <c r="E7453" s="3">
        <v>24</v>
      </c>
      <c r="F7453" s="3">
        <v>70</v>
      </c>
      <c r="G7453" s="3">
        <v>1</v>
      </c>
      <c r="H7453" s="3">
        <v>5</v>
      </c>
      <c r="I7453" s="3">
        <v>21</v>
      </c>
      <c r="J7453" s="3">
        <v>1</v>
      </c>
      <c r="K7453" s="3">
        <v>24</v>
      </c>
      <c r="L7453" s="3">
        <v>1</v>
      </c>
      <c r="M7453" s="3">
        <v>0</v>
      </c>
      <c r="N7453" s="3">
        <v>22</v>
      </c>
      <c r="O7453" s="3"/>
      <c r="P7453" s="3"/>
      <c r="Q7453" s="3"/>
    </row>
    <row r="7454" spans="1:17" ht="15" x14ac:dyDescent="0.25">
      <c r="A7454" s="3">
        <f>7447</f>
        <v>7447</v>
      </c>
      <c r="B7454" s="3" t="s">
        <v>7456</v>
      </c>
      <c r="C7454" s="3" t="s">
        <v>10</v>
      </c>
      <c r="D7454" s="3" t="s">
        <v>9</v>
      </c>
      <c r="E7454" s="3">
        <v>24</v>
      </c>
      <c r="F7454" s="3">
        <v>70</v>
      </c>
      <c r="G7454" s="3">
        <v>1</v>
      </c>
      <c r="H7454" s="3">
        <v>5</v>
      </c>
      <c r="I7454" s="3">
        <v>21</v>
      </c>
      <c r="J7454" s="3">
        <v>1</v>
      </c>
      <c r="K7454" s="3">
        <v>24</v>
      </c>
      <c r="L7454" s="3">
        <v>1</v>
      </c>
      <c r="M7454" s="3">
        <v>0</v>
      </c>
      <c r="N7454" s="3">
        <v>22</v>
      </c>
      <c r="O7454" s="3"/>
      <c r="P7454" s="3"/>
      <c r="Q7454" s="3"/>
    </row>
    <row r="7455" spans="1:17" ht="15" x14ac:dyDescent="0.25">
      <c r="A7455" s="3">
        <f>7448</f>
        <v>7448</v>
      </c>
      <c r="B7455" s="3" t="s">
        <v>7457</v>
      </c>
      <c r="C7455" s="3" t="s">
        <v>10</v>
      </c>
      <c r="D7455" s="3" t="s">
        <v>9</v>
      </c>
      <c r="E7455" s="3">
        <v>24</v>
      </c>
      <c r="F7455" s="3">
        <v>70</v>
      </c>
      <c r="G7455" s="3">
        <v>1</v>
      </c>
      <c r="H7455" s="3">
        <v>5</v>
      </c>
      <c r="I7455" s="3">
        <v>21</v>
      </c>
      <c r="J7455" s="3">
        <v>1</v>
      </c>
      <c r="K7455" s="3">
        <v>24</v>
      </c>
      <c r="L7455" s="3">
        <v>1</v>
      </c>
      <c r="M7455" s="3">
        <v>0</v>
      </c>
      <c r="N7455" s="3">
        <v>22</v>
      </c>
      <c r="O7455" s="3"/>
      <c r="P7455" s="3"/>
      <c r="Q7455" s="3"/>
    </row>
    <row r="7456" spans="1:17" ht="15" x14ac:dyDescent="0.25">
      <c r="A7456" s="3">
        <f>7449</f>
        <v>7449</v>
      </c>
      <c r="B7456" s="3" t="s">
        <v>7458</v>
      </c>
      <c r="C7456" s="3" t="s">
        <v>10</v>
      </c>
      <c r="D7456" s="3" t="s">
        <v>9</v>
      </c>
      <c r="E7456" s="3">
        <v>24</v>
      </c>
      <c r="F7456" s="3">
        <v>70</v>
      </c>
      <c r="G7456" s="3">
        <v>1</v>
      </c>
      <c r="H7456" s="3">
        <v>5</v>
      </c>
      <c r="I7456" s="3">
        <v>21</v>
      </c>
      <c r="J7456" s="3">
        <v>1</v>
      </c>
      <c r="K7456" s="3">
        <v>24</v>
      </c>
      <c r="L7456" s="3">
        <v>1</v>
      </c>
      <c r="M7456" s="3">
        <v>0</v>
      </c>
      <c r="N7456" s="3">
        <v>22</v>
      </c>
      <c r="O7456" s="3"/>
      <c r="P7456" s="3"/>
      <c r="Q7456" s="3"/>
    </row>
    <row r="7457" spans="1:17" ht="15" x14ac:dyDescent="0.25">
      <c r="A7457" s="3">
        <f>7450</f>
        <v>7450</v>
      </c>
      <c r="B7457" s="3" t="s">
        <v>7459</v>
      </c>
      <c r="C7457" s="3" t="s">
        <v>10</v>
      </c>
      <c r="D7457" s="3" t="s">
        <v>9</v>
      </c>
      <c r="E7457" s="3">
        <v>24</v>
      </c>
      <c r="F7457" s="3">
        <v>70</v>
      </c>
      <c r="G7457" s="3">
        <v>1</v>
      </c>
      <c r="H7457" s="3">
        <v>5</v>
      </c>
      <c r="I7457" s="3">
        <v>21</v>
      </c>
      <c r="J7457" s="3">
        <v>1</v>
      </c>
      <c r="K7457" s="3">
        <v>24</v>
      </c>
      <c r="L7457" s="3">
        <v>1</v>
      </c>
      <c r="M7457" s="3">
        <v>0</v>
      </c>
      <c r="N7457" s="3">
        <v>22</v>
      </c>
      <c r="O7457" s="3"/>
      <c r="P7457" s="3"/>
      <c r="Q7457" s="3"/>
    </row>
    <row r="7458" spans="1:17" ht="15" x14ac:dyDescent="0.25">
      <c r="A7458" s="3">
        <f>7451</f>
        <v>7451</v>
      </c>
      <c r="B7458" s="3" t="s">
        <v>7460</v>
      </c>
      <c r="C7458" s="3" t="s">
        <v>10</v>
      </c>
      <c r="D7458" s="3" t="s">
        <v>9</v>
      </c>
      <c r="E7458" s="3">
        <v>24</v>
      </c>
      <c r="F7458" s="3">
        <v>70</v>
      </c>
      <c r="G7458" s="3">
        <v>1</v>
      </c>
      <c r="H7458" s="3">
        <v>5</v>
      </c>
      <c r="I7458" s="3">
        <v>21</v>
      </c>
      <c r="J7458" s="3">
        <v>1</v>
      </c>
      <c r="K7458" s="3">
        <v>24</v>
      </c>
      <c r="L7458" s="3">
        <v>1</v>
      </c>
      <c r="M7458" s="3">
        <v>0</v>
      </c>
      <c r="N7458" s="3">
        <v>22</v>
      </c>
      <c r="O7458" s="3"/>
      <c r="P7458" s="3"/>
      <c r="Q7458" s="3"/>
    </row>
    <row r="7459" spans="1:17" ht="15" x14ac:dyDescent="0.25">
      <c r="A7459" s="3">
        <f>7452</f>
        <v>7452</v>
      </c>
      <c r="B7459" s="3" t="s">
        <v>7461</v>
      </c>
      <c r="C7459" s="3" t="s">
        <v>10</v>
      </c>
      <c r="D7459" s="3" t="s">
        <v>9</v>
      </c>
      <c r="E7459" s="3">
        <v>24</v>
      </c>
      <c r="F7459" s="3">
        <v>70</v>
      </c>
      <c r="G7459" s="3">
        <v>1</v>
      </c>
      <c r="H7459" s="3">
        <v>5</v>
      </c>
      <c r="I7459" s="3">
        <v>21</v>
      </c>
      <c r="J7459" s="3">
        <v>1</v>
      </c>
      <c r="K7459" s="3">
        <v>24</v>
      </c>
      <c r="L7459" s="3">
        <v>1</v>
      </c>
      <c r="M7459" s="3">
        <v>0</v>
      </c>
      <c r="N7459" s="3">
        <v>22</v>
      </c>
      <c r="O7459" s="3"/>
      <c r="P7459" s="3"/>
      <c r="Q7459" s="3"/>
    </row>
    <row r="7460" spans="1:17" ht="15" x14ac:dyDescent="0.25">
      <c r="A7460" s="3">
        <f>7453</f>
        <v>7453</v>
      </c>
      <c r="B7460" s="3" t="s">
        <v>7462</v>
      </c>
      <c r="C7460" s="3" t="s">
        <v>10</v>
      </c>
      <c r="D7460" s="3" t="s">
        <v>9</v>
      </c>
      <c r="E7460" s="3">
        <v>24</v>
      </c>
      <c r="F7460" s="3">
        <v>70</v>
      </c>
      <c r="G7460" s="3">
        <v>1</v>
      </c>
      <c r="H7460" s="3">
        <v>5</v>
      </c>
      <c r="I7460" s="3">
        <v>21</v>
      </c>
      <c r="J7460" s="3">
        <v>1</v>
      </c>
      <c r="K7460" s="3">
        <v>24</v>
      </c>
      <c r="L7460" s="3">
        <v>1</v>
      </c>
      <c r="M7460" s="3">
        <v>0</v>
      </c>
      <c r="N7460" s="3">
        <v>22</v>
      </c>
      <c r="O7460" s="3"/>
      <c r="P7460" s="3"/>
      <c r="Q7460" s="3"/>
    </row>
    <row r="7461" spans="1:17" ht="15" x14ac:dyDescent="0.25">
      <c r="A7461" s="3">
        <f>7454</f>
        <v>7454</v>
      </c>
      <c r="B7461" s="3" t="s">
        <v>7463</v>
      </c>
      <c r="C7461" s="3" t="s">
        <v>10</v>
      </c>
      <c r="D7461" s="3" t="s">
        <v>9</v>
      </c>
      <c r="E7461" s="3">
        <v>24</v>
      </c>
      <c r="F7461" s="3">
        <v>70</v>
      </c>
      <c r="G7461" s="3">
        <v>1</v>
      </c>
      <c r="H7461" s="3">
        <v>5</v>
      </c>
      <c r="I7461" s="3">
        <v>21</v>
      </c>
      <c r="J7461" s="3">
        <v>1</v>
      </c>
      <c r="K7461" s="3">
        <v>24</v>
      </c>
      <c r="L7461" s="3">
        <v>1</v>
      </c>
      <c r="M7461" s="3">
        <v>0</v>
      </c>
      <c r="N7461" s="3">
        <v>22</v>
      </c>
      <c r="O7461" s="3"/>
      <c r="P7461" s="3"/>
      <c r="Q7461" s="3"/>
    </row>
    <row r="7462" spans="1:17" ht="15" x14ac:dyDescent="0.25">
      <c r="A7462" s="3">
        <f>7455</f>
        <v>7455</v>
      </c>
      <c r="B7462" s="3" t="s">
        <v>7464</v>
      </c>
      <c r="C7462" s="3" t="s">
        <v>10</v>
      </c>
      <c r="D7462" s="3" t="s">
        <v>9</v>
      </c>
      <c r="E7462" s="3">
        <v>24</v>
      </c>
      <c r="F7462" s="3">
        <v>70</v>
      </c>
      <c r="G7462" s="3">
        <v>1</v>
      </c>
      <c r="H7462" s="3">
        <v>5</v>
      </c>
      <c r="I7462" s="3">
        <v>21</v>
      </c>
      <c r="J7462" s="3">
        <v>1</v>
      </c>
      <c r="K7462" s="3">
        <v>24</v>
      </c>
      <c r="L7462" s="3">
        <v>1</v>
      </c>
      <c r="M7462" s="3">
        <v>0</v>
      </c>
      <c r="N7462" s="3">
        <v>22</v>
      </c>
      <c r="O7462" s="3"/>
      <c r="P7462" s="3"/>
      <c r="Q7462" s="3"/>
    </row>
    <row r="7463" spans="1:17" ht="15" x14ac:dyDescent="0.25">
      <c r="A7463" s="3">
        <f>7456</f>
        <v>7456</v>
      </c>
      <c r="B7463" s="3" t="s">
        <v>7465</v>
      </c>
      <c r="C7463" s="3" t="s">
        <v>10</v>
      </c>
      <c r="D7463" s="3" t="s">
        <v>9</v>
      </c>
      <c r="E7463" s="3">
        <v>24</v>
      </c>
      <c r="F7463" s="3">
        <v>70</v>
      </c>
      <c r="G7463" s="3">
        <v>1</v>
      </c>
      <c r="H7463" s="3">
        <v>5</v>
      </c>
      <c r="I7463" s="3">
        <v>21</v>
      </c>
      <c r="J7463" s="3">
        <v>1</v>
      </c>
      <c r="K7463" s="3">
        <v>24</v>
      </c>
      <c r="L7463" s="3">
        <v>1</v>
      </c>
      <c r="M7463" s="3">
        <v>0</v>
      </c>
      <c r="N7463" s="3">
        <v>22</v>
      </c>
      <c r="O7463" s="3"/>
      <c r="P7463" s="3"/>
      <c r="Q7463" s="3"/>
    </row>
    <row r="7464" spans="1:17" ht="15" x14ac:dyDescent="0.25">
      <c r="A7464" s="3">
        <f>7457</f>
        <v>7457</v>
      </c>
      <c r="B7464" s="3" t="s">
        <v>7466</v>
      </c>
      <c r="C7464" s="3" t="s">
        <v>10</v>
      </c>
      <c r="D7464" s="3" t="s">
        <v>9</v>
      </c>
      <c r="E7464" s="3">
        <v>24</v>
      </c>
      <c r="F7464" s="3">
        <v>70</v>
      </c>
      <c r="G7464" s="3">
        <v>1</v>
      </c>
      <c r="H7464" s="3">
        <v>5</v>
      </c>
      <c r="I7464" s="3">
        <v>21</v>
      </c>
      <c r="J7464" s="3">
        <v>1</v>
      </c>
      <c r="K7464" s="3">
        <v>24</v>
      </c>
      <c r="L7464" s="3">
        <v>1</v>
      </c>
      <c r="M7464" s="3">
        <v>0</v>
      </c>
      <c r="N7464" s="3">
        <v>22</v>
      </c>
      <c r="O7464" s="3"/>
      <c r="P7464" s="3"/>
      <c r="Q7464" s="3"/>
    </row>
    <row r="7465" spans="1:17" ht="15" x14ac:dyDescent="0.25">
      <c r="A7465" s="3">
        <f>7458</f>
        <v>7458</v>
      </c>
      <c r="B7465" s="3" t="s">
        <v>7467</v>
      </c>
      <c r="C7465" s="3" t="s">
        <v>10</v>
      </c>
      <c r="D7465" s="3" t="s">
        <v>9</v>
      </c>
      <c r="E7465" s="3">
        <v>24</v>
      </c>
      <c r="F7465" s="3">
        <v>70</v>
      </c>
      <c r="G7465" s="3">
        <v>1</v>
      </c>
      <c r="H7465" s="3">
        <v>5</v>
      </c>
      <c r="I7465" s="3">
        <v>21</v>
      </c>
      <c r="J7465" s="3">
        <v>1</v>
      </c>
      <c r="K7465" s="3">
        <v>24</v>
      </c>
      <c r="L7465" s="3">
        <v>1</v>
      </c>
      <c r="M7465" s="3">
        <v>0</v>
      </c>
      <c r="N7465" s="3">
        <v>22</v>
      </c>
      <c r="O7465" s="3"/>
      <c r="P7465" s="3"/>
      <c r="Q7465" s="3"/>
    </row>
    <row r="7466" spans="1:17" ht="15" x14ac:dyDescent="0.25">
      <c r="A7466" s="3">
        <f>7459</f>
        <v>7459</v>
      </c>
      <c r="B7466" s="3" t="s">
        <v>7468</v>
      </c>
      <c r="C7466" s="3" t="s">
        <v>10</v>
      </c>
      <c r="D7466" s="3" t="s">
        <v>9</v>
      </c>
      <c r="E7466" s="3">
        <v>24</v>
      </c>
      <c r="F7466" s="3">
        <v>70</v>
      </c>
      <c r="G7466" s="3">
        <v>1</v>
      </c>
      <c r="H7466" s="3">
        <v>5</v>
      </c>
      <c r="I7466" s="3">
        <v>21</v>
      </c>
      <c r="J7466" s="3">
        <v>1</v>
      </c>
      <c r="K7466" s="3">
        <v>24</v>
      </c>
      <c r="L7466" s="3">
        <v>1</v>
      </c>
      <c r="M7466" s="3">
        <v>0</v>
      </c>
      <c r="N7466" s="3">
        <v>22</v>
      </c>
      <c r="O7466" s="3"/>
      <c r="P7466" s="3"/>
      <c r="Q7466" s="3"/>
    </row>
    <row r="7467" spans="1:17" ht="15" x14ac:dyDescent="0.25">
      <c r="A7467" s="3">
        <f>7460</f>
        <v>7460</v>
      </c>
      <c r="B7467" s="3" t="s">
        <v>7469</v>
      </c>
      <c r="C7467" s="3" t="s">
        <v>10</v>
      </c>
      <c r="D7467" s="3" t="s">
        <v>9</v>
      </c>
      <c r="E7467" s="3">
        <v>24</v>
      </c>
      <c r="F7467" s="3">
        <v>70</v>
      </c>
      <c r="G7467" s="3">
        <v>1</v>
      </c>
      <c r="H7467" s="3">
        <v>5</v>
      </c>
      <c r="I7467" s="3">
        <v>21</v>
      </c>
      <c r="J7467" s="3">
        <v>1</v>
      </c>
      <c r="K7467" s="3">
        <v>24</v>
      </c>
      <c r="L7467" s="3">
        <v>1</v>
      </c>
      <c r="M7467" s="3">
        <v>0</v>
      </c>
      <c r="N7467" s="3">
        <v>22</v>
      </c>
      <c r="O7467" s="3"/>
      <c r="P7467" s="3"/>
      <c r="Q7467" s="3"/>
    </row>
    <row r="7468" spans="1:17" ht="15" x14ac:dyDescent="0.25">
      <c r="A7468" s="3">
        <f>7461</f>
        <v>7461</v>
      </c>
      <c r="B7468" s="3" t="s">
        <v>7470</v>
      </c>
      <c r="C7468" s="3" t="s">
        <v>10</v>
      </c>
      <c r="D7468" s="3" t="s">
        <v>9</v>
      </c>
      <c r="E7468" s="3">
        <v>24</v>
      </c>
      <c r="F7468" s="3">
        <v>70</v>
      </c>
      <c r="G7468" s="3">
        <v>1</v>
      </c>
      <c r="H7468" s="3">
        <v>5</v>
      </c>
      <c r="I7468" s="3">
        <v>21</v>
      </c>
      <c r="J7468" s="3">
        <v>1</v>
      </c>
      <c r="K7468" s="3">
        <v>24</v>
      </c>
      <c r="L7468" s="3">
        <v>1</v>
      </c>
      <c r="M7468" s="3">
        <v>0</v>
      </c>
      <c r="N7468" s="3">
        <v>22</v>
      </c>
      <c r="O7468" s="3"/>
      <c r="P7468" s="3"/>
      <c r="Q7468" s="3"/>
    </row>
    <row r="7469" spans="1:17" ht="15" x14ac:dyDescent="0.25">
      <c r="A7469" s="3">
        <f>7462</f>
        <v>7462</v>
      </c>
      <c r="B7469" s="3" t="s">
        <v>7471</v>
      </c>
      <c r="C7469" s="3" t="s">
        <v>10</v>
      </c>
      <c r="D7469" s="3" t="s">
        <v>9</v>
      </c>
      <c r="E7469" s="3">
        <v>24</v>
      </c>
      <c r="F7469" s="3">
        <v>70</v>
      </c>
      <c r="G7469" s="3">
        <v>1</v>
      </c>
      <c r="H7469" s="3">
        <v>5</v>
      </c>
      <c r="I7469" s="3">
        <v>21</v>
      </c>
      <c r="J7469" s="3">
        <v>1</v>
      </c>
      <c r="K7469" s="3">
        <v>24</v>
      </c>
      <c r="L7469" s="3">
        <v>1</v>
      </c>
      <c r="M7469" s="3">
        <v>0</v>
      </c>
      <c r="N7469" s="3">
        <v>22</v>
      </c>
      <c r="O7469" s="3"/>
      <c r="P7469" s="3"/>
      <c r="Q7469" s="3"/>
    </row>
    <row r="7470" spans="1:17" ht="15" x14ac:dyDescent="0.25">
      <c r="A7470" s="3">
        <f>7463</f>
        <v>7463</v>
      </c>
      <c r="B7470" s="3" t="s">
        <v>7472</v>
      </c>
      <c r="C7470" s="3" t="s">
        <v>10</v>
      </c>
      <c r="D7470" s="3" t="s">
        <v>9</v>
      </c>
      <c r="E7470" s="3">
        <v>24</v>
      </c>
      <c r="F7470" s="3">
        <v>70</v>
      </c>
      <c r="G7470" s="3">
        <v>1</v>
      </c>
      <c r="H7470" s="3">
        <v>5</v>
      </c>
      <c r="I7470" s="3">
        <v>21</v>
      </c>
      <c r="J7470" s="3">
        <v>1</v>
      </c>
      <c r="K7470" s="3">
        <v>24</v>
      </c>
      <c r="L7470" s="3">
        <v>1</v>
      </c>
      <c r="M7470" s="3">
        <v>0</v>
      </c>
      <c r="N7470" s="3">
        <v>22</v>
      </c>
      <c r="O7470" s="3"/>
      <c r="P7470" s="3"/>
      <c r="Q7470" s="3"/>
    </row>
    <row r="7471" spans="1:17" ht="15" x14ac:dyDescent="0.25">
      <c r="A7471" s="3">
        <f>7464</f>
        <v>7464</v>
      </c>
      <c r="B7471" s="3" t="s">
        <v>7473</v>
      </c>
      <c r="C7471" s="3" t="s">
        <v>10</v>
      </c>
      <c r="D7471" s="3" t="s">
        <v>9</v>
      </c>
      <c r="E7471" s="3">
        <v>24</v>
      </c>
      <c r="F7471" s="3">
        <v>70</v>
      </c>
      <c r="G7471" s="3">
        <v>1</v>
      </c>
      <c r="H7471" s="3">
        <v>5</v>
      </c>
      <c r="I7471" s="3">
        <v>21</v>
      </c>
      <c r="J7471" s="3">
        <v>1</v>
      </c>
      <c r="K7471" s="3">
        <v>24</v>
      </c>
      <c r="L7471" s="3">
        <v>1</v>
      </c>
      <c r="M7471" s="3">
        <v>0</v>
      </c>
      <c r="N7471" s="3">
        <v>22</v>
      </c>
      <c r="O7471" s="3"/>
      <c r="P7471" s="3"/>
      <c r="Q7471" s="3"/>
    </row>
    <row r="7472" spans="1:17" ht="15" x14ac:dyDescent="0.25">
      <c r="A7472" s="3">
        <f>7465</f>
        <v>7465</v>
      </c>
      <c r="B7472" s="3" t="s">
        <v>7474</v>
      </c>
      <c r="C7472" s="3" t="s">
        <v>10</v>
      </c>
      <c r="D7472" s="3" t="s">
        <v>9</v>
      </c>
      <c r="E7472" s="3">
        <v>24</v>
      </c>
      <c r="F7472" s="3">
        <v>70</v>
      </c>
      <c r="G7472" s="3">
        <v>1</v>
      </c>
      <c r="H7472" s="3">
        <v>5</v>
      </c>
      <c r="I7472" s="3">
        <v>21</v>
      </c>
      <c r="J7472" s="3">
        <v>1</v>
      </c>
      <c r="K7472" s="3">
        <v>24</v>
      </c>
      <c r="L7472" s="3">
        <v>1</v>
      </c>
      <c r="M7472" s="3">
        <v>0</v>
      </c>
      <c r="N7472" s="3">
        <v>22</v>
      </c>
      <c r="O7472" s="3"/>
      <c r="P7472" s="3"/>
      <c r="Q7472" s="3"/>
    </row>
    <row r="7473" spans="1:17" ht="15" x14ac:dyDescent="0.25">
      <c r="A7473" s="3">
        <f>7466</f>
        <v>7466</v>
      </c>
      <c r="B7473" s="3" t="s">
        <v>7475</v>
      </c>
      <c r="C7473" s="3" t="s">
        <v>10</v>
      </c>
      <c r="D7473" s="3" t="s">
        <v>9</v>
      </c>
      <c r="E7473" s="3">
        <v>24</v>
      </c>
      <c r="F7473" s="3">
        <v>70</v>
      </c>
      <c r="G7473" s="3">
        <v>1</v>
      </c>
      <c r="H7473" s="3">
        <v>5</v>
      </c>
      <c r="I7473" s="3">
        <v>21</v>
      </c>
      <c r="J7473" s="3">
        <v>1</v>
      </c>
      <c r="K7473" s="3">
        <v>24</v>
      </c>
      <c r="L7473" s="3">
        <v>1</v>
      </c>
      <c r="M7473" s="3">
        <v>0</v>
      </c>
      <c r="N7473" s="3">
        <v>22</v>
      </c>
      <c r="O7473" s="3"/>
      <c r="P7473" s="3"/>
      <c r="Q7473" s="3"/>
    </row>
    <row r="7474" spans="1:17" ht="15" x14ac:dyDescent="0.25">
      <c r="A7474" s="3">
        <f>7467</f>
        <v>7467</v>
      </c>
      <c r="B7474" s="3" t="s">
        <v>7476</v>
      </c>
      <c r="C7474" s="3" t="s">
        <v>10</v>
      </c>
      <c r="D7474" s="3" t="s">
        <v>9</v>
      </c>
      <c r="E7474" s="3">
        <v>24</v>
      </c>
      <c r="F7474" s="3">
        <v>70</v>
      </c>
      <c r="G7474" s="3">
        <v>1</v>
      </c>
      <c r="H7474" s="3">
        <v>5</v>
      </c>
      <c r="I7474" s="3">
        <v>21</v>
      </c>
      <c r="J7474" s="3">
        <v>1</v>
      </c>
      <c r="K7474" s="3">
        <v>24</v>
      </c>
      <c r="L7474" s="3">
        <v>1</v>
      </c>
      <c r="M7474" s="3">
        <v>0</v>
      </c>
      <c r="N7474" s="3">
        <v>22</v>
      </c>
      <c r="O7474" s="3"/>
      <c r="P7474" s="3"/>
      <c r="Q7474" s="3"/>
    </row>
    <row r="7475" spans="1:17" ht="15" x14ac:dyDescent="0.25">
      <c r="A7475" s="3">
        <f>7468</f>
        <v>7468</v>
      </c>
      <c r="B7475" s="3" t="s">
        <v>7477</v>
      </c>
      <c r="C7475" s="3" t="s">
        <v>10</v>
      </c>
      <c r="D7475" s="3" t="s">
        <v>9</v>
      </c>
      <c r="E7475" s="3">
        <v>24</v>
      </c>
      <c r="F7475" s="3">
        <v>70</v>
      </c>
      <c r="G7475" s="3">
        <v>1</v>
      </c>
      <c r="H7475" s="3">
        <v>5</v>
      </c>
      <c r="I7475" s="3">
        <v>21</v>
      </c>
      <c r="J7475" s="3">
        <v>1</v>
      </c>
      <c r="K7475" s="3">
        <v>24</v>
      </c>
      <c r="L7475" s="3">
        <v>1</v>
      </c>
      <c r="M7475" s="3">
        <v>0</v>
      </c>
      <c r="N7475" s="3">
        <v>22</v>
      </c>
      <c r="O7475" s="3"/>
      <c r="P7475" s="3"/>
      <c r="Q7475" s="3"/>
    </row>
    <row r="7476" spans="1:17" ht="15" x14ac:dyDescent="0.25">
      <c r="A7476" s="3">
        <f>7469</f>
        <v>7469</v>
      </c>
      <c r="B7476" s="3" t="s">
        <v>7478</v>
      </c>
      <c r="C7476" s="3" t="s">
        <v>10</v>
      </c>
      <c r="D7476" s="3" t="s">
        <v>9</v>
      </c>
      <c r="E7476" s="3">
        <v>24</v>
      </c>
      <c r="F7476" s="3">
        <v>70</v>
      </c>
      <c r="G7476" s="3">
        <v>1</v>
      </c>
      <c r="H7476" s="3">
        <v>5</v>
      </c>
      <c r="I7476" s="3">
        <v>21</v>
      </c>
      <c r="J7476" s="3">
        <v>1</v>
      </c>
      <c r="K7476" s="3">
        <v>24</v>
      </c>
      <c r="L7476" s="3">
        <v>1</v>
      </c>
      <c r="M7476" s="3">
        <v>0</v>
      </c>
      <c r="N7476" s="3">
        <v>22</v>
      </c>
      <c r="O7476" s="3"/>
      <c r="P7476" s="3"/>
      <c r="Q7476" s="3"/>
    </row>
    <row r="7477" spans="1:17" ht="15" x14ac:dyDescent="0.25">
      <c r="A7477" s="3">
        <f>7470</f>
        <v>7470</v>
      </c>
      <c r="B7477" s="3" t="s">
        <v>7479</v>
      </c>
      <c r="C7477" s="3" t="s">
        <v>10</v>
      </c>
      <c r="D7477" s="3" t="s">
        <v>9</v>
      </c>
      <c r="E7477" s="3">
        <v>24</v>
      </c>
      <c r="F7477" s="3">
        <v>70</v>
      </c>
      <c r="G7477" s="3">
        <v>1</v>
      </c>
      <c r="H7477" s="3">
        <v>5</v>
      </c>
      <c r="I7477" s="3">
        <v>21</v>
      </c>
      <c r="J7477" s="3">
        <v>1</v>
      </c>
      <c r="K7477" s="3">
        <v>24</v>
      </c>
      <c r="L7477" s="3">
        <v>1</v>
      </c>
      <c r="M7477" s="3">
        <v>0</v>
      </c>
      <c r="N7477" s="3">
        <v>22</v>
      </c>
      <c r="O7477" s="3"/>
      <c r="P7477" s="3"/>
      <c r="Q7477" s="3"/>
    </row>
    <row r="7478" spans="1:17" ht="15" x14ac:dyDescent="0.25">
      <c r="A7478" s="3">
        <f>7471</f>
        <v>7471</v>
      </c>
      <c r="B7478" s="3" t="s">
        <v>7480</v>
      </c>
      <c r="C7478" s="3" t="s">
        <v>10</v>
      </c>
      <c r="D7478" s="3" t="s">
        <v>9</v>
      </c>
      <c r="E7478" s="3">
        <v>24</v>
      </c>
      <c r="F7478" s="3">
        <v>70</v>
      </c>
      <c r="G7478" s="3">
        <v>1</v>
      </c>
      <c r="H7478" s="3">
        <v>5</v>
      </c>
      <c r="I7478" s="3">
        <v>21</v>
      </c>
      <c r="J7478" s="3">
        <v>1</v>
      </c>
      <c r="K7478" s="3">
        <v>24</v>
      </c>
      <c r="L7478" s="3">
        <v>1</v>
      </c>
      <c r="M7478" s="3">
        <v>0</v>
      </c>
      <c r="N7478" s="3">
        <v>22</v>
      </c>
      <c r="O7478" s="3"/>
      <c r="P7478" s="3"/>
      <c r="Q7478" s="3"/>
    </row>
    <row r="7479" spans="1:17" ht="15" x14ac:dyDescent="0.25">
      <c r="A7479" s="3">
        <f>7472</f>
        <v>7472</v>
      </c>
      <c r="B7479" s="3" t="s">
        <v>7481</v>
      </c>
      <c r="C7479" s="3" t="s">
        <v>10</v>
      </c>
      <c r="D7479" s="3" t="s">
        <v>9</v>
      </c>
      <c r="E7479" s="3">
        <v>24</v>
      </c>
      <c r="F7479" s="3">
        <v>70</v>
      </c>
      <c r="G7479" s="3">
        <v>1</v>
      </c>
      <c r="H7479" s="3">
        <v>5</v>
      </c>
      <c r="I7479" s="3">
        <v>21</v>
      </c>
      <c r="J7479" s="3">
        <v>1</v>
      </c>
      <c r="K7479" s="3">
        <v>24</v>
      </c>
      <c r="L7479" s="3">
        <v>1</v>
      </c>
      <c r="M7479" s="3">
        <v>0</v>
      </c>
      <c r="N7479" s="3">
        <v>22</v>
      </c>
      <c r="O7479" s="3"/>
      <c r="P7479" s="3"/>
      <c r="Q7479" s="3"/>
    </row>
    <row r="7480" spans="1:17" ht="15" x14ac:dyDescent="0.25">
      <c r="A7480" s="3">
        <f>7473</f>
        <v>7473</v>
      </c>
      <c r="B7480" s="3" t="s">
        <v>7482</v>
      </c>
      <c r="C7480" s="3" t="s">
        <v>10</v>
      </c>
      <c r="D7480" s="3" t="s">
        <v>9</v>
      </c>
      <c r="E7480" s="3">
        <v>24</v>
      </c>
      <c r="F7480" s="3">
        <v>70</v>
      </c>
      <c r="G7480" s="3">
        <v>1</v>
      </c>
      <c r="H7480" s="3">
        <v>5</v>
      </c>
      <c r="I7480" s="3">
        <v>21</v>
      </c>
      <c r="J7480" s="3">
        <v>1</v>
      </c>
      <c r="K7480" s="3">
        <v>24</v>
      </c>
      <c r="L7480" s="3">
        <v>1</v>
      </c>
      <c r="M7480" s="3">
        <v>0</v>
      </c>
      <c r="N7480" s="3">
        <v>22</v>
      </c>
      <c r="O7480" s="3"/>
      <c r="P7480" s="3"/>
      <c r="Q7480" s="3"/>
    </row>
    <row r="7481" spans="1:17" ht="15" x14ac:dyDescent="0.25">
      <c r="A7481" s="3">
        <f>7474</f>
        <v>7474</v>
      </c>
      <c r="B7481" s="3" t="s">
        <v>7483</v>
      </c>
      <c r="C7481" s="3" t="s">
        <v>10</v>
      </c>
      <c r="D7481" s="3" t="s">
        <v>9</v>
      </c>
      <c r="E7481" s="3">
        <v>24</v>
      </c>
      <c r="F7481" s="3">
        <v>70</v>
      </c>
      <c r="G7481" s="3">
        <v>1</v>
      </c>
      <c r="H7481" s="3">
        <v>5</v>
      </c>
      <c r="I7481" s="3">
        <v>21</v>
      </c>
      <c r="J7481" s="3">
        <v>1</v>
      </c>
      <c r="K7481" s="3">
        <v>24</v>
      </c>
      <c r="L7481" s="3">
        <v>1</v>
      </c>
      <c r="M7481" s="3">
        <v>0</v>
      </c>
      <c r="N7481" s="3">
        <v>22</v>
      </c>
      <c r="O7481" s="3"/>
      <c r="P7481" s="3"/>
      <c r="Q7481" s="3"/>
    </row>
    <row r="7482" spans="1:17" ht="15" x14ac:dyDescent="0.25">
      <c r="A7482" s="3">
        <f>7475</f>
        <v>7475</v>
      </c>
      <c r="B7482" s="3" t="s">
        <v>7484</v>
      </c>
      <c r="C7482" s="3" t="s">
        <v>10</v>
      </c>
      <c r="D7482" s="3" t="s">
        <v>9</v>
      </c>
      <c r="E7482" s="3">
        <v>24</v>
      </c>
      <c r="F7482" s="3">
        <v>70</v>
      </c>
      <c r="G7482" s="3">
        <v>1</v>
      </c>
      <c r="H7482" s="3">
        <v>5</v>
      </c>
      <c r="I7482" s="3">
        <v>21</v>
      </c>
      <c r="J7482" s="3">
        <v>1</v>
      </c>
      <c r="K7482" s="3">
        <v>24</v>
      </c>
      <c r="L7482" s="3">
        <v>1</v>
      </c>
      <c r="M7482" s="3">
        <v>0</v>
      </c>
      <c r="N7482" s="3">
        <v>22</v>
      </c>
      <c r="O7482" s="3"/>
      <c r="P7482" s="3"/>
      <c r="Q7482" s="3"/>
    </row>
    <row r="7483" spans="1:17" ht="15" x14ac:dyDescent="0.25">
      <c r="A7483" s="3">
        <f>7476</f>
        <v>7476</v>
      </c>
      <c r="B7483" s="3" t="s">
        <v>7485</v>
      </c>
      <c r="C7483" s="3" t="s">
        <v>10</v>
      </c>
      <c r="D7483" s="3" t="s">
        <v>9</v>
      </c>
      <c r="E7483" s="3">
        <v>24</v>
      </c>
      <c r="F7483" s="3">
        <v>70</v>
      </c>
      <c r="G7483" s="3">
        <v>1</v>
      </c>
      <c r="H7483" s="3">
        <v>5</v>
      </c>
      <c r="I7483" s="3">
        <v>21</v>
      </c>
      <c r="J7483" s="3">
        <v>1</v>
      </c>
      <c r="K7483" s="3">
        <v>24</v>
      </c>
      <c r="L7483" s="3">
        <v>1</v>
      </c>
      <c r="M7483" s="3">
        <v>0</v>
      </c>
      <c r="N7483" s="3">
        <v>22</v>
      </c>
      <c r="O7483" s="3"/>
      <c r="P7483" s="3"/>
      <c r="Q7483" s="3"/>
    </row>
    <row r="7484" spans="1:17" ht="15" x14ac:dyDescent="0.25">
      <c r="A7484" s="3">
        <f>7477</f>
        <v>7477</v>
      </c>
      <c r="B7484" s="3" t="s">
        <v>7486</v>
      </c>
      <c r="C7484" s="3" t="s">
        <v>10</v>
      </c>
      <c r="D7484" s="3" t="s">
        <v>9</v>
      </c>
      <c r="E7484" s="3">
        <v>24</v>
      </c>
      <c r="F7484" s="3">
        <v>70</v>
      </c>
      <c r="G7484" s="3">
        <v>1</v>
      </c>
      <c r="H7484" s="3">
        <v>5</v>
      </c>
      <c r="I7484" s="3">
        <v>21</v>
      </c>
      <c r="J7484" s="3">
        <v>1</v>
      </c>
      <c r="K7484" s="3">
        <v>24</v>
      </c>
      <c r="L7484" s="3">
        <v>1</v>
      </c>
      <c r="M7484" s="3">
        <v>0</v>
      </c>
      <c r="N7484" s="3">
        <v>22</v>
      </c>
      <c r="O7484" s="3"/>
      <c r="P7484" s="3"/>
      <c r="Q7484" s="3"/>
    </row>
    <row r="7485" spans="1:17" ht="15" x14ac:dyDescent="0.25">
      <c r="A7485" s="3">
        <f>7478</f>
        <v>7478</v>
      </c>
      <c r="B7485" s="3" t="s">
        <v>7487</v>
      </c>
      <c r="C7485" s="3" t="s">
        <v>10</v>
      </c>
      <c r="D7485" s="3" t="s">
        <v>9</v>
      </c>
      <c r="E7485" s="3">
        <v>24</v>
      </c>
      <c r="F7485" s="3">
        <v>70</v>
      </c>
      <c r="G7485" s="3">
        <v>1</v>
      </c>
      <c r="H7485" s="3">
        <v>5</v>
      </c>
      <c r="I7485" s="3">
        <v>21</v>
      </c>
      <c r="J7485" s="3">
        <v>1</v>
      </c>
      <c r="K7485" s="3">
        <v>24</v>
      </c>
      <c r="L7485" s="3">
        <v>1</v>
      </c>
      <c r="M7485" s="3">
        <v>0</v>
      </c>
      <c r="N7485" s="3">
        <v>22</v>
      </c>
      <c r="O7485" s="3"/>
      <c r="P7485" s="3"/>
      <c r="Q7485" s="3"/>
    </row>
    <row r="7486" spans="1:17" ht="15" x14ac:dyDescent="0.25">
      <c r="A7486" s="3">
        <f>7479</f>
        <v>7479</v>
      </c>
      <c r="B7486" s="3" t="s">
        <v>7488</v>
      </c>
      <c r="C7486" s="3" t="s">
        <v>10</v>
      </c>
      <c r="D7486" s="3" t="s">
        <v>9</v>
      </c>
      <c r="E7486" s="3">
        <v>24</v>
      </c>
      <c r="F7486" s="3">
        <v>70</v>
      </c>
      <c r="G7486" s="3">
        <v>1</v>
      </c>
      <c r="H7486" s="3">
        <v>5</v>
      </c>
      <c r="I7486" s="3">
        <v>21</v>
      </c>
      <c r="J7486" s="3">
        <v>1</v>
      </c>
      <c r="K7486" s="3">
        <v>24</v>
      </c>
      <c r="L7486" s="3">
        <v>1</v>
      </c>
      <c r="M7486" s="3">
        <v>0</v>
      </c>
      <c r="N7486" s="3">
        <v>22</v>
      </c>
      <c r="O7486" s="3"/>
      <c r="P7486" s="3"/>
      <c r="Q7486" s="3"/>
    </row>
    <row r="7487" spans="1:17" ht="15" x14ac:dyDescent="0.25">
      <c r="A7487" s="3">
        <f>7480</f>
        <v>7480</v>
      </c>
      <c r="B7487" s="3" t="s">
        <v>7489</v>
      </c>
      <c r="C7487" s="3" t="s">
        <v>10</v>
      </c>
      <c r="D7487" s="3" t="s">
        <v>9</v>
      </c>
      <c r="E7487" s="3">
        <v>24</v>
      </c>
      <c r="F7487" s="3">
        <v>70</v>
      </c>
      <c r="G7487" s="3">
        <v>1</v>
      </c>
      <c r="H7487" s="3">
        <v>5</v>
      </c>
      <c r="I7487" s="3">
        <v>21</v>
      </c>
      <c r="J7487" s="3">
        <v>1</v>
      </c>
      <c r="K7487" s="3">
        <v>24</v>
      </c>
      <c r="L7487" s="3">
        <v>1</v>
      </c>
      <c r="M7487" s="3">
        <v>0</v>
      </c>
      <c r="N7487" s="3">
        <v>22</v>
      </c>
      <c r="O7487" s="3"/>
      <c r="P7487" s="3"/>
      <c r="Q7487" s="3"/>
    </row>
    <row r="7488" spans="1:17" ht="15" x14ac:dyDescent="0.25">
      <c r="A7488" s="3">
        <f>7481</f>
        <v>7481</v>
      </c>
      <c r="B7488" s="3" t="s">
        <v>7490</v>
      </c>
      <c r="C7488" s="3" t="s">
        <v>10</v>
      </c>
      <c r="D7488" s="3" t="s">
        <v>9</v>
      </c>
      <c r="E7488" s="3">
        <v>24</v>
      </c>
      <c r="F7488" s="3">
        <v>70</v>
      </c>
      <c r="G7488" s="3">
        <v>1</v>
      </c>
      <c r="H7488" s="3">
        <v>5</v>
      </c>
      <c r="I7488" s="3">
        <v>21</v>
      </c>
      <c r="J7488" s="3">
        <v>1</v>
      </c>
      <c r="K7488" s="3">
        <v>24</v>
      </c>
      <c r="L7488" s="3">
        <v>1</v>
      </c>
      <c r="M7488" s="3">
        <v>0</v>
      </c>
      <c r="N7488" s="3">
        <v>22</v>
      </c>
      <c r="O7488" s="3"/>
      <c r="P7488" s="3"/>
      <c r="Q7488" s="3"/>
    </row>
    <row r="7489" spans="1:17" ht="15" x14ac:dyDescent="0.25">
      <c r="A7489" s="3">
        <f>7482</f>
        <v>7482</v>
      </c>
      <c r="B7489" s="3" t="s">
        <v>7491</v>
      </c>
      <c r="C7489" s="3" t="s">
        <v>10</v>
      </c>
      <c r="D7489" s="3" t="s">
        <v>9</v>
      </c>
      <c r="E7489" s="3">
        <v>24</v>
      </c>
      <c r="F7489" s="3">
        <v>70</v>
      </c>
      <c r="G7489" s="3">
        <v>1</v>
      </c>
      <c r="H7489" s="3">
        <v>5</v>
      </c>
      <c r="I7489" s="3">
        <v>21</v>
      </c>
      <c r="J7489" s="3">
        <v>1</v>
      </c>
      <c r="K7489" s="3">
        <v>24</v>
      </c>
      <c r="L7489" s="3">
        <v>1</v>
      </c>
      <c r="M7489" s="3">
        <v>0</v>
      </c>
      <c r="N7489" s="3">
        <v>22</v>
      </c>
      <c r="O7489" s="3"/>
      <c r="P7489" s="3"/>
      <c r="Q7489" s="3"/>
    </row>
    <row r="7490" spans="1:17" ht="15" x14ac:dyDescent="0.25">
      <c r="A7490" s="3">
        <f>7483</f>
        <v>7483</v>
      </c>
      <c r="B7490" s="3" t="s">
        <v>7492</v>
      </c>
      <c r="C7490" s="3" t="s">
        <v>10</v>
      </c>
      <c r="D7490" s="3" t="s">
        <v>9</v>
      </c>
      <c r="E7490" s="3">
        <v>24</v>
      </c>
      <c r="F7490" s="3">
        <v>70</v>
      </c>
      <c r="G7490" s="3">
        <v>1</v>
      </c>
      <c r="H7490" s="3">
        <v>5</v>
      </c>
      <c r="I7490" s="3">
        <v>21</v>
      </c>
      <c r="J7490" s="3">
        <v>1</v>
      </c>
      <c r="K7490" s="3">
        <v>24</v>
      </c>
      <c r="L7490" s="3">
        <v>1</v>
      </c>
      <c r="M7490" s="3">
        <v>0</v>
      </c>
      <c r="N7490" s="3">
        <v>22</v>
      </c>
      <c r="O7490" s="3"/>
      <c r="P7490" s="3"/>
      <c r="Q7490" s="3"/>
    </row>
    <row r="7491" spans="1:17" ht="15" x14ac:dyDescent="0.25">
      <c r="A7491" s="3">
        <f>7484</f>
        <v>7484</v>
      </c>
      <c r="B7491" s="3" t="s">
        <v>7493</v>
      </c>
      <c r="C7491" s="3" t="s">
        <v>10</v>
      </c>
      <c r="D7491" s="3" t="s">
        <v>9</v>
      </c>
      <c r="E7491" s="3">
        <v>24</v>
      </c>
      <c r="F7491" s="3">
        <v>70</v>
      </c>
      <c r="G7491" s="3">
        <v>1</v>
      </c>
      <c r="H7491" s="3">
        <v>5</v>
      </c>
      <c r="I7491" s="3">
        <v>21</v>
      </c>
      <c r="J7491" s="3">
        <v>1</v>
      </c>
      <c r="K7491" s="3">
        <v>24</v>
      </c>
      <c r="L7491" s="3">
        <v>1</v>
      </c>
      <c r="M7491" s="3">
        <v>0</v>
      </c>
      <c r="N7491" s="3">
        <v>22</v>
      </c>
      <c r="O7491" s="3"/>
      <c r="P7491" s="3"/>
      <c r="Q7491" s="3"/>
    </row>
    <row r="7492" spans="1:17" ht="15" x14ac:dyDescent="0.25">
      <c r="A7492" s="3">
        <f>7485</f>
        <v>7485</v>
      </c>
      <c r="B7492" s="3" t="s">
        <v>7494</v>
      </c>
      <c r="C7492" s="3" t="s">
        <v>10</v>
      </c>
      <c r="D7492" s="3" t="s">
        <v>9</v>
      </c>
      <c r="E7492" s="3">
        <v>24</v>
      </c>
      <c r="F7492" s="3">
        <v>70</v>
      </c>
      <c r="G7492" s="3">
        <v>1</v>
      </c>
      <c r="H7492" s="3">
        <v>5</v>
      </c>
      <c r="I7492" s="3">
        <v>21</v>
      </c>
      <c r="J7492" s="3">
        <v>1</v>
      </c>
      <c r="K7492" s="3">
        <v>24</v>
      </c>
      <c r="L7492" s="3">
        <v>1</v>
      </c>
      <c r="M7492" s="3">
        <v>0</v>
      </c>
      <c r="N7492" s="3">
        <v>22</v>
      </c>
      <c r="O7492" s="3"/>
      <c r="P7492" s="3"/>
      <c r="Q7492" s="3"/>
    </row>
    <row r="7493" spans="1:17" ht="15" x14ac:dyDescent="0.25">
      <c r="A7493" s="3">
        <f>7486</f>
        <v>7486</v>
      </c>
      <c r="B7493" s="3" t="s">
        <v>7495</v>
      </c>
      <c r="C7493" s="3" t="s">
        <v>10</v>
      </c>
      <c r="D7493" s="3" t="s">
        <v>9</v>
      </c>
      <c r="E7493" s="3">
        <v>24</v>
      </c>
      <c r="F7493" s="3">
        <v>70</v>
      </c>
      <c r="G7493" s="3">
        <v>1</v>
      </c>
      <c r="H7493" s="3">
        <v>5</v>
      </c>
      <c r="I7493" s="3">
        <v>21</v>
      </c>
      <c r="J7493" s="3">
        <v>1</v>
      </c>
      <c r="K7493" s="3">
        <v>24</v>
      </c>
      <c r="L7493" s="3">
        <v>1</v>
      </c>
      <c r="M7493" s="3">
        <v>0</v>
      </c>
      <c r="N7493" s="3">
        <v>22</v>
      </c>
      <c r="O7493" s="3"/>
      <c r="P7493" s="3"/>
      <c r="Q7493" s="3"/>
    </row>
    <row r="7494" spans="1:17" ht="15" x14ac:dyDescent="0.25">
      <c r="A7494" s="3">
        <f>7487</f>
        <v>7487</v>
      </c>
      <c r="B7494" s="3" t="s">
        <v>7496</v>
      </c>
      <c r="C7494" s="3" t="s">
        <v>10</v>
      </c>
      <c r="D7494" s="3" t="s">
        <v>9</v>
      </c>
      <c r="E7494" s="3">
        <v>24</v>
      </c>
      <c r="F7494" s="3">
        <v>70</v>
      </c>
      <c r="G7494" s="3">
        <v>1</v>
      </c>
      <c r="H7494" s="3">
        <v>5</v>
      </c>
      <c r="I7494" s="3">
        <v>21</v>
      </c>
      <c r="J7494" s="3">
        <v>1</v>
      </c>
      <c r="K7494" s="3">
        <v>24</v>
      </c>
      <c r="L7494" s="3">
        <v>1</v>
      </c>
      <c r="M7494" s="3">
        <v>0</v>
      </c>
      <c r="N7494" s="3">
        <v>22</v>
      </c>
      <c r="O7494" s="3"/>
      <c r="P7494" s="3"/>
      <c r="Q7494" s="3"/>
    </row>
    <row r="7495" spans="1:17" ht="15" x14ac:dyDescent="0.25">
      <c r="A7495" s="3">
        <f>7488</f>
        <v>7488</v>
      </c>
      <c r="B7495" s="3" t="s">
        <v>7497</v>
      </c>
      <c r="C7495" s="3" t="s">
        <v>10</v>
      </c>
      <c r="D7495" s="3" t="s">
        <v>9</v>
      </c>
      <c r="E7495" s="3">
        <v>24</v>
      </c>
      <c r="F7495" s="3">
        <v>70</v>
      </c>
      <c r="G7495" s="3">
        <v>1</v>
      </c>
      <c r="H7495" s="3">
        <v>5</v>
      </c>
      <c r="I7495" s="3">
        <v>21</v>
      </c>
      <c r="J7495" s="3">
        <v>1</v>
      </c>
      <c r="K7495" s="3">
        <v>24</v>
      </c>
      <c r="L7495" s="3">
        <v>1</v>
      </c>
      <c r="M7495" s="3">
        <v>0</v>
      </c>
      <c r="N7495" s="3">
        <v>22</v>
      </c>
      <c r="O7495" s="3"/>
      <c r="P7495" s="3"/>
      <c r="Q7495" s="3"/>
    </row>
    <row r="7496" spans="1:17" ht="15" x14ac:dyDescent="0.25">
      <c r="A7496" s="3">
        <f>7489</f>
        <v>7489</v>
      </c>
      <c r="B7496" s="3" t="s">
        <v>7498</v>
      </c>
      <c r="C7496" s="3" t="s">
        <v>10</v>
      </c>
      <c r="D7496" s="3" t="s">
        <v>9</v>
      </c>
      <c r="E7496" s="3">
        <v>24</v>
      </c>
      <c r="F7496" s="3">
        <v>70</v>
      </c>
      <c r="G7496" s="3">
        <v>1</v>
      </c>
      <c r="H7496" s="3">
        <v>5</v>
      </c>
      <c r="I7496" s="3">
        <v>21</v>
      </c>
      <c r="J7496" s="3">
        <v>1</v>
      </c>
      <c r="K7496" s="3">
        <v>24</v>
      </c>
      <c r="L7496" s="3">
        <v>1</v>
      </c>
      <c r="M7496" s="3">
        <v>0</v>
      </c>
      <c r="N7496" s="3">
        <v>22</v>
      </c>
      <c r="O7496" s="3"/>
      <c r="P7496" s="3"/>
      <c r="Q7496" s="3"/>
    </row>
    <row r="7497" spans="1:17" ht="15" x14ac:dyDescent="0.25">
      <c r="A7497" s="3">
        <f>7490</f>
        <v>7490</v>
      </c>
      <c r="B7497" s="3" t="s">
        <v>7499</v>
      </c>
      <c r="C7497" s="3" t="s">
        <v>10</v>
      </c>
      <c r="D7497" s="3" t="s">
        <v>9</v>
      </c>
      <c r="E7497" s="3">
        <v>24</v>
      </c>
      <c r="F7497" s="3">
        <v>70</v>
      </c>
      <c r="G7497" s="3">
        <v>1</v>
      </c>
      <c r="H7497" s="3">
        <v>5</v>
      </c>
      <c r="I7497" s="3">
        <v>21</v>
      </c>
      <c r="J7497" s="3">
        <v>1</v>
      </c>
      <c r="K7497" s="3">
        <v>24</v>
      </c>
      <c r="L7497" s="3">
        <v>1</v>
      </c>
      <c r="M7497" s="3">
        <v>0</v>
      </c>
      <c r="N7497" s="3">
        <v>22</v>
      </c>
      <c r="O7497" s="3"/>
      <c r="P7497" s="3"/>
      <c r="Q7497" s="3"/>
    </row>
    <row r="7498" spans="1:17" ht="15" x14ac:dyDescent="0.25">
      <c r="A7498" s="3">
        <f>7491</f>
        <v>7491</v>
      </c>
      <c r="B7498" s="3" t="s">
        <v>7500</v>
      </c>
      <c r="C7498" s="3" t="s">
        <v>10</v>
      </c>
      <c r="D7498" s="3" t="s">
        <v>9</v>
      </c>
      <c r="E7498" s="3">
        <v>24</v>
      </c>
      <c r="F7498" s="3">
        <v>70</v>
      </c>
      <c r="G7498" s="3">
        <v>1</v>
      </c>
      <c r="H7498" s="3">
        <v>5</v>
      </c>
      <c r="I7498" s="3">
        <v>21</v>
      </c>
      <c r="J7498" s="3">
        <v>1</v>
      </c>
      <c r="K7498" s="3">
        <v>24</v>
      </c>
      <c r="L7498" s="3">
        <v>1</v>
      </c>
      <c r="M7498" s="3">
        <v>0</v>
      </c>
      <c r="N7498" s="3">
        <v>22</v>
      </c>
      <c r="O7498" s="3"/>
      <c r="P7498" s="3"/>
      <c r="Q7498" s="3"/>
    </row>
    <row r="7499" spans="1:17" ht="15" x14ac:dyDescent="0.25">
      <c r="A7499" s="3">
        <f>7492</f>
        <v>7492</v>
      </c>
      <c r="B7499" s="3" t="s">
        <v>7501</v>
      </c>
      <c r="C7499" s="3" t="s">
        <v>10</v>
      </c>
      <c r="D7499" s="3" t="s">
        <v>9</v>
      </c>
      <c r="E7499" s="3">
        <v>24</v>
      </c>
      <c r="F7499" s="3">
        <v>70</v>
      </c>
      <c r="G7499" s="3">
        <v>1</v>
      </c>
      <c r="H7499" s="3">
        <v>5</v>
      </c>
      <c r="I7499" s="3">
        <v>21</v>
      </c>
      <c r="J7499" s="3">
        <v>1</v>
      </c>
      <c r="K7499" s="3">
        <v>24</v>
      </c>
      <c r="L7499" s="3">
        <v>1</v>
      </c>
      <c r="M7499" s="3">
        <v>0</v>
      </c>
      <c r="N7499" s="3">
        <v>22</v>
      </c>
      <c r="O7499" s="3"/>
      <c r="P7499" s="3"/>
      <c r="Q7499" s="3"/>
    </row>
    <row r="7500" spans="1:17" ht="15" x14ac:dyDescent="0.25">
      <c r="A7500" s="3">
        <f>7493</f>
        <v>7493</v>
      </c>
      <c r="B7500" s="3" t="s">
        <v>7502</v>
      </c>
      <c r="C7500" s="3" t="s">
        <v>10</v>
      </c>
      <c r="D7500" s="3" t="s">
        <v>9</v>
      </c>
      <c r="E7500" s="3">
        <v>24</v>
      </c>
      <c r="F7500" s="3">
        <v>70</v>
      </c>
      <c r="G7500" s="3">
        <v>1</v>
      </c>
      <c r="H7500" s="3">
        <v>5</v>
      </c>
      <c r="I7500" s="3">
        <v>21</v>
      </c>
      <c r="J7500" s="3">
        <v>1</v>
      </c>
      <c r="K7500" s="3">
        <v>24</v>
      </c>
      <c r="L7500" s="3">
        <v>1</v>
      </c>
      <c r="M7500" s="3">
        <v>0</v>
      </c>
      <c r="N7500" s="3">
        <v>22</v>
      </c>
      <c r="O7500" s="3"/>
      <c r="P7500" s="3"/>
      <c r="Q7500" s="3"/>
    </row>
    <row r="7501" spans="1:17" ht="15" x14ac:dyDescent="0.25">
      <c r="A7501" s="3">
        <f>7494</f>
        <v>7494</v>
      </c>
      <c r="B7501" s="3" t="s">
        <v>7503</v>
      </c>
      <c r="C7501" s="3" t="s">
        <v>10</v>
      </c>
      <c r="D7501" s="3" t="s">
        <v>9</v>
      </c>
      <c r="E7501" s="3">
        <v>24</v>
      </c>
      <c r="F7501" s="3">
        <v>70</v>
      </c>
      <c r="G7501" s="3">
        <v>1</v>
      </c>
      <c r="H7501" s="3">
        <v>5</v>
      </c>
      <c r="I7501" s="3">
        <v>21</v>
      </c>
      <c r="J7501" s="3">
        <v>1</v>
      </c>
      <c r="K7501" s="3">
        <v>24</v>
      </c>
      <c r="L7501" s="3">
        <v>1</v>
      </c>
      <c r="M7501" s="3">
        <v>0</v>
      </c>
      <c r="N7501" s="3">
        <v>22</v>
      </c>
      <c r="O7501" s="3"/>
      <c r="P7501" s="3"/>
      <c r="Q7501" s="3"/>
    </row>
    <row r="7502" spans="1:17" ht="15" x14ac:dyDescent="0.25">
      <c r="A7502" s="3">
        <f>7495</f>
        <v>7495</v>
      </c>
      <c r="B7502" s="3" t="s">
        <v>7504</v>
      </c>
      <c r="C7502" s="3" t="s">
        <v>10</v>
      </c>
      <c r="D7502" s="3" t="s">
        <v>9</v>
      </c>
      <c r="E7502" s="3">
        <v>24</v>
      </c>
      <c r="F7502" s="3">
        <v>70</v>
      </c>
      <c r="G7502" s="3">
        <v>1</v>
      </c>
      <c r="H7502" s="3">
        <v>5</v>
      </c>
      <c r="I7502" s="3">
        <v>21</v>
      </c>
      <c r="J7502" s="3">
        <v>1</v>
      </c>
      <c r="K7502" s="3">
        <v>24</v>
      </c>
      <c r="L7502" s="3">
        <v>1</v>
      </c>
      <c r="M7502" s="3">
        <v>0</v>
      </c>
      <c r="N7502" s="3">
        <v>22</v>
      </c>
      <c r="O7502" s="3"/>
      <c r="P7502" s="3"/>
      <c r="Q7502" s="3"/>
    </row>
    <row r="7503" spans="1:17" ht="15" x14ac:dyDescent="0.25">
      <c r="A7503" s="3">
        <f>7496</f>
        <v>7496</v>
      </c>
      <c r="B7503" s="3" t="s">
        <v>7505</v>
      </c>
      <c r="C7503" s="3" t="s">
        <v>10</v>
      </c>
      <c r="D7503" s="3" t="s">
        <v>9</v>
      </c>
      <c r="E7503" s="3">
        <v>24</v>
      </c>
      <c r="F7503" s="3">
        <v>70</v>
      </c>
      <c r="G7503" s="3">
        <v>1</v>
      </c>
      <c r="H7503" s="3">
        <v>5</v>
      </c>
      <c r="I7503" s="3">
        <v>21</v>
      </c>
      <c r="J7503" s="3">
        <v>1</v>
      </c>
      <c r="K7503" s="3">
        <v>24</v>
      </c>
      <c r="L7503" s="3">
        <v>1</v>
      </c>
      <c r="M7503" s="3">
        <v>0</v>
      </c>
      <c r="N7503" s="3">
        <v>22</v>
      </c>
      <c r="O7503" s="3"/>
      <c r="P7503" s="3"/>
      <c r="Q7503" s="3"/>
    </row>
    <row r="7504" spans="1:17" ht="15" x14ac:dyDescent="0.25">
      <c r="A7504" s="3">
        <f>7497</f>
        <v>7497</v>
      </c>
      <c r="B7504" s="3" t="s">
        <v>7506</v>
      </c>
      <c r="C7504" s="3" t="s">
        <v>10</v>
      </c>
      <c r="D7504" s="3" t="s">
        <v>9</v>
      </c>
      <c r="E7504" s="3">
        <v>24</v>
      </c>
      <c r="F7504" s="3">
        <v>70</v>
      </c>
      <c r="G7504" s="3">
        <v>1</v>
      </c>
      <c r="H7504" s="3">
        <v>5</v>
      </c>
      <c r="I7504" s="3">
        <v>21</v>
      </c>
      <c r="J7504" s="3">
        <v>1</v>
      </c>
      <c r="K7504" s="3">
        <v>24</v>
      </c>
      <c r="L7504" s="3">
        <v>1</v>
      </c>
      <c r="M7504" s="3">
        <v>0</v>
      </c>
      <c r="N7504" s="3">
        <v>22</v>
      </c>
      <c r="O7504" s="3"/>
      <c r="P7504" s="3"/>
      <c r="Q7504" s="3"/>
    </row>
    <row r="7505" spans="1:17" ht="15" x14ac:dyDescent="0.25">
      <c r="A7505" s="3">
        <f>7498</f>
        <v>7498</v>
      </c>
      <c r="B7505" s="3" t="s">
        <v>7507</v>
      </c>
      <c r="C7505" s="3" t="s">
        <v>10</v>
      </c>
      <c r="D7505" s="3" t="s">
        <v>9</v>
      </c>
      <c r="E7505" s="3">
        <v>24</v>
      </c>
      <c r="F7505" s="3">
        <v>70</v>
      </c>
      <c r="G7505" s="3">
        <v>1</v>
      </c>
      <c r="H7505" s="3">
        <v>5</v>
      </c>
      <c r="I7505" s="3">
        <v>21</v>
      </c>
      <c r="J7505" s="3">
        <v>1</v>
      </c>
      <c r="K7505" s="3">
        <v>24</v>
      </c>
      <c r="L7505" s="3">
        <v>1</v>
      </c>
      <c r="M7505" s="3">
        <v>0</v>
      </c>
      <c r="N7505" s="3">
        <v>22</v>
      </c>
      <c r="O7505" s="3"/>
      <c r="P7505" s="3"/>
      <c r="Q7505" s="3"/>
    </row>
    <row r="7506" spans="1:17" ht="15" x14ac:dyDescent="0.25">
      <c r="A7506" s="3">
        <f>7499</f>
        <v>7499</v>
      </c>
      <c r="B7506" s="3" t="s">
        <v>7508</v>
      </c>
      <c r="C7506" s="3" t="s">
        <v>10</v>
      </c>
      <c r="D7506" s="3" t="s">
        <v>9</v>
      </c>
      <c r="E7506" s="3">
        <v>24</v>
      </c>
      <c r="F7506" s="3">
        <v>70</v>
      </c>
      <c r="G7506" s="3">
        <v>1</v>
      </c>
      <c r="H7506" s="3">
        <v>5</v>
      </c>
      <c r="I7506" s="3">
        <v>21</v>
      </c>
      <c r="J7506" s="3">
        <v>1</v>
      </c>
      <c r="K7506" s="3">
        <v>24</v>
      </c>
      <c r="L7506" s="3">
        <v>1</v>
      </c>
      <c r="M7506" s="3">
        <v>0</v>
      </c>
      <c r="N7506" s="3">
        <v>22</v>
      </c>
      <c r="O7506" s="3"/>
      <c r="P7506" s="3"/>
      <c r="Q7506" s="3"/>
    </row>
    <row r="7507" spans="1:17" ht="15" x14ac:dyDescent="0.25">
      <c r="A7507" s="3">
        <f>7500</f>
        <v>7500</v>
      </c>
      <c r="B7507" s="3" t="s">
        <v>7509</v>
      </c>
      <c r="C7507" s="3" t="s">
        <v>10</v>
      </c>
      <c r="D7507" s="3" t="s">
        <v>9</v>
      </c>
      <c r="E7507" s="3">
        <v>24</v>
      </c>
      <c r="F7507" s="3">
        <v>70</v>
      </c>
      <c r="G7507" s="3">
        <v>1</v>
      </c>
      <c r="H7507" s="3">
        <v>5</v>
      </c>
      <c r="I7507" s="3">
        <v>21</v>
      </c>
      <c r="J7507" s="3">
        <v>1</v>
      </c>
      <c r="K7507" s="3">
        <v>24</v>
      </c>
      <c r="L7507" s="3">
        <v>1</v>
      </c>
      <c r="M7507" s="3">
        <v>0</v>
      </c>
      <c r="N7507" s="3">
        <v>22</v>
      </c>
      <c r="O7507" s="3"/>
      <c r="P7507" s="3"/>
      <c r="Q7507" s="3"/>
    </row>
    <row r="7508" spans="1:17" ht="15" x14ac:dyDescent="0.25">
      <c r="A7508" s="3">
        <f>7501</f>
        <v>7501</v>
      </c>
      <c r="B7508" s="3" t="s">
        <v>7510</v>
      </c>
      <c r="C7508" s="3" t="s">
        <v>10</v>
      </c>
      <c r="D7508" s="3" t="s">
        <v>9</v>
      </c>
      <c r="E7508" s="3">
        <v>24</v>
      </c>
      <c r="F7508" s="3">
        <v>70</v>
      </c>
      <c r="G7508" s="3">
        <v>1</v>
      </c>
      <c r="H7508" s="3">
        <v>5</v>
      </c>
      <c r="I7508" s="3">
        <v>21</v>
      </c>
      <c r="J7508" s="3">
        <v>1</v>
      </c>
      <c r="K7508" s="3">
        <v>24</v>
      </c>
      <c r="L7508" s="3">
        <v>1</v>
      </c>
      <c r="M7508" s="3">
        <v>0</v>
      </c>
      <c r="N7508" s="3">
        <v>22</v>
      </c>
      <c r="O7508" s="3"/>
      <c r="P7508" s="3"/>
      <c r="Q7508" s="3"/>
    </row>
    <row r="7509" spans="1:17" ht="15" x14ac:dyDescent="0.25">
      <c r="A7509" s="3">
        <f>7502</f>
        <v>7502</v>
      </c>
      <c r="B7509" s="3" t="s">
        <v>7511</v>
      </c>
      <c r="C7509" s="3" t="s">
        <v>10</v>
      </c>
      <c r="D7509" s="3" t="s">
        <v>9</v>
      </c>
      <c r="E7509" s="3">
        <v>24</v>
      </c>
      <c r="F7509" s="3">
        <v>70</v>
      </c>
      <c r="G7509" s="3">
        <v>1</v>
      </c>
      <c r="H7509" s="3">
        <v>5</v>
      </c>
      <c r="I7509" s="3">
        <v>21</v>
      </c>
      <c r="J7509" s="3">
        <v>1</v>
      </c>
      <c r="K7509" s="3">
        <v>24</v>
      </c>
      <c r="L7509" s="3">
        <v>1</v>
      </c>
      <c r="M7509" s="3">
        <v>0</v>
      </c>
      <c r="N7509" s="3">
        <v>22</v>
      </c>
      <c r="O7509" s="3"/>
      <c r="P7509" s="3"/>
      <c r="Q7509" s="3"/>
    </row>
    <row r="7510" spans="1:17" ht="15" x14ac:dyDescent="0.25">
      <c r="A7510" s="3">
        <f>7503</f>
        <v>7503</v>
      </c>
      <c r="B7510" s="3" t="s">
        <v>7512</v>
      </c>
      <c r="C7510" s="3" t="s">
        <v>10</v>
      </c>
      <c r="D7510" s="3" t="s">
        <v>9</v>
      </c>
      <c r="E7510" s="3">
        <v>24</v>
      </c>
      <c r="F7510" s="3">
        <v>70</v>
      </c>
      <c r="G7510" s="3">
        <v>1</v>
      </c>
      <c r="H7510" s="3">
        <v>5</v>
      </c>
      <c r="I7510" s="3">
        <v>21</v>
      </c>
      <c r="J7510" s="3">
        <v>1</v>
      </c>
      <c r="K7510" s="3">
        <v>24</v>
      </c>
      <c r="L7510" s="3">
        <v>1</v>
      </c>
      <c r="M7510" s="3">
        <v>0</v>
      </c>
      <c r="N7510" s="3">
        <v>22</v>
      </c>
      <c r="O7510" s="3"/>
      <c r="P7510" s="3"/>
      <c r="Q7510" s="3"/>
    </row>
    <row r="7511" spans="1:17" ht="15" x14ac:dyDescent="0.25">
      <c r="A7511" s="3">
        <f>7504</f>
        <v>7504</v>
      </c>
      <c r="B7511" s="3" t="s">
        <v>7513</v>
      </c>
      <c r="C7511" s="3" t="s">
        <v>10</v>
      </c>
      <c r="D7511" s="3" t="s">
        <v>9</v>
      </c>
      <c r="E7511" s="3">
        <v>24</v>
      </c>
      <c r="F7511" s="3">
        <v>70</v>
      </c>
      <c r="G7511" s="3">
        <v>1</v>
      </c>
      <c r="H7511" s="3">
        <v>5</v>
      </c>
      <c r="I7511" s="3">
        <v>21</v>
      </c>
      <c r="J7511" s="3">
        <v>1</v>
      </c>
      <c r="K7511" s="3">
        <v>24</v>
      </c>
      <c r="L7511" s="3">
        <v>1</v>
      </c>
      <c r="M7511" s="3">
        <v>0</v>
      </c>
      <c r="N7511" s="3">
        <v>22</v>
      </c>
      <c r="O7511" s="3"/>
      <c r="P7511" s="3"/>
      <c r="Q7511" s="3"/>
    </row>
    <row r="7512" spans="1:17" ht="15" x14ac:dyDescent="0.25">
      <c r="A7512" s="3">
        <f>7505</f>
        <v>7505</v>
      </c>
      <c r="B7512" s="3" t="s">
        <v>7514</v>
      </c>
      <c r="C7512" s="3" t="s">
        <v>10</v>
      </c>
      <c r="D7512" s="3" t="s">
        <v>9</v>
      </c>
      <c r="E7512" s="3">
        <v>24</v>
      </c>
      <c r="F7512" s="3">
        <v>70</v>
      </c>
      <c r="G7512" s="3">
        <v>1</v>
      </c>
      <c r="H7512" s="3">
        <v>5</v>
      </c>
      <c r="I7512" s="3">
        <v>21</v>
      </c>
      <c r="J7512" s="3">
        <v>1</v>
      </c>
      <c r="K7512" s="3">
        <v>24</v>
      </c>
      <c r="L7512" s="3">
        <v>1</v>
      </c>
      <c r="M7512" s="3">
        <v>0</v>
      </c>
      <c r="N7512" s="3">
        <v>22</v>
      </c>
      <c r="O7512" s="3"/>
      <c r="P7512" s="3"/>
      <c r="Q7512" s="3"/>
    </row>
    <row r="7513" spans="1:17" ht="15" x14ac:dyDescent="0.25">
      <c r="A7513" s="3">
        <f>7506</f>
        <v>7506</v>
      </c>
      <c r="B7513" s="3" t="s">
        <v>7515</v>
      </c>
      <c r="C7513" s="3" t="s">
        <v>10</v>
      </c>
      <c r="D7513" s="3" t="s">
        <v>9</v>
      </c>
      <c r="E7513" s="3">
        <v>24</v>
      </c>
      <c r="F7513" s="3">
        <v>70</v>
      </c>
      <c r="G7513" s="3">
        <v>1</v>
      </c>
      <c r="H7513" s="3">
        <v>5</v>
      </c>
      <c r="I7513" s="3">
        <v>21</v>
      </c>
      <c r="J7513" s="3">
        <v>1</v>
      </c>
      <c r="K7513" s="3">
        <v>24</v>
      </c>
      <c r="L7513" s="3">
        <v>1</v>
      </c>
      <c r="M7513" s="3">
        <v>0</v>
      </c>
      <c r="N7513" s="3">
        <v>22</v>
      </c>
      <c r="O7513" s="3"/>
      <c r="P7513" s="3"/>
      <c r="Q7513" s="3"/>
    </row>
    <row r="7514" spans="1:17" ht="15" x14ac:dyDescent="0.25">
      <c r="A7514" s="3">
        <f>7507</f>
        <v>7507</v>
      </c>
      <c r="B7514" s="3" t="s">
        <v>7516</v>
      </c>
      <c r="C7514" s="3" t="s">
        <v>10</v>
      </c>
      <c r="D7514" s="3" t="s">
        <v>9</v>
      </c>
      <c r="E7514" s="3">
        <v>24</v>
      </c>
      <c r="F7514" s="3">
        <v>70</v>
      </c>
      <c r="G7514" s="3">
        <v>1</v>
      </c>
      <c r="H7514" s="3">
        <v>5</v>
      </c>
      <c r="I7514" s="3">
        <v>21</v>
      </c>
      <c r="J7514" s="3">
        <v>1</v>
      </c>
      <c r="K7514" s="3">
        <v>24</v>
      </c>
      <c r="L7514" s="3">
        <v>1</v>
      </c>
      <c r="M7514" s="3">
        <v>0</v>
      </c>
      <c r="N7514" s="3">
        <v>22</v>
      </c>
      <c r="O7514" s="3"/>
      <c r="P7514" s="3"/>
      <c r="Q7514" s="3"/>
    </row>
    <row r="7515" spans="1:17" ht="15" x14ac:dyDescent="0.25">
      <c r="A7515" s="3">
        <f>7508</f>
        <v>7508</v>
      </c>
      <c r="B7515" s="3" t="s">
        <v>7517</v>
      </c>
      <c r="C7515" s="3" t="s">
        <v>10</v>
      </c>
      <c r="D7515" s="3" t="s">
        <v>9</v>
      </c>
      <c r="E7515" s="3">
        <v>24</v>
      </c>
      <c r="F7515" s="3">
        <v>70</v>
      </c>
      <c r="G7515" s="3">
        <v>1</v>
      </c>
      <c r="H7515" s="3">
        <v>5</v>
      </c>
      <c r="I7515" s="3">
        <v>21</v>
      </c>
      <c r="J7515" s="3">
        <v>1</v>
      </c>
      <c r="K7515" s="3">
        <v>24</v>
      </c>
      <c r="L7515" s="3">
        <v>1</v>
      </c>
      <c r="M7515" s="3">
        <v>0</v>
      </c>
      <c r="N7515" s="3">
        <v>22</v>
      </c>
      <c r="O7515" s="3"/>
      <c r="P7515" s="3"/>
      <c r="Q7515" s="3"/>
    </row>
    <row r="7516" spans="1:17" ht="15" x14ac:dyDescent="0.25">
      <c r="A7516" s="3">
        <f>7509</f>
        <v>7509</v>
      </c>
      <c r="B7516" s="3" t="s">
        <v>7518</v>
      </c>
      <c r="C7516" s="3" t="s">
        <v>10</v>
      </c>
      <c r="D7516" s="3" t="s">
        <v>9</v>
      </c>
      <c r="E7516" s="3">
        <v>24</v>
      </c>
      <c r="F7516" s="3">
        <v>70</v>
      </c>
      <c r="G7516" s="3">
        <v>1</v>
      </c>
      <c r="H7516" s="3">
        <v>5</v>
      </c>
      <c r="I7516" s="3">
        <v>21</v>
      </c>
      <c r="J7516" s="3">
        <v>1</v>
      </c>
      <c r="K7516" s="3">
        <v>24</v>
      </c>
      <c r="L7516" s="3">
        <v>1</v>
      </c>
      <c r="M7516" s="3">
        <v>0</v>
      </c>
      <c r="N7516" s="3">
        <v>22</v>
      </c>
      <c r="O7516" s="3"/>
      <c r="P7516" s="3"/>
      <c r="Q7516" s="3"/>
    </row>
    <row r="7517" spans="1:17" ht="15" x14ac:dyDescent="0.25">
      <c r="A7517" s="3">
        <f>7510</f>
        <v>7510</v>
      </c>
      <c r="B7517" s="3" t="s">
        <v>7519</v>
      </c>
      <c r="C7517" s="3" t="s">
        <v>10</v>
      </c>
      <c r="D7517" s="3" t="s">
        <v>9</v>
      </c>
      <c r="E7517" s="3">
        <v>24</v>
      </c>
      <c r="F7517" s="3">
        <v>70</v>
      </c>
      <c r="G7517" s="3">
        <v>1</v>
      </c>
      <c r="H7517" s="3">
        <v>5</v>
      </c>
      <c r="I7517" s="3">
        <v>21</v>
      </c>
      <c r="J7517" s="3">
        <v>1</v>
      </c>
      <c r="K7517" s="3">
        <v>24</v>
      </c>
      <c r="L7517" s="3">
        <v>1</v>
      </c>
      <c r="M7517" s="3">
        <v>0</v>
      </c>
      <c r="N7517" s="3">
        <v>22</v>
      </c>
      <c r="O7517" s="3"/>
      <c r="P7517" s="3"/>
      <c r="Q7517" s="3"/>
    </row>
    <row r="7518" spans="1:17" ht="15" x14ac:dyDescent="0.25">
      <c r="A7518" s="3">
        <f>7511</f>
        <v>7511</v>
      </c>
      <c r="B7518" s="3" t="s">
        <v>7520</v>
      </c>
      <c r="C7518" s="3" t="s">
        <v>10</v>
      </c>
      <c r="D7518" s="3" t="s">
        <v>9</v>
      </c>
      <c r="E7518" s="3">
        <v>24</v>
      </c>
      <c r="F7518" s="3">
        <v>70</v>
      </c>
      <c r="G7518" s="3">
        <v>1</v>
      </c>
      <c r="H7518" s="3">
        <v>5</v>
      </c>
      <c r="I7518" s="3">
        <v>21</v>
      </c>
      <c r="J7518" s="3">
        <v>1</v>
      </c>
      <c r="K7518" s="3">
        <v>24</v>
      </c>
      <c r="L7518" s="3">
        <v>1</v>
      </c>
      <c r="M7518" s="3">
        <v>0</v>
      </c>
      <c r="N7518" s="3">
        <v>22</v>
      </c>
      <c r="O7518" s="3"/>
      <c r="P7518" s="3"/>
      <c r="Q7518" s="3"/>
    </row>
    <row r="7519" spans="1:17" ht="15" x14ac:dyDescent="0.25">
      <c r="A7519" s="3">
        <f>7512</f>
        <v>7512</v>
      </c>
      <c r="B7519" s="3" t="s">
        <v>7521</v>
      </c>
      <c r="C7519" s="3" t="s">
        <v>10</v>
      </c>
      <c r="D7519" s="3" t="s">
        <v>9</v>
      </c>
      <c r="E7519" s="3">
        <v>24</v>
      </c>
      <c r="F7519" s="3">
        <v>70</v>
      </c>
      <c r="G7519" s="3">
        <v>1</v>
      </c>
      <c r="H7519" s="3">
        <v>5</v>
      </c>
      <c r="I7519" s="3">
        <v>21</v>
      </c>
      <c r="J7519" s="3">
        <v>1</v>
      </c>
      <c r="K7519" s="3">
        <v>24</v>
      </c>
      <c r="L7519" s="3">
        <v>1</v>
      </c>
      <c r="M7519" s="3">
        <v>0</v>
      </c>
      <c r="N7519" s="3">
        <v>22</v>
      </c>
      <c r="O7519" s="3"/>
      <c r="P7519" s="3"/>
      <c r="Q7519" s="3"/>
    </row>
    <row r="7520" spans="1:17" ht="15" x14ac:dyDescent="0.25">
      <c r="A7520" s="3">
        <f>7513</f>
        <v>7513</v>
      </c>
      <c r="B7520" s="3" t="s">
        <v>7522</v>
      </c>
      <c r="C7520" s="3" t="s">
        <v>10</v>
      </c>
      <c r="D7520" s="3" t="s">
        <v>9</v>
      </c>
      <c r="E7520" s="3">
        <v>24</v>
      </c>
      <c r="F7520" s="3">
        <v>70</v>
      </c>
      <c r="G7520" s="3">
        <v>1</v>
      </c>
      <c r="H7520" s="3">
        <v>5</v>
      </c>
      <c r="I7520" s="3">
        <v>21</v>
      </c>
      <c r="J7520" s="3">
        <v>1</v>
      </c>
      <c r="K7520" s="3">
        <v>24</v>
      </c>
      <c r="L7520" s="3">
        <v>1</v>
      </c>
      <c r="M7520" s="3">
        <v>0</v>
      </c>
      <c r="N7520" s="3">
        <v>22</v>
      </c>
      <c r="O7520" s="3"/>
      <c r="P7520" s="3"/>
      <c r="Q7520" s="3"/>
    </row>
    <row r="7521" spans="1:17" ht="15" x14ac:dyDescent="0.25">
      <c r="A7521" s="3">
        <f>7514</f>
        <v>7514</v>
      </c>
      <c r="B7521" s="3" t="s">
        <v>7523</v>
      </c>
      <c r="C7521" s="3" t="s">
        <v>10</v>
      </c>
      <c r="D7521" s="3" t="s">
        <v>9</v>
      </c>
      <c r="E7521" s="3">
        <v>24</v>
      </c>
      <c r="F7521" s="3">
        <v>70</v>
      </c>
      <c r="G7521" s="3">
        <v>1</v>
      </c>
      <c r="H7521" s="3">
        <v>5</v>
      </c>
      <c r="I7521" s="3">
        <v>21</v>
      </c>
      <c r="J7521" s="3">
        <v>1</v>
      </c>
      <c r="K7521" s="3">
        <v>24</v>
      </c>
      <c r="L7521" s="3">
        <v>1</v>
      </c>
      <c r="M7521" s="3">
        <v>0</v>
      </c>
      <c r="N7521" s="3">
        <v>22</v>
      </c>
      <c r="O7521" s="3"/>
      <c r="P7521" s="3"/>
      <c r="Q7521" s="3"/>
    </row>
    <row r="7522" spans="1:17" ht="15" x14ac:dyDescent="0.25">
      <c r="A7522" s="3">
        <f>7515</f>
        <v>7515</v>
      </c>
      <c r="B7522" s="3" t="s">
        <v>7524</v>
      </c>
      <c r="C7522" s="3" t="s">
        <v>10</v>
      </c>
      <c r="D7522" s="3" t="s">
        <v>9</v>
      </c>
      <c r="E7522" s="3">
        <v>24</v>
      </c>
      <c r="F7522" s="3">
        <v>70</v>
      </c>
      <c r="G7522" s="3">
        <v>1</v>
      </c>
      <c r="H7522" s="3">
        <v>5</v>
      </c>
      <c r="I7522" s="3">
        <v>21</v>
      </c>
      <c r="J7522" s="3">
        <v>1</v>
      </c>
      <c r="K7522" s="3">
        <v>24</v>
      </c>
      <c r="L7522" s="3">
        <v>1</v>
      </c>
      <c r="M7522" s="3">
        <v>0</v>
      </c>
      <c r="N7522" s="3">
        <v>22</v>
      </c>
      <c r="O7522" s="3"/>
      <c r="P7522" s="3"/>
      <c r="Q7522" s="3"/>
    </row>
    <row r="7523" spans="1:17" ht="15" x14ac:dyDescent="0.25">
      <c r="A7523" s="3">
        <f>7516</f>
        <v>7516</v>
      </c>
      <c r="B7523" s="3" t="s">
        <v>7525</v>
      </c>
      <c r="C7523" s="3" t="s">
        <v>10</v>
      </c>
      <c r="D7523" s="3" t="s">
        <v>9</v>
      </c>
      <c r="E7523" s="3">
        <v>24</v>
      </c>
      <c r="F7523" s="3">
        <v>70</v>
      </c>
      <c r="G7523" s="3">
        <v>1</v>
      </c>
      <c r="H7523" s="3">
        <v>5</v>
      </c>
      <c r="I7523" s="3">
        <v>21</v>
      </c>
      <c r="J7523" s="3">
        <v>1</v>
      </c>
      <c r="K7523" s="3">
        <v>24</v>
      </c>
      <c r="L7523" s="3">
        <v>1</v>
      </c>
      <c r="M7523" s="3">
        <v>0</v>
      </c>
      <c r="N7523" s="3">
        <v>22</v>
      </c>
      <c r="O7523" s="3"/>
      <c r="P7523" s="3"/>
      <c r="Q7523" s="3"/>
    </row>
    <row r="7524" spans="1:17" ht="15" x14ac:dyDescent="0.25">
      <c r="A7524" s="3">
        <f>7517</f>
        <v>7517</v>
      </c>
      <c r="B7524" s="3" t="s">
        <v>7526</v>
      </c>
      <c r="C7524" s="3" t="s">
        <v>10</v>
      </c>
      <c r="D7524" s="3" t="s">
        <v>9</v>
      </c>
      <c r="E7524" s="3">
        <v>24</v>
      </c>
      <c r="F7524" s="3">
        <v>70</v>
      </c>
      <c r="G7524" s="3">
        <v>1</v>
      </c>
      <c r="H7524" s="3">
        <v>5</v>
      </c>
      <c r="I7524" s="3">
        <v>21</v>
      </c>
      <c r="J7524" s="3">
        <v>1</v>
      </c>
      <c r="K7524" s="3">
        <v>24</v>
      </c>
      <c r="L7524" s="3">
        <v>1</v>
      </c>
      <c r="M7524" s="3">
        <v>0</v>
      </c>
      <c r="N7524" s="3">
        <v>22</v>
      </c>
      <c r="O7524" s="3"/>
      <c r="P7524" s="3"/>
      <c r="Q7524" s="3"/>
    </row>
    <row r="7525" spans="1:17" ht="15" x14ac:dyDescent="0.25">
      <c r="A7525" s="3">
        <f>7518</f>
        <v>7518</v>
      </c>
      <c r="B7525" s="3" t="s">
        <v>7527</v>
      </c>
      <c r="C7525" s="3" t="s">
        <v>10</v>
      </c>
      <c r="D7525" s="3" t="s">
        <v>9</v>
      </c>
      <c r="E7525" s="3">
        <v>24</v>
      </c>
      <c r="F7525" s="3">
        <v>70</v>
      </c>
      <c r="G7525" s="3">
        <v>1</v>
      </c>
      <c r="H7525" s="3">
        <v>5</v>
      </c>
      <c r="I7525" s="3">
        <v>21</v>
      </c>
      <c r="J7525" s="3">
        <v>1</v>
      </c>
      <c r="K7525" s="3">
        <v>24</v>
      </c>
      <c r="L7525" s="3">
        <v>1</v>
      </c>
      <c r="M7525" s="3">
        <v>0</v>
      </c>
      <c r="N7525" s="3">
        <v>22</v>
      </c>
      <c r="O7525" s="3"/>
      <c r="P7525" s="3"/>
      <c r="Q7525" s="3"/>
    </row>
    <row r="7526" spans="1:17" ht="15" x14ac:dyDescent="0.25">
      <c r="A7526" s="3">
        <f>7519</f>
        <v>7519</v>
      </c>
      <c r="B7526" s="3" t="s">
        <v>7528</v>
      </c>
      <c r="C7526" s="3" t="s">
        <v>10</v>
      </c>
      <c r="D7526" s="3" t="s">
        <v>9</v>
      </c>
      <c r="E7526" s="3">
        <v>24</v>
      </c>
      <c r="F7526" s="3">
        <v>70</v>
      </c>
      <c r="G7526" s="3">
        <v>1</v>
      </c>
      <c r="H7526" s="3">
        <v>5</v>
      </c>
      <c r="I7526" s="3">
        <v>21</v>
      </c>
      <c r="J7526" s="3">
        <v>1</v>
      </c>
      <c r="K7526" s="3">
        <v>24</v>
      </c>
      <c r="L7526" s="3">
        <v>1</v>
      </c>
      <c r="M7526" s="3">
        <v>0</v>
      </c>
      <c r="N7526" s="3">
        <v>22</v>
      </c>
      <c r="O7526" s="3"/>
      <c r="P7526" s="3"/>
      <c r="Q7526" s="3"/>
    </row>
    <row r="7527" spans="1:17" ht="15" x14ac:dyDescent="0.25">
      <c r="A7527" s="3">
        <f>7520</f>
        <v>7520</v>
      </c>
      <c r="B7527" s="3" t="s">
        <v>7529</v>
      </c>
      <c r="C7527" s="3" t="s">
        <v>10</v>
      </c>
      <c r="D7527" s="3" t="s">
        <v>9</v>
      </c>
      <c r="E7527" s="3">
        <v>24</v>
      </c>
      <c r="F7527" s="3">
        <v>70</v>
      </c>
      <c r="G7527" s="3">
        <v>1</v>
      </c>
      <c r="H7527" s="3">
        <v>5</v>
      </c>
      <c r="I7527" s="3">
        <v>21</v>
      </c>
      <c r="J7527" s="3">
        <v>1</v>
      </c>
      <c r="K7527" s="3">
        <v>24</v>
      </c>
      <c r="L7527" s="3">
        <v>1</v>
      </c>
      <c r="M7527" s="3">
        <v>0</v>
      </c>
      <c r="N7527" s="3">
        <v>22</v>
      </c>
      <c r="O7527" s="3"/>
      <c r="P7527" s="3"/>
      <c r="Q7527" s="3"/>
    </row>
    <row r="7528" spans="1:17" ht="15" x14ac:dyDescent="0.25">
      <c r="A7528" s="3">
        <f>7521</f>
        <v>7521</v>
      </c>
      <c r="B7528" s="3" t="s">
        <v>7530</v>
      </c>
      <c r="C7528" s="3" t="s">
        <v>10</v>
      </c>
      <c r="D7528" s="3" t="s">
        <v>9</v>
      </c>
      <c r="E7528" s="3">
        <v>24</v>
      </c>
      <c r="F7528" s="3">
        <v>70</v>
      </c>
      <c r="G7528" s="3">
        <v>1</v>
      </c>
      <c r="H7528" s="3">
        <v>5</v>
      </c>
      <c r="I7528" s="3">
        <v>21</v>
      </c>
      <c r="J7528" s="3">
        <v>1</v>
      </c>
      <c r="K7528" s="3">
        <v>24</v>
      </c>
      <c r="L7528" s="3">
        <v>1</v>
      </c>
      <c r="M7528" s="3">
        <v>0</v>
      </c>
      <c r="N7528" s="3">
        <v>22</v>
      </c>
      <c r="O7528" s="3"/>
      <c r="P7528" s="3"/>
      <c r="Q7528" s="3"/>
    </row>
    <row r="7529" spans="1:17" ht="15" x14ac:dyDescent="0.25">
      <c r="A7529" s="3">
        <f>7522</f>
        <v>7522</v>
      </c>
      <c r="B7529" s="3" t="s">
        <v>7531</v>
      </c>
      <c r="C7529" s="3" t="s">
        <v>10</v>
      </c>
      <c r="D7529" s="3" t="s">
        <v>9</v>
      </c>
      <c r="E7529" s="3">
        <v>24</v>
      </c>
      <c r="F7529" s="3">
        <v>70</v>
      </c>
      <c r="G7529" s="3">
        <v>1</v>
      </c>
      <c r="H7529" s="3">
        <v>5</v>
      </c>
      <c r="I7529" s="3">
        <v>21</v>
      </c>
      <c r="J7529" s="3">
        <v>1</v>
      </c>
      <c r="K7529" s="3">
        <v>24</v>
      </c>
      <c r="L7529" s="3">
        <v>1</v>
      </c>
      <c r="M7529" s="3">
        <v>0</v>
      </c>
      <c r="N7529" s="3">
        <v>22</v>
      </c>
      <c r="O7529" s="3"/>
      <c r="P7529" s="3"/>
      <c r="Q7529" s="3"/>
    </row>
    <row r="7530" spans="1:17" ht="15" x14ac:dyDescent="0.25">
      <c r="A7530" s="3">
        <f>7523</f>
        <v>7523</v>
      </c>
      <c r="B7530" s="3" t="s">
        <v>7532</v>
      </c>
      <c r="C7530" s="3" t="s">
        <v>10</v>
      </c>
      <c r="D7530" s="3" t="s">
        <v>9</v>
      </c>
      <c r="E7530" s="3">
        <v>24</v>
      </c>
      <c r="F7530" s="3">
        <v>70</v>
      </c>
      <c r="G7530" s="3">
        <v>1</v>
      </c>
      <c r="H7530" s="3">
        <v>5</v>
      </c>
      <c r="I7530" s="3">
        <v>21</v>
      </c>
      <c r="J7530" s="3">
        <v>1</v>
      </c>
      <c r="K7530" s="3">
        <v>24</v>
      </c>
      <c r="L7530" s="3">
        <v>1</v>
      </c>
      <c r="M7530" s="3">
        <v>0</v>
      </c>
      <c r="N7530" s="3">
        <v>22</v>
      </c>
      <c r="O7530" s="3"/>
      <c r="P7530" s="3"/>
      <c r="Q7530" s="3"/>
    </row>
    <row r="7531" spans="1:17" ht="15" x14ac:dyDescent="0.25">
      <c r="A7531" s="3">
        <f>7524</f>
        <v>7524</v>
      </c>
      <c r="B7531" s="3" t="s">
        <v>7533</v>
      </c>
      <c r="C7531" s="3" t="s">
        <v>10</v>
      </c>
      <c r="D7531" s="3" t="s">
        <v>9</v>
      </c>
      <c r="E7531" s="3">
        <v>24</v>
      </c>
      <c r="F7531" s="3">
        <v>70</v>
      </c>
      <c r="G7531" s="3">
        <v>1</v>
      </c>
      <c r="H7531" s="3">
        <v>5</v>
      </c>
      <c r="I7531" s="3">
        <v>21</v>
      </c>
      <c r="J7531" s="3">
        <v>1</v>
      </c>
      <c r="K7531" s="3">
        <v>24</v>
      </c>
      <c r="L7531" s="3">
        <v>1</v>
      </c>
      <c r="M7531" s="3">
        <v>0</v>
      </c>
      <c r="N7531" s="3">
        <v>22</v>
      </c>
      <c r="O7531" s="3"/>
      <c r="P7531" s="3"/>
      <c r="Q7531" s="3"/>
    </row>
    <row r="7532" spans="1:17" ht="15" x14ac:dyDescent="0.25">
      <c r="A7532" s="3">
        <f>7525</f>
        <v>7525</v>
      </c>
      <c r="B7532" s="3" t="s">
        <v>7534</v>
      </c>
      <c r="C7532" s="3" t="s">
        <v>10</v>
      </c>
      <c r="D7532" s="3" t="s">
        <v>9</v>
      </c>
      <c r="E7532" s="3">
        <v>24</v>
      </c>
      <c r="F7532" s="3">
        <v>70</v>
      </c>
      <c r="G7532" s="3">
        <v>1</v>
      </c>
      <c r="H7532" s="3">
        <v>5</v>
      </c>
      <c r="I7532" s="3">
        <v>21</v>
      </c>
      <c r="J7532" s="3">
        <v>1</v>
      </c>
      <c r="K7532" s="3">
        <v>24</v>
      </c>
      <c r="L7532" s="3">
        <v>1</v>
      </c>
      <c r="M7532" s="3">
        <v>0</v>
      </c>
      <c r="N7532" s="3">
        <v>22</v>
      </c>
      <c r="O7532" s="3"/>
      <c r="P7532" s="3"/>
      <c r="Q7532" s="3"/>
    </row>
    <row r="7533" spans="1:17" ht="15" x14ac:dyDescent="0.25">
      <c r="A7533" s="3">
        <f>7526</f>
        <v>7526</v>
      </c>
      <c r="B7533" s="3" t="s">
        <v>7535</v>
      </c>
      <c r="C7533" s="3" t="s">
        <v>10</v>
      </c>
      <c r="D7533" s="3" t="s">
        <v>9</v>
      </c>
      <c r="E7533" s="3">
        <v>24</v>
      </c>
      <c r="F7533" s="3">
        <v>70</v>
      </c>
      <c r="G7533" s="3">
        <v>1</v>
      </c>
      <c r="H7533" s="3">
        <v>5</v>
      </c>
      <c r="I7533" s="3">
        <v>21</v>
      </c>
      <c r="J7533" s="3">
        <v>1</v>
      </c>
      <c r="K7533" s="3">
        <v>24</v>
      </c>
      <c r="L7533" s="3">
        <v>1</v>
      </c>
      <c r="M7533" s="3">
        <v>0</v>
      </c>
      <c r="N7533" s="3">
        <v>22</v>
      </c>
      <c r="O7533" s="3"/>
      <c r="P7533" s="3"/>
      <c r="Q7533" s="3"/>
    </row>
    <row r="7534" spans="1:17" ht="15" x14ac:dyDescent="0.25">
      <c r="A7534" s="3">
        <f>7527</f>
        <v>7527</v>
      </c>
      <c r="B7534" s="3" t="s">
        <v>7536</v>
      </c>
      <c r="C7534" s="3" t="s">
        <v>10</v>
      </c>
      <c r="D7534" s="3" t="s">
        <v>9</v>
      </c>
      <c r="E7534" s="3">
        <v>24</v>
      </c>
      <c r="F7534" s="3">
        <v>70</v>
      </c>
      <c r="G7534" s="3">
        <v>1</v>
      </c>
      <c r="H7534" s="3">
        <v>5</v>
      </c>
      <c r="I7534" s="3">
        <v>21</v>
      </c>
      <c r="J7534" s="3">
        <v>1</v>
      </c>
      <c r="K7534" s="3">
        <v>24</v>
      </c>
      <c r="L7534" s="3">
        <v>1</v>
      </c>
      <c r="M7534" s="3">
        <v>0</v>
      </c>
      <c r="N7534" s="3">
        <v>22</v>
      </c>
      <c r="O7534" s="3"/>
      <c r="P7534" s="3"/>
      <c r="Q7534" s="3"/>
    </row>
    <row r="7535" spans="1:17" ht="15" x14ac:dyDescent="0.25">
      <c r="A7535" s="3">
        <f>7528</f>
        <v>7528</v>
      </c>
      <c r="B7535" s="3" t="s">
        <v>7537</v>
      </c>
      <c r="C7535" s="3" t="s">
        <v>10</v>
      </c>
      <c r="D7535" s="3" t="s">
        <v>9</v>
      </c>
      <c r="E7535" s="3">
        <v>24</v>
      </c>
      <c r="F7535" s="3">
        <v>70</v>
      </c>
      <c r="G7535" s="3">
        <v>1</v>
      </c>
      <c r="H7535" s="3">
        <v>5</v>
      </c>
      <c r="I7535" s="3">
        <v>21</v>
      </c>
      <c r="J7535" s="3">
        <v>1</v>
      </c>
      <c r="K7535" s="3">
        <v>24</v>
      </c>
      <c r="L7535" s="3">
        <v>1</v>
      </c>
      <c r="M7535" s="3">
        <v>0</v>
      </c>
      <c r="N7535" s="3">
        <v>22</v>
      </c>
      <c r="O7535" s="3"/>
      <c r="P7535" s="3"/>
      <c r="Q7535" s="3"/>
    </row>
    <row r="7536" spans="1:17" ht="15" x14ac:dyDescent="0.25">
      <c r="A7536" s="3">
        <f>7529</f>
        <v>7529</v>
      </c>
      <c r="B7536" s="3" t="s">
        <v>7538</v>
      </c>
      <c r="C7536" s="3" t="s">
        <v>10</v>
      </c>
      <c r="D7536" s="3" t="s">
        <v>9</v>
      </c>
      <c r="E7536" s="3">
        <v>24</v>
      </c>
      <c r="F7536" s="3">
        <v>70</v>
      </c>
      <c r="G7536" s="3">
        <v>1</v>
      </c>
      <c r="H7536" s="3">
        <v>5</v>
      </c>
      <c r="I7536" s="3">
        <v>21</v>
      </c>
      <c r="J7536" s="3">
        <v>1</v>
      </c>
      <c r="K7536" s="3">
        <v>24</v>
      </c>
      <c r="L7536" s="3">
        <v>1</v>
      </c>
      <c r="M7536" s="3">
        <v>0</v>
      </c>
      <c r="N7536" s="3">
        <v>22</v>
      </c>
      <c r="O7536" s="3"/>
      <c r="P7536" s="3"/>
      <c r="Q7536" s="3"/>
    </row>
    <row r="7537" spans="1:17" ht="15" x14ac:dyDescent="0.25">
      <c r="A7537" s="3">
        <f>7530</f>
        <v>7530</v>
      </c>
      <c r="B7537" s="3" t="s">
        <v>7539</v>
      </c>
      <c r="C7537" s="3" t="s">
        <v>10</v>
      </c>
      <c r="D7537" s="3" t="s">
        <v>9</v>
      </c>
      <c r="E7537" s="3">
        <v>24</v>
      </c>
      <c r="F7537" s="3">
        <v>70</v>
      </c>
      <c r="G7537" s="3">
        <v>1</v>
      </c>
      <c r="H7537" s="3">
        <v>5</v>
      </c>
      <c r="I7537" s="3">
        <v>21</v>
      </c>
      <c r="J7537" s="3">
        <v>1</v>
      </c>
      <c r="K7537" s="3">
        <v>24</v>
      </c>
      <c r="L7537" s="3">
        <v>1</v>
      </c>
      <c r="M7537" s="3">
        <v>0</v>
      </c>
      <c r="N7537" s="3">
        <v>22</v>
      </c>
      <c r="O7537" s="3"/>
      <c r="P7537" s="3"/>
      <c r="Q7537" s="3"/>
    </row>
    <row r="7538" spans="1:17" ht="15" x14ac:dyDescent="0.25">
      <c r="A7538" s="3">
        <f>7531</f>
        <v>7531</v>
      </c>
      <c r="B7538" s="3" t="s">
        <v>7540</v>
      </c>
      <c r="C7538" s="3" t="s">
        <v>10</v>
      </c>
      <c r="D7538" s="3" t="s">
        <v>9</v>
      </c>
      <c r="E7538" s="3">
        <v>24</v>
      </c>
      <c r="F7538" s="3">
        <v>70</v>
      </c>
      <c r="G7538" s="3">
        <v>1</v>
      </c>
      <c r="H7538" s="3">
        <v>5</v>
      </c>
      <c r="I7538" s="3">
        <v>21</v>
      </c>
      <c r="J7538" s="3">
        <v>1</v>
      </c>
      <c r="K7538" s="3">
        <v>24</v>
      </c>
      <c r="L7538" s="3">
        <v>1</v>
      </c>
      <c r="M7538" s="3">
        <v>0</v>
      </c>
      <c r="N7538" s="3">
        <v>22</v>
      </c>
      <c r="O7538" s="3"/>
      <c r="P7538" s="3"/>
      <c r="Q7538" s="3"/>
    </row>
    <row r="7539" spans="1:17" ht="15" x14ac:dyDescent="0.25">
      <c r="A7539" s="3">
        <f>7532</f>
        <v>7532</v>
      </c>
      <c r="B7539" s="3" t="s">
        <v>7541</v>
      </c>
      <c r="C7539" s="3" t="s">
        <v>10</v>
      </c>
      <c r="D7539" s="3" t="s">
        <v>9</v>
      </c>
      <c r="E7539" s="3">
        <v>24</v>
      </c>
      <c r="F7539" s="3">
        <v>70</v>
      </c>
      <c r="G7539" s="3">
        <v>1</v>
      </c>
      <c r="H7539" s="3">
        <v>5</v>
      </c>
      <c r="I7539" s="3">
        <v>21</v>
      </c>
      <c r="J7539" s="3">
        <v>1</v>
      </c>
      <c r="K7539" s="3">
        <v>24</v>
      </c>
      <c r="L7539" s="3">
        <v>1</v>
      </c>
      <c r="M7539" s="3">
        <v>0</v>
      </c>
      <c r="N7539" s="3">
        <v>22</v>
      </c>
      <c r="O7539" s="3"/>
      <c r="P7539" s="3"/>
      <c r="Q7539" s="3"/>
    </row>
    <row r="7540" spans="1:17" ht="15" x14ac:dyDescent="0.25">
      <c r="A7540" s="3">
        <f>7533</f>
        <v>7533</v>
      </c>
      <c r="B7540" s="3" t="s">
        <v>7542</v>
      </c>
      <c r="C7540" s="3" t="s">
        <v>10</v>
      </c>
      <c r="D7540" s="3" t="s">
        <v>9</v>
      </c>
      <c r="E7540" s="3">
        <v>24</v>
      </c>
      <c r="F7540" s="3">
        <v>70</v>
      </c>
      <c r="G7540" s="3">
        <v>1</v>
      </c>
      <c r="H7540" s="3">
        <v>5</v>
      </c>
      <c r="I7540" s="3">
        <v>21</v>
      </c>
      <c r="J7540" s="3">
        <v>1</v>
      </c>
      <c r="K7540" s="3">
        <v>24</v>
      </c>
      <c r="L7540" s="3">
        <v>1</v>
      </c>
      <c r="M7540" s="3">
        <v>0</v>
      </c>
      <c r="N7540" s="3">
        <v>22</v>
      </c>
      <c r="O7540" s="3"/>
      <c r="P7540" s="3"/>
      <c r="Q7540" s="3"/>
    </row>
    <row r="7541" spans="1:17" ht="15" x14ac:dyDescent="0.25">
      <c r="A7541" s="3">
        <f>7534</f>
        <v>7534</v>
      </c>
      <c r="B7541" s="3" t="s">
        <v>7543</v>
      </c>
      <c r="C7541" s="3" t="s">
        <v>10</v>
      </c>
      <c r="D7541" s="3" t="s">
        <v>9</v>
      </c>
      <c r="E7541" s="3">
        <v>24</v>
      </c>
      <c r="F7541" s="3">
        <v>70</v>
      </c>
      <c r="G7541" s="3">
        <v>1</v>
      </c>
      <c r="H7541" s="3">
        <v>5</v>
      </c>
      <c r="I7541" s="3">
        <v>21</v>
      </c>
      <c r="J7541" s="3">
        <v>1</v>
      </c>
      <c r="K7541" s="3">
        <v>24</v>
      </c>
      <c r="L7541" s="3">
        <v>1</v>
      </c>
      <c r="M7541" s="3">
        <v>0</v>
      </c>
      <c r="N7541" s="3">
        <v>22</v>
      </c>
      <c r="O7541" s="3"/>
      <c r="P7541" s="3"/>
      <c r="Q7541" s="3"/>
    </row>
    <row r="7542" spans="1:17" ht="15" x14ac:dyDescent="0.25">
      <c r="A7542" s="3">
        <f>7535</f>
        <v>7535</v>
      </c>
      <c r="B7542" s="3" t="s">
        <v>7544</v>
      </c>
      <c r="C7542" s="3" t="s">
        <v>10</v>
      </c>
      <c r="D7542" s="3" t="s">
        <v>9</v>
      </c>
      <c r="E7542" s="3">
        <v>24</v>
      </c>
      <c r="F7542" s="3">
        <v>70</v>
      </c>
      <c r="G7542" s="3">
        <v>1</v>
      </c>
      <c r="H7542" s="3">
        <v>5</v>
      </c>
      <c r="I7542" s="3">
        <v>21</v>
      </c>
      <c r="J7542" s="3">
        <v>1</v>
      </c>
      <c r="K7542" s="3">
        <v>24</v>
      </c>
      <c r="L7542" s="3">
        <v>1</v>
      </c>
      <c r="M7542" s="3">
        <v>0</v>
      </c>
      <c r="N7542" s="3">
        <v>22</v>
      </c>
      <c r="O7542" s="3"/>
      <c r="P7542" s="3"/>
      <c r="Q7542" s="3"/>
    </row>
    <row r="7543" spans="1:17" ht="15" x14ac:dyDescent="0.25">
      <c r="A7543" s="3">
        <f>7536</f>
        <v>7536</v>
      </c>
      <c r="B7543" s="3" t="s">
        <v>7545</v>
      </c>
      <c r="C7543" s="3" t="s">
        <v>10</v>
      </c>
      <c r="D7543" s="3" t="s">
        <v>9</v>
      </c>
      <c r="E7543" s="3">
        <v>24</v>
      </c>
      <c r="F7543" s="3">
        <v>70</v>
      </c>
      <c r="G7543" s="3">
        <v>1</v>
      </c>
      <c r="H7543" s="3">
        <v>5</v>
      </c>
      <c r="I7543" s="3">
        <v>21</v>
      </c>
      <c r="J7543" s="3">
        <v>1</v>
      </c>
      <c r="K7543" s="3">
        <v>24</v>
      </c>
      <c r="L7543" s="3">
        <v>1</v>
      </c>
      <c r="M7543" s="3">
        <v>0</v>
      </c>
      <c r="N7543" s="3">
        <v>22</v>
      </c>
      <c r="O7543" s="3"/>
      <c r="P7543" s="3"/>
      <c r="Q7543" s="3"/>
    </row>
    <row r="7544" spans="1:17" ht="15" x14ac:dyDescent="0.25">
      <c r="A7544" s="3">
        <f>7537</f>
        <v>7537</v>
      </c>
      <c r="B7544" s="3" t="s">
        <v>7546</v>
      </c>
      <c r="C7544" s="3" t="s">
        <v>10</v>
      </c>
      <c r="D7544" s="3" t="s">
        <v>9</v>
      </c>
      <c r="E7544" s="3">
        <v>24</v>
      </c>
      <c r="F7544" s="3">
        <v>70</v>
      </c>
      <c r="G7544" s="3">
        <v>1</v>
      </c>
      <c r="H7544" s="3">
        <v>5</v>
      </c>
      <c r="I7544" s="3">
        <v>21</v>
      </c>
      <c r="J7544" s="3">
        <v>1</v>
      </c>
      <c r="K7544" s="3">
        <v>24</v>
      </c>
      <c r="L7544" s="3">
        <v>1</v>
      </c>
      <c r="M7544" s="3">
        <v>0</v>
      </c>
      <c r="N7544" s="3">
        <v>22</v>
      </c>
      <c r="O7544" s="3"/>
      <c r="P7544" s="3"/>
      <c r="Q7544" s="3"/>
    </row>
    <row r="7545" spans="1:17" ht="15" x14ac:dyDescent="0.25">
      <c r="A7545" s="3">
        <f>7538</f>
        <v>7538</v>
      </c>
      <c r="B7545" s="3" t="s">
        <v>7547</v>
      </c>
      <c r="C7545" s="3" t="s">
        <v>10</v>
      </c>
      <c r="D7545" s="3" t="s">
        <v>9</v>
      </c>
      <c r="E7545" s="3">
        <v>24</v>
      </c>
      <c r="F7545" s="3">
        <v>70</v>
      </c>
      <c r="G7545" s="3">
        <v>1</v>
      </c>
      <c r="H7545" s="3">
        <v>5</v>
      </c>
      <c r="I7545" s="3">
        <v>21</v>
      </c>
      <c r="J7545" s="3">
        <v>1</v>
      </c>
      <c r="K7545" s="3">
        <v>24</v>
      </c>
      <c r="L7545" s="3">
        <v>1</v>
      </c>
      <c r="M7545" s="3">
        <v>0</v>
      </c>
      <c r="N7545" s="3">
        <v>22</v>
      </c>
      <c r="O7545" s="3"/>
      <c r="P7545" s="3"/>
      <c r="Q7545" s="3"/>
    </row>
    <row r="7546" spans="1:17" ht="15" x14ac:dyDescent="0.25">
      <c r="A7546" s="3">
        <f>7539</f>
        <v>7539</v>
      </c>
      <c r="B7546" s="3" t="s">
        <v>7548</v>
      </c>
      <c r="C7546" s="3" t="s">
        <v>10</v>
      </c>
      <c r="D7546" s="3" t="s">
        <v>9</v>
      </c>
      <c r="E7546" s="3">
        <v>24</v>
      </c>
      <c r="F7546" s="3">
        <v>70</v>
      </c>
      <c r="G7546" s="3">
        <v>1</v>
      </c>
      <c r="H7546" s="3">
        <v>5</v>
      </c>
      <c r="I7546" s="3">
        <v>21</v>
      </c>
      <c r="J7546" s="3">
        <v>1</v>
      </c>
      <c r="K7546" s="3">
        <v>24</v>
      </c>
      <c r="L7546" s="3">
        <v>1</v>
      </c>
      <c r="M7546" s="3">
        <v>0</v>
      </c>
      <c r="N7546" s="3">
        <v>22</v>
      </c>
      <c r="O7546" s="3"/>
      <c r="P7546" s="3"/>
      <c r="Q7546" s="3"/>
    </row>
    <row r="7547" spans="1:17" ht="15" x14ac:dyDescent="0.25">
      <c r="A7547" s="3">
        <f>7540</f>
        <v>7540</v>
      </c>
      <c r="B7547" s="3" t="s">
        <v>7549</v>
      </c>
      <c r="C7547" s="3" t="s">
        <v>10</v>
      </c>
      <c r="D7547" s="3" t="s">
        <v>9</v>
      </c>
      <c r="E7547" s="3">
        <v>24</v>
      </c>
      <c r="F7547" s="3">
        <v>70</v>
      </c>
      <c r="G7547" s="3">
        <v>1</v>
      </c>
      <c r="H7547" s="3">
        <v>5</v>
      </c>
      <c r="I7547" s="3">
        <v>21</v>
      </c>
      <c r="J7547" s="3">
        <v>1</v>
      </c>
      <c r="K7547" s="3">
        <v>24</v>
      </c>
      <c r="L7547" s="3">
        <v>1</v>
      </c>
      <c r="M7547" s="3">
        <v>0</v>
      </c>
      <c r="N7547" s="3">
        <v>22</v>
      </c>
      <c r="O7547" s="3"/>
      <c r="P7547" s="3"/>
      <c r="Q7547" s="3"/>
    </row>
    <row r="7548" spans="1:17" ht="15" x14ac:dyDescent="0.25">
      <c r="A7548" s="3">
        <f>7541</f>
        <v>7541</v>
      </c>
      <c r="B7548" s="3" t="s">
        <v>7550</v>
      </c>
      <c r="C7548" s="3" t="s">
        <v>10</v>
      </c>
      <c r="D7548" s="3" t="s">
        <v>9</v>
      </c>
      <c r="E7548" s="3">
        <v>24</v>
      </c>
      <c r="F7548" s="3">
        <v>70</v>
      </c>
      <c r="G7548" s="3">
        <v>1</v>
      </c>
      <c r="H7548" s="3">
        <v>5</v>
      </c>
      <c r="I7548" s="3">
        <v>21</v>
      </c>
      <c r="J7548" s="3">
        <v>1</v>
      </c>
      <c r="K7548" s="3">
        <v>24</v>
      </c>
      <c r="L7548" s="3">
        <v>1</v>
      </c>
      <c r="M7548" s="3">
        <v>0</v>
      </c>
      <c r="N7548" s="3">
        <v>22</v>
      </c>
      <c r="O7548" s="3"/>
      <c r="P7548" s="3"/>
      <c r="Q7548" s="3"/>
    </row>
    <row r="7549" spans="1:17" ht="15" x14ac:dyDescent="0.25">
      <c r="A7549" s="3">
        <f>7542</f>
        <v>7542</v>
      </c>
      <c r="B7549" s="3" t="s">
        <v>7551</v>
      </c>
      <c r="C7549" s="3" t="s">
        <v>10</v>
      </c>
      <c r="D7549" s="3" t="s">
        <v>9</v>
      </c>
      <c r="E7549" s="3">
        <v>24</v>
      </c>
      <c r="F7549" s="3">
        <v>70</v>
      </c>
      <c r="G7549" s="3">
        <v>1</v>
      </c>
      <c r="H7549" s="3">
        <v>5</v>
      </c>
      <c r="I7549" s="3">
        <v>21</v>
      </c>
      <c r="J7549" s="3">
        <v>1</v>
      </c>
      <c r="K7549" s="3">
        <v>24</v>
      </c>
      <c r="L7549" s="3">
        <v>1</v>
      </c>
      <c r="M7549" s="3">
        <v>0</v>
      </c>
      <c r="N7549" s="3">
        <v>22</v>
      </c>
      <c r="O7549" s="3"/>
      <c r="P7549" s="3"/>
      <c r="Q7549" s="3"/>
    </row>
    <row r="7550" spans="1:17" ht="15" x14ac:dyDescent="0.25">
      <c r="A7550" s="3">
        <f>7543</f>
        <v>7543</v>
      </c>
      <c r="B7550" s="3" t="s">
        <v>7552</v>
      </c>
      <c r="C7550" s="3" t="s">
        <v>10</v>
      </c>
      <c r="D7550" s="3" t="s">
        <v>9</v>
      </c>
      <c r="E7550" s="3">
        <v>24</v>
      </c>
      <c r="F7550" s="3">
        <v>70</v>
      </c>
      <c r="G7550" s="3">
        <v>1</v>
      </c>
      <c r="H7550" s="3">
        <v>5</v>
      </c>
      <c r="I7550" s="3">
        <v>21</v>
      </c>
      <c r="J7550" s="3">
        <v>1</v>
      </c>
      <c r="K7550" s="3">
        <v>24</v>
      </c>
      <c r="L7550" s="3">
        <v>1</v>
      </c>
      <c r="M7550" s="3">
        <v>0</v>
      </c>
      <c r="N7550" s="3">
        <v>22</v>
      </c>
      <c r="O7550" s="3"/>
      <c r="P7550" s="3"/>
      <c r="Q7550" s="3"/>
    </row>
    <row r="7551" spans="1:17" ht="15" x14ac:dyDescent="0.25">
      <c r="A7551" s="3">
        <f>7544</f>
        <v>7544</v>
      </c>
      <c r="B7551" s="3" t="s">
        <v>7553</v>
      </c>
      <c r="C7551" s="3" t="s">
        <v>10</v>
      </c>
      <c r="D7551" s="3" t="s">
        <v>9</v>
      </c>
      <c r="E7551" s="3">
        <v>24</v>
      </c>
      <c r="F7551" s="3">
        <v>70</v>
      </c>
      <c r="G7551" s="3">
        <v>1</v>
      </c>
      <c r="H7551" s="3">
        <v>5</v>
      </c>
      <c r="I7551" s="3">
        <v>21</v>
      </c>
      <c r="J7551" s="3">
        <v>1</v>
      </c>
      <c r="K7551" s="3">
        <v>24</v>
      </c>
      <c r="L7551" s="3">
        <v>1</v>
      </c>
      <c r="M7551" s="3">
        <v>0</v>
      </c>
      <c r="N7551" s="3">
        <v>22</v>
      </c>
      <c r="O7551" s="3"/>
      <c r="P7551" s="3"/>
      <c r="Q7551" s="3"/>
    </row>
    <row r="7552" spans="1:17" ht="15" x14ac:dyDescent="0.25">
      <c r="A7552" s="3">
        <f>7545</f>
        <v>7545</v>
      </c>
      <c r="B7552" s="3" t="s">
        <v>7554</v>
      </c>
      <c r="C7552" s="3" t="s">
        <v>10</v>
      </c>
      <c r="D7552" s="3" t="s">
        <v>9</v>
      </c>
      <c r="E7552" s="3">
        <v>24</v>
      </c>
      <c r="F7552" s="3">
        <v>70</v>
      </c>
      <c r="G7552" s="3">
        <v>1</v>
      </c>
      <c r="H7552" s="3">
        <v>5</v>
      </c>
      <c r="I7552" s="3">
        <v>21</v>
      </c>
      <c r="J7552" s="3">
        <v>1</v>
      </c>
      <c r="K7552" s="3">
        <v>24</v>
      </c>
      <c r="L7552" s="3">
        <v>1</v>
      </c>
      <c r="M7552" s="3">
        <v>0</v>
      </c>
      <c r="N7552" s="3">
        <v>22</v>
      </c>
      <c r="O7552" s="3"/>
      <c r="P7552" s="3"/>
      <c r="Q7552" s="3"/>
    </row>
    <row r="7553" spans="1:17" ht="15" x14ac:dyDescent="0.25">
      <c r="A7553" s="3">
        <f>7546</f>
        <v>7546</v>
      </c>
      <c r="B7553" s="3" t="s">
        <v>7555</v>
      </c>
      <c r="C7553" s="3" t="s">
        <v>10</v>
      </c>
      <c r="D7553" s="3" t="s">
        <v>9</v>
      </c>
      <c r="E7553" s="3">
        <v>24</v>
      </c>
      <c r="F7553" s="3">
        <v>70</v>
      </c>
      <c r="G7553" s="3">
        <v>1</v>
      </c>
      <c r="H7553" s="3">
        <v>5</v>
      </c>
      <c r="I7553" s="3">
        <v>21</v>
      </c>
      <c r="J7553" s="3">
        <v>1</v>
      </c>
      <c r="K7553" s="3">
        <v>24</v>
      </c>
      <c r="L7553" s="3">
        <v>1</v>
      </c>
      <c r="M7553" s="3">
        <v>0</v>
      </c>
      <c r="N7553" s="3">
        <v>22</v>
      </c>
      <c r="O7553" s="3"/>
      <c r="P7553" s="3"/>
      <c r="Q7553" s="3"/>
    </row>
    <row r="7554" spans="1:17" ht="15" x14ac:dyDescent="0.25">
      <c r="A7554" s="3">
        <f>7547</f>
        <v>7547</v>
      </c>
      <c r="B7554" s="3" t="s">
        <v>7556</v>
      </c>
      <c r="C7554" s="3" t="s">
        <v>10</v>
      </c>
      <c r="D7554" s="3" t="s">
        <v>9</v>
      </c>
      <c r="E7554" s="3">
        <v>24</v>
      </c>
      <c r="F7554" s="3">
        <v>70</v>
      </c>
      <c r="G7554" s="3">
        <v>1</v>
      </c>
      <c r="H7554" s="3">
        <v>5</v>
      </c>
      <c r="I7554" s="3">
        <v>21</v>
      </c>
      <c r="J7554" s="3">
        <v>1</v>
      </c>
      <c r="K7554" s="3">
        <v>24</v>
      </c>
      <c r="L7554" s="3">
        <v>1</v>
      </c>
      <c r="M7554" s="3">
        <v>0</v>
      </c>
      <c r="N7554" s="3">
        <v>22</v>
      </c>
      <c r="O7554" s="3"/>
      <c r="P7554" s="3"/>
      <c r="Q7554" s="3"/>
    </row>
    <row r="7555" spans="1:17" ht="15" x14ac:dyDescent="0.25">
      <c r="A7555" s="3">
        <f>7548</f>
        <v>7548</v>
      </c>
      <c r="B7555" s="3" t="s">
        <v>7557</v>
      </c>
      <c r="C7555" s="3" t="s">
        <v>10</v>
      </c>
      <c r="D7555" s="3" t="s">
        <v>9</v>
      </c>
      <c r="E7555" s="3">
        <v>24</v>
      </c>
      <c r="F7555" s="3">
        <v>70</v>
      </c>
      <c r="G7555" s="3">
        <v>1</v>
      </c>
      <c r="H7555" s="3">
        <v>5</v>
      </c>
      <c r="I7555" s="3">
        <v>21</v>
      </c>
      <c r="J7555" s="3">
        <v>1</v>
      </c>
      <c r="K7555" s="3">
        <v>24</v>
      </c>
      <c r="L7555" s="3">
        <v>1</v>
      </c>
      <c r="M7555" s="3">
        <v>0</v>
      </c>
      <c r="N7555" s="3">
        <v>22</v>
      </c>
      <c r="O7555" s="3"/>
      <c r="P7555" s="3"/>
      <c r="Q7555" s="3"/>
    </row>
    <row r="7556" spans="1:17" ht="15" x14ac:dyDescent="0.25">
      <c r="A7556" s="3">
        <f>7549</f>
        <v>7549</v>
      </c>
      <c r="B7556" s="3" t="s">
        <v>7558</v>
      </c>
      <c r="C7556" s="3" t="s">
        <v>10</v>
      </c>
      <c r="D7556" s="3" t="s">
        <v>9</v>
      </c>
      <c r="E7556" s="3">
        <v>24</v>
      </c>
      <c r="F7556" s="3">
        <v>70</v>
      </c>
      <c r="G7556" s="3">
        <v>1</v>
      </c>
      <c r="H7556" s="3">
        <v>5</v>
      </c>
      <c r="I7556" s="3">
        <v>21</v>
      </c>
      <c r="J7556" s="3">
        <v>1</v>
      </c>
      <c r="K7556" s="3">
        <v>24</v>
      </c>
      <c r="L7556" s="3">
        <v>1</v>
      </c>
      <c r="M7556" s="3">
        <v>0</v>
      </c>
      <c r="N7556" s="3">
        <v>22</v>
      </c>
      <c r="O7556" s="3"/>
      <c r="P7556" s="3"/>
      <c r="Q7556" s="3"/>
    </row>
    <row r="7557" spans="1:17" ht="15" x14ac:dyDescent="0.25">
      <c r="A7557" s="3">
        <f>7550</f>
        <v>7550</v>
      </c>
      <c r="B7557" s="3" t="s">
        <v>7559</v>
      </c>
      <c r="C7557" s="3" t="s">
        <v>10</v>
      </c>
      <c r="D7557" s="3" t="s">
        <v>9</v>
      </c>
      <c r="E7557" s="3">
        <v>24</v>
      </c>
      <c r="F7557" s="3">
        <v>70</v>
      </c>
      <c r="G7557" s="3">
        <v>1</v>
      </c>
      <c r="H7557" s="3">
        <v>5</v>
      </c>
      <c r="I7557" s="3">
        <v>21</v>
      </c>
      <c r="J7557" s="3">
        <v>1</v>
      </c>
      <c r="K7557" s="3">
        <v>24</v>
      </c>
      <c r="L7557" s="3">
        <v>1</v>
      </c>
      <c r="M7557" s="3">
        <v>0</v>
      </c>
      <c r="N7557" s="3">
        <v>22</v>
      </c>
      <c r="O7557" s="3"/>
      <c r="P7557" s="3"/>
      <c r="Q7557" s="3"/>
    </row>
    <row r="7558" spans="1:17" ht="15" x14ac:dyDescent="0.25">
      <c r="A7558" s="3">
        <f>7551</f>
        <v>7551</v>
      </c>
      <c r="B7558" s="3" t="s">
        <v>7560</v>
      </c>
      <c r="C7558" s="3" t="s">
        <v>10</v>
      </c>
      <c r="D7558" s="3" t="s">
        <v>9</v>
      </c>
      <c r="E7558" s="3">
        <v>24</v>
      </c>
      <c r="F7558" s="3">
        <v>70</v>
      </c>
      <c r="G7558" s="3">
        <v>1</v>
      </c>
      <c r="H7558" s="3">
        <v>5</v>
      </c>
      <c r="I7558" s="3">
        <v>21</v>
      </c>
      <c r="J7558" s="3">
        <v>1</v>
      </c>
      <c r="K7558" s="3">
        <v>24</v>
      </c>
      <c r="L7558" s="3">
        <v>1</v>
      </c>
      <c r="M7558" s="3">
        <v>0</v>
      </c>
      <c r="N7558" s="3">
        <v>22</v>
      </c>
      <c r="O7558" s="3"/>
      <c r="P7558" s="3"/>
      <c r="Q7558" s="3"/>
    </row>
    <row r="7559" spans="1:17" ht="15" x14ac:dyDescent="0.25">
      <c r="A7559" s="3">
        <f>7552</f>
        <v>7552</v>
      </c>
      <c r="B7559" s="3" t="s">
        <v>7561</v>
      </c>
      <c r="C7559" s="3" t="s">
        <v>10</v>
      </c>
      <c r="D7559" s="3" t="s">
        <v>9</v>
      </c>
      <c r="E7559" s="3">
        <v>24</v>
      </c>
      <c r="F7559" s="3">
        <v>70</v>
      </c>
      <c r="G7559" s="3">
        <v>1</v>
      </c>
      <c r="H7559" s="3">
        <v>5</v>
      </c>
      <c r="I7559" s="3">
        <v>21</v>
      </c>
      <c r="J7559" s="3">
        <v>1</v>
      </c>
      <c r="K7559" s="3">
        <v>24</v>
      </c>
      <c r="L7559" s="3">
        <v>1</v>
      </c>
      <c r="M7559" s="3">
        <v>0</v>
      </c>
      <c r="N7559" s="3">
        <v>22</v>
      </c>
      <c r="O7559" s="3"/>
      <c r="P7559" s="3"/>
      <c r="Q7559" s="3"/>
    </row>
    <row r="7560" spans="1:17" ht="15" x14ac:dyDescent="0.25">
      <c r="A7560" s="3">
        <f>7553</f>
        <v>7553</v>
      </c>
      <c r="B7560" s="3" t="s">
        <v>7562</v>
      </c>
      <c r="C7560" s="3" t="s">
        <v>10</v>
      </c>
      <c r="D7560" s="3" t="s">
        <v>9</v>
      </c>
      <c r="E7560" s="3">
        <v>24</v>
      </c>
      <c r="F7560" s="3">
        <v>70</v>
      </c>
      <c r="G7560" s="3">
        <v>1</v>
      </c>
      <c r="H7560" s="3">
        <v>5</v>
      </c>
      <c r="I7560" s="3">
        <v>21</v>
      </c>
      <c r="J7560" s="3">
        <v>1</v>
      </c>
      <c r="K7560" s="3">
        <v>24</v>
      </c>
      <c r="L7560" s="3">
        <v>1</v>
      </c>
      <c r="M7560" s="3">
        <v>0</v>
      </c>
      <c r="N7560" s="3">
        <v>22</v>
      </c>
      <c r="O7560" s="3"/>
      <c r="P7560" s="3"/>
      <c r="Q7560" s="3"/>
    </row>
    <row r="7561" spans="1:17" ht="15" x14ac:dyDescent="0.25">
      <c r="A7561" s="3">
        <f>7554</f>
        <v>7554</v>
      </c>
      <c r="B7561" s="3" t="s">
        <v>7563</v>
      </c>
      <c r="C7561" s="3" t="s">
        <v>10</v>
      </c>
      <c r="D7561" s="3" t="s">
        <v>9</v>
      </c>
      <c r="E7561" s="3">
        <v>24</v>
      </c>
      <c r="F7561" s="3">
        <v>70</v>
      </c>
      <c r="G7561" s="3">
        <v>1</v>
      </c>
      <c r="H7561" s="3">
        <v>5</v>
      </c>
      <c r="I7561" s="3">
        <v>21</v>
      </c>
      <c r="J7561" s="3">
        <v>1</v>
      </c>
      <c r="K7561" s="3">
        <v>24</v>
      </c>
      <c r="L7561" s="3">
        <v>1</v>
      </c>
      <c r="M7561" s="3">
        <v>0</v>
      </c>
      <c r="N7561" s="3">
        <v>22</v>
      </c>
      <c r="O7561" s="3"/>
      <c r="P7561" s="3"/>
      <c r="Q7561" s="3"/>
    </row>
    <row r="7562" spans="1:17" ht="15" x14ac:dyDescent="0.25">
      <c r="A7562" s="3">
        <f>7555</f>
        <v>7555</v>
      </c>
      <c r="B7562" s="3" t="s">
        <v>7564</v>
      </c>
      <c r="C7562" s="3" t="s">
        <v>10</v>
      </c>
      <c r="D7562" s="3" t="s">
        <v>9</v>
      </c>
      <c r="E7562" s="3">
        <v>24</v>
      </c>
      <c r="F7562" s="3">
        <v>70</v>
      </c>
      <c r="G7562" s="3">
        <v>1</v>
      </c>
      <c r="H7562" s="3">
        <v>5</v>
      </c>
      <c r="I7562" s="3">
        <v>21</v>
      </c>
      <c r="J7562" s="3">
        <v>1</v>
      </c>
      <c r="K7562" s="3">
        <v>24</v>
      </c>
      <c r="L7562" s="3">
        <v>1</v>
      </c>
      <c r="M7562" s="3">
        <v>0</v>
      </c>
      <c r="N7562" s="3">
        <v>22</v>
      </c>
      <c r="O7562" s="3"/>
      <c r="P7562" s="3"/>
      <c r="Q7562" s="3"/>
    </row>
    <row r="7563" spans="1:17" ht="15" x14ac:dyDescent="0.25">
      <c r="A7563" s="3">
        <f>7556</f>
        <v>7556</v>
      </c>
      <c r="B7563" s="3" t="s">
        <v>7565</v>
      </c>
      <c r="C7563" s="3" t="s">
        <v>10</v>
      </c>
      <c r="D7563" s="3" t="s">
        <v>9</v>
      </c>
      <c r="E7563" s="3">
        <v>24</v>
      </c>
      <c r="F7563" s="3">
        <v>70</v>
      </c>
      <c r="G7563" s="3">
        <v>1</v>
      </c>
      <c r="H7563" s="3">
        <v>5</v>
      </c>
      <c r="I7563" s="3">
        <v>21</v>
      </c>
      <c r="J7563" s="3">
        <v>1</v>
      </c>
      <c r="K7563" s="3">
        <v>24</v>
      </c>
      <c r="L7563" s="3">
        <v>1</v>
      </c>
      <c r="M7563" s="3">
        <v>0</v>
      </c>
      <c r="N7563" s="3">
        <v>22</v>
      </c>
      <c r="O7563" s="3"/>
      <c r="P7563" s="3"/>
      <c r="Q7563" s="3"/>
    </row>
    <row r="7564" spans="1:17" ht="15" x14ac:dyDescent="0.25">
      <c r="A7564" s="3">
        <f>7557</f>
        <v>7557</v>
      </c>
      <c r="B7564" s="3" t="s">
        <v>7566</v>
      </c>
      <c r="C7564" s="3" t="s">
        <v>10</v>
      </c>
      <c r="D7564" s="3" t="s">
        <v>9</v>
      </c>
      <c r="E7564" s="3">
        <v>24</v>
      </c>
      <c r="F7564" s="3">
        <v>70</v>
      </c>
      <c r="G7564" s="3">
        <v>1</v>
      </c>
      <c r="H7564" s="3">
        <v>5</v>
      </c>
      <c r="I7564" s="3">
        <v>21</v>
      </c>
      <c r="J7564" s="3">
        <v>1</v>
      </c>
      <c r="K7564" s="3">
        <v>24</v>
      </c>
      <c r="L7564" s="3">
        <v>1</v>
      </c>
      <c r="M7564" s="3">
        <v>0</v>
      </c>
      <c r="N7564" s="3">
        <v>22</v>
      </c>
      <c r="O7564" s="3"/>
      <c r="P7564" s="3"/>
      <c r="Q7564" s="3"/>
    </row>
    <row r="7565" spans="1:17" ht="15" x14ac:dyDescent="0.25">
      <c r="A7565" s="3">
        <f>7558</f>
        <v>7558</v>
      </c>
      <c r="B7565" s="3" t="s">
        <v>7567</v>
      </c>
      <c r="C7565" s="3" t="s">
        <v>10</v>
      </c>
      <c r="D7565" s="3" t="s">
        <v>9</v>
      </c>
      <c r="E7565" s="3">
        <v>24</v>
      </c>
      <c r="F7565" s="3">
        <v>70</v>
      </c>
      <c r="G7565" s="3">
        <v>1</v>
      </c>
      <c r="H7565" s="3">
        <v>5</v>
      </c>
      <c r="I7565" s="3">
        <v>21</v>
      </c>
      <c r="J7565" s="3">
        <v>1</v>
      </c>
      <c r="K7565" s="3">
        <v>24</v>
      </c>
      <c r="L7565" s="3">
        <v>1</v>
      </c>
      <c r="M7565" s="3">
        <v>0</v>
      </c>
      <c r="N7565" s="3">
        <v>22</v>
      </c>
      <c r="O7565" s="3"/>
      <c r="P7565" s="3"/>
      <c r="Q7565" s="3"/>
    </row>
    <row r="7566" spans="1:17" ht="15" x14ac:dyDescent="0.25">
      <c r="A7566" s="3">
        <f>7559</f>
        <v>7559</v>
      </c>
      <c r="B7566" s="3" t="s">
        <v>7568</v>
      </c>
      <c r="C7566" s="3" t="s">
        <v>10</v>
      </c>
      <c r="D7566" s="3" t="s">
        <v>9</v>
      </c>
      <c r="E7566" s="3">
        <v>24</v>
      </c>
      <c r="F7566" s="3">
        <v>70</v>
      </c>
      <c r="G7566" s="3">
        <v>1</v>
      </c>
      <c r="H7566" s="3">
        <v>5</v>
      </c>
      <c r="I7566" s="3">
        <v>21</v>
      </c>
      <c r="J7566" s="3">
        <v>1</v>
      </c>
      <c r="K7566" s="3">
        <v>24</v>
      </c>
      <c r="L7566" s="3">
        <v>1</v>
      </c>
      <c r="M7566" s="3">
        <v>0</v>
      </c>
      <c r="N7566" s="3">
        <v>22</v>
      </c>
      <c r="O7566" s="3"/>
      <c r="P7566" s="3"/>
      <c r="Q7566" s="3"/>
    </row>
    <row r="7567" spans="1:17" ht="15" x14ac:dyDescent="0.25">
      <c r="A7567" s="3">
        <f>7560</f>
        <v>7560</v>
      </c>
      <c r="B7567" s="3" t="s">
        <v>7569</v>
      </c>
      <c r="C7567" s="3" t="s">
        <v>10</v>
      </c>
      <c r="D7567" s="3" t="s">
        <v>9</v>
      </c>
      <c r="E7567" s="3">
        <v>24</v>
      </c>
      <c r="F7567" s="3">
        <v>70</v>
      </c>
      <c r="G7567" s="3">
        <v>1</v>
      </c>
      <c r="H7567" s="3">
        <v>5</v>
      </c>
      <c r="I7567" s="3">
        <v>21</v>
      </c>
      <c r="J7567" s="3">
        <v>1</v>
      </c>
      <c r="K7567" s="3">
        <v>24</v>
      </c>
      <c r="L7567" s="3">
        <v>1</v>
      </c>
      <c r="M7567" s="3">
        <v>0</v>
      </c>
      <c r="N7567" s="3">
        <v>22</v>
      </c>
      <c r="O7567" s="3"/>
      <c r="P7567" s="3"/>
      <c r="Q7567" s="3"/>
    </row>
    <row r="7568" spans="1:17" ht="15" x14ac:dyDescent="0.25">
      <c r="A7568" s="3">
        <f>7561</f>
        <v>7561</v>
      </c>
      <c r="B7568" s="3" t="s">
        <v>7570</v>
      </c>
      <c r="C7568" s="3" t="s">
        <v>10</v>
      </c>
      <c r="D7568" s="3" t="s">
        <v>9</v>
      </c>
      <c r="E7568" s="3">
        <v>24</v>
      </c>
      <c r="F7568" s="3">
        <v>70</v>
      </c>
      <c r="G7568" s="3">
        <v>1</v>
      </c>
      <c r="H7568" s="3">
        <v>5</v>
      </c>
      <c r="I7568" s="3">
        <v>21</v>
      </c>
      <c r="J7568" s="3">
        <v>1</v>
      </c>
      <c r="K7568" s="3">
        <v>24</v>
      </c>
      <c r="L7568" s="3">
        <v>1</v>
      </c>
      <c r="M7568" s="3">
        <v>0</v>
      </c>
      <c r="N7568" s="3">
        <v>22</v>
      </c>
      <c r="O7568" s="3"/>
      <c r="P7568" s="3"/>
      <c r="Q7568" s="3"/>
    </row>
    <row r="7569" spans="1:17" ht="15" x14ac:dyDescent="0.25">
      <c r="A7569" s="3">
        <f>7562</f>
        <v>7562</v>
      </c>
      <c r="B7569" s="3" t="s">
        <v>7571</v>
      </c>
      <c r="C7569" s="3" t="s">
        <v>10</v>
      </c>
      <c r="D7569" s="3" t="s">
        <v>9</v>
      </c>
      <c r="E7569" s="3">
        <v>24</v>
      </c>
      <c r="F7569" s="3">
        <v>70</v>
      </c>
      <c r="G7569" s="3">
        <v>1</v>
      </c>
      <c r="H7569" s="3">
        <v>5</v>
      </c>
      <c r="I7569" s="3">
        <v>21</v>
      </c>
      <c r="J7569" s="3">
        <v>1</v>
      </c>
      <c r="K7569" s="3">
        <v>24</v>
      </c>
      <c r="L7569" s="3">
        <v>1</v>
      </c>
      <c r="M7569" s="3">
        <v>0</v>
      </c>
      <c r="N7569" s="3">
        <v>22</v>
      </c>
      <c r="O7569" s="3"/>
      <c r="P7569" s="3"/>
      <c r="Q7569" s="3"/>
    </row>
    <row r="7570" spans="1:17" ht="15" x14ac:dyDescent="0.25">
      <c r="A7570" s="3">
        <f>7563</f>
        <v>7563</v>
      </c>
      <c r="B7570" s="3" t="s">
        <v>7572</v>
      </c>
      <c r="C7570" s="3" t="s">
        <v>10</v>
      </c>
      <c r="D7570" s="3" t="s">
        <v>9</v>
      </c>
      <c r="E7570" s="3">
        <v>24</v>
      </c>
      <c r="F7570" s="3">
        <v>70</v>
      </c>
      <c r="G7570" s="3">
        <v>1</v>
      </c>
      <c r="H7570" s="3">
        <v>5</v>
      </c>
      <c r="I7570" s="3">
        <v>21</v>
      </c>
      <c r="J7570" s="3">
        <v>1</v>
      </c>
      <c r="K7570" s="3">
        <v>24</v>
      </c>
      <c r="L7570" s="3">
        <v>1</v>
      </c>
      <c r="M7570" s="3">
        <v>0</v>
      </c>
      <c r="N7570" s="3">
        <v>22</v>
      </c>
      <c r="O7570" s="3"/>
      <c r="P7570" s="3"/>
      <c r="Q7570" s="3"/>
    </row>
    <row r="7571" spans="1:17" ht="15" x14ac:dyDescent="0.25">
      <c r="A7571" s="3">
        <f>7564</f>
        <v>7564</v>
      </c>
      <c r="B7571" s="3" t="s">
        <v>7573</v>
      </c>
      <c r="C7571" s="3" t="s">
        <v>10</v>
      </c>
      <c r="D7571" s="3" t="s">
        <v>9</v>
      </c>
      <c r="E7571" s="3">
        <v>24</v>
      </c>
      <c r="F7571" s="3">
        <v>70</v>
      </c>
      <c r="G7571" s="3">
        <v>1</v>
      </c>
      <c r="H7571" s="3">
        <v>5</v>
      </c>
      <c r="I7571" s="3">
        <v>21</v>
      </c>
      <c r="J7571" s="3">
        <v>1</v>
      </c>
      <c r="K7571" s="3">
        <v>24</v>
      </c>
      <c r="L7571" s="3">
        <v>1</v>
      </c>
      <c r="M7571" s="3">
        <v>0</v>
      </c>
      <c r="N7571" s="3">
        <v>22</v>
      </c>
      <c r="O7571" s="3"/>
      <c r="P7571" s="3"/>
      <c r="Q7571" s="3"/>
    </row>
    <row r="7572" spans="1:17" ht="15" x14ac:dyDescent="0.25">
      <c r="A7572" s="3">
        <f>7565</f>
        <v>7565</v>
      </c>
      <c r="B7572" s="3" t="s">
        <v>7574</v>
      </c>
      <c r="C7572" s="3" t="s">
        <v>10</v>
      </c>
      <c r="D7572" s="3" t="s">
        <v>9</v>
      </c>
      <c r="E7572" s="3">
        <v>24</v>
      </c>
      <c r="F7572" s="3">
        <v>70</v>
      </c>
      <c r="G7572" s="3">
        <v>1</v>
      </c>
      <c r="H7572" s="3">
        <v>5</v>
      </c>
      <c r="I7572" s="3">
        <v>21</v>
      </c>
      <c r="J7572" s="3">
        <v>1</v>
      </c>
      <c r="K7572" s="3">
        <v>24</v>
      </c>
      <c r="L7572" s="3">
        <v>1</v>
      </c>
      <c r="M7572" s="3">
        <v>0</v>
      </c>
      <c r="N7572" s="3">
        <v>22</v>
      </c>
      <c r="O7572" s="3"/>
      <c r="P7572" s="3"/>
      <c r="Q7572" s="3"/>
    </row>
    <row r="7573" spans="1:17" ht="15" x14ac:dyDescent="0.25">
      <c r="A7573" s="3">
        <f>7566</f>
        <v>7566</v>
      </c>
      <c r="B7573" s="3" t="s">
        <v>7575</v>
      </c>
      <c r="C7573" s="3" t="s">
        <v>10</v>
      </c>
      <c r="D7573" s="3" t="s">
        <v>9</v>
      </c>
      <c r="E7573" s="3">
        <v>24</v>
      </c>
      <c r="F7573" s="3">
        <v>70</v>
      </c>
      <c r="G7573" s="3">
        <v>1</v>
      </c>
      <c r="H7573" s="3">
        <v>5</v>
      </c>
      <c r="I7573" s="3">
        <v>21</v>
      </c>
      <c r="J7573" s="3">
        <v>1</v>
      </c>
      <c r="K7573" s="3">
        <v>24</v>
      </c>
      <c r="L7573" s="3">
        <v>1</v>
      </c>
      <c r="M7573" s="3">
        <v>0</v>
      </c>
      <c r="N7573" s="3">
        <v>22</v>
      </c>
      <c r="O7573" s="3"/>
      <c r="P7573" s="3"/>
      <c r="Q7573" s="3"/>
    </row>
    <row r="7574" spans="1:17" ht="15" x14ac:dyDescent="0.25">
      <c r="A7574" s="3">
        <f>7567</f>
        <v>7567</v>
      </c>
      <c r="B7574" s="3" t="s">
        <v>7576</v>
      </c>
      <c r="C7574" s="3" t="s">
        <v>10</v>
      </c>
      <c r="D7574" s="3" t="s">
        <v>9</v>
      </c>
      <c r="E7574" s="3">
        <v>24</v>
      </c>
      <c r="F7574" s="3">
        <v>70</v>
      </c>
      <c r="G7574" s="3">
        <v>1</v>
      </c>
      <c r="H7574" s="3">
        <v>5</v>
      </c>
      <c r="I7574" s="3">
        <v>21</v>
      </c>
      <c r="J7574" s="3">
        <v>1</v>
      </c>
      <c r="K7574" s="3">
        <v>24</v>
      </c>
      <c r="L7574" s="3">
        <v>1</v>
      </c>
      <c r="M7574" s="3">
        <v>0</v>
      </c>
      <c r="N7574" s="3">
        <v>22</v>
      </c>
      <c r="O7574" s="3"/>
      <c r="P7574" s="3"/>
      <c r="Q7574" s="3"/>
    </row>
    <row r="7575" spans="1:17" ht="15" x14ac:dyDescent="0.25">
      <c r="A7575" s="3">
        <f>7568</f>
        <v>7568</v>
      </c>
      <c r="B7575" s="3" t="s">
        <v>7577</v>
      </c>
      <c r="C7575" s="3" t="s">
        <v>10</v>
      </c>
      <c r="D7575" s="3" t="s">
        <v>9</v>
      </c>
      <c r="E7575" s="3">
        <v>24</v>
      </c>
      <c r="F7575" s="3">
        <v>70</v>
      </c>
      <c r="G7575" s="3">
        <v>1</v>
      </c>
      <c r="H7575" s="3">
        <v>5</v>
      </c>
      <c r="I7575" s="3">
        <v>21</v>
      </c>
      <c r="J7575" s="3">
        <v>1</v>
      </c>
      <c r="K7575" s="3">
        <v>24</v>
      </c>
      <c r="L7575" s="3">
        <v>1</v>
      </c>
      <c r="M7575" s="3">
        <v>0</v>
      </c>
      <c r="N7575" s="3">
        <v>22</v>
      </c>
      <c r="O7575" s="3"/>
      <c r="P7575" s="3"/>
      <c r="Q7575" s="3"/>
    </row>
    <row r="7576" spans="1:17" ht="15" x14ac:dyDescent="0.25">
      <c r="A7576" s="3">
        <f>7569</f>
        <v>7569</v>
      </c>
      <c r="B7576" s="3" t="s">
        <v>7578</v>
      </c>
      <c r="C7576" s="3" t="s">
        <v>10</v>
      </c>
      <c r="D7576" s="3" t="s">
        <v>9</v>
      </c>
      <c r="E7576" s="3">
        <v>24</v>
      </c>
      <c r="F7576" s="3">
        <v>70</v>
      </c>
      <c r="G7576" s="3">
        <v>1</v>
      </c>
      <c r="H7576" s="3">
        <v>5</v>
      </c>
      <c r="I7576" s="3">
        <v>21</v>
      </c>
      <c r="J7576" s="3">
        <v>1</v>
      </c>
      <c r="K7576" s="3">
        <v>24</v>
      </c>
      <c r="L7576" s="3">
        <v>1</v>
      </c>
      <c r="M7576" s="3">
        <v>0</v>
      </c>
      <c r="N7576" s="3">
        <v>22</v>
      </c>
      <c r="O7576" s="3"/>
      <c r="P7576" s="3"/>
      <c r="Q7576" s="3"/>
    </row>
    <row r="7577" spans="1:17" ht="15" x14ac:dyDescent="0.25">
      <c r="A7577" s="3">
        <f>7570</f>
        <v>7570</v>
      </c>
      <c r="B7577" s="3" t="s">
        <v>7579</v>
      </c>
      <c r="C7577" s="3" t="s">
        <v>10</v>
      </c>
      <c r="D7577" s="3" t="s">
        <v>9</v>
      </c>
      <c r="E7577" s="3">
        <v>24</v>
      </c>
      <c r="F7577" s="3">
        <v>70</v>
      </c>
      <c r="G7577" s="3">
        <v>1</v>
      </c>
      <c r="H7577" s="3">
        <v>5</v>
      </c>
      <c r="I7577" s="3">
        <v>21</v>
      </c>
      <c r="J7577" s="3">
        <v>1</v>
      </c>
      <c r="K7577" s="3">
        <v>24</v>
      </c>
      <c r="L7577" s="3">
        <v>1</v>
      </c>
      <c r="M7577" s="3">
        <v>0</v>
      </c>
      <c r="N7577" s="3">
        <v>22</v>
      </c>
      <c r="O7577" s="3"/>
      <c r="P7577" s="3"/>
      <c r="Q7577" s="3"/>
    </row>
    <row r="7578" spans="1:17" ht="15" x14ac:dyDescent="0.25">
      <c r="A7578" s="3">
        <f>7571</f>
        <v>7571</v>
      </c>
      <c r="B7578" s="3" t="s">
        <v>7580</v>
      </c>
      <c r="C7578" s="3" t="s">
        <v>10</v>
      </c>
      <c r="D7578" s="3" t="s">
        <v>9</v>
      </c>
      <c r="E7578" s="3">
        <v>24</v>
      </c>
      <c r="F7578" s="3">
        <v>70</v>
      </c>
      <c r="G7578" s="3">
        <v>1</v>
      </c>
      <c r="H7578" s="3">
        <v>5</v>
      </c>
      <c r="I7578" s="3">
        <v>21</v>
      </c>
      <c r="J7578" s="3">
        <v>1</v>
      </c>
      <c r="K7578" s="3">
        <v>24</v>
      </c>
      <c r="L7578" s="3">
        <v>1</v>
      </c>
      <c r="M7578" s="3">
        <v>0</v>
      </c>
      <c r="N7578" s="3">
        <v>22</v>
      </c>
      <c r="O7578" s="3"/>
      <c r="P7578" s="3"/>
      <c r="Q7578" s="3"/>
    </row>
    <row r="7579" spans="1:17" ht="15" x14ac:dyDescent="0.25">
      <c r="A7579" s="3">
        <f>7572</f>
        <v>7572</v>
      </c>
      <c r="B7579" s="3" t="s">
        <v>7581</v>
      </c>
      <c r="C7579" s="3" t="s">
        <v>10</v>
      </c>
      <c r="D7579" s="3" t="s">
        <v>9</v>
      </c>
      <c r="E7579" s="3">
        <v>24</v>
      </c>
      <c r="F7579" s="3">
        <v>70</v>
      </c>
      <c r="G7579" s="3">
        <v>1</v>
      </c>
      <c r="H7579" s="3">
        <v>5</v>
      </c>
      <c r="I7579" s="3">
        <v>21</v>
      </c>
      <c r="J7579" s="3">
        <v>1</v>
      </c>
      <c r="K7579" s="3">
        <v>24</v>
      </c>
      <c r="L7579" s="3">
        <v>1</v>
      </c>
      <c r="M7579" s="3">
        <v>0</v>
      </c>
      <c r="N7579" s="3">
        <v>22</v>
      </c>
      <c r="O7579" s="3"/>
      <c r="P7579" s="3"/>
      <c r="Q7579" s="3"/>
    </row>
    <row r="7580" spans="1:17" ht="15" x14ac:dyDescent="0.25">
      <c r="A7580" s="3">
        <f>7573</f>
        <v>7573</v>
      </c>
      <c r="B7580" s="3" t="s">
        <v>7582</v>
      </c>
      <c r="C7580" s="3" t="s">
        <v>10</v>
      </c>
      <c r="D7580" s="3" t="s">
        <v>9</v>
      </c>
      <c r="E7580" s="3">
        <v>24</v>
      </c>
      <c r="F7580" s="3">
        <v>70</v>
      </c>
      <c r="G7580" s="3">
        <v>1</v>
      </c>
      <c r="H7580" s="3">
        <v>5</v>
      </c>
      <c r="I7580" s="3">
        <v>21</v>
      </c>
      <c r="J7580" s="3">
        <v>1</v>
      </c>
      <c r="K7580" s="3">
        <v>24</v>
      </c>
      <c r="L7580" s="3">
        <v>1</v>
      </c>
      <c r="M7580" s="3">
        <v>0</v>
      </c>
      <c r="N7580" s="3">
        <v>22</v>
      </c>
      <c r="O7580" s="3"/>
      <c r="P7580" s="3"/>
      <c r="Q7580" s="3"/>
    </row>
    <row r="7581" spans="1:17" ht="15" x14ac:dyDescent="0.25">
      <c r="A7581" s="3">
        <f>7574</f>
        <v>7574</v>
      </c>
      <c r="B7581" s="3" t="s">
        <v>7583</v>
      </c>
      <c r="C7581" s="3" t="s">
        <v>10</v>
      </c>
      <c r="D7581" s="3" t="s">
        <v>9</v>
      </c>
      <c r="E7581" s="3">
        <v>24</v>
      </c>
      <c r="F7581" s="3">
        <v>70</v>
      </c>
      <c r="G7581" s="3">
        <v>1</v>
      </c>
      <c r="H7581" s="3">
        <v>5</v>
      </c>
      <c r="I7581" s="3">
        <v>21</v>
      </c>
      <c r="J7581" s="3">
        <v>1</v>
      </c>
      <c r="K7581" s="3">
        <v>24</v>
      </c>
      <c r="L7581" s="3">
        <v>1</v>
      </c>
      <c r="M7581" s="3">
        <v>0</v>
      </c>
      <c r="N7581" s="3">
        <v>22</v>
      </c>
      <c r="O7581" s="3"/>
      <c r="P7581" s="3"/>
      <c r="Q7581" s="3"/>
    </row>
    <row r="7582" spans="1:17" ht="15" x14ac:dyDescent="0.25">
      <c r="A7582" s="3">
        <f>7575</f>
        <v>7575</v>
      </c>
      <c r="B7582" s="3" t="s">
        <v>7584</v>
      </c>
      <c r="C7582" s="3" t="s">
        <v>10</v>
      </c>
      <c r="D7582" s="3" t="s">
        <v>9</v>
      </c>
      <c r="E7582" s="3">
        <v>24</v>
      </c>
      <c r="F7582" s="3">
        <v>70</v>
      </c>
      <c r="G7582" s="3">
        <v>1</v>
      </c>
      <c r="H7582" s="3">
        <v>5</v>
      </c>
      <c r="I7582" s="3">
        <v>21</v>
      </c>
      <c r="J7582" s="3">
        <v>1</v>
      </c>
      <c r="K7582" s="3">
        <v>24</v>
      </c>
      <c r="L7582" s="3">
        <v>1</v>
      </c>
      <c r="M7582" s="3">
        <v>0</v>
      </c>
      <c r="N7582" s="3">
        <v>22</v>
      </c>
      <c r="O7582" s="3"/>
      <c r="P7582" s="3"/>
      <c r="Q7582" s="3"/>
    </row>
    <row r="7583" spans="1:17" ht="15" x14ac:dyDescent="0.25">
      <c r="A7583" s="3">
        <f>7576</f>
        <v>7576</v>
      </c>
      <c r="B7583" s="3" t="s">
        <v>7585</v>
      </c>
      <c r="C7583" s="3" t="s">
        <v>10</v>
      </c>
      <c r="D7583" s="3" t="s">
        <v>9</v>
      </c>
      <c r="E7583" s="3">
        <v>24</v>
      </c>
      <c r="F7583" s="3">
        <v>70</v>
      </c>
      <c r="G7583" s="3">
        <v>1</v>
      </c>
      <c r="H7583" s="3">
        <v>5</v>
      </c>
      <c r="I7583" s="3">
        <v>21</v>
      </c>
      <c r="J7583" s="3">
        <v>1</v>
      </c>
      <c r="K7583" s="3">
        <v>24</v>
      </c>
      <c r="L7583" s="3">
        <v>1</v>
      </c>
      <c r="M7583" s="3">
        <v>0</v>
      </c>
      <c r="N7583" s="3">
        <v>22</v>
      </c>
      <c r="O7583" s="3"/>
      <c r="P7583" s="3"/>
      <c r="Q7583" s="3"/>
    </row>
    <row r="7584" spans="1:17" ht="15" x14ac:dyDescent="0.25">
      <c r="A7584" s="3">
        <f>7577</f>
        <v>7577</v>
      </c>
      <c r="B7584" s="3" t="s">
        <v>7586</v>
      </c>
      <c r="C7584" s="3" t="s">
        <v>10</v>
      </c>
      <c r="D7584" s="3" t="s">
        <v>9</v>
      </c>
      <c r="E7584" s="3">
        <v>24</v>
      </c>
      <c r="F7584" s="3">
        <v>70</v>
      </c>
      <c r="G7584" s="3">
        <v>1</v>
      </c>
      <c r="H7584" s="3">
        <v>5</v>
      </c>
      <c r="I7584" s="3">
        <v>21</v>
      </c>
      <c r="J7584" s="3">
        <v>1</v>
      </c>
      <c r="K7584" s="3">
        <v>24</v>
      </c>
      <c r="L7584" s="3">
        <v>1</v>
      </c>
      <c r="M7584" s="3">
        <v>0</v>
      </c>
      <c r="N7584" s="3">
        <v>22</v>
      </c>
      <c r="O7584" s="3"/>
      <c r="P7584" s="3"/>
      <c r="Q7584" s="3"/>
    </row>
    <row r="7585" spans="1:17" ht="15" x14ac:dyDescent="0.25">
      <c r="A7585" s="3">
        <f>7578</f>
        <v>7578</v>
      </c>
      <c r="B7585" s="3" t="s">
        <v>7587</v>
      </c>
      <c r="C7585" s="3" t="s">
        <v>10</v>
      </c>
      <c r="D7585" s="3" t="s">
        <v>9</v>
      </c>
      <c r="E7585" s="3">
        <v>24</v>
      </c>
      <c r="F7585" s="3">
        <v>70</v>
      </c>
      <c r="G7585" s="3">
        <v>1</v>
      </c>
      <c r="H7585" s="3">
        <v>5</v>
      </c>
      <c r="I7585" s="3">
        <v>21</v>
      </c>
      <c r="J7585" s="3">
        <v>1</v>
      </c>
      <c r="K7585" s="3">
        <v>24</v>
      </c>
      <c r="L7585" s="3">
        <v>1</v>
      </c>
      <c r="M7585" s="3">
        <v>0</v>
      </c>
      <c r="N7585" s="3">
        <v>22</v>
      </c>
      <c r="O7585" s="3"/>
      <c r="P7585" s="3"/>
      <c r="Q7585" s="3"/>
    </row>
    <row r="7586" spans="1:17" ht="15" x14ac:dyDescent="0.25">
      <c r="A7586" s="3">
        <f>7579</f>
        <v>7579</v>
      </c>
      <c r="B7586" s="3" t="s">
        <v>7588</v>
      </c>
      <c r="C7586" s="3" t="s">
        <v>10</v>
      </c>
      <c r="D7586" s="3" t="s">
        <v>9</v>
      </c>
      <c r="E7586" s="3">
        <v>24</v>
      </c>
      <c r="F7586" s="3">
        <v>70</v>
      </c>
      <c r="G7586" s="3">
        <v>1</v>
      </c>
      <c r="H7586" s="3">
        <v>5</v>
      </c>
      <c r="I7586" s="3">
        <v>21</v>
      </c>
      <c r="J7586" s="3">
        <v>1</v>
      </c>
      <c r="K7586" s="3">
        <v>24</v>
      </c>
      <c r="L7586" s="3">
        <v>1</v>
      </c>
      <c r="M7586" s="3">
        <v>0</v>
      </c>
      <c r="N7586" s="3">
        <v>22</v>
      </c>
      <c r="O7586" s="3"/>
      <c r="P7586" s="3"/>
      <c r="Q7586" s="3"/>
    </row>
    <row r="7587" spans="1:17" ht="15" x14ac:dyDescent="0.25">
      <c r="A7587" s="3">
        <f>7580</f>
        <v>7580</v>
      </c>
      <c r="B7587" s="3" t="s">
        <v>7589</v>
      </c>
      <c r="C7587" s="3" t="s">
        <v>10</v>
      </c>
      <c r="D7587" s="3" t="s">
        <v>9</v>
      </c>
      <c r="E7587" s="3">
        <v>24</v>
      </c>
      <c r="F7587" s="3">
        <v>70</v>
      </c>
      <c r="G7587" s="3">
        <v>1</v>
      </c>
      <c r="H7587" s="3">
        <v>5</v>
      </c>
      <c r="I7587" s="3">
        <v>21</v>
      </c>
      <c r="J7587" s="3">
        <v>1</v>
      </c>
      <c r="K7587" s="3">
        <v>24</v>
      </c>
      <c r="L7587" s="3">
        <v>1</v>
      </c>
      <c r="M7587" s="3">
        <v>0</v>
      </c>
      <c r="N7587" s="3">
        <v>22</v>
      </c>
      <c r="O7587" s="3"/>
      <c r="P7587" s="3"/>
      <c r="Q7587" s="3"/>
    </row>
    <row r="7588" spans="1:17" ht="15" x14ac:dyDescent="0.25">
      <c r="A7588" s="3">
        <f>7581</f>
        <v>7581</v>
      </c>
      <c r="B7588" s="3" t="s">
        <v>7590</v>
      </c>
      <c r="C7588" s="3" t="s">
        <v>10</v>
      </c>
      <c r="D7588" s="3" t="s">
        <v>9</v>
      </c>
      <c r="E7588" s="3">
        <v>24</v>
      </c>
      <c r="F7588" s="3">
        <v>70</v>
      </c>
      <c r="G7588" s="3">
        <v>1</v>
      </c>
      <c r="H7588" s="3">
        <v>5</v>
      </c>
      <c r="I7588" s="3">
        <v>21</v>
      </c>
      <c r="J7588" s="3">
        <v>1</v>
      </c>
      <c r="K7588" s="3">
        <v>24</v>
      </c>
      <c r="L7588" s="3">
        <v>1</v>
      </c>
      <c r="M7588" s="3">
        <v>0</v>
      </c>
      <c r="N7588" s="3">
        <v>22</v>
      </c>
      <c r="O7588" s="3"/>
      <c r="P7588" s="3"/>
      <c r="Q7588" s="3"/>
    </row>
    <row r="7589" spans="1:17" ht="15" x14ac:dyDescent="0.25">
      <c r="A7589" s="3">
        <f>7582</f>
        <v>7582</v>
      </c>
      <c r="B7589" s="3" t="s">
        <v>7591</v>
      </c>
      <c r="C7589" s="3" t="s">
        <v>10</v>
      </c>
      <c r="D7589" s="3" t="s">
        <v>9</v>
      </c>
      <c r="E7589" s="3">
        <v>24</v>
      </c>
      <c r="F7589" s="3">
        <v>70</v>
      </c>
      <c r="G7589" s="3">
        <v>1</v>
      </c>
      <c r="H7589" s="3">
        <v>5</v>
      </c>
      <c r="I7589" s="3">
        <v>21</v>
      </c>
      <c r="J7589" s="3">
        <v>1</v>
      </c>
      <c r="K7589" s="3">
        <v>24</v>
      </c>
      <c r="L7589" s="3">
        <v>1</v>
      </c>
      <c r="M7589" s="3">
        <v>0</v>
      </c>
      <c r="N7589" s="3">
        <v>22</v>
      </c>
      <c r="O7589" s="3"/>
      <c r="P7589" s="3"/>
      <c r="Q7589" s="3"/>
    </row>
    <row r="7590" spans="1:17" ht="15" x14ac:dyDescent="0.25">
      <c r="A7590" s="3">
        <f>7583</f>
        <v>7583</v>
      </c>
      <c r="B7590" s="3" t="s">
        <v>7592</v>
      </c>
      <c r="C7590" s="3" t="s">
        <v>10</v>
      </c>
      <c r="D7590" s="3" t="s">
        <v>9</v>
      </c>
      <c r="E7590" s="3">
        <v>24</v>
      </c>
      <c r="F7590" s="3">
        <v>70</v>
      </c>
      <c r="G7590" s="3">
        <v>1</v>
      </c>
      <c r="H7590" s="3">
        <v>5</v>
      </c>
      <c r="I7590" s="3">
        <v>21</v>
      </c>
      <c r="J7590" s="3">
        <v>1</v>
      </c>
      <c r="K7590" s="3">
        <v>24</v>
      </c>
      <c r="L7590" s="3">
        <v>1</v>
      </c>
      <c r="M7590" s="3">
        <v>0</v>
      </c>
      <c r="N7590" s="3">
        <v>22</v>
      </c>
      <c r="O7590" s="3"/>
      <c r="P7590" s="3"/>
      <c r="Q7590" s="3"/>
    </row>
    <row r="7591" spans="1:17" ht="15" x14ac:dyDescent="0.25">
      <c r="A7591" s="3">
        <f>7584</f>
        <v>7584</v>
      </c>
      <c r="B7591" s="3" t="s">
        <v>7593</v>
      </c>
      <c r="C7591" s="3" t="s">
        <v>10</v>
      </c>
      <c r="D7591" s="3" t="s">
        <v>9</v>
      </c>
      <c r="E7591" s="3">
        <v>24</v>
      </c>
      <c r="F7591" s="3">
        <v>70</v>
      </c>
      <c r="G7591" s="3">
        <v>1</v>
      </c>
      <c r="H7591" s="3">
        <v>5</v>
      </c>
      <c r="I7591" s="3">
        <v>21</v>
      </c>
      <c r="J7591" s="3">
        <v>1</v>
      </c>
      <c r="K7591" s="3">
        <v>24</v>
      </c>
      <c r="L7591" s="3">
        <v>1</v>
      </c>
      <c r="M7591" s="3">
        <v>0</v>
      </c>
      <c r="N7591" s="3">
        <v>22</v>
      </c>
      <c r="O7591" s="3"/>
      <c r="P7591" s="3"/>
      <c r="Q7591" s="3"/>
    </row>
    <row r="7592" spans="1:17" ht="15" x14ac:dyDescent="0.25">
      <c r="A7592" s="3">
        <f>7585</f>
        <v>7585</v>
      </c>
      <c r="B7592" s="3" t="s">
        <v>7594</v>
      </c>
      <c r="C7592" s="3" t="s">
        <v>10</v>
      </c>
      <c r="D7592" s="3" t="s">
        <v>9</v>
      </c>
      <c r="E7592" s="3">
        <v>24</v>
      </c>
      <c r="F7592" s="3">
        <v>70</v>
      </c>
      <c r="G7592" s="3">
        <v>1</v>
      </c>
      <c r="H7592" s="3">
        <v>5</v>
      </c>
      <c r="I7592" s="3">
        <v>21</v>
      </c>
      <c r="J7592" s="3">
        <v>1</v>
      </c>
      <c r="K7592" s="3">
        <v>24</v>
      </c>
      <c r="L7592" s="3">
        <v>1</v>
      </c>
      <c r="M7592" s="3">
        <v>0</v>
      </c>
      <c r="N7592" s="3">
        <v>22</v>
      </c>
      <c r="O7592" s="3"/>
      <c r="P7592" s="3"/>
      <c r="Q7592" s="3"/>
    </row>
    <row r="7593" spans="1:17" ht="15" x14ac:dyDescent="0.25">
      <c r="A7593" s="3">
        <f>7586</f>
        <v>7586</v>
      </c>
      <c r="B7593" s="3" t="s">
        <v>7595</v>
      </c>
      <c r="C7593" s="3" t="s">
        <v>10</v>
      </c>
      <c r="D7593" s="3" t="s">
        <v>9</v>
      </c>
      <c r="E7593" s="3">
        <v>24</v>
      </c>
      <c r="F7593" s="3">
        <v>70</v>
      </c>
      <c r="G7593" s="3">
        <v>1</v>
      </c>
      <c r="H7593" s="3">
        <v>5</v>
      </c>
      <c r="I7593" s="3">
        <v>21</v>
      </c>
      <c r="J7593" s="3">
        <v>1</v>
      </c>
      <c r="K7593" s="3">
        <v>24</v>
      </c>
      <c r="L7593" s="3">
        <v>1</v>
      </c>
      <c r="M7593" s="3">
        <v>0</v>
      </c>
      <c r="N7593" s="3">
        <v>22</v>
      </c>
      <c r="O7593" s="3"/>
      <c r="P7593" s="3"/>
      <c r="Q7593" s="3"/>
    </row>
    <row r="7594" spans="1:17" ht="15" x14ac:dyDescent="0.25">
      <c r="A7594" s="3">
        <f>7587</f>
        <v>7587</v>
      </c>
      <c r="B7594" s="3" t="s">
        <v>7596</v>
      </c>
      <c r="C7594" s="3" t="s">
        <v>10</v>
      </c>
      <c r="D7594" s="3" t="s">
        <v>9</v>
      </c>
      <c r="E7594" s="3">
        <v>24</v>
      </c>
      <c r="F7594" s="3">
        <v>70</v>
      </c>
      <c r="G7594" s="3">
        <v>1</v>
      </c>
      <c r="H7594" s="3">
        <v>5</v>
      </c>
      <c r="I7594" s="3">
        <v>21</v>
      </c>
      <c r="J7594" s="3">
        <v>1</v>
      </c>
      <c r="K7594" s="3">
        <v>24</v>
      </c>
      <c r="L7594" s="3">
        <v>1</v>
      </c>
      <c r="M7594" s="3">
        <v>0</v>
      </c>
      <c r="N7594" s="3">
        <v>22</v>
      </c>
      <c r="O7594" s="3"/>
      <c r="P7594" s="3"/>
      <c r="Q7594" s="3"/>
    </row>
    <row r="7595" spans="1:17" ht="15" x14ac:dyDescent="0.25">
      <c r="A7595" s="3">
        <f>7588</f>
        <v>7588</v>
      </c>
      <c r="B7595" s="3" t="s">
        <v>7597</v>
      </c>
      <c r="C7595" s="3" t="s">
        <v>10</v>
      </c>
      <c r="D7595" s="3" t="s">
        <v>9</v>
      </c>
      <c r="E7595" s="3">
        <v>24</v>
      </c>
      <c r="F7595" s="3">
        <v>70</v>
      </c>
      <c r="G7595" s="3">
        <v>1</v>
      </c>
      <c r="H7595" s="3">
        <v>5</v>
      </c>
      <c r="I7595" s="3">
        <v>21</v>
      </c>
      <c r="J7595" s="3">
        <v>1</v>
      </c>
      <c r="K7595" s="3">
        <v>24</v>
      </c>
      <c r="L7595" s="3">
        <v>1</v>
      </c>
      <c r="M7595" s="3">
        <v>0</v>
      </c>
      <c r="N7595" s="3">
        <v>22</v>
      </c>
      <c r="O7595" s="3"/>
      <c r="P7595" s="3"/>
      <c r="Q7595" s="3"/>
    </row>
    <row r="7596" spans="1:17" ht="15" x14ac:dyDescent="0.25">
      <c r="A7596" s="3">
        <f>7589</f>
        <v>7589</v>
      </c>
      <c r="B7596" s="3" t="s">
        <v>7598</v>
      </c>
      <c r="C7596" s="3" t="s">
        <v>10</v>
      </c>
      <c r="D7596" s="3" t="s">
        <v>9</v>
      </c>
      <c r="E7596" s="3">
        <v>24</v>
      </c>
      <c r="F7596" s="3">
        <v>70</v>
      </c>
      <c r="G7596" s="3">
        <v>1</v>
      </c>
      <c r="H7596" s="3">
        <v>5</v>
      </c>
      <c r="I7596" s="3">
        <v>21</v>
      </c>
      <c r="J7596" s="3">
        <v>1</v>
      </c>
      <c r="K7596" s="3">
        <v>24</v>
      </c>
      <c r="L7596" s="3">
        <v>1</v>
      </c>
      <c r="M7596" s="3">
        <v>0</v>
      </c>
      <c r="N7596" s="3">
        <v>22</v>
      </c>
      <c r="O7596" s="3"/>
      <c r="P7596" s="3"/>
      <c r="Q7596" s="3"/>
    </row>
    <row r="7597" spans="1:17" ht="15" x14ac:dyDescent="0.25">
      <c r="A7597" s="3">
        <f>7590</f>
        <v>7590</v>
      </c>
      <c r="B7597" s="3" t="s">
        <v>7599</v>
      </c>
      <c r="C7597" s="3" t="s">
        <v>10</v>
      </c>
      <c r="D7597" s="3" t="s">
        <v>9</v>
      </c>
      <c r="E7597" s="3">
        <v>24</v>
      </c>
      <c r="F7597" s="3">
        <v>70</v>
      </c>
      <c r="G7597" s="3">
        <v>1</v>
      </c>
      <c r="H7597" s="3">
        <v>5</v>
      </c>
      <c r="I7597" s="3">
        <v>21</v>
      </c>
      <c r="J7597" s="3">
        <v>1</v>
      </c>
      <c r="K7597" s="3">
        <v>24</v>
      </c>
      <c r="L7597" s="3">
        <v>1</v>
      </c>
      <c r="M7597" s="3">
        <v>0</v>
      </c>
      <c r="N7597" s="3">
        <v>22</v>
      </c>
      <c r="O7597" s="3"/>
      <c r="P7597" s="3"/>
      <c r="Q7597" s="3"/>
    </row>
    <row r="7598" spans="1:17" ht="15" x14ac:dyDescent="0.25">
      <c r="A7598" s="3">
        <f>7591</f>
        <v>7591</v>
      </c>
      <c r="B7598" s="3" t="s">
        <v>7600</v>
      </c>
      <c r="C7598" s="3" t="s">
        <v>10</v>
      </c>
      <c r="D7598" s="3" t="s">
        <v>9</v>
      </c>
      <c r="E7598" s="3">
        <v>24</v>
      </c>
      <c r="F7598" s="3">
        <v>70</v>
      </c>
      <c r="G7598" s="3">
        <v>1</v>
      </c>
      <c r="H7598" s="3">
        <v>5</v>
      </c>
      <c r="I7598" s="3">
        <v>21</v>
      </c>
      <c r="J7598" s="3">
        <v>1</v>
      </c>
      <c r="K7598" s="3">
        <v>24</v>
      </c>
      <c r="L7598" s="3">
        <v>1</v>
      </c>
      <c r="M7598" s="3">
        <v>0</v>
      </c>
      <c r="N7598" s="3">
        <v>22</v>
      </c>
      <c r="O7598" s="3"/>
      <c r="P7598" s="3"/>
      <c r="Q7598" s="3"/>
    </row>
    <row r="7599" spans="1:17" ht="15" x14ac:dyDescent="0.25">
      <c r="A7599" s="3">
        <f>7592</f>
        <v>7592</v>
      </c>
      <c r="B7599" s="3" t="s">
        <v>7601</v>
      </c>
      <c r="C7599" s="3" t="s">
        <v>10</v>
      </c>
      <c r="D7599" s="3" t="s">
        <v>9</v>
      </c>
      <c r="E7599" s="3">
        <v>24</v>
      </c>
      <c r="F7599" s="3">
        <v>70</v>
      </c>
      <c r="G7599" s="3">
        <v>1</v>
      </c>
      <c r="H7599" s="3">
        <v>5</v>
      </c>
      <c r="I7599" s="3">
        <v>21</v>
      </c>
      <c r="J7599" s="3">
        <v>1</v>
      </c>
      <c r="K7599" s="3">
        <v>24</v>
      </c>
      <c r="L7599" s="3">
        <v>1</v>
      </c>
      <c r="M7599" s="3">
        <v>0</v>
      </c>
      <c r="N7599" s="3">
        <v>22</v>
      </c>
      <c r="O7599" s="3"/>
      <c r="P7599" s="3"/>
      <c r="Q7599" s="3"/>
    </row>
    <row r="7600" spans="1:17" ht="15" x14ac:dyDescent="0.25">
      <c r="A7600" s="3">
        <f>7593</f>
        <v>7593</v>
      </c>
      <c r="B7600" s="3" t="s">
        <v>7602</v>
      </c>
      <c r="C7600" s="3" t="s">
        <v>10</v>
      </c>
      <c r="D7600" s="3" t="s">
        <v>9</v>
      </c>
      <c r="E7600" s="3">
        <v>24</v>
      </c>
      <c r="F7600" s="3">
        <v>70</v>
      </c>
      <c r="G7600" s="3">
        <v>1</v>
      </c>
      <c r="H7600" s="3">
        <v>5</v>
      </c>
      <c r="I7600" s="3">
        <v>21</v>
      </c>
      <c r="J7600" s="3">
        <v>1</v>
      </c>
      <c r="K7600" s="3">
        <v>24</v>
      </c>
      <c r="L7600" s="3">
        <v>1</v>
      </c>
      <c r="M7600" s="3">
        <v>0</v>
      </c>
      <c r="N7600" s="3">
        <v>22</v>
      </c>
      <c r="O7600" s="3"/>
      <c r="P7600" s="3"/>
      <c r="Q7600" s="3"/>
    </row>
    <row r="7601" spans="1:17" ht="15" x14ac:dyDescent="0.25">
      <c r="A7601" s="3">
        <f>7594</f>
        <v>7594</v>
      </c>
      <c r="B7601" s="3" t="s">
        <v>7603</v>
      </c>
      <c r="C7601" s="3" t="s">
        <v>10</v>
      </c>
      <c r="D7601" s="3" t="s">
        <v>9</v>
      </c>
      <c r="E7601" s="3">
        <v>24</v>
      </c>
      <c r="F7601" s="3">
        <v>70</v>
      </c>
      <c r="G7601" s="3">
        <v>1</v>
      </c>
      <c r="H7601" s="3">
        <v>5</v>
      </c>
      <c r="I7601" s="3">
        <v>21</v>
      </c>
      <c r="J7601" s="3">
        <v>1</v>
      </c>
      <c r="K7601" s="3">
        <v>24</v>
      </c>
      <c r="L7601" s="3">
        <v>1</v>
      </c>
      <c r="M7601" s="3">
        <v>0</v>
      </c>
      <c r="N7601" s="3">
        <v>22</v>
      </c>
      <c r="O7601" s="3"/>
      <c r="P7601" s="3"/>
      <c r="Q7601" s="3"/>
    </row>
    <row r="7602" spans="1:17" ht="15" x14ac:dyDescent="0.25">
      <c r="A7602" s="3">
        <f>7595</f>
        <v>7595</v>
      </c>
      <c r="B7602" s="3" t="s">
        <v>7604</v>
      </c>
      <c r="C7602" s="3" t="s">
        <v>10</v>
      </c>
      <c r="D7602" s="3" t="s">
        <v>9</v>
      </c>
      <c r="E7602" s="3">
        <v>24</v>
      </c>
      <c r="F7602" s="3">
        <v>70</v>
      </c>
      <c r="G7602" s="3">
        <v>1</v>
      </c>
      <c r="H7602" s="3">
        <v>5</v>
      </c>
      <c r="I7602" s="3">
        <v>21</v>
      </c>
      <c r="J7602" s="3">
        <v>1</v>
      </c>
      <c r="K7602" s="3">
        <v>24</v>
      </c>
      <c r="L7602" s="3">
        <v>1</v>
      </c>
      <c r="M7602" s="3">
        <v>0</v>
      </c>
      <c r="N7602" s="3">
        <v>22</v>
      </c>
      <c r="O7602" s="3"/>
      <c r="P7602" s="3"/>
      <c r="Q7602" s="3"/>
    </row>
    <row r="7603" spans="1:17" ht="15" x14ac:dyDescent="0.25">
      <c r="A7603" s="3">
        <f>7596</f>
        <v>7596</v>
      </c>
      <c r="B7603" s="3" t="s">
        <v>7605</v>
      </c>
      <c r="C7603" s="3" t="s">
        <v>10</v>
      </c>
      <c r="D7603" s="3" t="s">
        <v>9</v>
      </c>
      <c r="E7603" s="3">
        <v>24</v>
      </c>
      <c r="F7603" s="3">
        <v>70</v>
      </c>
      <c r="G7603" s="3">
        <v>1</v>
      </c>
      <c r="H7603" s="3">
        <v>5</v>
      </c>
      <c r="I7603" s="3">
        <v>21</v>
      </c>
      <c r="J7603" s="3">
        <v>1</v>
      </c>
      <c r="K7603" s="3">
        <v>24</v>
      </c>
      <c r="L7603" s="3">
        <v>1</v>
      </c>
      <c r="M7603" s="3">
        <v>0</v>
      </c>
      <c r="N7603" s="3">
        <v>22</v>
      </c>
      <c r="O7603" s="3"/>
      <c r="P7603" s="3"/>
      <c r="Q7603" s="3"/>
    </row>
    <row r="7604" spans="1:17" ht="15" x14ac:dyDescent="0.25">
      <c r="A7604" s="3">
        <f>7597</f>
        <v>7597</v>
      </c>
      <c r="B7604" s="3" t="s">
        <v>7606</v>
      </c>
      <c r="C7604" s="3" t="s">
        <v>10</v>
      </c>
      <c r="D7604" s="3" t="s">
        <v>9</v>
      </c>
      <c r="E7604" s="3">
        <v>24</v>
      </c>
      <c r="F7604" s="3">
        <v>70</v>
      </c>
      <c r="G7604" s="3">
        <v>1</v>
      </c>
      <c r="H7604" s="3">
        <v>5</v>
      </c>
      <c r="I7604" s="3">
        <v>21</v>
      </c>
      <c r="J7604" s="3">
        <v>1</v>
      </c>
      <c r="K7604" s="3">
        <v>24</v>
      </c>
      <c r="L7604" s="3">
        <v>1</v>
      </c>
      <c r="M7604" s="3">
        <v>0</v>
      </c>
      <c r="N7604" s="3">
        <v>22</v>
      </c>
      <c r="O7604" s="3"/>
      <c r="P7604" s="3"/>
      <c r="Q7604" s="3"/>
    </row>
    <row r="7605" spans="1:17" ht="15" x14ac:dyDescent="0.25">
      <c r="A7605" s="3">
        <f>7598</f>
        <v>7598</v>
      </c>
      <c r="B7605" s="3" t="s">
        <v>7607</v>
      </c>
      <c r="C7605" s="3" t="s">
        <v>10</v>
      </c>
      <c r="D7605" s="3" t="s">
        <v>9</v>
      </c>
      <c r="E7605" s="3">
        <v>24</v>
      </c>
      <c r="F7605" s="3">
        <v>70</v>
      </c>
      <c r="G7605" s="3">
        <v>1</v>
      </c>
      <c r="H7605" s="3">
        <v>5</v>
      </c>
      <c r="I7605" s="3">
        <v>21</v>
      </c>
      <c r="J7605" s="3">
        <v>1</v>
      </c>
      <c r="K7605" s="3">
        <v>24</v>
      </c>
      <c r="L7605" s="3">
        <v>1</v>
      </c>
      <c r="M7605" s="3">
        <v>0</v>
      </c>
      <c r="N7605" s="3">
        <v>22</v>
      </c>
      <c r="O7605" s="3"/>
      <c r="P7605" s="3"/>
      <c r="Q7605" s="3"/>
    </row>
    <row r="7606" spans="1:17" ht="15" x14ac:dyDescent="0.25">
      <c r="A7606" s="3">
        <f>7599</f>
        <v>7599</v>
      </c>
      <c r="B7606" s="3" t="s">
        <v>7608</v>
      </c>
      <c r="C7606" s="3" t="s">
        <v>10</v>
      </c>
      <c r="D7606" s="3" t="s">
        <v>9</v>
      </c>
      <c r="E7606" s="3">
        <v>24</v>
      </c>
      <c r="F7606" s="3">
        <v>70</v>
      </c>
      <c r="G7606" s="3">
        <v>1</v>
      </c>
      <c r="H7606" s="3">
        <v>5</v>
      </c>
      <c r="I7606" s="3">
        <v>21</v>
      </c>
      <c r="J7606" s="3">
        <v>1</v>
      </c>
      <c r="K7606" s="3">
        <v>24</v>
      </c>
      <c r="L7606" s="3">
        <v>1</v>
      </c>
      <c r="M7606" s="3">
        <v>0</v>
      </c>
      <c r="N7606" s="3">
        <v>22</v>
      </c>
      <c r="O7606" s="3"/>
      <c r="P7606" s="3"/>
      <c r="Q7606" s="3"/>
    </row>
    <row r="7607" spans="1:17" ht="15" x14ac:dyDescent="0.25">
      <c r="A7607" s="3">
        <f>7600</f>
        <v>7600</v>
      </c>
      <c r="B7607" s="3" t="s">
        <v>7609</v>
      </c>
      <c r="C7607" s="3" t="s">
        <v>10</v>
      </c>
      <c r="D7607" s="3" t="s">
        <v>9</v>
      </c>
      <c r="E7607" s="3">
        <v>24</v>
      </c>
      <c r="F7607" s="3">
        <v>70</v>
      </c>
      <c r="G7607" s="3">
        <v>1</v>
      </c>
      <c r="H7607" s="3">
        <v>5</v>
      </c>
      <c r="I7607" s="3">
        <v>21</v>
      </c>
      <c r="J7607" s="3">
        <v>1</v>
      </c>
      <c r="K7607" s="3">
        <v>24</v>
      </c>
      <c r="L7607" s="3">
        <v>1</v>
      </c>
      <c r="M7607" s="3">
        <v>0</v>
      </c>
      <c r="N7607" s="3">
        <v>22</v>
      </c>
      <c r="O7607" s="3"/>
      <c r="P7607" s="3"/>
      <c r="Q7607" s="3"/>
    </row>
    <row r="7608" spans="1:17" ht="15" x14ac:dyDescent="0.25">
      <c r="A7608" s="3">
        <f>7601</f>
        <v>7601</v>
      </c>
      <c r="B7608" s="3" t="s">
        <v>7610</v>
      </c>
      <c r="C7608" s="3" t="s">
        <v>10</v>
      </c>
      <c r="D7608" s="3" t="s">
        <v>9</v>
      </c>
      <c r="E7608" s="3">
        <v>24</v>
      </c>
      <c r="F7608" s="3">
        <v>70</v>
      </c>
      <c r="G7608" s="3">
        <v>1</v>
      </c>
      <c r="H7608" s="3">
        <v>5</v>
      </c>
      <c r="I7608" s="3">
        <v>21</v>
      </c>
      <c r="J7608" s="3">
        <v>1</v>
      </c>
      <c r="K7608" s="3">
        <v>24</v>
      </c>
      <c r="L7608" s="3">
        <v>1</v>
      </c>
      <c r="M7608" s="3">
        <v>0</v>
      </c>
      <c r="N7608" s="3">
        <v>22</v>
      </c>
      <c r="O7608" s="3"/>
      <c r="P7608" s="3"/>
      <c r="Q7608" s="3"/>
    </row>
    <row r="7609" spans="1:17" ht="15" x14ac:dyDescent="0.25">
      <c r="A7609" s="3">
        <f>7602</f>
        <v>7602</v>
      </c>
      <c r="B7609" s="3" t="s">
        <v>7611</v>
      </c>
      <c r="C7609" s="3" t="s">
        <v>10</v>
      </c>
      <c r="D7609" s="3" t="s">
        <v>9</v>
      </c>
      <c r="E7609" s="3">
        <v>24</v>
      </c>
      <c r="F7609" s="3">
        <v>70</v>
      </c>
      <c r="G7609" s="3">
        <v>1</v>
      </c>
      <c r="H7609" s="3">
        <v>5</v>
      </c>
      <c r="I7609" s="3">
        <v>21</v>
      </c>
      <c r="J7609" s="3">
        <v>1</v>
      </c>
      <c r="K7609" s="3">
        <v>24</v>
      </c>
      <c r="L7609" s="3">
        <v>1</v>
      </c>
      <c r="M7609" s="3">
        <v>0</v>
      </c>
      <c r="N7609" s="3">
        <v>22</v>
      </c>
      <c r="O7609" s="3"/>
      <c r="P7609" s="3"/>
      <c r="Q7609" s="3"/>
    </row>
    <row r="7610" spans="1:17" ht="15" x14ac:dyDescent="0.25">
      <c r="A7610" s="3">
        <f>7603</f>
        <v>7603</v>
      </c>
      <c r="B7610" s="3" t="s">
        <v>7612</v>
      </c>
      <c r="C7610" s="3" t="s">
        <v>10</v>
      </c>
      <c r="D7610" s="3" t="s">
        <v>9</v>
      </c>
      <c r="E7610" s="3">
        <v>24</v>
      </c>
      <c r="F7610" s="3">
        <v>70</v>
      </c>
      <c r="G7610" s="3">
        <v>1</v>
      </c>
      <c r="H7610" s="3">
        <v>5</v>
      </c>
      <c r="I7610" s="3">
        <v>21</v>
      </c>
      <c r="J7610" s="3">
        <v>1</v>
      </c>
      <c r="K7610" s="3">
        <v>24</v>
      </c>
      <c r="L7610" s="3">
        <v>1</v>
      </c>
      <c r="M7610" s="3">
        <v>0</v>
      </c>
      <c r="N7610" s="3">
        <v>22</v>
      </c>
      <c r="O7610" s="3"/>
      <c r="P7610" s="3"/>
      <c r="Q7610" s="3"/>
    </row>
    <row r="7611" spans="1:17" ht="15" x14ac:dyDescent="0.25">
      <c r="A7611" s="3">
        <f>7604</f>
        <v>7604</v>
      </c>
      <c r="B7611" s="3" t="s">
        <v>7613</v>
      </c>
      <c r="C7611" s="3" t="s">
        <v>10</v>
      </c>
      <c r="D7611" s="3" t="s">
        <v>9</v>
      </c>
      <c r="E7611" s="3">
        <v>24</v>
      </c>
      <c r="F7611" s="3">
        <v>70</v>
      </c>
      <c r="G7611" s="3">
        <v>1</v>
      </c>
      <c r="H7611" s="3">
        <v>5</v>
      </c>
      <c r="I7611" s="3">
        <v>21</v>
      </c>
      <c r="J7611" s="3">
        <v>1</v>
      </c>
      <c r="K7611" s="3">
        <v>24</v>
      </c>
      <c r="L7611" s="3">
        <v>1</v>
      </c>
      <c r="M7611" s="3">
        <v>0</v>
      </c>
      <c r="N7611" s="3">
        <v>22</v>
      </c>
      <c r="O7611" s="3"/>
      <c r="P7611" s="3"/>
      <c r="Q7611" s="3"/>
    </row>
    <row r="7612" spans="1:17" ht="15" x14ac:dyDescent="0.25">
      <c r="A7612" s="3">
        <f>7605</f>
        <v>7605</v>
      </c>
      <c r="B7612" s="3" t="s">
        <v>7614</v>
      </c>
      <c r="C7612" s="3" t="s">
        <v>10</v>
      </c>
      <c r="D7612" s="3" t="s">
        <v>9</v>
      </c>
      <c r="E7612" s="3">
        <v>24</v>
      </c>
      <c r="F7612" s="3">
        <v>70</v>
      </c>
      <c r="G7612" s="3">
        <v>1</v>
      </c>
      <c r="H7612" s="3">
        <v>5</v>
      </c>
      <c r="I7612" s="3">
        <v>21</v>
      </c>
      <c r="J7612" s="3">
        <v>1</v>
      </c>
      <c r="K7612" s="3">
        <v>24</v>
      </c>
      <c r="L7612" s="3">
        <v>1</v>
      </c>
      <c r="M7612" s="3">
        <v>0</v>
      </c>
      <c r="N7612" s="3">
        <v>22</v>
      </c>
      <c r="O7612" s="3"/>
      <c r="P7612" s="3"/>
      <c r="Q7612" s="3"/>
    </row>
    <row r="7613" spans="1:17" ht="15" x14ac:dyDescent="0.25">
      <c r="A7613" s="3">
        <f>7606</f>
        <v>7606</v>
      </c>
      <c r="B7613" s="3" t="s">
        <v>7615</v>
      </c>
      <c r="C7613" s="3" t="s">
        <v>10</v>
      </c>
      <c r="D7613" s="3" t="s">
        <v>9</v>
      </c>
      <c r="E7613" s="3">
        <v>24</v>
      </c>
      <c r="F7613" s="3">
        <v>70</v>
      </c>
      <c r="G7613" s="3">
        <v>1</v>
      </c>
      <c r="H7613" s="3">
        <v>5</v>
      </c>
      <c r="I7613" s="3">
        <v>21</v>
      </c>
      <c r="J7613" s="3">
        <v>1</v>
      </c>
      <c r="K7613" s="3">
        <v>24</v>
      </c>
      <c r="L7613" s="3">
        <v>1</v>
      </c>
      <c r="M7613" s="3">
        <v>0</v>
      </c>
      <c r="N7613" s="3">
        <v>22</v>
      </c>
      <c r="O7613" s="3"/>
      <c r="P7613" s="3"/>
      <c r="Q7613" s="3"/>
    </row>
    <row r="7614" spans="1:17" ht="15" x14ac:dyDescent="0.25">
      <c r="A7614" s="3">
        <f>7607</f>
        <v>7607</v>
      </c>
      <c r="B7614" s="3" t="s">
        <v>7616</v>
      </c>
      <c r="C7614" s="3" t="s">
        <v>10</v>
      </c>
      <c r="D7614" s="3" t="s">
        <v>9</v>
      </c>
      <c r="E7614" s="3">
        <v>24</v>
      </c>
      <c r="F7614" s="3">
        <v>70</v>
      </c>
      <c r="G7614" s="3">
        <v>1</v>
      </c>
      <c r="H7614" s="3">
        <v>5</v>
      </c>
      <c r="I7614" s="3">
        <v>21</v>
      </c>
      <c r="J7614" s="3">
        <v>1</v>
      </c>
      <c r="K7614" s="3">
        <v>24</v>
      </c>
      <c r="L7614" s="3">
        <v>1</v>
      </c>
      <c r="M7614" s="3">
        <v>0</v>
      </c>
      <c r="N7614" s="3">
        <v>22</v>
      </c>
      <c r="O7614" s="3"/>
      <c r="P7614" s="3"/>
      <c r="Q7614" s="3"/>
    </row>
    <row r="7615" spans="1:17" ht="15" x14ac:dyDescent="0.25">
      <c r="A7615" s="3">
        <f>7608</f>
        <v>7608</v>
      </c>
      <c r="B7615" s="3" t="s">
        <v>7617</v>
      </c>
      <c r="C7615" s="3" t="s">
        <v>10</v>
      </c>
      <c r="D7615" s="3" t="s">
        <v>9</v>
      </c>
      <c r="E7615" s="3">
        <v>24</v>
      </c>
      <c r="F7615" s="3">
        <v>70</v>
      </c>
      <c r="G7615" s="3">
        <v>1</v>
      </c>
      <c r="H7615" s="3">
        <v>5</v>
      </c>
      <c r="I7615" s="3">
        <v>21</v>
      </c>
      <c r="J7615" s="3">
        <v>1</v>
      </c>
      <c r="K7615" s="3">
        <v>24</v>
      </c>
      <c r="L7615" s="3">
        <v>1</v>
      </c>
      <c r="M7615" s="3">
        <v>0</v>
      </c>
      <c r="N7615" s="3">
        <v>22</v>
      </c>
      <c r="O7615" s="3"/>
      <c r="P7615" s="3"/>
      <c r="Q7615" s="3"/>
    </row>
    <row r="7616" spans="1:17" ht="15" x14ac:dyDescent="0.25">
      <c r="A7616" s="3">
        <f>7609</f>
        <v>7609</v>
      </c>
      <c r="B7616" s="3" t="s">
        <v>7618</v>
      </c>
      <c r="C7616" s="3" t="s">
        <v>10</v>
      </c>
      <c r="D7616" s="3" t="s">
        <v>9</v>
      </c>
      <c r="E7616" s="3">
        <v>24</v>
      </c>
      <c r="F7616" s="3">
        <v>70</v>
      </c>
      <c r="G7616" s="3">
        <v>1</v>
      </c>
      <c r="H7616" s="3">
        <v>5</v>
      </c>
      <c r="I7616" s="3">
        <v>21</v>
      </c>
      <c r="J7616" s="3">
        <v>1</v>
      </c>
      <c r="K7616" s="3">
        <v>24</v>
      </c>
      <c r="L7616" s="3">
        <v>1</v>
      </c>
      <c r="M7616" s="3">
        <v>0</v>
      </c>
      <c r="N7616" s="3">
        <v>22</v>
      </c>
      <c r="O7616" s="3"/>
      <c r="P7616" s="3"/>
      <c r="Q7616" s="3"/>
    </row>
    <row r="7617" spans="1:17" ht="15" x14ac:dyDescent="0.25">
      <c r="A7617" s="3">
        <f>7610</f>
        <v>7610</v>
      </c>
      <c r="B7617" s="3" t="s">
        <v>7619</v>
      </c>
      <c r="C7617" s="3" t="s">
        <v>10</v>
      </c>
      <c r="D7617" s="3" t="s">
        <v>9</v>
      </c>
      <c r="E7617" s="3">
        <v>24</v>
      </c>
      <c r="F7617" s="3">
        <v>70</v>
      </c>
      <c r="G7617" s="3">
        <v>1</v>
      </c>
      <c r="H7617" s="3">
        <v>5</v>
      </c>
      <c r="I7617" s="3">
        <v>21</v>
      </c>
      <c r="J7617" s="3">
        <v>1</v>
      </c>
      <c r="K7617" s="3">
        <v>24</v>
      </c>
      <c r="L7617" s="3">
        <v>1</v>
      </c>
      <c r="M7617" s="3">
        <v>0</v>
      </c>
      <c r="N7617" s="3">
        <v>22</v>
      </c>
      <c r="O7617" s="3"/>
      <c r="P7617" s="3"/>
      <c r="Q7617" s="3"/>
    </row>
    <row r="7618" spans="1:17" ht="15" x14ac:dyDescent="0.25">
      <c r="A7618" s="3">
        <f>7611</f>
        <v>7611</v>
      </c>
      <c r="B7618" s="3" t="s">
        <v>7620</v>
      </c>
      <c r="C7618" s="3" t="s">
        <v>10</v>
      </c>
      <c r="D7618" s="3" t="s">
        <v>9</v>
      </c>
      <c r="E7618" s="3">
        <v>24</v>
      </c>
      <c r="F7618" s="3">
        <v>70</v>
      </c>
      <c r="G7618" s="3">
        <v>1</v>
      </c>
      <c r="H7618" s="3">
        <v>5</v>
      </c>
      <c r="I7618" s="3">
        <v>21</v>
      </c>
      <c r="J7618" s="3">
        <v>1</v>
      </c>
      <c r="K7618" s="3">
        <v>24</v>
      </c>
      <c r="L7618" s="3">
        <v>1</v>
      </c>
      <c r="M7618" s="3">
        <v>0</v>
      </c>
      <c r="N7618" s="3">
        <v>22</v>
      </c>
      <c r="O7618" s="3"/>
      <c r="P7618" s="3"/>
      <c r="Q7618" s="3"/>
    </row>
    <row r="7619" spans="1:17" ht="15" x14ac:dyDescent="0.25">
      <c r="A7619" s="3">
        <f>7612</f>
        <v>7612</v>
      </c>
      <c r="B7619" s="3" t="s">
        <v>7621</v>
      </c>
      <c r="C7619" s="3" t="s">
        <v>10</v>
      </c>
      <c r="D7619" s="3" t="s">
        <v>9</v>
      </c>
      <c r="E7619" s="3">
        <v>24</v>
      </c>
      <c r="F7619" s="3">
        <v>70</v>
      </c>
      <c r="G7619" s="3">
        <v>1</v>
      </c>
      <c r="H7619" s="3">
        <v>5</v>
      </c>
      <c r="I7619" s="3">
        <v>21</v>
      </c>
      <c r="J7619" s="3">
        <v>1</v>
      </c>
      <c r="K7619" s="3">
        <v>24</v>
      </c>
      <c r="L7619" s="3">
        <v>1</v>
      </c>
      <c r="M7619" s="3">
        <v>0</v>
      </c>
      <c r="N7619" s="3">
        <v>22</v>
      </c>
      <c r="O7619" s="3"/>
      <c r="P7619" s="3"/>
      <c r="Q7619" s="3"/>
    </row>
    <row r="7620" spans="1:17" ht="15" x14ac:dyDescent="0.25">
      <c r="A7620" s="3">
        <f>7613</f>
        <v>7613</v>
      </c>
      <c r="B7620" s="3" t="s">
        <v>7622</v>
      </c>
      <c r="C7620" s="3" t="s">
        <v>10</v>
      </c>
      <c r="D7620" s="3" t="s">
        <v>9</v>
      </c>
      <c r="E7620" s="3">
        <v>24</v>
      </c>
      <c r="F7620" s="3">
        <v>70</v>
      </c>
      <c r="G7620" s="3">
        <v>1</v>
      </c>
      <c r="H7620" s="3">
        <v>5</v>
      </c>
      <c r="I7620" s="3">
        <v>21</v>
      </c>
      <c r="J7620" s="3">
        <v>1</v>
      </c>
      <c r="K7620" s="3">
        <v>24</v>
      </c>
      <c r="L7620" s="3">
        <v>1</v>
      </c>
      <c r="M7620" s="3">
        <v>0</v>
      </c>
      <c r="N7620" s="3">
        <v>22</v>
      </c>
      <c r="O7620" s="3"/>
      <c r="P7620" s="3"/>
      <c r="Q7620" s="3"/>
    </row>
    <row r="7621" spans="1:17" ht="15" x14ac:dyDescent="0.25">
      <c r="A7621" s="3">
        <f>7614</f>
        <v>7614</v>
      </c>
      <c r="B7621" s="3" t="s">
        <v>7623</v>
      </c>
      <c r="C7621" s="3" t="s">
        <v>10</v>
      </c>
      <c r="D7621" s="3" t="s">
        <v>9</v>
      </c>
      <c r="E7621" s="3">
        <v>24</v>
      </c>
      <c r="F7621" s="3">
        <v>70</v>
      </c>
      <c r="G7621" s="3">
        <v>1</v>
      </c>
      <c r="H7621" s="3">
        <v>5</v>
      </c>
      <c r="I7621" s="3">
        <v>21</v>
      </c>
      <c r="J7621" s="3">
        <v>1</v>
      </c>
      <c r="K7621" s="3">
        <v>24</v>
      </c>
      <c r="L7621" s="3">
        <v>1</v>
      </c>
      <c r="M7621" s="3">
        <v>0</v>
      </c>
      <c r="N7621" s="3">
        <v>22</v>
      </c>
      <c r="O7621" s="3"/>
      <c r="P7621" s="3"/>
      <c r="Q7621" s="3"/>
    </row>
    <row r="7622" spans="1:17" ht="15" x14ac:dyDescent="0.25">
      <c r="A7622" s="3">
        <f>7615</f>
        <v>7615</v>
      </c>
      <c r="B7622" s="3" t="s">
        <v>7624</v>
      </c>
      <c r="C7622" s="3" t="s">
        <v>10</v>
      </c>
      <c r="D7622" s="3" t="s">
        <v>9</v>
      </c>
      <c r="E7622" s="3">
        <v>24</v>
      </c>
      <c r="F7622" s="3">
        <v>70</v>
      </c>
      <c r="G7622" s="3">
        <v>1</v>
      </c>
      <c r="H7622" s="3">
        <v>5</v>
      </c>
      <c r="I7622" s="3">
        <v>21</v>
      </c>
      <c r="J7622" s="3">
        <v>1</v>
      </c>
      <c r="K7622" s="3">
        <v>24</v>
      </c>
      <c r="L7622" s="3">
        <v>1</v>
      </c>
      <c r="M7622" s="3">
        <v>0</v>
      </c>
      <c r="N7622" s="3">
        <v>22</v>
      </c>
      <c r="O7622" s="3"/>
      <c r="P7622" s="3"/>
      <c r="Q7622" s="3"/>
    </row>
    <row r="7623" spans="1:17" ht="15" x14ac:dyDescent="0.25">
      <c r="A7623" s="3">
        <f>7616</f>
        <v>7616</v>
      </c>
      <c r="B7623" s="3" t="s">
        <v>7625</v>
      </c>
      <c r="C7623" s="3" t="s">
        <v>10</v>
      </c>
      <c r="D7623" s="3" t="s">
        <v>9</v>
      </c>
      <c r="E7623" s="3">
        <v>24</v>
      </c>
      <c r="F7623" s="3">
        <v>70</v>
      </c>
      <c r="G7623" s="3">
        <v>1</v>
      </c>
      <c r="H7623" s="3">
        <v>5</v>
      </c>
      <c r="I7623" s="3">
        <v>21</v>
      </c>
      <c r="J7623" s="3">
        <v>1</v>
      </c>
      <c r="K7623" s="3">
        <v>24</v>
      </c>
      <c r="L7623" s="3">
        <v>1</v>
      </c>
      <c r="M7623" s="3">
        <v>0</v>
      </c>
      <c r="N7623" s="3">
        <v>22</v>
      </c>
      <c r="O7623" s="3"/>
      <c r="P7623" s="3"/>
      <c r="Q7623" s="3"/>
    </row>
    <row r="7624" spans="1:17" ht="15" x14ac:dyDescent="0.25">
      <c r="A7624" s="3">
        <f>7617</f>
        <v>7617</v>
      </c>
      <c r="B7624" s="3" t="s">
        <v>7626</v>
      </c>
      <c r="C7624" s="3" t="s">
        <v>10</v>
      </c>
      <c r="D7624" s="3" t="s">
        <v>9</v>
      </c>
      <c r="E7624" s="3">
        <v>24</v>
      </c>
      <c r="F7624" s="3">
        <v>70</v>
      </c>
      <c r="G7624" s="3">
        <v>1</v>
      </c>
      <c r="H7624" s="3">
        <v>5</v>
      </c>
      <c r="I7624" s="3">
        <v>21</v>
      </c>
      <c r="J7624" s="3">
        <v>1</v>
      </c>
      <c r="K7624" s="3">
        <v>24</v>
      </c>
      <c r="L7624" s="3">
        <v>1</v>
      </c>
      <c r="M7624" s="3">
        <v>0</v>
      </c>
      <c r="N7624" s="3">
        <v>22</v>
      </c>
      <c r="O7624" s="3"/>
      <c r="P7624" s="3"/>
      <c r="Q7624" s="3"/>
    </row>
    <row r="7625" spans="1:17" ht="15" x14ac:dyDescent="0.25">
      <c r="A7625" s="3">
        <f>7618</f>
        <v>7618</v>
      </c>
      <c r="B7625" s="3" t="s">
        <v>7627</v>
      </c>
      <c r="C7625" s="3" t="s">
        <v>10</v>
      </c>
      <c r="D7625" s="3" t="s">
        <v>9</v>
      </c>
      <c r="E7625" s="3">
        <v>24</v>
      </c>
      <c r="F7625" s="3">
        <v>70</v>
      </c>
      <c r="G7625" s="3">
        <v>1</v>
      </c>
      <c r="H7625" s="3">
        <v>5</v>
      </c>
      <c r="I7625" s="3">
        <v>21</v>
      </c>
      <c r="J7625" s="3">
        <v>1</v>
      </c>
      <c r="K7625" s="3">
        <v>24</v>
      </c>
      <c r="L7625" s="3">
        <v>1</v>
      </c>
      <c r="M7625" s="3">
        <v>0</v>
      </c>
      <c r="N7625" s="3">
        <v>22</v>
      </c>
      <c r="O7625" s="3"/>
      <c r="P7625" s="3"/>
      <c r="Q7625" s="3"/>
    </row>
    <row r="7626" spans="1:17" ht="15" x14ac:dyDescent="0.25">
      <c r="A7626" s="3">
        <f>7619</f>
        <v>7619</v>
      </c>
      <c r="B7626" s="3" t="s">
        <v>7628</v>
      </c>
      <c r="C7626" s="3" t="s">
        <v>10</v>
      </c>
      <c r="D7626" s="3" t="s">
        <v>9</v>
      </c>
      <c r="E7626" s="3">
        <v>24</v>
      </c>
      <c r="F7626" s="3">
        <v>70</v>
      </c>
      <c r="G7626" s="3">
        <v>1</v>
      </c>
      <c r="H7626" s="3">
        <v>5</v>
      </c>
      <c r="I7626" s="3">
        <v>21</v>
      </c>
      <c r="J7626" s="3">
        <v>1</v>
      </c>
      <c r="K7626" s="3">
        <v>24</v>
      </c>
      <c r="L7626" s="3">
        <v>1</v>
      </c>
      <c r="M7626" s="3">
        <v>0</v>
      </c>
      <c r="N7626" s="3">
        <v>22</v>
      </c>
      <c r="O7626" s="3"/>
      <c r="P7626" s="3"/>
      <c r="Q7626" s="3"/>
    </row>
    <row r="7627" spans="1:17" ht="15" x14ac:dyDescent="0.25">
      <c r="A7627" s="3">
        <f>7620</f>
        <v>7620</v>
      </c>
      <c r="B7627" s="3" t="s">
        <v>7629</v>
      </c>
      <c r="C7627" s="3" t="s">
        <v>10</v>
      </c>
      <c r="D7627" s="3" t="s">
        <v>9</v>
      </c>
      <c r="E7627" s="3">
        <v>24</v>
      </c>
      <c r="F7627" s="3">
        <v>70</v>
      </c>
      <c r="G7627" s="3">
        <v>1</v>
      </c>
      <c r="H7627" s="3">
        <v>5</v>
      </c>
      <c r="I7627" s="3">
        <v>21</v>
      </c>
      <c r="J7627" s="3">
        <v>1</v>
      </c>
      <c r="K7627" s="3">
        <v>24</v>
      </c>
      <c r="L7627" s="3">
        <v>1</v>
      </c>
      <c r="M7627" s="3">
        <v>0</v>
      </c>
      <c r="N7627" s="3">
        <v>22</v>
      </c>
      <c r="O7627" s="3"/>
      <c r="P7627" s="3"/>
      <c r="Q7627" s="3"/>
    </row>
    <row r="7628" spans="1:17" ht="15" x14ac:dyDescent="0.25">
      <c r="A7628" s="3">
        <f>7621</f>
        <v>7621</v>
      </c>
      <c r="B7628" s="3" t="s">
        <v>7630</v>
      </c>
      <c r="C7628" s="3" t="s">
        <v>10</v>
      </c>
      <c r="D7628" s="3" t="s">
        <v>9</v>
      </c>
      <c r="E7628" s="3">
        <v>24</v>
      </c>
      <c r="F7628" s="3">
        <v>70</v>
      </c>
      <c r="G7628" s="3">
        <v>1</v>
      </c>
      <c r="H7628" s="3">
        <v>5</v>
      </c>
      <c r="I7628" s="3">
        <v>21</v>
      </c>
      <c r="J7628" s="3">
        <v>1</v>
      </c>
      <c r="K7628" s="3">
        <v>24</v>
      </c>
      <c r="L7628" s="3">
        <v>1</v>
      </c>
      <c r="M7628" s="3">
        <v>0</v>
      </c>
      <c r="N7628" s="3">
        <v>22</v>
      </c>
      <c r="O7628" s="3"/>
      <c r="P7628" s="3"/>
      <c r="Q7628" s="3"/>
    </row>
    <row r="7629" spans="1:17" ht="15" x14ac:dyDescent="0.25">
      <c r="A7629" s="3">
        <f>7622</f>
        <v>7622</v>
      </c>
      <c r="B7629" s="3" t="s">
        <v>7631</v>
      </c>
      <c r="C7629" s="3" t="s">
        <v>10</v>
      </c>
      <c r="D7629" s="3" t="s">
        <v>9</v>
      </c>
      <c r="E7629" s="3">
        <v>24</v>
      </c>
      <c r="F7629" s="3">
        <v>70</v>
      </c>
      <c r="G7629" s="3">
        <v>1</v>
      </c>
      <c r="H7629" s="3">
        <v>5</v>
      </c>
      <c r="I7629" s="3">
        <v>21</v>
      </c>
      <c r="J7629" s="3">
        <v>1</v>
      </c>
      <c r="K7629" s="3">
        <v>24</v>
      </c>
      <c r="L7629" s="3">
        <v>1</v>
      </c>
      <c r="M7629" s="3">
        <v>0</v>
      </c>
      <c r="N7629" s="3">
        <v>22</v>
      </c>
      <c r="O7629" s="3"/>
      <c r="P7629" s="3"/>
      <c r="Q7629" s="3"/>
    </row>
    <row r="7630" spans="1:17" ht="15" x14ac:dyDescent="0.25">
      <c r="A7630" s="3">
        <f>7623</f>
        <v>7623</v>
      </c>
      <c r="B7630" s="3" t="s">
        <v>7632</v>
      </c>
      <c r="C7630" s="3" t="s">
        <v>10</v>
      </c>
      <c r="D7630" s="3" t="s">
        <v>9</v>
      </c>
      <c r="E7630" s="3">
        <v>24</v>
      </c>
      <c r="F7630" s="3">
        <v>70</v>
      </c>
      <c r="G7630" s="3">
        <v>1</v>
      </c>
      <c r="H7630" s="3">
        <v>5</v>
      </c>
      <c r="I7630" s="3">
        <v>21</v>
      </c>
      <c r="J7630" s="3">
        <v>1</v>
      </c>
      <c r="K7630" s="3">
        <v>24</v>
      </c>
      <c r="L7630" s="3">
        <v>1</v>
      </c>
      <c r="M7630" s="3">
        <v>0</v>
      </c>
      <c r="N7630" s="3">
        <v>22</v>
      </c>
      <c r="O7630" s="3"/>
      <c r="P7630" s="3"/>
      <c r="Q7630" s="3"/>
    </row>
    <row r="7631" spans="1:17" ht="15" x14ac:dyDescent="0.25">
      <c r="A7631" s="3">
        <f>7624</f>
        <v>7624</v>
      </c>
      <c r="B7631" s="3" t="s">
        <v>7633</v>
      </c>
      <c r="C7631" s="3" t="s">
        <v>10</v>
      </c>
      <c r="D7631" s="3" t="s">
        <v>9</v>
      </c>
      <c r="E7631" s="3">
        <v>24</v>
      </c>
      <c r="F7631" s="3">
        <v>70</v>
      </c>
      <c r="G7631" s="3">
        <v>1</v>
      </c>
      <c r="H7631" s="3">
        <v>5</v>
      </c>
      <c r="I7631" s="3">
        <v>21</v>
      </c>
      <c r="J7631" s="3">
        <v>1</v>
      </c>
      <c r="K7631" s="3">
        <v>24</v>
      </c>
      <c r="L7631" s="3">
        <v>1</v>
      </c>
      <c r="M7631" s="3">
        <v>0</v>
      </c>
      <c r="N7631" s="3">
        <v>22</v>
      </c>
      <c r="O7631" s="3"/>
      <c r="P7631" s="3"/>
      <c r="Q7631" s="3"/>
    </row>
    <row r="7632" spans="1:17" ht="15" x14ac:dyDescent="0.25">
      <c r="A7632" s="3">
        <f>7625</f>
        <v>7625</v>
      </c>
      <c r="B7632" s="3" t="s">
        <v>7634</v>
      </c>
      <c r="C7632" s="3" t="s">
        <v>10</v>
      </c>
      <c r="D7632" s="3" t="s">
        <v>9</v>
      </c>
      <c r="E7632" s="3">
        <v>24</v>
      </c>
      <c r="F7632" s="3">
        <v>70</v>
      </c>
      <c r="G7632" s="3">
        <v>1</v>
      </c>
      <c r="H7632" s="3">
        <v>5</v>
      </c>
      <c r="I7632" s="3">
        <v>21</v>
      </c>
      <c r="J7632" s="3">
        <v>1</v>
      </c>
      <c r="K7632" s="3">
        <v>24</v>
      </c>
      <c r="L7632" s="3">
        <v>1</v>
      </c>
      <c r="M7632" s="3">
        <v>0</v>
      </c>
      <c r="N7632" s="3">
        <v>22</v>
      </c>
      <c r="O7632" s="3"/>
      <c r="P7632" s="3"/>
      <c r="Q7632" s="3"/>
    </row>
    <row r="7633" spans="1:17" ht="15" x14ac:dyDescent="0.25">
      <c r="A7633" s="3">
        <f>7626</f>
        <v>7626</v>
      </c>
      <c r="B7633" s="3" t="s">
        <v>7635</v>
      </c>
      <c r="C7633" s="3" t="s">
        <v>10</v>
      </c>
      <c r="D7633" s="3" t="s">
        <v>9</v>
      </c>
      <c r="E7633" s="3">
        <v>24</v>
      </c>
      <c r="F7633" s="3">
        <v>70</v>
      </c>
      <c r="G7633" s="3">
        <v>1</v>
      </c>
      <c r="H7633" s="3">
        <v>5</v>
      </c>
      <c r="I7633" s="3">
        <v>21</v>
      </c>
      <c r="J7633" s="3">
        <v>1</v>
      </c>
      <c r="K7633" s="3">
        <v>24</v>
      </c>
      <c r="L7633" s="3">
        <v>1</v>
      </c>
      <c r="M7633" s="3">
        <v>0</v>
      </c>
      <c r="N7633" s="3">
        <v>22</v>
      </c>
      <c r="O7633" s="3"/>
      <c r="P7633" s="3"/>
      <c r="Q7633" s="3"/>
    </row>
    <row r="7634" spans="1:17" ht="15" x14ac:dyDescent="0.25">
      <c r="A7634" s="3">
        <f>7627</f>
        <v>7627</v>
      </c>
      <c r="B7634" s="3" t="s">
        <v>7636</v>
      </c>
      <c r="C7634" s="3" t="s">
        <v>10</v>
      </c>
      <c r="D7634" s="3" t="s">
        <v>9</v>
      </c>
      <c r="E7634" s="3">
        <v>24</v>
      </c>
      <c r="F7634" s="3">
        <v>70</v>
      </c>
      <c r="G7634" s="3">
        <v>1</v>
      </c>
      <c r="H7634" s="3">
        <v>5</v>
      </c>
      <c r="I7634" s="3">
        <v>21</v>
      </c>
      <c r="J7634" s="3">
        <v>1</v>
      </c>
      <c r="K7634" s="3">
        <v>24</v>
      </c>
      <c r="L7634" s="3">
        <v>1</v>
      </c>
      <c r="M7634" s="3">
        <v>0</v>
      </c>
      <c r="N7634" s="3">
        <v>22</v>
      </c>
      <c r="O7634" s="3"/>
      <c r="P7634" s="3"/>
      <c r="Q7634" s="3"/>
    </row>
    <row r="7635" spans="1:17" ht="15" x14ac:dyDescent="0.25">
      <c r="A7635" s="3">
        <f>7628</f>
        <v>7628</v>
      </c>
      <c r="B7635" s="3" t="s">
        <v>7637</v>
      </c>
      <c r="C7635" s="3" t="s">
        <v>10</v>
      </c>
      <c r="D7635" s="3" t="s">
        <v>9</v>
      </c>
      <c r="E7635" s="3">
        <v>24</v>
      </c>
      <c r="F7635" s="3">
        <v>70</v>
      </c>
      <c r="G7635" s="3">
        <v>1</v>
      </c>
      <c r="H7635" s="3">
        <v>5</v>
      </c>
      <c r="I7635" s="3">
        <v>21</v>
      </c>
      <c r="J7635" s="3">
        <v>1</v>
      </c>
      <c r="K7635" s="3">
        <v>24</v>
      </c>
      <c r="L7635" s="3">
        <v>1</v>
      </c>
      <c r="M7635" s="3">
        <v>0</v>
      </c>
      <c r="N7635" s="3">
        <v>22</v>
      </c>
      <c r="O7635" s="3"/>
      <c r="P7635" s="3"/>
      <c r="Q7635" s="3"/>
    </row>
    <row r="7636" spans="1:17" ht="15" x14ac:dyDescent="0.25">
      <c r="A7636" s="3">
        <f>7629</f>
        <v>7629</v>
      </c>
      <c r="B7636" s="3" t="s">
        <v>7638</v>
      </c>
      <c r="C7636" s="3" t="s">
        <v>10</v>
      </c>
      <c r="D7636" s="3" t="s">
        <v>9</v>
      </c>
      <c r="E7636" s="3">
        <v>24</v>
      </c>
      <c r="F7636" s="3">
        <v>70</v>
      </c>
      <c r="G7636" s="3">
        <v>1</v>
      </c>
      <c r="H7636" s="3">
        <v>5</v>
      </c>
      <c r="I7636" s="3">
        <v>21</v>
      </c>
      <c r="J7636" s="3">
        <v>1</v>
      </c>
      <c r="K7636" s="3">
        <v>24</v>
      </c>
      <c r="L7636" s="3">
        <v>1</v>
      </c>
      <c r="M7636" s="3">
        <v>0</v>
      </c>
      <c r="N7636" s="3">
        <v>22</v>
      </c>
      <c r="O7636" s="3"/>
      <c r="P7636" s="3"/>
      <c r="Q7636" s="3"/>
    </row>
    <row r="7637" spans="1:17" ht="15" x14ac:dyDescent="0.25">
      <c r="A7637" s="3">
        <f>7630</f>
        <v>7630</v>
      </c>
      <c r="B7637" s="3" t="s">
        <v>7639</v>
      </c>
      <c r="C7637" s="3" t="s">
        <v>10</v>
      </c>
      <c r="D7637" s="3" t="s">
        <v>9</v>
      </c>
      <c r="E7637" s="3">
        <v>24</v>
      </c>
      <c r="F7637" s="3">
        <v>70</v>
      </c>
      <c r="G7637" s="3">
        <v>1</v>
      </c>
      <c r="H7637" s="3">
        <v>5</v>
      </c>
      <c r="I7637" s="3">
        <v>21</v>
      </c>
      <c r="J7637" s="3">
        <v>1</v>
      </c>
      <c r="K7637" s="3">
        <v>24</v>
      </c>
      <c r="L7637" s="3">
        <v>1</v>
      </c>
      <c r="M7637" s="3">
        <v>0</v>
      </c>
      <c r="N7637" s="3">
        <v>22</v>
      </c>
      <c r="O7637" s="3"/>
      <c r="P7637" s="3"/>
      <c r="Q7637" s="3"/>
    </row>
    <row r="7638" spans="1:17" ht="15" x14ac:dyDescent="0.25">
      <c r="A7638" s="3">
        <f>7631</f>
        <v>7631</v>
      </c>
      <c r="B7638" s="3" t="s">
        <v>7640</v>
      </c>
      <c r="C7638" s="3" t="s">
        <v>10</v>
      </c>
      <c r="D7638" s="3" t="s">
        <v>9</v>
      </c>
      <c r="E7638" s="3">
        <v>24</v>
      </c>
      <c r="F7638" s="3">
        <v>70</v>
      </c>
      <c r="G7638" s="3">
        <v>1</v>
      </c>
      <c r="H7638" s="3">
        <v>5</v>
      </c>
      <c r="I7638" s="3">
        <v>21</v>
      </c>
      <c r="J7638" s="3">
        <v>1</v>
      </c>
      <c r="K7638" s="3">
        <v>24</v>
      </c>
      <c r="L7638" s="3">
        <v>1</v>
      </c>
      <c r="M7638" s="3">
        <v>0</v>
      </c>
      <c r="N7638" s="3">
        <v>22</v>
      </c>
      <c r="O7638" s="3"/>
      <c r="P7638" s="3"/>
      <c r="Q7638" s="3"/>
    </row>
    <row r="7639" spans="1:17" ht="15" x14ac:dyDescent="0.25">
      <c r="A7639" s="3">
        <f>7632</f>
        <v>7632</v>
      </c>
      <c r="B7639" s="3" t="s">
        <v>7641</v>
      </c>
      <c r="C7639" s="3" t="s">
        <v>10</v>
      </c>
      <c r="D7639" s="3" t="s">
        <v>9</v>
      </c>
      <c r="E7639" s="3">
        <v>24</v>
      </c>
      <c r="F7639" s="3">
        <v>70</v>
      </c>
      <c r="G7639" s="3">
        <v>1</v>
      </c>
      <c r="H7639" s="3">
        <v>5</v>
      </c>
      <c r="I7639" s="3">
        <v>21</v>
      </c>
      <c r="J7639" s="3">
        <v>1</v>
      </c>
      <c r="K7639" s="3">
        <v>24</v>
      </c>
      <c r="L7639" s="3">
        <v>1</v>
      </c>
      <c r="M7639" s="3">
        <v>0</v>
      </c>
      <c r="N7639" s="3">
        <v>22</v>
      </c>
      <c r="O7639" s="3"/>
      <c r="P7639" s="3"/>
      <c r="Q7639" s="3"/>
    </row>
    <row r="7640" spans="1:17" ht="15" x14ac:dyDescent="0.25">
      <c r="A7640" s="3">
        <f>7633</f>
        <v>7633</v>
      </c>
      <c r="B7640" s="3" t="s">
        <v>7642</v>
      </c>
      <c r="C7640" s="3" t="s">
        <v>10</v>
      </c>
      <c r="D7640" s="3" t="s">
        <v>9</v>
      </c>
      <c r="E7640" s="3">
        <v>24</v>
      </c>
      <c r="F7640" s="3">
        <v>70</v>
      </c>
      <c r="G7640" s="3">
        <v>1</v>
      </c>
      <c r="H7640" s="3">
        <v>5</v>
      </c>
      <c r="I7640" s="3">
        <v>21</v>
      </c>
      <c r="J7640" s="3">
        <v>1</v>
      </c>
      <c r="K7640" s="3">
        <v>24</v>
      </c>
      <c r="L7640" s="3">
        <v>1</v>
      </c>
      <c r="M7640" s="3">
        <v>0</v>
      </c>
      <c r="N7640" s="3">
        <v>22</v>
      </c>
      <c r="O7640" s="3"/>
      <c r="P7640" s="3"/>
      <c r="Q7640" s="3"/>
    </row>
    <row r="7641" spans="1:17" ht="15" x14ac:dyDescent="0.25">
      <c r="A7641" s="3">
        <f>7634</f>
        <v>7634</v>
      </c>
      <c r="B7641" s="3" t="s">
        <v>7643</v>
      </c>
      <c r="C7641" s="3" t="s">
        <v>10</v>
      </c>
      <c r="D7641" s="3" t="s">
        <v>9</v>
      </c>
      <c r="E7641" s="3">
        <v>24</v>
      </c>
      <c r="F7641" s="3">
        <v>70</v>
      </c>
      <c r="G7641" s="3">
        <v>1</v>
      </c>
      <c r="H7641" s="3">
        <v>5</v>
      </c>
      <c r="I7641" s="3">
        <v>21</v>
      </c>
      <c r="J7641" s="3">
        <v>1</v>
      </c>
      <c r="K7641" s="3">
        <v>24</v>
      </c>
      <c r="L7641" s="3">
        <v>1</v>
      </c>
      <c r="M7641" s="3">
        <v>0</v>
      </c>
      <c r="N7641" s="3">
        <v>22</v>
      </c>
      <c r="O7641" s="3"/>
      <c r="P7641" s="3"/>
      <c r="Q7641" s="3"/>
    </row>
    <row r="7642" spans="1:17" ht="15" x14ac:dyDescent="0.25">
      <c r="A7642" s="3">
        <f>7635</f>
        <v>7635</v>
      </c>
      <c r="B7642" s="3" t="s">
        <v>7644</v>
      </c>
      <c r="C7642" s="3" t="s">
        <v>10</v>
      </c>
      <c r="D7642" s="3" t="s">
        <v>9</v>
      </c>
      <c r="E7642" s="3">
        <v>24</v>
      </c>
      <c r="F7642" s="3">
        <v>70</v>
      </c>
      <c r="G7642" s="3">
        <v>1</v>
      </c>
      <c r="H7642" s="3">
        <v>5</v>
      </c>
      <c r="I7642" s="3">
        <v>21</v>
      </c>
      <c r="J7642" s="3">
        <v>1</v>
      </c>
      <c r="K7642" s="3">
        <v>24</v>
      </c>
      <c r="L7642" s="3">
        <v>1</v>
      </c>
      <c r="M7642" s="3">
        <v>0</v>
      </c>
      <c r="N7642" s="3">
        <v>22</v>
      </c>
      <c r="O7642" s="3"/>
      <c r="P7642" s="3"/>
      <c r="Q7642" s="3"/>
    </row>
    <row r="7643" spans="1:17" ht="15" x14ac:dyDescent="0.25">
      <c r="A7643" s="3">
        <f>7636</f>
        <v>7636</v>
      </c>
      <c r="B7643" s="3" t="s">
        <v>7645</v>
      </c>
      <c r="C7643" s="3" t="s">
        <v>10</v>
      </c>
      <c r="D7643" s="3" t="s">
        <v>9</v>
      </c>
      <c r="E7643" s="3">
        <v>24</v>
      </c>
      <c r="F7643" s="3">
        <v>70</v>
      </c>
      <c r="G7643" s="3">
        <v>1</v>
      </c>
      <c r="H7643" s="3">
        <v>5</v>
      </c>
      <c r="I7643" s="3">
        <v>21</v>
      </c>
      <c r="J7643" s="3">
        <v>1</v>
      </c>
      <c r="K7643" s="3">
        <v>24</v>
      </c>
      <c r="L7643" s="3">
        <v>1</v>
      </c>
      <c r="M7643" s="3">
        <v>0</v>
      </c>
      <c r="N7643" s="3">
        <v>22</v>
      </c>
      <c r="O7643" s="3"/>
      <c r="P7643" s="3"/>
      <c r="Q7643" s="3"/>
    </row>
    <row r="7644" spans="1:17" ht="15" x14ac:dyDescent="0.25">
      <c r="A7644" s="3">
        <f>7637</f>
        <v>7637</v>
      </c>
      <c r="B7644" s="3" t="s">
        <v>7646</v>
      </c>
      <c r="C7644" s="3" t="s">
        <v>10</v>
      </c>
      <c r="D7644" s="3" t="s">
        <v>9</v>
      </c>
      <c r="E7644" s="3">
        <v>24</v>
      </c>
      <c r="F7644" s="3">
        <v>70</v>
      </c>
      <c r="G7644" s="3">
        <v>1</v>
      </c>
      <c r="H7644" s="3">
        <v>5</v>
      </c>
      <c r="I7644" s="3">
        <v>21</v>
      </c>
      <c r="J7644" s="3">
        <v>1</v>
      </c>
      <c r="K7644" s="3">
        <v>24</v>
      </c>
      <c r="L7644" s="3">
        <v>1</v>
      </c>
      <c r="M7644" s="3">
        <v>0</v>
      </c>
      <c r="N7644" s="3">
        <v>22</v>
      </c>
      <c r="O7644" s="3"/>
      <c r="P7644" s="3"/>
      <c r="Q7644" s="3"/>
    </row>
    <row r="7645" spans="1:17" ht="15" x14ac:dyDescent="0.25">
      <c r="A7645" s="3">
        <f>7638</f>
        <v>7638</v>
      </c>
      <c r="B7645" s="3" t="s">
        <v>7647</v>
      </c>
      <c r="C7645" s="3" t="s">
        <v>10</v>
      </c>
      <c r="D7645" s="3" t="s">
        <v>9</v>
      </c>
      <c r="E7645" s="3">
        <v>24</v>
      </c>
      <c r="F7645" s="3">
        <v>70</v>
      </c>
      <c r="G7645" s="3">
        <v>1</v>
      </c>
      <c r="H7645" s="3">
        <v>5</v>
      </c>
      <c r="I7645" s="3">
        <v>21</v>
      </c>
      <c r="J7645" s="3">
        <v>1</v>
      </c>
      <c r="K7645" s="3">
        <v>24</v>
      </c>
      <c r="L7645" s="3">
        <v>1</v>
      </c>
      <c r="M7645" s="3">
        <v>0</v>
      </c>
      <c r="N7645" s="3">
        <v>22</v>
      </c>
      <c r="O7645" s="3"/>
      <c r="P7645" s="3"/>
      <c r="Q7645" s="3"/>
    </row>
    <row r="7646" spans="1:17" ht="15" x14ac:dyDescent="0.25">
      <c r="A7646" s="3">
        <f>7639</f>
        <v>7639</v>
      </c>
      <c r="B7646" s="3" t="s">
        <v>7648</v>
      </c>
      <c r="C7646" s="3" t="s">
        <v>10</v>
      </c>
      <c r="D7646" s="3" t="s">
        <v>9</v>
      </c>
      <c r="E7646" s="3">
        <v>24</v>
      </c>
      <c r="F7646" s="3">
        <v>70</v>
      </c>
      <c r="G7646" s="3">
        <v>1</v>
      </c>
      <c r="H7646" s="3">
        <v>5</v>
      </c>
      <c r="I7646" s="3">
        <v>21</v>
      </c>
      <c r="J7646" s="3">
        <v>1</v>
      </c>
      <c r="K7646" s="3">
        <v>24</v>
      </c>
      <c r="L7646" s="3">
        <v>1</v>
      </c>
      <c r="M7646" s="3">
        <v>0</v>
      </c>
      <c r="N7646" s="3">
        <v>22</v>
      </c>
      <c r="O7646" s="3"/>
      <c r="P7646" s="3"/>
      <c r="Q7646" s="3"/>
    </row>
    <row r="7647" spans="1:17" ht="15" x14ac:dyDescent="0.25">
      <c r="A7647" s="3">
        <f>7640</f>
        <v>7640</v>
      </c>
      <c r="B7647" s="3" t="s">
        <v>7649</v>
      </c>
      <c r="C7647" s="3" t="s">
        <v>10</v>
      </c>
      <c r="D7647" s="3" t="s">
        <v>9</v>
      </c>
      <c r="E7647" s="3">
        <v>24</v>
      </c>
      <c r="F7647" s="3">
        <v>70</v>
      </c>
      <c r="G7647" s="3">
        <v>1</v>
      </c>
      <c r="H7647" s="3">
        <v>5</v>
      </c>
      <c r="I7647" s="3">
        <v>21</v>
      </c>
      <c r="J7647" s="3">
        <v>1</v>
      </c>
      <c r="K7647" s="3">
        <v>24</v>
      </c>
      <c r="L7647" s="3">
        <v>1</v>
      </c>
      <c r="M7647" s="3">
        <v>0</v>
      </c>
      <c r="N7647" s="3">
        <v>22</v>
      </c>
      <c r="O7647" s="3"/>
      <c r="P7647" s="3"/>
      <c r="Q7647" s="3"/>
    </row>
    <row r="7648" spans="1:17" ht="15" x14ac:dyDescent="0.25">
      <c r="A7648" s="3">
        <f>7641</f>
        <v>7641</v>
      </c>
      <c r="B7648" s="3" t="s">
        <v>7650</v>
      </c>
      <c r="C7648" s="3" t="s">
        <v>10</v>
      </c>
      <c r="D7648" s="3" t="s">
        <v>9</v>
      </c>
      <c r="E7648" s="3">
        <v>24</v>
      </c>
      <c r="F7648" s="3">
        <v>70</v>
      </c>
      <c r="G7648" s="3">
        <v>1</v>
      </c>
      <c r="H7648" s="3">
        <v>5</v>
      </c>
      <c r="I7648" s="3">
        <v>21</v>
      </c>
      <c r="J7648" s="3">
        <v>1</v>
      </c>
      <c r="K7648" s="3">
        <v>24</v>
      </c>
      <c r="L7648" s="3">
        <v>1</v>
      </c>
      <c r="M7648" s="3">
        <v>0</v>
      </c>
      <c r="N7648" s="3">
        <v>22</v>
      </c>
      <c r="O7648" s="3"/>
      <c r="P7648" s="3"/>
      <c r="Q7648" s="3"/>
    </row>
    <row r="7649" spans="1:17" ht="15" x14ac:dyDescent="0.25">
      <c r="A7649" s="3">
        <f>7642</f>
        <v>7642</v>
      </c>
      <c r="B7649" s="3" t="s">
        <v>7651</v>
      </c>
      <c r="C7649" s="3" t="s">
        <v>10</v>
      </c>
      <c r="D7649" s="3" t="s">
        <v>9</v>
      </c>
      <c r="E7649" s="3">
        <v>24</v>
      </c>
      <c r="F7649" s="3">
        <v>70</v>
      </c>
      <c r="G7649" s="3">
        <v>1</v>
      </c>
      <c r="H7649" s="3">
        <v>5</v>
      </c>
      <c r="I7649" s="3">
        <v>21</v>
      </c>
      <c r="J7649" s="3">
        <v>1</v>
      </c>
      <c r="K7649" s="3">
        <v>24</v>
      </c>
      <c r="L7649" s="3">
        <v>1</v>
      </c>
      <c r="M7649" s="3">
        <v>0</v>
      </c>
      <c r="N7649" s="3">
        <v>22</v>
      </c>
      <c r="O7649" s="3"/>
      <c r="P7649" s="3"/>
      <c r="Q7649" s="3"/>
    </row>
    <row r="7650" spans="1:17" ht="15" x14ac:dyDescent="0.25">
      <c r="A7650" s="3">
        <f>7643</f>
        <v>7643</v>
      </c>
      <c r="B7650" s="3" t="s">
        <v>7652</v>
      </c>
      <c r="C7650" s="3" t="s">
        <v>10</v>
      </c>
      <c r="D7650" s="3" t="s">
        <v>9</v>
      </c>
      <c r="E7650" s="3">
        <v>24</v>
      </c>
      <c r="F7650" s="3">
        <v>70</v>
      </c>
      <c r="G7650" s="3">
        <v>1</v>
      </c>
      <c r="H7650" s="3">
        <v>5</v>
      </c>
      <c r="I7650" s="3">
        <v>21</v>
      </c>
      <c r="J7650" s="3">
        <v>1</v>
      </c>
      <c r="K7650" s="3">
        <v>24</v>
      </c>
      <c r="L7650" s="3">
        <v>1</v>
      </c>
      <c r="M7650" s="3">
        <v>0</v>
      </c>
      <c r="N7650" s="3">
        <v>22</v>
      </c>
      <c r="O7650" s="3"/>
      <c r="P7650" s="3"/>
      <c r="Q7650" s="3"/>
    </row>
    <row r="7651" spans="1:17" ht="15" x14ac:dyDescent="0.25">
      <c r="A7651" s="3">
        <f>7644</f>
        <v>7644</v>
      </c>
      <c r="B7651" s="3" t="s">
        <v>7653</v>
      </c>
      <c r="C7651" s="3" t="s">
        <v>10</v>
      </c>
      <c r="D7651" s="3" t="s">
        <v>9</v>
      </c>
      <c r="E7651" s="3">
        <v>24</v>
      </c>
      <c r="F7651" s="3">
        <v>70</v>
      </c>
      <c r="G7651" s="3">
        <v>1</v>
      </c>
      <c r="H7651" s="3">
        <v>5</v>
      </c>
      <c r="I7651" s="3">
        <v>21</v>
      </c>
      <c r="J7651" s="3">
        <v>1</v>
      </c>
      <c r="K7651" s="3">
        <v>24</v>
      </c>
      <c r="L7651" s="3">
        <v>1</v>
      </c>
      <c r="M7651" s="3">
        <v>0</v>
      </c>
      <c r="N7651" s="3">
        <v>22</v>
      </c>
      <c r="O7651" s="3"/>
      <c r="P7651" s="3"/>
      <c r="Q7651" s="3"/>
    </row>
    <row r="7652" spans="1:17" ht="15" x14ac:dyDescent="0.25">
      <c r="A7652" s="3">
        <f>7645</f>
        <v>7645</v>
      </c>
      <c r="B7652" s="3" t="s">
        <v>7654</v>
      </c>
      <c r="C7652" s="3" t="s">
        <v>10</v>
      </c>
      <c r="D7652" s="3" t="s">
        <v>9</v>
      </c>
      <c r="E7652" s="3">
        <v>24</v>
      </c>
      <c r="F7652" s="3">
        <v>70</v>
      </c>
      <c r="G7652" s="3">
        <v>1</v>
      </c>
      <c r="H7652" s="3">
        <v>5</v>
      </c>
      <c r="I7652" s="3">
        <v>21</v>
      </c>
      <c r="J7652" s="3">
        <v>1</v>
      </c>
      <c r="K7652" s="3">
        <v>24</v>
      </c>
      <c r="L7652" s="3">
        <v>1</v>
      </c>
      <c r="M7652" s="3">
        <v>0</v>
      </c>
      <c r="N7652" s="3">
        <v>22</v>
      </c>
      <c r="O7652" s="3"/>
      <c r="P7652" s="3"/>
      <c r="Q7652" s="3"/>
    </row>
    <row r="7653" spans="1:17" ht="15" x14ac:dyDescent="0.25">
      <c r="A7653" s="3">
        <f>7646</f>
        <v>7646</v>
      </c>
      <c r="B7653" s="3" t="s">
        <v>7655</v>
      </c>
      <c r="C7653" s="3" t="s">
        <v>10</v>
      </c>
      <c r="D7653" s="3" t="s">
        <v>9</v>
      </c>
      <c r="E7653" s="3">
        <v>24</v>
      </c>
      <c r="F7653" s="3">
        <v>70</v>
      </c>
      <c r="G7653" s="3">
        <v>1</v>
      </c>
      <c r="H7653" s="3">
        <v>5</v>
      </c>
      <c r="I7653" s="3">
        <v>21</v>
      </c>
      <c r="J7653" s="3">
        <v>1</v>
      </c>
      <c r="K7653" s="3">
        <v>24</v>
      </c>
      <c r="L7653" s="3">
        <v>1</v>
      </c>
      <c r="M7653" s="3">
        <v>0</v>
      </c>
      <c r="N7653" s="3">
        <v>22</v>
      </c>
      <c r="O7653" s="3"/>
      <c r="P7653" s="3"/>
      <c r="Q7653" s="3"/>
    </row>
    <row r="7654" spans="1:17" ht="15" x14ac:dyDescent="0.25">
      <c r="A7654" s="3">
        <f>7647</f>
        <v>7647</v>
      </c>
      <c r="B7654" s="3" t="s">
        <v>7656</v>
      </c>
      <c r="C7654" s="3" t="s">
        <v>10</v>
      </c>
      <c r="D7654" s="3" t="s">
        <v>9</v>
      </c>
      <c r="E7654" s="3">
        <v>24</v>
      </c>
      <c r="F7654" s="3">
        <v>70</v>
      </c>
      <c r="G7654" s="3">
        <v>1</v>
      </c>
      <c r="H7654" s="3">
        <v>5</v>
      </c>
      <c r="I7654" s="3">
        <v>21</v>
      </c>
      <c r="J7654" s="3">
        <v>1</v>
      </c>
      <c r="K7654" s="3">
        <v>24</v>
      </c>
      <c r="L7654" s="3">
        <v>1</v>
      </c>
      <c r="M7654" s="3">
        <v>0</v>
      </c>
      <c r="N7654" s="3">
        <v>22</v>
      </c>
      <c r="O7654" s="3"/>
      <c r="P7654" s="3"/>
      <c r="Q7654" s="3"/>
    </row>
    <row r="7655" spans="1:17" ht="15" x14ac:dyDescent="0.25">
      <c r="A7655" s="3">
        <f>7648</f>
        <v>7648</v>
      </c>
      <c r="B7655" s="3" t="s">
        <v>7657</v>
      </c>
      <c r="C7655" s="3" t="s">
        <v>10</v>
      </c>
      <c r="D7655" s="3" t="s">
        <v>9</v>
      </c>
      <c r="E7655" s="3">
        <v>24</v>
      </c>
      <c r="F7655" s="3">
        <v>70</v>
      </c>
      <c r="G7655" s="3">
        <v>1</v>
      </c>
      <c r="H7655" s="3">
        <v>5</v>
      </c>
      <c r="I7655" s="3">
        <v>21</v>
      </c>
      <c r="J7655" s="3">
        <v>1</v>
      </c>
      <c r="K7655" s="3">
        <v>24</v>
      </c>
      <c r="L7655" s="3">
        <v>1</v>
      </c>
      <c r="M7655" s="3">
        <v>0</v>
      </c>
      <c r="N7655" s="3">
        <v>22</v>
      </c>
      <c r="O7655" s="3"/>
      <c r="P7655" s="3"/>
      <c r="Q7655" s="3"/>
    </row>
    <row r="7656" spans="1:17" ht="15" x14ac:dyDescent="0.25">
      <c r="A7656" s="3">
        <f>7649</f>
        <v>7649</v>
      </c>
      <c r="B7656" s="3" t="s">
        <v>7658</v>
      </c>
      <c r="C7656" s="3" t="s">
        <v>10</v>
      </c>
      <c r="D7656" s="3" t="s">
        <v>9</v>
      </c>
      <c r="E7656" s="3">
        <v>24</v>
      </c>
      <c r="F7656" s="3">
        <v>70</v>
      </c>
      <c r="G7656" s="3">
        <v>1</v>
      </c>
      <c r="H7656" s="3">
        <v>5</v>
      </c>
      <c r="I7656" s="3">
        <v>21</v>
      </c>
      <c r="J7656" s="3">
        <v>1</v>
      </c>
      <c r="K7656" s="3">
        <v>24</v>
      </c>
      <c r="L7656" s="3">
        <v>1</v>
      </c>
      <c r="M7656" s="3">
        <v>0</v>
      </c>
      <c r="N7656" s="3">
        <v>22</v>
      </c>
      <c r="O7656" s="3"/>
      <c r="P7656" s="3"/>
      <c r="Q7656" s="3"/>
    </row>
    <row r="7657" spans="1:17" ht="15" x14ac:dyDescent="0.25">
      <c r="A7657" s="3">
        <f>7650</f>
        <v>7650</v>
      </c>
      <c r="B7657" s="3" t="s">
        <v>7659</v>
      </c>
      <c r="C7657" s="3" t="s">
        <v>10</v>
      </c>
      <c r="D7657" s="3" t="s">
        <v>9</v>
      </c>
      <c r="E7657" s="3">
        <v>24</v>
      </c>
      <c r="F7657" s="3">
        <v>70</v>
      </c>
      <c r="G7657" s="3">
        <v>1</v>
      </c>
      <c r="H7657" s="3">
        <v>5</v>
      </c>
      <c r="I7657" s="3">
        <v>21</v>
      </c>
      <c r="J7657" s="3">
        <v>1</v>
      </c>
      <c r="K7657" s="3">
        <v>24</v>
      </c>
      <c r="L7657" s="3">
        <v>1</v>
      </c>
      <c r="M7657" s="3">
        <v>0</v>
      </c>
      <c r="N7657" s="3">
        <v>22</v>
      </c>
      <c r="O7657" s="3"/>
      <c r="P7657" s="3"/>
      <c r="Q7657" s="3"/>
    </row>
    <row r="7658" spans="1:17" ht="15" x14ac:dyDescent="0.25">
      <c r="A7658" s="3">
        <f>7651</f>
        <v>7651</v>
      </c>
      <c r="B7658" s="3" t="s">
        <v>7660</v>
      </c>
      <c r="C7658" s="3" t="s">
        <v>10</v>
      </c>
      <c r="D7658" s="3" t="s">
        <v>9</v>
      </c>
      <c r="E7658" s="3">
        <v>24</v>
      </c>
      <c r="F7658" s="3">
        <v>70</v>
      </c>
      <c r="G7658" s="3">
        <v>1</v>
      </c>
      <c r="H7658" s="3">
        <v>5</v>
      </c>
      <c r="I7658" s="3">
        <v>21</v>
      </c>
      <c r="J7658" s="3">
        <v>1</v>
      </c>
      <c r="K7658" s="3">
        <v>24</v>
      </c>
      <c r="L7658" s="3">
        <v>1</v>
      </c>
      <c r="M7658" s="3">
        <v>0</v>
      </c>
      <c r="N7658" s="3">
        <v>22</v>
      </c>
      <c r="O7658" s="3"/>
      <c r="P7658" s="3"/>
      <c r="Q7658" s="3"/>
    </row>
    <row r="7659" spans="1:17" ht="15" x14ac:dyDescent="0.25">
      <c r="A7659" s="3">
        <f>7652</f>
        <v>7652</v>
      </c>
      <c r="B7659" s="3" t="s">
        <v>7661</v>
      </c>
      <c r="C7659" s="3" t="s">
        <v>10</v>
      </c>
      <c r="D7659" s="3" t="s">
        <v>9</v>
      </c>
      <c r="E7659" s="3">
        <v>24</v>
      </c>
      <c r="F7659" s="3">
        <v>70</v>
      </c>
      <c r="G7659" s="3">
        <v>1</v>
      </c>
      <c r="H7659" s="3">
        <v>5</v>
      </c>
      <c r="I7659" s="3">
        <v>21</v>
      </c>
      <c r="J7659" s="3">
        <v>1</v>
      </c>
      <c r="K7659" s="3">
        <v>24</v>
      </c>
      <c r="L7659" s="3">
        <v>1</v>
      </c>
      <c r="M7659" s="3">
        <v>0</v>
      </c>
      <c r="N7659" s="3">
        <v>22</v>
      </c>
      <c r="O7659" s="3"/>
      <c r="P7659" s="3"/>
      <c r="Q7659" s="3"/>
    </row>
    <row r="7660" spans="1:17" ht="15" x14ac:dyDescent="0.25">
      <c r="A7660" s="3">
        <f>7653</f>
        <v>7653</v>
      </c>
      <c r="B7660" s="3" t="s">
        <v>7662</v>
      </c>
      <c r="C7660" s="3" t="s">
        <v>10</v>
      </c>
      <c r="D7660" s="3" t="s">
        <v>9</v>
      </c>
      <c r="E7660" s="3">
        <v>24</v>
      </c>
      <c r="F7660" s="3">
        <v>70</v>
      </c>
      <c r="G7660" s="3">
        <v>1</v>
      </c>
      <c r="H7660" s="3">
        <v>5</v>
      </c>
      <c r="I7660" s="3">
        <v>21</v>
      </c>
      <c r="J7660" s="3">
        <v>1</v>
      </c>
      <c r="K7660" s="3">
        <v>24</v>
      </c>
      <c r="L7660" s="3">
        <v>1</v>
      </c>
      <c r="M7660" s="3">
        <v>0</v>
      </c>
      <c r="N7660" s="3">
        <v>22</v>
      </c>
      <c r="O7660" s="3"/>
      <c r="P7660" s="3"/>
      <c r="Q7660" s="3"/>
    </row>
    <row r="7661" spans="1:17" ht="15" x14ac:dyDescent="0.25">
      <c r="A7661" s="3">
        <f>7654</f>
        <v>7654</v>
      </c>
      <c r="B7661" s="3" t="s">
        <v>7663</v>
      </c>
      <c r="C7661" s="3" t="s">
        <v>10</v>
      </c>
      <c r="D7661" s="3" t="s">
        <v>9</v>
      </c>
      <c r="E7661" s="3">
        <v>24</v>
      </c>
      <c r="F7661" s="3">
        <v>70</v>
      </c>
      <c r="G7661" s="3">
        <v>1</v>
      </c>
      <c r="H7661" s="3">
        <v>5</v>
      </c>
      <c r="I7661" s="3">
        <v>21</v>
      </c>
      <c r="J7661" s="3">
        <v>1</v>
      </c>
      <c r="K7661" s="3">
        <v>24</v>
      </c>
      <c r="L7661" s="3">
        <v>1</v>
      </c>
      <c r="M7661" s="3">
        <v>0</v>
      </c>
      <c r="N7661" s="3">
        <v>22</v>
      </c>
      <c r="O7661" s="3"/>
      <c r="P7661" s="3"/>
      <c r="Q7661" s="3"/>
    </row>
    <row r="7662" spans="1:17" ht="15" x14ac:dyDescent="0.25">
      <c r="A7662" s="3">
        <f>7655</f>
        <v>7655</v>
      </c>
      <c r="B7662" s="3" t="s">
        <v>7664</v>
      </c>
      <c r="C7662" s="3" t="s">
        <v>10</v>
      </c>
      <c r="D7662" s="3" t="s">
        <v>9</v>
      </c>
      <c r="E7662" s="3">
        <v>24</v>
      </c>
      <c r="F7662" s="3">
        <v>70</v>
      </c>
      <c r="G7662" s="3">
        <v>1</v>
      </c>
      <c r="H7662" s="3">
        <v>5</v>
      </c>
      <c r="I7662" s="3">
        <v>21</v>
      </c>
      <c r="J7662" s="3">
        <v>1</v>
      </c>
      <c r="K7662" s="3">
        <v>24</v>
      </c>
      <c r="L7662" s="3">
        <v>1</v>
      </c>
      <c r="M7662" s="3">
        <v>0</v>
      </c>
      <c r="N7662" s="3">
        <v>22</v>
      </c>
      <c r="O7662" s="3"/>
      <c r="P7662" s="3"/>
      <c r="Q7662" s="3"/>
    </row>
    <row r="7663" spans="1:17" ht="15" x14ac:dyDescent="0.25">
      <c r="A7663" s="3">
        <f>7656</f>
        <v>7656</v>
      </c>
      <c r="B7663" s="3" t="s">
        <v>7665</v>
      </c>
      <c r="C7663" s="3" t="s">
        <v>10</v>
      </c>
      <c r="D7663" s="3" t="s">
        <v>9</v>
      </c>
      <c r="E7663" s="3">
        <v>24</v>
      </c>
      <c r="F7663" s="3">
        <v>70</v>
      </c>
      <c r="G7663" s="3">
        <v>1</v>
      </c>
      <c r="H7663" s="3">
        <v>5</v>
      </c>
      <c r="I7663" s="3">
        <v>21</v>
      </c>
      <c r="J7663" s="3">
        <v>1</v>
      </c>
      <c r="K7663" s="3">
        <v>24</v>
      </c>
      <c r="L7663" s="3">
        <v>1</v>
      </c>
      <c r="M7663" s="3">
        <v>0</v>
      </c>
      <c r="N7663" s="3">
        <v>22</v>
      </c>
      <c r="O7663" s="3"/>
      <c r="P7663" s="3"/>
      <c r="Q7663" s="3"/>
    </row>
    <row r="7664" spans="1:17" ht="15" x14ac:dyDescent="0.25">
      <c r="A7664" s="3">
        <f>7657</f>
        <v>7657</v>
      </c>
      <c r="B7664" s="3" t="s">
        <v>7666</v>
      </c>
      <c r="C7664" s="3" t="s">
        <v>10</v>
      </c>
      <c r="D7664" s="3" t="s">
        <v>9</v>
      </c>
      <c r="E7664" s="3">
        <v>24</v>
      </c>
      <c r="F7664" s="3">
        <v>70</v>
      </c>
      <c r="G7664" s="3">
        <v>1</v>
      </c>
      <c r="H7664" s="3">
        <v>5</v>
      </c>
      <c r="I7664" s="3">
        <v>21</v>
      </c>
      <c r="J7664" s="3">
        <v>1</v>
      </c>
      <c r="K7664" s="3">
        <v>24</v>
      </c>
      <c r="L7664" s="3">
        <v>1</v>
      </c>
      <c r="M7664" s="3">
        <v>0</v>
      </c>
      <c r="N7664" s="3">
        <v>22</v>
      </c>
      <c r="O7664" s="3"/>
      <c r="P7664" s="3"/>
      <c r="Q7664" s="3"/>
    </row>
    <row r="7665" spans="1:17" ht="15" x14ac:dyDescent="0.25">
      <c r="A7665" s="3">
        <f>7658</f>
        <v>7658</v>
      </c>
      <c r="B7665" s="3" t="s">
        <v>7667</v>
      </c>
      <c r="C7665" s="3" t="s">
        <v>10</v>
      </c>
      <c r="D7665" s="3" t="s">
        <v>9</v>
      </c>
      <c r="E7665" s="3">
        <v>24</v>
      </c>
      <c r="F7665" s="3">
        <v>70</v>
      </c>
      <c r="G7665" s="3">
        <v>1</v>
      </c>
      <c r="H7665" s="3">
        <v>5</v>
      </c>
      <c r="I7665" s="3">
        <v>21</v>
      </c>
      <c r="J7665" s="3">
        <v>1</v>
      </c>
      <c r="K7665" s="3">
        <v>24</v>
      </c>
      <c r="L7665" s="3">
        <v>1</v>
      </c>
      <c r="M7665" s="3">
        <v>0</v>
      </c>
      <c r="N7665" s="3">
        <v>22</v>
      </c>
      <c r="O7665" s="3"/>
      <c r="P7665" s="3"/>
      <c r="Q7665" s="3"/>
    </row>
    <row r="7666" spans="1:17" ht="15" x14ac:dyDescent="0.25">
      <c r="A7666" s="3">
        <f>7659</f>
        <v>7659</v>
      </c>
      <c r="B7666" s="3" t="s">
        <v>7668</v>
      </c>
      <c r="C7666" s="3" t="s">
        <v>10</v>
      </c>
      <c r="D7666" s="3" t="s">
        <v>9</v>
      </c>
      <c r="E7666" s="3">
        <v>24</v>
      </c>
      <c r="F7666" s="3">
        <v>70</v>
      </c>
      <c r="G7666" s="3">
        <v>1</v>
      </c>
      <c r="H7666" s="3">
        <v>5</v>
      </c>
      <c r="I7666" s="3">
        <v>21</v>
      </c>
      <c r="J7666" s="3">
        <v>1</v>
      </c>
      <c r="K7666" s="3">
        <v>24</v>
      </c>
      <c r="L7666" s="3">
        <v>1</v>
      </c>
      <c r="M7666" s="3">
        <v>0</v>
      </c>
      <c r="N7666" s="3">
        <v>22</v>
      </c>
      <c r="O7666" s="3"/>
      <c r="P7666" s="3"/>
      <c r="Q7666" s="3"/>
    </row>
    <row r="7667" spans="1:17" ht="15" x14ac:dyDescent="0.25">
      <c r="A7667" s="3">
        <f>7660</f>
        <v>7660</v>
      </c>
      <c r="B7667" s="3" t="s">
        <v>7669</v>
      </c>
      <c r="C7667" s="3" t="s">
        <v>10</v>
      </c>
      <c r="D7667" s="3" t="s">
        <v>9</v>
      </c>
      <c r="E7667" s="3">
        <v>24</v>
      </c>
      <c r="F7667" s="3">
        <v>70</v>
      </c>
      <c r="G7667" s="3">
        <v>1</v>
      </c>
      <c r="H7667" s="3">
        <v>5</v>
      </c>
      <c r="I7667" s="3">
        <v>21</v>
      </c>
      <c r="J7667" s="3">
        <v>1</v>
      </c>
      <c r="K7667" s="3">
        <v>24</v>
      </c>
      <c r="L7667" s="3">
        <v>1</v>
      </c>
      <c r="M7667" s="3">
        <v>0</v>
      </c>
      <c r="N7667" s="3">
        <v>22</v>
      </c>
      <c r="O7667" s="3"/>
      <c r="P7667" s="3"/>
      <c r="Q7667" s="3"/>
    </row>
    <row r="7668" spans="1:17" ht="15" x14ac:dyDescent="0.25">
      <c r="A7668" s="3">
        <f>7661</f>
        <v>7661</v>
      </c>
      <c r="B7668" s="3" t="s">
        <v>7670</v>
      </c>
      <c r="C7668" s="3" t="s">
        <v>10</v>
      </c>
      <c r="D7668" s="3" t="s">
        <v>9</v>
      </c>
      <c r="E7668" s="3">
        <v>24</v>
      </c>
      <c r="F7668" s="3">
        <v>70</v>
      </c>
      <c r="G7668" s="3">
        <v>1</v>
      </c>
      <c r="H7668" s="3">
        <v>5</v>
      </c>
      <c r="I7668" s="3">
        <v>21</v>
      </c>
      <c r="J7668" s="3">
        <v>1</v>
      </c>
      <c r="K7668" s="3">
        <v>24</v>
      </c>
      <c r="L7668" s="3">
        <v>1</v>
      </c>
      <c r="M7668" s="3">
        <v>0</v>
      </c>
      <c r="N7668" s="3">
        <v>22</v>
      </c>
      <c r="O7668" s="3"/>
      <c r="P7668" s="3"/>
      <c r="Q7668" s="3"/>
    </row>
    <row r="7669" spans="1:17" ht="15" x14ac:dyDescent="0.25">
      <c r="A7669" s="3">
        <f>7662</f>
        <v>7662</v>
      </c>
      <c r="B7669" s="3" t="s">
        <v>7671</v>
      </c>
      <c r="C7669" s="3" t="s">
        <v>10</v>
      </c>
      <c r="D7669" s="3" t="s">
        <v>9</v>
      </c>
      <c r="E7669" s="3">
        <v>24</v>
      </c>
      <c r="F7669" s="3">
        <v>70</v>
      </c>
      <c r="G7669" s="3">
        <v>1</v>
      </c>
      <c r="H7669" s="3">
        <v>5</v>
      </c>
      <c r="I7669" s="3">
        <v>21</v>
      </c>
      <c r="J7669" s="3">
        <v>1</v>
      </c>
      <c r="K7669" s="3">
        <v>24</v>
      </c>
      <c r="L7669" s="3">
        <v>1</v>
      </c>
      <c r="M7669" s="3">
        <v>0</v>
      </c>
      <c r="N7669" s="3">
        <v>22</v>
      </c>
      <c r="O7669" s="3"/>
      <c r="P7669" s="3"/>
      <c r="Q7669" s="3"/>
    </row>
    <row r="7670" spans="1:17" ht="15" x14ac:dyDescent="0.25">
      <c r="A7670" s="3">
        <f>7663</f>
        <v>7663</v>
      </c>
      <c r="B7670" s="3" t="s">
        <v>7672</v>
      </c>
      <c r="C7670" s="3" t="s">
        <v>10</v>
      </c>
      <c r="D7670" s="3" t="s">
        <v>9</v>
      </c>
      <c r="E7670" s="3">
        <v>24</v>
      </c>
      <c r="F7670" s="3">
        <v>70</v>
      </c>
      <c r="G7670" s="3">
        <v>1</v>
      </c>
      <c r="H7670" s="3">
        <v>5</v>
      </c>
      <c r="I7670" s="3">
        <v>21</v>
      </c>
      <c r="J7670" s="3">
        <v>1</v>
      </c>
      <c r="K7670" s="3">
        <v>24</v>
      </c>
      <c r="L7670" s="3">
        <v>1</v>
      </c>
      <c r="M7670" s="3">
        <v>0</v>
      </c>
      <c r="N7670" s="3">
        <v>22</v>
      </c>
      <c r="O7670" s="3"/>
      <c r="P7670" s="3"/>
      <c r="Q7670" s="3"/>
    </row>
    <row r="7671" spans="1:17" ht="15" x14ac:dyDescent="0.25">
      <c r="A7671" s="3">
        <f>7664</f>
        <v>7664</v>
      </c>
      <c r="B7671" s="3" t="s">
        <v>7673</v>
      </c>
      <c r="C7671" s="3" t="s">
        <v>10</v>
      </c>
      <c r="D7671" s="3" t="s">
        <v>9</v>
      </c>
      <c r="E7671" s="3">
        <v>24</v>
      </c>
      <c r="F7671" s="3">
        <v>70</v>
      </c>
      <c r="G7671" s="3">
        <v>1</v>
      </c>
      <c r="H7671" s="3">
        <v>5</v>
      </c>
      <c r="I7671" s="3">
        <v>21</v>
      </c>
      <c r="J7671" s="3">
        <v>1</v>
      </c>
      <c r="K7671" s="3">
        <v>24</v>
      </c>
      <c r="L7671" s="3">
        <v>1</v>
      </c>
      <c r="M7671" s="3">
        <v>0</v>
      </c>
      <c r="N7671" s="3">
        <v>22</v>
      </c>
      <c r="O7671" s="3"/>
      <c r="P7671" s="3"/>
      <c r="Q7671" s="3"/>
    </row>
    <row r="7672" spans="1:17" ht="15" x14ac:dyDescent="0.25">
      <c r="A7672" s="3">
        <f>7665</f>
        <v>7665</v>
      </c>
      <c r="B7672" s="3" t="s">
        <v>7674</v>
      </c>
      <c r="C7672" s="3" t="s">
        <v>10</v>
      </c>
      <c r="D7672" s="3" t="s">
        <v>9</v>
      </c>
      <c r="E7672" s="3">
        <v>24</v>
      </c>
      <c r="F7672" s="3">
        <v>70</v>
      </c>
      <c r="G7672" s="3">
        <v>1</v>
      </c>
      <c r="H7672" s="3">
        <v>5</v>
      </c>
      <c r="I7672" s="3">
        <v>21</v>
      </c>
      <c r="J7672" s="3">
        <v>1</v>
      </c>
      <c r="K7672" s="3">
        <v>24</v>
      </c>
      <c r="L7672" s="3">
        <v>1</v>
      </c>
      <c r="M7672" s="3">
        <v>0</v>
      </c>
      <c r="N7672" s="3">
        <v>22</v>
      </c>
      <c r="O7672" s="3"/>
      <c r="P7672" s="3"/>
      <c r="Q7672" s="3"/>
    </row>
    <row r="7673" spans="1:17" ht="15" x14ac:dyDescent="0.25">
      <c r="A7673" s="3">
        <f>7666</f>
        <v>7666</v>
      </c>
      <c r="B7673" s="3" t="s">
        <v>7675</v>
      </c>
      <c r="C7673" s="3" t="s">
        <v>10</v>
      </c>
      <c r="D7673" s="3" t="s">
        <v>9</v>
      </c>
      <c r="E7673" s="3">
        <v>24</v>
      </c>
      <c r="F7673" s="3">
        <v>70</v>
      </c>
      <c r="G7673" s="3">
        <v>1</v>
      </c>
      <c r="H7673" s="3">
        <v>5</v>
      </c>
      <c r="I7673" s="3">
        <v>21</v>
      </c>
      <c r="J7673" s="3">
        <v>1</v>
      </c>
      <c r="K7673" s="3">
        <v>24</v>
      </c>
      <c r="L7673" s="3">
        <v>1</v>
      </c>
      <c r="M7673" s="3">
        <v>0</v>
      </c>
      <c r="N7673" s="3">
        <v>22</v>
      </c>
      <c r="O7673" s="3"/>
      <c r="P7673" s="3"/>
      <c r="Q7673" s="3"/>
    </row>
    <row r="7674" spans="1:17" ht="15" x14ac:dyDescent="0.25">
      <c r="A7674" s="3">
        <f>7667</f>
        <v>7667</v>
      </c>
      <c r="B7674" s="3" t="s">
        <v>7676</v>
      </c>
      <c r="C7674" s="3" t="s">
        <v>10</v>
      </c>
      <c r="D7674" s="3" t="s">
        <v>9</v>
      </c>
      <c r="E7674" s="3">
        <v>24</v>
      </c>
      <c r="F7674" s="3">
        <v>70</v>
      </c>
      <c r="G7674" s="3">
        <v>1</v>
      </c>
      <c r="H7674" s="3">
        <v>5</v>
      </c>
      <c r="I7674" s="3">
        <v>21</v>
      </c>
      <c r="J7674" s="3">
        <v>1</v>
      </c>
      <c r="K7674" s="3">
        <v>24</v>
      </c>
      <c r="L7674" s="3">
        <v>1</v>
      </c>
      <c r="M7674" s="3">
        <v>0</v>
      </c>
      <c r="N7674" s="3">
        <v>22</v>
      </c>
      <c r="O7674" s="3"/>
      <c r="P7674" s="3"/>
      <c r="Q7674" s="3"/>
    </row>
    <row r="7675" spans="1:17" ht="15" x14ac:dyDescent="0.25">
      <c r="A7675" s="3">
        <f>7668</f>
        <v>7668</v>
      </c>
      <c r="B7675" s="3" t="s">
        <v>7677</v>
      </c>
      <c r="C7675" s="3" t="s">
        <v>10</v>
      </c>
      <c r="D7675" s="3" t="s">
        <v>9</v>
      </c>
      <c r="E7675" s="3">
        <v>24</v>
      </c>
      <c r="F7675" s="3">
        <v>70</v>
      </c>
      <c r="G7675" s="3">
        <v>1</v>
      </c>
      <c r="H7675" s="3">
        <v>5</v>
      </c>
      <c r="I7675" s="3">
        <v>21</v>
      </c>
      <c r="J7675" s="3">
        <v>1</v>
      </c>
      <c r="K7675" s="3">
        <v>24</v>
      </c>
      <c r="L7675" s="3">
        <v>1</v>
      </c>
      <c r="M7675" s="3">
        <v>0</v>
      </c>
      <c r="N7675" s="3">
        <v>22</v>
      </c>
      <c r="O7675" s="3"/>
      <c r="P7675" s="3"/>
      <c r="Q7675" s="3"/>
    </row>
    <row r="7676" spans="1:17" ht="15" x14ac:dyDescent="0.25">
      <c r="A7676" s="3">
        <f>7669</f>
        <v>7669</v>
      </c>
      <c r="B7676" s="3" t="s">
        <v>7678</v>
      </c>
      <c r="C7676" s="3" t="s">
        <v>10</v>
      </c>
      <c r="D7676" s="3" t="s">
        <v>9</v>
      </c>
      <c r="E7676" s="3">
        <v>24</v>
      </c>
      <c r="F7676" s="3">
        <v>70</v>
      </c>
      <c r="G7676" s="3">
        <v>1</v>
      </c>
      <c r="H7676" s="3">
        <v>5</v>
      </c>
      <c r="I7676" s="3">
        <v>21</v>
      </c>
      <c r="J7676" s="3">
        <v>1</v>
      </c>
      <c r="K7676" s="3">
        <v>24</v>
      </c>
      <c r="L7676" s="3">
        <v>1</v>
      </c>
      <c r="M7676" s="3">
        <v>0</v>
      </c>
      <c r="N7676" s="3">
        <v>22</v>
      </c>
      <c r="O7676" s="3"/>
      <c r="P7676" s="3"/>
      <c r="Q7676" s="3"/>
    </row>
    <row r="7677" spans="1:17" ht="15" x14ac:dyDescent="0.25">
      <c r="A7677" s="3">
        <f>7670</f>
        <v>7670</v>
      </c>
      <c r="B7677" s="3" t="s">
        <v>7679</v>
      </c>
      <c r="C7677" s="3" t="s">
        <v>10</v>
      </c>
      <c r="D7677" s="3" t="s">
        <v>9</v>
      </c>
      <c r="E7677" s="3">
        <v>24</v>
      </c>
      <c r="F7677" s="3">
        <v>70</v>
      </c>
      <c r="G7677" s="3">
        <v>1</v>
      </c>
      <c r="H7677" s="3">
        <v>5</v>
      </c>
      <c r="I7677" s="3">
        <v>21</v>
      </c>
      <c r="J7677" s="3">
        <v>1</v>
      </c>
      <c r="K7677" s="3">
        <v>24</v>
      </c>
      <c r="L7677" s="3">
        <v>1</v>
      </c>
      <c r="M7677" s="3">
        <v>0</v>
      </c>
      <c r="N7677" s="3">
        <v>22</v>
      </c>
      <c r="O7677" s="3"/>
      <c r="P7677" s="3"/>
      <c r="Q7677" s="3"/>
    </row>
    <row r="7678" spans="1:17" ht="15" x14ac:dyDescent="0.25">
      <c r="A7678" s="3">
        <f>7671</f>
        <v>7671</v>
      </c>
      <c r="B7678" s="3" t="s">
        <v>7680</v>
      </c>
      <c r="C7678" s="3" t="s">
        <v>10</v>
      </c>
      <c r="D7678" s="3" t="s">
        <v>9</v>
      </c>
      <c r="E7678" s="3">
        <v>24</v>
      </c>
      <c r="F7678" s="3">
        <v>70</v>
      </c>
      <c r="G7678" s="3">
        <v>1</v>
      </c>
      <c r="H7678" s="3">
        <v>5</v>
      </c>
      <c r="I7678" s="3">
        <v>21</v>
      </c>
      <c r="J7678" s="3">
        <v>1</v>
      </c>
      <c r="K7678" s="3">
        <v>24</v>
      </c>
      <c r="L7678" s="3">
        <v>1</v>
      </c>
      <c r="M7678" s="3">
        <v>0</v>
      </c>
      <c r="N7678" s="3">
        <v>22</v>
      </c>
      <c r="O7678" s="3"/>
      <c r="P7678" s="3"/>
      <c r="Q7678" s="3"/>
    </row>
    <row r="7679" spans="1:17" ht="15" x14ac:dyDescent="0.25">
      <c r="A7679" s="3">
        <f>7672</f>
        <v>7672</v>
      </c>
      <c r="B7679" s="3" t="s">
        <v>7681</v>
      </c>
      <c r="C7679" s="3" t="s">
        <v>10</v>
      </c>
      <c r="D7679" s="3" t="s">
        <v>9</v>
      </c>
      <c r="E7679" s="3">
        <v>24</v>
      </c>
      <c r="F7679" s="3">
        <v>70</v>
      </c>
      <c r="G7679" s="3">
        <v>1</v>
      </c>
      <c r="H7679" s="3">
        <v>5</v>
      </c>
      <c r="I7679" s="3">
        <v>21</v>
      </c>
      <c r="J7679" s="3">
        <v>1</v>
      </c>
      <c r="K7679" s="3">
        <v>24</v>
      </c>
      <c r="L7679" s="3">
        <v>1</v>
      </c>
      <c r="M7679" s="3">
        <v>0</v>
      </c>
      <c r="N7679" s="3">
        <v>22</v>
      </c>
      <c r="O7679" s="3"/>
      <c r="P7679" s="3"/>
      <c r="Q7679" s="3"/>
    </row>
    <row r="7680" spans="1:17" ht="15" x14ac:dyDescent="0.25">
      <c r="A7680" s="3">
        <f>7673</f>
        <v>7673</v>
      </c>
      <c r="B7680" s="3" t="s">
        <v>7682</v>
      </c>
      <c r="C7680" s="3" t="s">
        <v>10</v>
      </c>
      <c r="D7680" s="3" t="s">
        <v>9</v>
      </c>
      <c r="E7680" s="3">
        <v>24</v>
      </c>
      <c r="F7680" s="3">
        <v>70</v>
      </c>
      <c r="G7680" s="3">
        <v>1</v>
      </c>
      <c r="H7680" s="3">
        <v>5</v>
      </c>
      <c r="I7680" s="3">
        <v>21</v>
      </c>
      <c r="J7680" s="3">
        <v>1</v>
      </c>
      <c r="K7680" s="3">
        <v>24</v>
      </c>
      <c r="L7680" s="3">
        <v>1</v>
      </c>
      <c r="M7680" s="3">
        <v>0</v>
      </c>
      <c r="N7680" s="3">
        <v>22</v>
      </c>
      <c r="O7680" s="3"/>
      <c r="P7680" s="3"/>
      <c r="Q7680" s="3"/>
    </row>
    <row r="7681" spans="1:17" ht="15" x14ac:dyDescent="0.25">
      <c r="A7681" s="3">
        <f>7674</f>
        <v>7674</v>
      </c>
      <c r="B7681" s="3" t="s">
        <v>7683</v>
      </c>
      <c r="C7681" s="3" t="s">
        <v>10</v>
      </c>
      <c r="D7681" s="3" t="s">
        <v>9</v>
      </c>
      <c r="E7681" s="3">
        <v>24</v>
      </c>
      <c r="F7681" s="3">
        <v>70</v>
      </c>
      <c r="G7681" s="3">
        <v>1</v>
      </c>
      <c r="H7681" s="3">
        <v>5</v>
      </c>
      <c r="I7681" s="3">
        <v>21</v>
      </c>
      <c r="J7681" s="3">
        <v>1</v>
      </c>
      <c r="K7681" s="3">
        <v>24</v>
      </c>
      <c r="L7681" s="3">
        <v>1</v>
      </c>
      <c r="M7681" s="3">
        <v>0</v>
      </c>
      <c r="N7681" s="3">
        <v>22</v>
      </c>
      <c r="O7681" s="3"/>
      <c r="P7681" s="3"/>
      <c r="Q7681" s="3"/>
    </row>
    <row r="7682" spans="1:17" ht="15" x14ac:dyDescent="0.25">
      <c r="A7682" s="3">
        <f>7675</f>
        <v>7675</v>
      </c>
      <c r="B7682" s="3" t="s">
        <v>7684</v>
      </c>
      <c r="C7682" s="3" t="s">
        <v>10</v>
      </c>
      <c r="D7682" s="3" t="s">
        <v>9</v>
      </c>
      <c r="E7682" s="3">
        <v>24</v>
      </c>
      <c r="F7682" s="3">
        <v>70</v>
      </c>
      <c r="G7682" s="3">
        <v>1</v>
      </c>
      <c r="H7682" s="3">
        <v>5</v>
      </c>
      <c r="I7682" s="3">
        <v>21</v>
      </c>
      <c r="J7682" s="3">
        <v>1</v>
      </c>
      <c r="K7682" s="3">
        <v>24</v>
      </c>
      <c r="L7682" s="3">
        <v>1</v>
      </c>
      <c r="M7682" s="3">
        <v>0</v>
      </c>
      <c r="N7682" s="3">
        <v>22</v>
      </c>
      <c r="O7682" s="3"/>
      <c r="P7682" s="3"/>
      <c r="Q7682" s="3"/>
    </row>
    <row r="7683" spans="1:17" ht="15" x14ac:dyDescent="0.25">
      <c r="A7683" s="3">
        <f>7676</f>
        <v>7676</v>
      </c>
      <c r="B7683" s="3" t="s">
        <v>7685</v>
      </c>
      <c r="C7683" s="3" t="s">
        <v>10</v>
      </c>
      <c r="D7683" s="3" t="s">
        <v>9</v>
      </c>
      <c r="E7683" s="3">
        <v>24</v>
      </c>
      <c r="F7683" s="3">
        <v>70</v>
      </c>
      <c r="G7683" s="3">
        <v>1</v>
      </c>
      <c r="H7683" s="3">
        <v>5</v>
      </c>
      <c r="I7683" s="3">
        <v>21</v>
      </c>
      <c r="J7683" s="3">
        <v>1</v>
      </c>
      <c r="K7683" s="3">
        <v>24</v>
      </c>
      <c r="L7683" s="3">
        <v>1</v>
      </c>
      <c r="M7683" s="3">
        <v>0</v>
      </c>
      <c r="N7683" s="3">
        <v>22</v>
      </c>
      <c r="O7683" s="3"/>
      <c r="P7683" s="3"/>
      <c r="Q7683" s="3"/>
    </row>
    <row r="7684" spans="1:17" ht="15" x14ac:dyDescent="0.25">
      <c r="A7684" s="3">
        <f>7677</f>
        <v>7677</v>
      </c>
      <c r="B7684" s="3" t="s">
        <v>7686</v>
      </c>
      <c r="C7684" s="3" t="s">
        <v>10</v>
      </c>
      <c r="D7684" s="3" t="s">
        <v>9</v>
      </c>
      <c r="E7684" s="3">
        <v>24</v>
      </c>
      <c r="F7684" s="3">
        <v>70</v>
      </c>
      <c r="G7684" s="3">
        <v>1</v>
      </c>
      <c r="H7684" s="3">
        <v>5</v>
      </c>
      <c r="I7684" s="3">
        <v>21</v>
      </c>
      <c r="J7684" s="3">
        <v>1</v>
      </c>
      <c r="K7684" s="3">
        <v>24</v>
      </c>
      <c r="L7684" s="3">
        <v>1</v>
      </c>
      <c r="M7684" s="3">
        <v>0</v>
      </c>
      <c r="N7684" s="3">
        <v>22</v>
      </c>
      <c r="O7684" s="3"/>
      <c r="P7684" s="3"/>
      <c r="Q7684" s="3"/>
    </row>
    <row r="7685" spans="1:17" ht="15" x14ac:dyDescent="0.25">
      <c r="A7685" s="3">
        <f>7678</f>
        <v>7678</v>
      </c>
      <c r="B7685" s="3" t="s">
        <v>7687</v>
      </c>
      <c r="C7685" s="3" t="s">
        <v>10</v>
      </c>
      <c r="D7685" s="3" t="s">
        <v>9</v>
      </c>
      <c r="E7685" s="3">
        <v>24</v>
      </c>
      <c r="F7685" s="3">
        <v>70</v>
      </c>
      <c r="G7685" s="3">
        <v>1</v>
      </c>
      <c r="H7685" s="3">
        <v>5</v>
      </c>
      <c r="I7685" s="3">
        <v>21</v>
      </c>
      <c r="J7685" s="3">
        <v>1</v>
      </c>
      <c r="K7685" s="3">
        <v>24</v>
      </c>
      <c r="L7685" s="3">
        <v>1</v>
      </c>
      <c r="M7685" s="3">
        <v>0</v>
      </c>
      <c r="N7685" s="3">
        <v>22</v>
      </c>
      <c r="O7685" s="3"/>
      <c r="P7685" s="3"/>
      <c r="Q7685" s="3"/>
    </row>
    <row r="7686" spans="1:17" ht="15" x14ac:dyDescent="0.25">
      <c r="A7686" s="3">
        <f>7679</f>
        <v>7679</v>
      </c>
      <c r="B7686" s="3" t="s">
        <v>7688</v>
      </c>
      <c r="C7686" s="3" t="s">
        <v>10</v>
      </c>
      <c r="D7686" s="3" t="s">
        <v>9</v>
      </c>
      <c r="E7686" s="3">
        <v>24</v>
      </c>
      <c r="F7686" s="3">
        <v>70</v>
      </c>
      <c r="G7686" s="3">
        <v>1</v>
      </c>
      <c r="H7686" s="3">
        <v>5</v>
      </c>
      <c r="I7686" s="3">
        <v>21</v>
      </c>
      <c r="J7686" s="3">
        <v>1</v>
      </c>
      <c r="K7686" s="3">
        <v>24</v>
      </c>
      <c r="L7686" s="3">
        <v>1</v>
      </c>
      <c r="M7686" s="3">
        <v>0</v>
      </c>
      <c r="N7686" s="3">
        <v>22</v>
      </c>
      <c r="O7686" s="3"/>
      <c r="P7686" s="3"/>
      <c r="Q7686" s="3"/>
    </row>
    <row r="7687" spans="1:17" ht="15" x14ac:dyDescent="0.25">
      <c r="A7687" s="3">
        <f>7680</f>
        <v>7680</v>
      </c>
      <c r="B7687" s="3" t="s">
        <v>7689</v>
      </c>
      <c r="C7687" s="3" t="s">
        <v>10</v>
      </c>
      <c r="D7687" s="3" t="s">
        <v>9</v>
      </c>
      <c r="E7687" s="3">
        <v>24</v>
      </c>
      <c r="F7687" s="3">
        <v>70</v>
      </c>
      <c r="G7687" s="3">
        <v>1</v>
      </c>
      <c r="H7687" s="3">
        <v>5</v>
      </c>
      <c r="I7687" s="3">
        <v>21</v>
      </c>
      <c r="J7687" s="3">
        <v>1</v>
      </c>
      <c r="K7687" s="3">
        <v>24</v>
      </c>
      <c r="L7687" s="3">
        <v>1</v>
      </c>
      <c r="M7687" s="3">
        <v>0</v>
      </c>
      <c r="N7687" s="3">
        <v>22</v>
      </c>
      <c r="O7687" s="3"/>
      <c r="P7687" s="3"/>
      <c r="Q7687" s="3"/>
    </row>
    <row r="7688" spans="1:17" ht="15" x14ac:dyDescent="0.25">
      <c r="A7688" s="3">
        <f>7681</f>
        <v>7681</v>
      </c>
      <c r="B7688" s="3" t="s">
        <v>7690</v>
      </c>
      <c r="C7688" s="3" t="s">
        <v>10</v>
      </c>
      <c r="D7688" s="3" t="s">
        <v>9</v>
      </c>
      <c r="E7688" s="3">
        <v>24</v>
      </c>
      <c r="F7688" s="3">
        <v>70</v>
      </c>
      <c r="G7688" s="3">
        <v>1</v>
      </c>
      <c r="H7688" s="3">
        <v>5</v>
      </c>
      <c r="I7688" s="3">
        <v>21</v>
      </c>
      <c r="J7688" s="3">
        <v>1</v>
      </c>
      <c r="K7688" s="3">
        <v>24</v>
      </c>
      <c r="L7688" s="3">
        <v>1</v>
      </c>
      <c r="M7688" s="3">
        <v>0</v>
      </c>
      <c r="N7688" s="3">
        <v>22</v>
      </c>
      <c r="O7688" s="3"/>
      <c r="P7688" s="3"/>
      <c r="Q7688" s="3"/>
    </row>
    <row r="7689" spans="1:17" ht="15" x14ac:dyDescent="0.25">
      <c r="A7689" s="3">
        <f>7682</f>
        <v>7682</v>
      </c>
      <c r="B7689" s="3" t="s">
        <v>7691</v>
      </c>
      <c r="C7689" s="3" t="s">
        <v>10</v>
      </c>
      <c r="D7689" s="3" t="s">
        <v>9</v>
      </c>
      <c r="E7689" s="3">
        <v>24</v>
      </c>
      <c r="F7689" s="3">
        <v>70</v>
      </c>
      <c r="G7689" s="3">
        <v>1</v>
      </c>
      <c r="H7689" s="3">
        <v>5</v>
      </c>
      <c r="I7689" s="3">
        <v>21</v>
      </c>
      <c r="J7689" s="3">
        <v>1</v>
      </c>
      <c r="K7689" s="3">
        <v>24</v>
      </c>
      <c r="L7689" s="3">
        <v>1</v>
      </c>
      <c r="M7689" s="3">
        <v>0</v>
      </c>
      <c r="N7689" s="3">
        <v>22</v>
      </c>
      <c r="O7689" s="3"/>
      <c r="P7689" s="3"/>
      <c r="Q7689" s="3"/>
    </row>
    <row r="7690" spans="1:17" ht="15" x14ac:dyDescent="0.25">
      <c r="A7690" s="3">
        <f>7683</f>
        <v>7683</v>
      </c>
      <c r="B7690" s="3" t="s">
        <v>7692</v>
      </c>
      <c r="C7690" s="3" t="s">
        <v>10</v>
      </c>
      <c r="D7690" s="3" t="s">
        <v>9</v>
      </c>
      <c r="E7690" s="3">
        <v>24</v>
      </c>
      <c r="F7690" s="3">
        <v>70</v>
      </c>
      <c r="G7690" s="3">
        <v>1</v>
      </c>
      <c r="H7690" s="3">
        <v>5</v>
      </c>
      <c r="I7690" s="3">
        <v>21</v>
      </c>
      <c r="J7690" s="3">
        <v>1</v>
      </c>
      <c r="K7690" s="3">
        <v>24</v>
      </c>
      <c r="L7690" s="3">
        <v>1</v>
      </c>
      <c r="M7690" s="3">
        <v>0</v>
      </c>
      <c r="N7690" s="3">
        <v>22</v>
      </c>
      <c r="O7690" s="3"/>
      <c r="P7690" s="3"/>
      <c r="Q7690" s="3"/>
    </row>
    <row r="7691" spans="1:17" ht="15" x14ac:dyDescent="0.25">
      <c r="A7691" s="3">
        <f>7684</f>
        <v>7684</v>
      </c>
      <c r="B7691" s="3" t="s">
        <v>7693</v>
      </c>
      <c r="C7691" s="3" t="s">
        <v>10</v>
      </c>
      <c r="D7691" s="3" t="s">
        <v>9</v>
      </c>
      <c r="E7691" s="3">
        <v>24</v>
      </c>
      <c r="F7691" s="3">
        <v>70</v>
      </c>
      <c r="G7691" s="3">
        <v>1</v>
      </c>
      <c r="H7691" s="3">
        <v>5</v>
      </c>
      <c r="I7691" s="3">
        <v>21</v>
      </c>
      <c r="J7691" s="3">
        <v>1</v>
      </c>
      <c r="K7691" s="3">
        <v>24</v>
      </c>
      <c r="L7691" s="3">
        <v>1</v>
      </c>
      <c r="M7691" s="3">
        <v>0</v>
      </c>
      <c r="N7691" s="3">
        <v>22</v>
      </c>
      <c r="O7691" s="3"/>
      <c r="P7691" s="3"/>
      <c r="Q7691" s="3"/>
    </row>
    <row r="7692" spans="1:17" ht="15" x14ac:dyDescent="0.25">
      <c r="A7692" s="3">
        <f>7685</f>
        <v>7685</v>
      </c>
      <c r="B7692" s="3" t="s">
        <v>7694</v>
      </c>
      <c r="C7692" s="3" t="s">
        <v>10</v>
      </c>
      <c r="D7692" s="3" t="s">
        <v>9</v>
      </c>
      <c r="E7692" s="3">
        <v>24</v>
      </c>
      <c r="F7692" s="3">
        <v>70</v>
      </c>
      <c r="G7692" s="3">
        <v>1</v>
      </c>
      <c r="H7692" s="3">
        <v>5</v>
      </c>
      <c r="I7692" s="3">
        <v>21</v>
      </c>
      <c r="J7692" s="3">
        <v>1</v>
      </c>
      <c r="K7692" s="3">
        <v>24</v>
      </c>
      <c r="L7692" s="3">
        <v>1</v>
      </c>
      <c r="M7692" s="3">
        <v>0</v>
      </c>
      <c r="N7692" s="3">
        <v>22</v>
      </c>
      <c r="O7692" s="3"/>
      <c r="P7692" s="3"/>
      <c r="Q7692" s="3"/>
    </row>
    <row r="7693" spans="1:17" ht="15" x14ac:dyDescent="0.25">
      <c r="A7693" s="3">
        <f>7686</f>
        <v>7686</v>
      </c>
      <c r="B7693" s="3" t="s">
        <v>7695</v>
      </c>
      <c r="C7693" s="3" t="s">
        <v>10</v>
      </c>
      <c r="D7693" s="3" t="s">
        <v>9</v>
      </c>
      <c r="E7693" s="3">
        <v>24</v>
      </c>
      <c r="F7693" s="3">
        <v>70</v>
      </c>
      <c r="G7693" s="3">
        <v>1</v>
      </c>
      <c r="H7693" s="3">
        <v>5</v>
      </c>
      <c r="I7693" s="3">
        <v>21</v>
      </c>
      <c r="J7693" s="3">
        <v>1</v>
      </c>
      <c r="K7693" s="3">
        <v>24</v>
      </c>
      <c r="L7693" s="3">
        <v>1</v>
      </c>
      <c r="M7693" s="3">
        <v>0</v>
      </c>
      <c r="N7693" s="3">
        <v>22</v>
      </c>
      <c r="O7693" s="3"/>
      <c r="P7693" s="3"/>
      <c r="Q7693" s="3"/>
    </row>
    <row r="7694" spans="1:17" ht="15" x14ac:dyDescent="0.25">
      <c r="A7694" s="3">
        <f>7687</f>
        <v>7687</v>
      </c>
      <c r="B7694" s="3" t="s">
        <v>7696</v>
      </c>
      <c r="C7694" s="3" t="s">
        <v>10</v>
      </c>
      <c r="D7694" s="3" t="s">
        <v>9</v>
      </c>
      <c r="E7694" s="3">
        <v>24</v>
      </c>
      <c r="F7694" s="3">
        <v>70</v>
      </c>
      <c r="G7694" s="3">
        <v>1</v>
      </c>
      <c r="H7694" s="3">
        <v>5</v>
      </c>
      <c r="I7694" s="3">
        <v>21</v>
      </c>
      <c r="J7694" s="3">
        <v>1</v>
      </c>
      <c r="K7694" s="3">
        <v>24</v>
      </c>
      <c r="L7694" s="3">
        <v>1</v>
      </c>
      <c r="M7694" s="3">
        <v>0</v>
      </c>
      <c r="N7694" s="3">
        <v>22</v>
      </c>
      <c r="O7694" s="3"/>
      <c r="P7694" s="3"/>
      <c r="Q7694" s="3"/>
    </row>
    <row r="7695" spans="1:17" ht="15" x14ac:dyDescent="0.25">
      <c r="A7695" s="3">
        <f>7688</f>
        <v>7688</v>
      </c>
      <c r="B7695" s="3" t="s">
        <v>7697</v>
      </c>
      <c r="C7695" s="3" t="s">
        <v>10</v>
      </c>
      <c r="D7695" s="3" t="s">
        <v>9</v>
      </c>
      <c r="E7695" s="3">
        <v>24</v>
      </c>
      <c r="F7695" s="3">
        <v>70</v>
      </c>
      <c r="G7695" s="3">
        <v>1</v>
      </c>
      <c r="H7695" s="3">
        <v>5</v>
      </c>
      <c r="I7695" s="3">
        <v>21</v>
      </c>
      <c r="J7695" s="3">
        <v>1</v>
      </c>
      <c r="K7695" s="3">
        <v>24</v>
      </c>
      <c r="L7695" s="3">
        <v>1</v>
      </c>
      <c r="M7695" s="3">
        <v>0</v>
      </c>
      <c r="N7695" s="3">
        <v>22</v>
      </c>
      <c r="O7695" s="3"/>
      <c r="P7695" s="3"/>
      <c r="Q7695" s="3"/>
    </row>
    <row r="7696" spans="1:17" ht="15" x14ac:dyDescent="0.25">
      <c r="A7696" s="3">
        <f>7689</f>
        <v>7689</v>
      </c>
      <c r="B7696" s="3" t="s">
        <v>7698</v>
      </c>
      <c r="C7696" s="3" t="s">
        <v>10</v>
      </c>
      <c r="D7696" s="3" t="s">
        <v>9</v>
      </c>
      <c r="E7696" s="3">
        <v>24</v>
      </c>
      <c r="F7696" s="3">
        <v>70</v>
      </c>
      <c r="G7696" s="3">
        <v>1</v>
      </c>
      <c r="H7696" s="3">
        <v>5</v>
      </c>
      <c r="I7696" s="3">
        <v>21</v>
      </c>
      <c r="J7696" s="3">
        <v>1</v>
      </c>
      <c r="K7696" s="3">
        <v>24</v>
      </c>
      <c r="L7696" s="3">
        <v>1</v>
      </c>
      <c r="M7696" s="3">
        <v>0</v>
      </c>
      <c r="N7696" s="3">
        <v>22</v>
      </c>
      <c r="O7696" s="3"/>
      <c r="P7696" s="3"/>
      <c r="Q7696" s="3"/>
    </row>
    <row r="7697" spans="1:17" ht="15" x14ac:dyDescent="0.25">
      <c r="A7697" s="3">
        <f>7690</f>
        <v>7690</v>
      </c>
      <c r="B7697" s="3" t="s">
        <v>7699</v>
      </c>
      <c r="C7697" s="3" t="s">
        <v>10</v>
      </c>
      <c r="D7697" s="3" t="s">
        <v>9</v>
      </c>
      <c r="E7697" s="3">
        <v>24</v>
      </c>
      <c r="F7697" s="3">
        <v>70</v>
      </c>
      <c r="G7697" s="3">
        <v>1</v>
      </c>
      <c r="H7697" s="3">
        <v>5</v>
      </c>
      <c r="I7697" s="3">
        <v>21</v>
      </c>
      <c r="J7697" s="3">
        <v>1</v>
      </c>
      <c r="K7697" s="3">
        <v>24</v>
      </c>
      <c r="L7697" s="3">
        <v>1</v>
      </c>
      <c r="M7697" s="3">
        <v>0</v>
      </c>
      <c r="N7697" s="3">
        <v>22</v>
      </c>
      <c r="O7697" s="3"/>
      <c r="P7697" s="3"/>
      <c r="Q7697" s="3"/>
    </row>
    <row r="7698" spans="1:17" ht="15" x14ac:dyDescent="0.25">
      <c r="A7698" s="3">
        <f>7691</f>
        <v>7691</v>
      </c>
      <c r="B7698" s="3" t="s">
        <v>7700</v>
      </c>
      <c r="C7698" s="3" t="s">
        <v>10</v>
      </c>
      <c r="D7698" s="3" t="s">
        <v>9</v>
      </c>
      <c r="E7698" s="3">
        <v>24</v>
      </c>
      <c r="F7698" s="3">
        <v>70</v>
      </c>
      <c r="G7698" s="3">
        <v>1</v>
      </c>
      <c r="H7698" s="3">
        <v>5</v>
      </c>
      <c r="I7698" s="3">
        <v>21</v>
      </c>
      <c r="J7698" s="3">
        <v>1</v>
      </c>
      <c r="K7698" s="3">
        <v>24</v>
      </c>
      <c r="L7698" s="3">
        <v>1</v>
      </c>
      <c r="M7698" s="3">
        <v>0</v>
      </c>
      <c r="N7698" s="3">
        <v>22</v>
      </c>
      <c r="O7698" s="3"/>
      <c r="P7698" s="3"/>
      <c r="Q7698" s="3"/>
    </row>
    <row r="7699" spans="1:17" ht="15" x14ac:dyDescent="0.25">
      <c r="A7699" s="3">
        <f>7692</f>
        <v>7692</v>
      </c>
      <c r="B7699" s="3" t="s">
        <v>7701</v>
      </c>
      <c r="C7699" s="3" t="s">
        <v>10</v>
      </c>
      <c r="D7699" s="3" t="s">
        <v>9</v>
      </c>
      <c r="E7699" s="3">
        <v>24</v>
      </c>
      <c r="F7699" s="3">
        <v>70</v>
      </c>
      <c r="G7699" s="3">
        <v>1</v>
      </c>
      <c r="H7699" s="3">
        <v>5</v>
      </c>
      <c r="I7699" s="3">
        <v>21</v>
      </c>
      <c r="J7699" s="3">
        <v>1</v>
      </c>
      <c r="K7699" s="3">
        <v>24</v>
      </c>
      <c r="L7699" s="3">
        <v>1</v>
      </c>
      <c r="M7699" s="3">
        <v>0</v>
      </c>
      <c r="N7699" s="3">
        <v>22</v>
      </c>
      <c r="O7699" s="3"/>
      <c r="P7699" s="3"/>
      <c r="Q7699" s="3"/>
    </row>
    <row r="7700" spans="1:17" ht="15" x14ac:dyDescent="0.25">
      <c r="A7700" s="3">
        <f>7693</f>
        <v>7693</v>
      </c>
      <c r="B7700" s="3" t="s">
        <v>7702</v>
      </c>
      <c r="C7700" s="3" t="s">
        <v>10</v>
      </c>
      <c r="D7700" s="3" t="s">
        <v>9</v>
      </c>
      <c r="E7700" s="3">
        <v>24</v>
      </c>
      <c r="F7700" s="3">
        <v>70</v>
      </c>
      <c r="G7700" s="3">
        <v>1</v>
      </c>
      <c r="H7700" s="3">
        <v>5</v>
      </c>
      <c r="I7700" s="3">
        <v>21</v>
      </c>
      <c r="J7700" s="3">
        <v>1</v>
      </c>
      <c r="K7700" s="3">
        <v>24</v>
      </c>
      <c r="L7700" s="3">
        <v>1</v>
      </c>
      <c r="M7700" s="3">
        <v>0</v>
      </c>
      <c r="N7700" s="3">
        <v>22</v>
      </c>
      <c r="O7700" s="3"/>
      <c r="P7700" s="3"/>
      <c r="Q7700" s="3"/>
    </row>
    <row r="7701" spans="1:17" ht="15" x14ac:dyDescent="0.25">
      <c r="A7701" s="3">
        <f>7694</f>
        <v>7694</v>
      </c>
      <c r="B7701" s="3" t="s">
        <v>7703</v>
      </c>
      <c r="C7701" s="3" t="s">
        <v>10</v>
      </c>
      <c r="D7701" s="3" t="s">
        <v>9</v>
      </c>
      <c r="E7701" s="3">
        <v>24</v>
      </c>
      <c r="F7701" s="3">
        <v>70</v>
      </c>
      <c r="G7701" s="3">
        <v>1</v>
      </c>
      <c r="H7701" s="3">
        <v>5</v>
      </c>
      <c r="I7701" s="3">
        <v>21</v>
      </c>
      <c r="J7701" s="3">
        <v>1</v>
      </c>
      <c r="K7701" s="3">
        <v>24</v>
      </c>
      <c r="L7701" s="3">
        <v>1</v>
      </c>
      <c r="M7701" s="3">
        <v>0</v>
      </c>
      <c r="N7701" s="3">
        <v>22</v>
      </c>
      <c r="O7701" s="3"/>
      <c r="P7701" s="3"/>
      <c r="Q7701" s="3"/>
    </row>
    <row r="7702" spans="1:17" ht="15" x14ac:dyDescent="0.25">
      <c r="A7702" s="3">
        <f>7695</f>
        <v>7695</v>
      </c>
      <c r="B7702" s="3" t="s">
        <v>7704</v>
      </c>
      <c r="C7702" s="3" t="s">
        <v>10</v>
      </c>
      <c r="D7702" s="3" t="s">
        <v>9</v>
      </c>
      <c r="E7702" s="3">
        <v>24</v>
      </c>
      <c r="F7702" s="3">
        <v>70</v>
      </c>
      <c r="G7702" s="3">
        <v>1</v>
      </c>
      <c r="H7702" s="3">
        <v>5</v>
      </c>
      <c r="I7702" s="3">
        <v>21</v>
      </c>
      <c r="J7702" s="3">
        <v>1</v>
      </c>
      <c r="K7702" s="3">
        <v>24</v>
      </c>
      <c r="L7702" s="3">
        <v>1</v>
      </c>
      <c r="M7702" s="3">
        <v>0</v>
      </c>
      <c r="N7702" s="3">
        <v>22</v>
      </c>
      <c r="O7702" s="3"/>
      <c r="P7702" s="3"/>
      <c r="Q7702" s="3"/>
    </row>
    <row r="7703" spans="1:17" ht="15" x14ac:dyDescent="0.25">
      <c r="A7703" s="3">
        <f>7696</f>
        <v>7696</v>
      </c>
      <c r="B7703" s="3" t="s">
        <v>7705</v>
      </c>
      <c r="C7703" s="3" t="s">
        <v>10</v>
      </c>
      <c r="D7703" s="3" t="s">
        <v>9</v>
      </c>
      <c r="E7703" s="3">
        <v>24</v>
      </c>
      <c r="F7703" s="3">
        <v>70</v>
      </c>
      <c r="G7703" s="3">
        <v>1</v>
      </c>
      <c r="H7703" s="3">
        <v>5</v>
      </c>
      <c r="I7703" s="3">
        <v>21</v>
      </c>
      <c r="J7703" s="3">
        <v>1</v>
      </c>
      <c r="K7703" s="3">
        <v>24</v>
      </c>
      <c r="L7703" s="3">
        <v>1</v>
      </c>
      <c r="M7703" s="3">
        <v>0</v>
      </c>
      <c r="N7703" s="3">
        <v>22</v>
      </c>
      <c r="O7703" s="3"/>
      <c r="P7703" s="3"/>
      <c r="Q7703" s="3"/>
    </row>
    <row r="7704" spans="1:17" ht="15" x14ac:dyDescent="0.25">
      <c r="A7704" s="3">
        <f>7697</f>
        <v>7697</v>
      </c>
      <c r="B7704" s="3" t="s">
        <v>7706</v>
      </c>
      <c r="C7704" s="3" t="s">
        <v>10</v>
      </c>
      <c r="D7704" s="3" t="s">
        <v>9</v>
      </c>
      <c r="E7704" s="3">
        <v>24</v>
      </c>
      <c r="F7704" s="3">
        <v>70</v>
      </c>
      <c r="G7704" s="3">
        <v>1</v>
      </c>
      <c r="H7704" s="3">
        <v>5</v>
      </c>
      <c r="I7704" s="3">
        <v>21</v>
      </c>
      <c r="J7704" s="3">
        <v>1</v>
      </c>
      <c r="K7704" s="3">
        <v>24</v>
      </c>
      <c r="L7704" s="3">
        <v>1</v>
      </c>
      <c r="M7704" s="3">
        <v>0</v>
      </c>
      <c r="N7704" s="3">
        <v>22</v>
      </c>
      <c r="O7704" s="3"/>
      <c r="P7704" s="3"/>
      <c r="Q7704" s="3"/>
    </row>
    <row r="7705" spans="1:17" ht="15" x14ac:dyDescent="0.25">
      <c r="A7705" s="3">
        <f>7698</f>
        <v>7698</v>
      </c>
      <c r="B7705" s="3" t="s">
        <v>7707</v>
      </c>
      <c r="C7705" s="3" t="s">
        <v>10</v>
      </c>
      <c r="D7705" s="3" t="s">
        <v>9</v>
      </c>
      <c r="E7705" s="3">
        <v>24</v>
      </c>
      <c r="F7705" s="3">
        <v>70</v>
      </c>
      <c r="G7705" s="3">
        <v>1</v>
      </c>
      <c r="H7705" s="3">
        <v>5</v>
      </c>
      <c r="I7705" s="3">
        <v>21</v>
      </c>
      <c r="J7705" s="3">
        <v>1</v>
      </c>
      <c r="K7705" s="3">
        <v>24</v>
      </c>
      <c r="L7705" s="3">
        <v>1</v>
      </c>
      <c r="M7705" s="3">
        <v>0</v>
      </c>
      <c r="N7705" s="3">
        <v>22</v>
      </c>
      <c r="O7705" s="3"/>
      <c r="P7705" s="3"/>
      <c r="Q7705" s="3"/>
    </row>
    <row r="7706" spans="1:17" ht="15" x14ac:dyDescent="0.25">
      <c r="A7706" s="3">
        <f>7699</f>
        <v>7699</v>
      </c>
      <c r="B7706" s="3" t="s">
        <v>7708</v>
      </c>
      <c r="C7706" s="3" t="s">
        <v>10</v>
      </c>
      <c r="D7706" s="3" t="s">
        <v>9</v>
      </c>
      <c r="E7706" s="3">
        <v>24</v>
      </c>
      <c r="F7706" s="3">
        <v>70</v>
      </c>
      <c r="G7706" s="3">
        <v>1</v>
      </c>
      <c r="H7706" s="3">
        <v>5</v>
      </c>
      <c r="I7706" s="3">
        <v>21</v>
      </c>
      <c r="J7706" s="3">
        <v>1</v>
      </c>
      <c r="K7706" s="3">
        <v>24</v>
      </c>
      <c r="L7706" s="3">
        <v>1</v>
      </c>
      <c r="M7706" s="3">
        <v>0</v>
      </c>
      <c r="N7706" s="3">
        <v>22</v>
      </c>
      <c r="O7706" s="3"/>
      <c r="P7706" s="3"/>
      <c r="Q7706" s="3"/>
    </row>
    <row r="7707" spans="1:17" ht="15" x14ac:dyDescent="0.25">
      <c r="A7707" s="3">
        <f>7700</f>
        <v>7700</v>
      </c>
      <c r="B7707" s="3" t="s">
        <v>7709</v>
      </c>
      <c r="C7707" s="3" t="s">
        <v>10</v>
      </c>
      <c r="D7707" s="3" t="s">
        <v>9</v>
      </c>
      <c r="E7707" s="3">
        <v>24</v>
      </c>
      <c r="F7707" s="3">
        <v>70</v>
      </c>
      <c r="G7707" s="3">
        <v>1</v>
      </c>
      <c r="H7707" s="3">
        <v>5</v>
      </c>
      <c r="I7707" s="3">
        <v>21</v>
      </c>
      <c r="J7707" s="3">
        <v>1</v>
      </c>
      <c r="K7707" s="3">
        <v>24</v>
      </c>
      <c r="L7707" s="3">
        <v>1</v>
      </c>
      <c r="M7707" s="3">
        <v>0</v>
      </c>
      <c r="N7707" s="3">
        <v>22</v>
      </c>
      <c r="O7707" s="3"/>
      <c r="P7707" s="3"/>
      <c r="Q7707" s="3"/>
    </row>
    <row r="7708" spans="1:17" ht="15" x14ac:dyDescent="0.25">
      <c r="A7708" s="3">
        <f>7701</f>
        <v>7701</v>
      </c>
      <c r="B7708" s="3" t="s">
        <v>7710</v>
      </c>
      <c r="C7708" s="3" t="s">
        <v>10</v>
      </c>
      <c r="D7708" s="3" t="s">
        <v>9</v>
      </c>
      <c r="E7708" s="3">
        <v>24</v>
      </c>
      <c r="F7708" s="3">
        <v>70</v>
      </c>
      <c r="G7708" s="3">
        <v>1</v>
      </c>
      <c r="H7708" s="3">
        <v>5</v>
      </c>
      <c r="I7708" s="3">
        <v>21</v>
      </c>
      <c r="J7708" s="3">
        <v>1</v>
      </c>
      <c r="K7708" s="3">
        <v>24</v>
      </c>
      <c r="L7708" s="3">
        <v>1</v>
      </c>
      <c r="M7708" s="3">
        <v>0</v>
      </c>
      <c r="N7708" s="3">
        <v>22</v>
      </c>
      <c r="O7708" s="3"/>
      <c r="P7708" s="3"/>
      <c r="Q7708" s="3"/>
    </row>
    <row r="7709" spans="1:17" ht="15" x14ac:dyDescent="0.25">
      <c r="A7709" s="3">
        <f>7702</f>
        <v>7702</v>
      </c>
      <c r="B7709" s="3" t="s">
        <v>7711</v>
      </c>
      <c r="C7709" s="3" t="s">
        <v>10</v>
      </c>
      <c r="D7709" s="3" t="s">
        <v>9</v>
      </c>
      <c r="E7709" s="3">
        <v>24</v>
      </c>
      <c r="F7709" s="3">
        <v>70</v>
      </c>
      <c r="G7709" s="3">
        <v>1</v>
      </c>
      <c r="H7709" s="3">
        <v>5</v>
      </c>
      <c r="I7709" s="3">
        <v>21</v>
      </c>
      <c r="J7709" s="3">
        <v>1</v>
      </c>
      <c r="K7709" s="3">
        <v>24</v>
      </c>
      <c r="L7709" s="3">
        <v>1</v>
      </c>
      <c r="M7709" s="3">
        <v>0</v>
      </c>
      <c r="N7709" s="3">
        <v>22</v>
      </c>
      <c r="O7709" s="3"/>
      <c r="P7709" s="3"/>
      <c r="Q7709" s="3"/>
    </row>
    <row r="7710" spans="1:17" ht="15" x14ac:dyDescent="0.25">
      <c r="A7710" s="3">
        <f>7703</f>
        <v>7703</v>
      </c>
      <c r="B7710" s="3" t="s">
        <v>7712</v>
      </c>
      <c r="C7710" s="3" t="s">
        <v>10</v>
      </c>
      <c r="D7710" s="3" t="s">
        <v>9</v>
      </c>
      <c r="E7710" s="3">
        <v>24</v>
      </c>
      <c r="F7710" s="3">
        <v>70</v>
      </c>
      <c r="G7710" s="3">
        <v>1</v>
      </c>
      <c r="H7710" s="3">
        <v>5</v>
      </c>
      <c r="I7710" s="3">
        <v>21</v>
      </c>
      <c r="J7710" s="3">
        <v>1</v>
      </c>
      <c r="K7710" s="3">
        <v>24</v>
      </c>
      <c r="L7710" s="3">
        <v>1</v>
      </c>
      <c r="M7710" s="3">
        <v>0</v>
      </c>
      <c r="N7710" s="3">
        <v>22</v>
      </c>
      <c r="O7710" s="3"/>
      <c r="P7710" s="3"/>
      <c r="Q7710" s="3"/>
    </row>
    <row r="7711" spans="1:17" ht="15" x14ac:dyDescent="0.25">
      <c r="A7711" s="3">
        <f>7704</f>
        <v>7704</v>
      </c>
      <c r="B7711" s="3" t="s">
        <v>7713</v>
      </c>
      <c r="C7711" s="3" t="s">
        <v>10</v>
      </c>
      <c r="D7711" s="3" t="s">
        <v>9</v>
      </c>
      <c r="E7711" s="3">
        <v>24</v>
      </c>
      <c r="F7711" s="3">
        <v>70</v>
      </c>
      <c r="G7711" s="3">
        <v>1</v>
      </c>
      <c r="H7711" s="3">
        <v>5</v>
      </c>
      <c r="I7711" s="3">
        <v>21</v>
      </c>
      <c r="J7711" s="3">
        <v>1</v>
      </c>
      <c r="K7711" s="3">
        <v>24</v>
      </c>
      <c r="L7711" s="3">
        <v>1</v>
      </c>
      <c r="M7711" s="3">
        <v>0</v>
      </c>
      <c r="N7711" s="3">
        <v>22</v>
      </c>
      <c r="O7711" s="3"/>
      <c r="P7711" s="3"/>
      <c r="Q7711" s="3"/>
    </row>
    <row r="7712" spans="1:17" ht="15" x14ac:dyDescent="0.25">
      <c r="A7712" s="3">
        <f>7705</f>
        <v>7705</v>
      </c>
      <c r="B7712" s="3" t="s">
        <v>7714</v>
      </c>
      <c r="C7712" s="3" t="s">
        <v>10</v>
      </c>
      <c r="D7712" s="3" t="s">
        <v>9</v>
      </c>
      <c r="E7712" s="3">
        <v>24</v>
      </c>
      <c r="F7712" s="3">
        <v>70</v>
      </c>
      <c r="G7712" s="3">
        <v>1</v>
      </c>
      <c r="H7712" s="3">
        <v>5</v>
      </c>
      <c r="I7712" s="3">
        <v>21</v>
      </c>
      <c r="J7712" s="3">
        <v>1</v>
      </c>
      <c r="K7712" s="3">
        <v>24</v>
      </c>
      <c r="L7712" s="3">
        <v>1</v>
      </c>
      <c r="M7712" s="3">
        <v>0</v>
      </c>
      <c r="N7712" s="3">
        <v>22</v>
      </c>
      <c r="O7712" s="3"/>
      <c r="P7712" s="3"/>
      <c r="Q7712" s="3"/>
    </row>
    <row r="7713" spans="1:17" ht="15" x14ac:dyDescent="0.25">
      <c r="A7713" s="3">
        <f>7706</f>
        <v>7706</v>
      </c>
      <c r="B7713" s="3" t="s">
        <v>7715</v>
      </c>
      <c r="C7713" s="3" t="s">
        <v>10</v>
      </c>
      <c r="D7713" s="3" t="s">
        <v>9</v>
      </c>
      <c r="E7713" s="3">
        <v>24</v>
      </c>
      <c r="F7713" s="3">
        <v>70</v>
      </c>
      <c r="G7713" s="3">
        <v>1</v>
      </c>
      <c r="H7713" s="3">
        <v>5</v>
      </c>
      <c r="I7713" s="3">
        <v>21</v>
      </c>
      <c r="J7713" s="3">
        <v>1</v>
      </c>
      <c r="K7713" s="3">
        <v>24</v>
      </c>
      <c r="L7713" s="3">
        <v>1</v>
      </c>
      <c r="M7713" s="3">
        <v>0</v>
      </c>
      <c r="N7713" s="3">
        <v>22</v>
      </c>
      <c r="O7713" s="3"/>
      <c r="P7713" s="3"/>
      <c r="Q7713" s="3"/>
    </row>
    <row r="7714" spans="1:17" ht="15" x14ac:dyDescent="0.25">
      <c r="A7714" s="3">
        <f>7707</f>
        <v>7707</v>
      </c>
      <c r="B7714" s="3" t="s">
        <v>7716</v>
      </c>
      <c r="C7714" s="3" t="s">
        <v>10</v>
      </c>
      <c r="D7714" s="3" t="s">
        <v>9</v>
      </c>
      <c r="E7714" s="3">
        <v>24</v>
      </c>
      <c r="F7714" s="3">
        <v>70</v>
      </c>
      <c r="G7714" s="3">
        <v>1</v>
      </c>
      <c r="H7714" s="3">
        <v>5</v>
      </c>
      <c r="I7714" s="3">
        <v>21</v>
      </c>
      <c r="J7714" s="3">
        <v>1</v>
      </c>
      <c r="K7714" s="3">
        <v>24</v>
      </c>
      <c r="L7714" s="3">
        <v>1</v>
      </c>
      <c r="M7714" s="3">
        <v>0</v>
      </c>
      <c r="N7714" s="3">
        <v>22</v>
      </c>
      <c r="O7714" s="3"/>
      <c r="P7714" s="3"/>
      <c r="Q7714" s="3"/>
    </row>
    <row r="7715" spans="1:17" ht="15" x14ac:dyDescent="0.25">
      <c r="A7715" s="3">
        <f>7708</f>
        <v>7708</v>
      </c>
      <c r="B7715" s="3" t="s">
        <v>7717</v>
      </c>
      <c r="C7715" s="3" t="s">
        <v>10</v>
      </c>
      <c r="D7715" s="3" t="s">
        <v>9</v>
      </c>
      <c r="E7715" s="3">
        <v>24</v>
      </c>
      <c r="F7715" s="3">
        <v>70</v>
      </c>
      <c r="G7715" s="3">
        <v>1</v>
      </c>
      <c r="H7715" s="3">
        <v>5</v>
      </c>
      <c r="I7715" s="3">
        <v>21</v>
      </c>
      <c r="J7715" s="3">
        <v>1</v>
      </c>
      <c r="K7715" s="3">
        <v>24</v>
      </c>
      <c r="L7715" s="3">
        <v>1</v>
      </c>
      <c r="M7715" s="3">
        <v>0</v>
      </c>
      <c r="N7715" s="3">
        <v>22</v>
      </c>
      <c r="O7715" s="3"/>
      <c r="P7715" s="3"/>
      <c r="Q7715" s="3"/>
    </row>
    <row r="7716" spans="1:17" ht="15" x14ac:dyDescent="0.25">
      <c r="A7716" s="3">
        <f>7709</f>
        <v>7709</v>
      </c>
      <c r="B7716" s="3" t="s">
        <v>7718</v>
      </c>
      <c r="C7716" s="3" t="s">
        <v>10</v>
      </c>
      <c r="D7716" s="3" t="s">
        <v>9</v>
      </c>
      <c r="E7716" s="3">
        <v>24</v>
      </c>
      <c r="F7716" s="3">
        <v>70</v>
      </c>
      <c r="G7716" s="3">
        <v>1</v>
      </c>
      <c r="H7716" s="3">
        <v>5</v>
      </c>
      <c r="I7716" s="3">
        <v>21</v>
      </c>
      <c r="J7716" s="3">
        <v>1</v>
      </c>
      <c r="K7716" s="3">
        <v>24</v>
      </c>
      <c r="L7716" s="3">
        <v>1</v>
      </c>
      <c r="M7716" s="3">
        <v>0</v>
      </c>
      <c r="N7716" s="3">
        <v>22</v>
      </c>
      <c r="O7716" s="3"/>
      <c r="P7716" s="3"/>
      <c r="Q7716" s="3"/>
    </row>
    <row r="7717" spans="1:17" ht="15" x14ac:dyDescent="0.25">
      <c r="A7717" s="3">
        <f>7710</f>
        <v>7710</v>
      </c>
      <c r="B7717" s="3" t="s">
        <v>7719</v>
      </c>
      <c r="C7717" s="3" t="s">
        <v>10</v>
      </c>
      <c r="D7717" s="3" t="s">
        <v>9</v>
      </c>
      <c r="E7717" s="3">
        <v>24</v>
      </c>
      <c r="F7717" s="3">
        <v>70</v>
      </c>
      <c r="G7717" s="3">
        <v>1</v>
      </c>
      <c r="H7717" s="3">
        <v>5</v>
      </c>
      <c r="I7717" s="3">
        <v>21</v>
      </c>
      <c r="J7717" s="3">
        <v>1</v>
      </c>
      <c r="K7717" s="3">
        <v>24</v>
      </c>
      <c r="L7717" s="3">
        <v>1</v>
      </c>
      <c r="M7717" s="3">
        <v>0</v>
      </c>
      <c r="N7717" s="3">
        <v>22</v>
      </c>
      <c r="O7717" s="3"/>
      <c r="P7717" s="3"/>
      <c r="Q7717" s="3"/>
    </row>
    <row r="7718" spans="1:17" ht="15" x14ac:dyDescent="0.25">
      <c r="A7718" s="3">
        <f>7711</f>
        <v>7711</v>
      </c>
      <c r="B7718" s="3" t="s">
        <v>7720</v>
      </c>
      <c r="C7718" s="3" t="s">
        <v>10</v>
      </c>
      <c r="D7718" s="3" t="s">
        <v>9</v>
      </c>
      <c r="E7718" s="3">
        <v>24</v>
      </c>
      <c r="F7718" s="3">
        <v>70</v>
      </c>
      <c r="G7718" s="3">
        <v>1</v>
      </c>
      <c r="H7718" s="3">
        <v>5</v>
      </c>
      <c r="I7718" s="3">
        <v>21</v>
      </c>
      <c r="J7718" s="3">
        <v>1</v>
      </c>
      <c r="K7718" s="3">
        <v>24</v>
      </c>
      <c r="L7718" s="3">
        <v>1</v>
      </c>
      <c r="M7718" s="3">
        <v>0</v>
      </c>
      <c r="N7718" s="3">
        <v>22</v>
      </c>
      <c r="O7718" s="3"/>
      <c r="P7718" s="3"/>
      <c r="Q7718" s="3"/>
    </row>
    <row r="7719" spans="1:17" ht="15" x14ac:dyDescent="0.25">
      <c r="A7719" s="3">
        <f>7712</f>
        <v>7712</v>
      </c>
      <c r="B7719" s="3" t="s">
        <v>7721</v>
      </c>
      <c r="C7719" s="3" t="s">
        <v>10</v>
      </c>
      <c r="D7719" s="3" t="s">
        <v>9</v>
      </c>
      <c r="E7719" s="3">
        <v>24</v>
      </c>
      <c r="F7719" s="3">
        <v>70</v>
      </c>
      <c r="G7719" s="3">
        <v>1</v>
      </c>
      <c r="H7719" s="3">
        <v>5</v>
      </c>
      <c r="I7719" s="3">
        <v>21</v>
      </c>
      <c r="J7719" s="3">
        <v>1</v>
      </c>
      <c r="K7719" s="3">
        <v>24</v>
      </c>
      <c r="L7719" s="3">
        <v>1</v>
      </c>
      <c r="M7719" s="3">
        <v>0</v>
      </c>
      <c r="N7719" s="3">
        <v>22</v>
      </c>
      <c r="O7719" s="3"/>
      <c r="P7719" s="3"/>
      <c r="Q7719" s="3"/>
    </row>
    <row r="7720" spans="1:17" ht="15" x14ac:dyDescent="0.25">
      <c r="A7720" s="3">
        <f>7713</f>
        <v>7713</v>
      </c>
      <c r="B7720" s="3" t="s">
        <v>7722</v>
      </c>
      <c r="C7720" s="3" t="s">
        <v>10</v>
      </c>
      <c r="D7720" s="3" t="s">
        <v>9</v>
      </c>
      <c r="E7720" s="3">
        <v>24</v>
      </c>
      <c r="F7720" s="3">
        <v>70</v>
      </c>
      <c r="G7720" s="3">
        <v>1</v>
      </c>
      <c r="H7720" s="3">
        <v>5</v>
      </c>
      <c r="I7720" s="3">
        <v>21</v>
      </c>
      <c r="J7720" s="3">
        <v>1</v>
      </c>
      <c r="K7720" s="3">
        <v>24</v>
      </c>
      <c r="L7720" s="3">
        <v>1</v>
      </c>
      <c r="M7720" s="3">
        <v>0</v>
      </c>
      <c r="N7720" s="3">
        <v>22</v>
      </c>
      <c r="O7720" s="3"/>
      <c r="P7720" s="3"/>
      <c r="Q7720" s="3"/>
    </row>
    <row r="7721" spans="1:17" ht="15" x14ac:dyDescent="0.25">
      <c r="A7721" s="3">
        <f>7714</f>
        <v>7714</v>
      </c>
      <c r="B7721" s="3" t="s">
        <v>7723</v>
      </c>
      <c r="C7721" s="3" t="s">
        <v>10</v>
      </c>
      <c r="D7721" s="3" t="s">
        <v>9</v>
      </c>
      <c r="E7721" s="3">
        <v>24</v>
      </c>
      <c r="F7721" s="3">
        <v>70</v>
      </c>
      <c r="G7721" s="3">
        <v>1</v>
      </c>
      <c r="H7721" s="3">
        <v>5</v>
      </c>
      <c r="I7721" s="3">
        <v>21</v>
      </c>
      <c r="J7721" s="3">
        <v>1</v>
      </c>
      <c r="K7721" s="3">
        <v>24</v>
      </c>
      <c r="L7721" s="3">
        <v>1</v>
      </c>
      <c r="M7721" s="3">
        <v>0</v>
      </c>
      <c r="N7721" s="3">
        <v>22</v>
      </c>
      <c r="O7721" s="3"/>
      <c r="P7721" s="3"/>
      <c r="Q7721" s="3"/>
    </row>
    <row r="7722" spans="1:17" ht="15" x14ac:dyDescent="0.25">
      <c r="A7722" s="3">
        <f>7715</f>
        <v>7715</v>
      </c>
      <c r="B7722" s="3" t="s">
        <v>7724</v>
      </c>
      <c r="C7722" s="3" t="s">
        <v>10</v>
      </c>
      <c r="D7722" s="3" t="s">
        <v>9</v>
      </c>
      <c r="E7722" s="3">
        <v>24</v>
      </c>
      <c r="F7722" s="3">
        <v>70</v>
      </c>
      <c r="G7722" s="3">
        <v>1</v>
      </c>
      <c r="H7722" s="3">
        <v>5</v>
      </c>
      <c r="I7722" s="3">
        <v>21</v>
      </c>
      <c r="J7722" s="3">
        <v>1</v>
      </c>
      <c r="K7722" s="3">
        <v>24</v>
      </c>
      <c r="L7722" s="3">
        <v>1</v>
      </c>
      <c r="M7722" s="3">
        <v>0</v>
      </c>
      <c r="N7722" s="3">
        <v>22</v>
      </c>
      <c r="O7722" s="3"/>
      <c r="P7722" s="3"/>
      <c r="Q7722" s="3"/>
    </row>
    <row r="7723" spans="1:17" ht="15" x14ac:dyDescent="0.25">
      <c r="A7723" s="3">
        <f>7716</f>
        <v>7716</v>
      </c>
      <c r="B7723" s="3" t="s">
        <v>7725</v>
      </c>
      <c r="C7723" s="3" t="s">
        <v>10</v>
      </c>
      <c r="D7723" s="3" t="s">
        <v>9</v>
      </c>
      <c r="E7723" s="3">
        <v>24</v>
      </c>
      <c r="F7723" s="3">
        <v>70</v>
      </c>
      <c r="G7723" s="3">
        <v>1</v>
      </c>
      <c r="H7723" s="3">
        <v>5</v>
      </c>
      <c r="I7723" s="3">
        <v>21</v>
      </c>
      <c r="J7723" s="3">
        <v>1</v>
      </c>
      <c r="K7723" s="3">
        <v>24</v>
      </c>
      <c r="L7723" s="3">
        <v>1</v>
      </c>
      <c r="M7723" s="3">
        <v>0</v>
      </c>
      <c r="N7723" s="3">
        <v>22</v>
      </c>
      <c r="O7723" s="3"/>
      <c r="P7723" s="3"/>
      <c r="Q7723" s="3"/>
    </row>
    <row r="7724" spans="1:17" ht="15" x14ac:dyDescent="0.25">
      <c r="A7724" s="3">
        <f>7717</f>
        <v>7717</v>
      </c>
      <c r="B7724" s="3" t="s">
        <v>7726</v>
      </c>
      <c r="C7724" s="3" t="s">
        <v>10</v>
      </c>
      <c r="D7724" s="3" t="s">
        <v>9</v>
      </c>
      <c r="E7724" s="3">
        <v>24</v>
      </c>
      <c r="F7724" s="3">
        <v>70</v>
      </c>
      <c r="G7724" s="3">
        <v>1</v>
      </c>
      <c r="H7724" s="3">
        <v>5</v>
      </c>
      <c r="I7724" s="3">
        <v>21</v>
      </c>
      <c r="J7724" s="3">
        <v>1</v>
      </c>
      <c r="K7724" s="3">
        <v>24</v>
      </c>
      <c r="L7724" s="3">
        <v>1</v>
      </c>
      <c r="M7724" s="3">
        <v>0</v>
      </c>
      <c r="N7724" s="3">
        <v>22</v>
      </c>
      <c r="O7724" s="3"/>
      <c r="P7724" s="3"/>
      <c r="Q7724" s="3"/>
    </row>
    <row r="7725" spans="1:17" ht="15" x14ac:dyDescent="0.25">
      <c r="A7725" s="3">
        <f>7718</f>
        <v>7718</v>
      </c>
      <c r="B7725" s="3" t="s">
        <v>7727</v>
      </c>
      <c r="C7725" s="3" t="s">
        <v>10</v>
      </c>
      <c r="D7725" s="3" t="s">
        <v>9</v>
      </c>
      <c r="E7725" s="3">
        <v>24</v>
      </c>
      <c r="F7725" s="3">
        <v>70</v>
      </c>
      <c r="G7725" s="3">
        <v>1</v>
      </c>
      <c r="H7725" s="3">
        <v>5</v>
      </c>
      <c r="I7725" s="3">
        <v>21</v>
      </c>
      <c r="J7725" s="3">
        <v>1</v>
      </c>
      <c r="K7725" s="3">
        <v>24</v>
      </c>
      <c r="L7725" s="3">
        <v>1</v>
      </c>
      <c r="M7725" s="3">
        <v>0</v>
      </c>
      <c r="N7725" s="3">
        <v>22</v>
      </c>
      <c r="O7725" s="3"/>
      <c r="P7725" s="3"/>
      <c r="Q7725" s="3"/>
    </row>
    <row r="7726" spans="1:17" ht="15" x14ac:dyDescent="0.25">
      <c r="A7726" s="3">
        <f>7719</f>
        <v>7719</v>
      </c>
      <c r="B7726" s="3" t="s">
        <v>7728</v>
      </c>
      <c r="C7726" s="3" t="s">
        <v>10</v>
      </c>
      <c r="D7726" s="3" t="s">
        <v>9</v>
      </c>
      <c r="E7726" s="3">
        <v>24</v>
      </c>
      <c r="F7726" s="3">
        <v>70</v>
      </c>
      <c r="G7726" s="3">
        <v>1</v>
      </c>
      <c r="H7726" s="3">
        <v>5</v>
      </c>
      <c r="I7726" s="3">
        <v>21</v>
      </c>
      <c r="J7726" s="3">
        <v>1</v>
      </c>
      <c r="K7726" s="3">
        <v>24</v>
      </c>
      <c r="L7726" s="3">
        <v>1</v>
      </c>
      <c r="M7726" s="3">
        <v>0</v>
      </c>
      <c r="N7726" s="3">
        <v>22</v>
      </c>
      <c r="O7726" s="3"/>
      <c r="P7726" s="3"/>
      <c r="Q7726" s="3"/>
    </row>
    <row r="7727" spans="1:17" ht="15" x14ac:dyDescent="0.25">
      <c r="A7727" s="3">
        <f>7720</f>
        <v>7720</v>
      </c>
      <c r="B7727" s="3" t="s">
        <v>7729</v>
      </c>
      <c r="C7727" s="3" t="s">
        <v>10</v>
      </c>
      <c r="D7727" s="3" t="s">
        <v>9</v>
      </c>
      <c r="E7727" s="3">
        <v>24</v>
      </c>
      <c r="F7727" s="3">
        <v>70</v>
      </c>
      <c r="G7727" s="3">
        <v>1</v>
      </c>
      <c r="H7727" s="3">
        <v>5</v>
      </c>
      <c r="I7727" s="3">
        <v>21</v>
      </c>
      <c r="J7727" s="3">
        <v>1</v>
      </c>
      <c r="K7727" s="3">
        <v>24</v>
      </c>
      <c r="L7727" s="3">
        <v>1</v>
      </c>
      <c r="M7727" s="3">
        <v>0</v>
      </c>
      <c r="N7727" s="3">
        <v>22</v>
      </c>
      <c r="O7727" s="3"/>
      <c r="P7727" s="3"/>
      <c r="Q7727" s="3"/>
    </row>
    <row r="7728" spans="1:17" ht="15" x14ac:dyDescent="0.25">
      <c r="A7728" s="3">
        <f>7721</f>
        <v>7721</v>
      </c>
      <c r="B7728" s="3" t="s">
        <v>7730</v>
      </c>
      <c r="C7728" s="3" t="s">
        <v>10</v>
      </c>
      <c r="D7728" s="3" t="s">
        <v>9</v>
      </c>
      <c r="E7728" s="3">
        <v>24</v>
      </c>
      <c r="F7728" s="3">
        <v>70</v>
      </c>
      <c r="G7728" s="3">
        <v>1</v>
      </c>
      <c r="H7728" s="3">
        <v>5</v>
      </c>
      <c r="I7728" s="3">
        <v>21</v>
      </c>
      <c r="J7728" s="3">
        <v>1</v>
      </c>
      <c r="K7728" s="3">
        <v>24</v>
      </c>
      <c r="L7728" s="3">
        <v>1</v>
      </c>
      <c r="M7728" s="3">
        <v>0</v>
      </c>
      <c r="N7728" s="3">
        <v>22</v>
      </c>
      <c r="O7728" s="3"/>
      <c r="P7728" s="3"/>
      <c r="Q7728" s="3"/>
    </row>
    <row r="7729" spans="1:17" ht="15" x14ac:dyDescent="0.25">
      <c r="A7729" s="3">
        <f>7722</f>
        <v>7722</v>
      </c>
      <c r="B7729" s="3" t="s">
        <v>7731</v>
      </c>
      <c r="C7729" s="3" t="s">
        <v>10</v>
      </c>
      <c r="D7729" s="3" t="s">
        <v>9</v>
      </c>
      <c r="E7729" s="3">
        <v>24</v>
      </c>
      <c r="F7729" s="3">
        <v>70</v>
      </c>
      <c r="G7729" s="3">
        <v>1</v>
      </c>
      <c r="H7729" s="3">
        <v>5</v>
      </c>
      <c r="I7729" s="3">
        <v>21</v>
      </c>
      <c r="J7729" s="3">
        <v>1</v>
      </c>
      <c r="K7729" s="3">
        <v>24</v>
      </c>
      <c r="L7729" s="3">
        <v>1</v>
      </c>
      <c r="M7729" s="3">
        <v>0</v>
      </c>
      <c r="N7729" s="3">
        <v>22</v>
      </c>
      <c r="O7729" s="3"/>
      <c r="P7729" s="3"/>
      <c r="Q7729" s="3"/>
    </row>
    <row r="7730" spans="1:17" ht="15" x14ac:dyDescent="0.25">
      <c r="A7730" s="3">
        <f>7723</f>
        <v>7723</v>
      </c>
      <c r="B7730" s="3" t="s">
        <v>7732</v>
      </c>
      <c r="C7730" s="3" t="s">
        <v>10</v>
      </c>
      <c r="D7730" s="3" t="s">
        <v>9</v>
      </c>
      <c r="E7730" s="3">
        <v>24</v>
      </c>
      <c r="F7730" s="3">
        <v>70</v>
      </c>
      <c r="G7730" s="3">
        <v>1</v>
      </c>
      <c r="H7730" s="3">
        <v>5</v>
      </c>
      <c r="I7730" s="3">
        <v>21</v>
      </c>
      <c r="J7730" s="3">
        <v>1</v>
      </c>
      <c r="K7730" s="3">
        <v>24</v>
      </c>
      <c r="L7730" s="3">
        <v>1</v>
      </c>
      <c r="M7730" s="3">
        <v>0</v>
      </c>
      <c r="N7730" s="3">
        <v>22</v>
      </c>
      <c r="O7730" s="3"/>
      <c r="P7730" s="3"/>
      <c r="Q7730" s="3"/>
    </row>
    <row r="7731" spans="1:17" ht="15" x14ac:dyDescent="0.25">
      <c r="A7731" s="3">
        <f>7724</f>
        <v>7724</v>
      </c>
      <c r="B7731" s="3" t="s">
        <v>7733</v>
      </c>
      <c r="C7731" s="3" t="s">
        <v>10</v>
      </c>
      <c r="D7731" s="3" t="s">
        <v>9</v>
      </c>
      <c r="E7731" s="3">
        <v>24</v>
      </c>
      <c r="F7731" s="3">
        <v>70</v>
      </c>
      <c r="G7731" s="3">
        <v>1</v>
      </c>
      <c r="H7731" s="3">
        <v>5</v>
      </c>
      <c r="I7731" s="3">
        <v>21</v>
      </c>
      <c r="J7731" s="3">
        <v>1</v>
      </c>
      <c r="K7731" s="3">
        <v>24</v>
      </c>
      <c r="L7731" s="3">
        <v>1</v>
      </c>
      <c r="M7731" s="3">
        <v>0</v>
      </c>
      <c r="N7731" s="3">
        <v>22</v>
      </c>
      <c r="O7731" s="3"/>
      <c r="P7731" s="3"/>
      <c r="Q7731" s="3"/>
    </row>
    <row r="7732" spans="1:17" ht="15" x14ac:dyDescent="0.25">
      <c r="A7732" s="3">
        <f>7725</f>
        <v>7725</v>
      </c>
      <c r="B7732" s="3" t="s">
        <v>7734</v>
      </c>
      <c r="C7732" s="3" t="s">
        <v>10</v>
      </c>
      <c r="D7732" s="3" t="s">
        <v>9</v>
      </c>
      <c r="E7732" s="3">
        <v>24</v>
      </c>
      <c r="F7732" s="3">
        <v>70</v>
      </c>
      <c r="G7732" s="3">
        <v>1</v>
      </c>
      <c r="H7732" s="3">
        <v>5</v>
      </c>
      <c r="I7732" s="3">
        <v>21</v>
      </c>
      <c r="J7732" s="3">
        <v>1</v>
      </c>
      <c r="K7732" s="3">
        <v>24</v>
      </c>
      <c r="L7732" s="3">
        <v>1</v>
      </c>
      <c r="M7732" s="3">
        <v>0</v>
      </c>
      <c r="N7732" s="3">
        <v>22</v>
      </c>
      <c r="O7732" s="3"/>
      <c r="P7732" s="3"/>
      <c r="Q7732" s="3"/>
    </row>
    <row r="7733" spans="1:17" ht="15" x14ac:dyDescent="0.25">
      <c r="A7733" s="3">
        <f>7726</f>
        <v>7726</v>
      </c>
      <c r="B7733" s="3" t="s">
        <v>7735</v>
      </c>
      <c r="C7733" s="3" t="s">
        <v>10</v>
      </c>
      <c r="D7733" s="3" t="s">
        <v>9</v>
      </c>
      <c r="E7733" s="3">
        <v>24</v>
      </c>
      <c r="F7733" s="3">
        <v>70</v>
      </c>
      <c r="G7733" s="3">
        <v>1</v>
      </c>
      <c r="H7733" s="3">
        <v>5</v>
      </c>
      <c r="I7733" s="3">
        <v>21</v>
      </c>
      <c r="J7733" s="3">
        <v>1</v>
      </c>
      <c r="K7733" s="3">
        <v>24</v>
      </c>
      <c r="L7733" s="3">
        <v>1</v>
      </c>
      <c r="M7733" s="3">
        <v>0</v>
      </c>
      <c r="N7733" s="3">
        <v>22</v>
      </c>
      <c r="O7733" s="3"/>
      <c r="P7733" s="3"/>
      <c r="Q7733" s="3"/>
    </row>
    <row r="7734" spans="1:17" ht="15" x14ac:dyDescent="0.25">
      <c r="A7734" s="3">
        <f>7727</f>
        <v>7727</v>
      </c>
      <c r="B7734" s="3" t="s">
        <v>7736</v>
      </c>
      <c r="C7734" s="3" t="s">
        <v>10</v>
      </c>
      <c r="D7734" s="3" t="s">
        <v>9</v>
      </c>
      <c r="E7734" s="3">
        <v>24</v>
      </c>
      <c r="F7734" s="3">
        <v>70</v>
      </c>
      <c r="G7734" s="3">
        <v>1</v>
      </c>
      <c r="H7734" s="3">
        <v>5</v>
      </c>
      <c r="I7734" s="3">
        <v>21</v>
      </c>
      <c r="J7734" s="3">
        <v>1</v>
      </c>
      <c r="K7734" s="3">
        <v>24</v>
      </c>
      <c r="L7734" s="3">
        <v>1</v>
      </c>
      <c r="M7734" s="3">
        <v>0</v>
      </c>
      <c r="N7734" s="3">
        <v>22</v>
      </c>
      <c r="O7734" s="3"/>
      <c r="P7734" s="3"/>
      <c r="Q7734" s="3"/>
    </row>
    <row r="7735" spans="1:17" ht="15" x14ac:dyDescent="0.25">
      <c r="A7735" s="3">
        <f>7728</f>
        <v>7728</v>
      </c>
      <c r="B7735" s="3" t="s">
        <v>7737</v>
      </c>
      <c r="C7735" s="3" t="s">
        <v>10</v>
      </c>
      <c r="D7735" s="3" t="s">
        <v>9</v>
      </c>
      <c r="E7735" s="3">
        <v>24</v>
      </c>
      <c r="F7735" s="3">
        <v>70</v>
      </c>
      <c r="G7735" s="3">
        <v>1</v>
      </c>
      <c r="H7735" s="3">
        <v>5</v>
      </c>
      <c r="I7735" s="3">
        <v>21</v>
      </c>
      <c r="J7735" s="3">
        <v>1</v>
      </c>
      <c r="K7735" s="3">
        <v>24</v>
      </c>
      <c r="L7735" s="3">
        <v>1</v>
      </c>
      <c r="M7735" s="3">
        <v>0</v>
      </c>
      <c r="N7735" s="3">
        <v>22</v>
      </c>
      <c r="O7735" s="3"/>
      <c r="P7735" s="3"/>
      <c r="Q7735" s="3"/>
    </row>
    <row r="7736" spans="1:17" ht="15" x14ac:dyDescent="0.25">
      <c r="A7736" s="3">
        <f>7729</f>
        <v>7729</v>
      </c>
      <c r="B7736" s="3" t="s">
        <v>7738</v>
      </c>
      <c r="C7736" s="3" t="s">
        <v>10</v>
      </c>
      <c r="D7736" s="3" t="s">
        <v>9</v>
      </c>
      <c r="E7736" s="3">
        <v>24</v>
      </c>
      <c r="F7736" s="3">
        <v>70</v>
      </c>
      <c r="G7736" s="3">
        <v>1</v>
      </c>
      <c r="H7736" s="3">
        <v>5</v>
      </c>
      <c r="I7736" s="3">
        <v>21</v>
      </c>
      <c r="J7736" s="3">
        <v>1</v>
      </c>
      <c r="K7736" s="3">
        <v>24</v>
      </c>
      <c r="L7736" s="3">
        <v>1</v>
      </c>
      <c r="M7736" s="3">
        <v>0</v>
      </c>
      <c r="N7736" s="3">
        <v>22</v>
      </c>
      <c r="O7736" s="3"/>
      <c r="P7736" s="3"/>
      <c r="Q7736" s="3"/>
    </row>
    <row r="7737" spans="1:17" ht="15" x14ac:dyDescent="0.25">
      <c r="A7737" s="3">
        <f>7730</f>
        <v>7730</v>
      </c>
      <c r="B7737" s="3" t="s">
        <v>7739</v>
      </c>
      <c r="C7737" s="3" t="s">
        <v>10</v>
      </c>
      <c r="D7737" s="3" t="s">
        <v>9</v>
      </c>
      <c r="E7737" s="3">
        <v>24</v>
      </c>
      <c r="F7737" s="3">
        <v>70</v>
      </c>
      <c r="G7737" s="3">
        <v>1</v>
      </c>
      <c r="H7737" s="3">
        <v>5</v>
      </c>
      <c r="I7737" s="3">
        <v>21</v>
      </c>
      <c r="J7737" s="3">
        <v>1</v>
      </c>
      <c r="K7737" s="3">
        <v>24</v>
      </c>
      <c r="L7737" s="3">
        <v>1</v>
      </c>
      <c r="M7737" s="3">
        <v>0</v>
      </c>
      <c r="N7737" s="3">
        <v>22</v>
      </c>
      <c r="O7737" s="3"/>
      <c r="P7737" s="3"/>
      <c r="Q7737" s="3"/>
    </row>
    <row r="7738" spans="1:17" ht="15" x14ac:dyDescent="0.25">
      <c r="A7738" s="3">
        <f>7731</f>
        <v>7731</v>
      </c>
      <c r="B7738" s="3" t="s">
        <v>7740</v>
      </c>
      <c r="C7738" s="3" t="s">
        <v>10</v>
      </c>
      <c r="D7738" s="3" t="s">
        <v>9</v>
      </c>
      <c r="E7738" s="3">
        <v>24</v>
      </c>
      <c r="F7738" s="3">
        <v>70</v>
      </c>
      <c r="G7738" s="3">
        <v>1</v>
      </c>
      <c r="H7738" s="3">
        <v>5</v>
      </c>
      <c r="I7738" s="3">
        <v>21</v>
      </c>
      <c r="J7738" s="3">
        <v>1</v>
      </c>
      <c r="K7738" s="3">
        <v>24</v>
      </c>
      <c r="L7738" s="3">
        <v>1</v>
      </c>
      <c r="M7738" s="3">
        <v>0</v>
      </c>
      <c r="N7738" s="3">
        <v>22</v>
      </c>
      <c r="O7738" s="3"/>
      <c r="P7738" s="3"/>
      <c r="Q7738" s="3"/>
    </row>
    <row r="7739" spans="1:17" ht="15" x14ac:dyDescent="0.25">
      <c r="A7739" s="3">
        <f>7732</f>
        <v>7732</v>
      </c>
      <c r="B7739" s="3" t="s">
        <v>7741</v>
      </c>
      <c r="C7739" s="3" t="s">
        <v>10</v>
      </c>
      <c r="D7739" s="3" t="s">
        <v>9</v>
      </c>
      <c r="E7739" s="3">
        <v>24</v>
      </c>
      <c r="F7739" s="3">
        <v>70</v>
      </c>
      <c r="G7739" s="3">
        <v>1</v>
      </c>
      <c r="H7739" s="3">
        <v>5</v>
      </c>
      <c r="I7739" s="3">
        <v>21</v>
      </c>
      <c r="J7739" s="3">
        <v>1</v>
      </c>
      <c r="K7739" s="3">
        <v>24</v>
      </c>
      <c r="L7739" s="3">
        <v>1</v>
      </c>
      <c r="M7739" s="3">
        <v>0</v>
      </c>
      <c r="N7739" s="3">
        <v>22</v>
      </c>
      <c r="O7739" s="3"/>
      <c r="P7739" s="3"/>
      <c r="Q7739" s="3"/>
    </row>
    <row r="7740" spans="1:17" ht="15" x14ac:dyDescent="0.25">
      <c r="A7740" s="3">
        <f>7733</f>
        <v>7733</v>
      </c>
      <c r="B7740" s="3" t="s">
        <v>7742</v>
      </c>
      <c r="C7740" s="3" t="s">
        <v>10</v>
      </c>
      <c r="D7740" s="3" t="s">
        <v>9</v>
      </c>
      <c r="E7740" s="3">
        <v>24</v>
      </c>
      <c r="F7740" s="3">
        <v>70</v>
      </c>
      <c r="G7740" s="3">
        <v>1</v>
      </c>
      <c r="H7740" s="3">
        <v>5</v>
      </c>
      <c r="I7740" s="3">
        <v>21</v>
      </c>
      <c r="J7740" s="3">
        <v>1</v>
      </c>
      <c r="K7740" s="3">
        <v>24</v>
      </c>
      <c r="L7740" s="3">
        <v>1</v>
      </c>
      <c r="M7740" s="3">
        <v>0</v>
      </c>
      <c r="N7740" s="3">
        <v>22</v>
      </c>
      <c r="O7740" s="3"/>
      <c r="P7740" s="3"/>
      <c r="Q7740" s="3"/>
    </row>
    <row r="7741" spans="1:17" ht="15" x14ac:dyDescent="0.25">
      <c r="A7741" s="3">
        <f>7734</f>
        <v>7734</v>
      </c>
      <c r="B7741" s="3" t="s">
        <v>7743</v>
      </c>
      <c r="C7741" s="3" t="s">
        <v>10</v>
      </c>
      <c r="D7741" s="3" t="s">
        <v>9</v>
      </c>
      <c r="E7741" s="3">
        <v>24</v>
      </c>
      <c r="F7741" s="3">
        <v>70</v>
      </c>
      <c r="G7741" s="3">
        <v>1</v>
      </c>
      <c r="H7741" s="3">
        <v>5</v>
      </c>
      <c r="I7741" s="3">
        <v>21</v>
      </c>
      <c r="J7741" s="3">
        <v>1</v>
      </c>
      <c r="K7741" s="3">
        <v>24</v>
      </c>
      <c r="L7741" s="3">
        <v>1</v>
      </c>
      <c r="M7741" s="3">
        <v>0</v>
      </c>
      <c r="N7741" s="3">
        <v>22</v>
      </c>
      <c r="O7741" s="3"/>
      <c r="P7741" s="3"/>
      <c r="Q7741" s="3"/>
    </row>
    <row r="7742" spans="1:17" ht="15" x14ac:dyDescent="0.25">
      <c r="A7742" s="3">
        <f>7735</f>
        <v>7735</v>
      </c>
      <c r="B7742" s="3" t="s">
        <v>7744</v>
      </c>
      <c r="C7742" s="3" t="s">
        <v>10</v>
      </c>
      <c r="D7742" s="3" t="s">
        <v>9</v>
      </c>
      <c r="E7742" s="3">
        <v>24</v>
      </c>
      <c r="F7742" s="3">
        <v>70</v>
      </c>
      <c r="G7742" s="3">
        <v>1</v>
      </c>
      <c r="H7742" s="3">
        <v>5</v>
      </c>
      <c r="I7742" s="3">
        <v>21</v>
      </c>
      <c r="J7742" s="3">
        <v>1</v>
      </c>
      <c r="K7742" s="3">
        <v>24</v>
      </c>
      <c r="L7742" s="3">
        <v>1</v>
      </c>
      <c r="M7742" s="3">
        <v>0</v>
      </c>
      <c r="N7742" s="3">
        <v>22</v>
      </c>
      <c r="O7742" s="3"/>
      <c r="P7742" s="3"/>
      <c r="Q7742" s="3"/>
    </row>
    <row r="7743" spans="1:17" ht="15" x14ac:dyDescent="0.25">
      <c r="A7743" s="3">
        <f>7736</f>
        <v>7736</v>
      </c>
      <c r="B7743" s="3" t="s">
        <v>7745</v>
      </c>
      <c r="C7743" s="3" t="s">
        <v>10</v>
      </c>
      <c r="D7743" s="3" t="s">
        <v>9</v>
      </c>
      <c r="E7743" s="3">
        <v>24</v>
      </c>
      <c r="F7743" s="3">
        <v>70</v>
      </c>
      <c r="G7743" s="3">
        <v>1</v>
      </c>
      <c r="H7743" s="3">
        <v>5</v>
      </c>
      <c r="I7743" s="3">
        <v>21</v>
      </c>
      <c r="J7743" s="3">
        <v>1</v>
      </c>
      <c r="K7743" s="3">
        <v>24</v>
      </c>
      <c r="L7743" s="3">
        <v>1</v>
      </c>
      <c r="M7743" s="3">
        <v>0</v>
      </c>
      <c r="N7743" s="3">
        <v>22</v>
      </c>
      <c r="O7743" s="3"/>
      <c r="P7743" s="3"/>
      <c r="Q7743" s="3"/>
    </row>
    <row r="7744" spans="1:17" ht="15" x14ac:dyDescent="0.25">
      <c r="A7744" s="3">
        <f>7737</f>
        <v>7737</v>
      </c>
      <c r="B7744" s="3" t="s">
        <v>7746</v>
      </c>
      <c r="C7744" s="3" t="s">
        <v>10</v>
      </c>
      <c r="D7744" s="3" t="s">
        <v>9</v>
      </c>
      <c r="E7744" s="3">
        <v>24</v>
      </c>
      <c r="F7744" s="3">
        <v>70</v>
      </c>
      <c r="G7744" s="3">
        <v>1</v>
      </c>
      <c r="H7744" s="3">
        <v>5</v>
      </c>
      <c r="I7744" s="3">
        <v>21</v>
      </c>
      <c r="J7744" s="3">
        <v>1</v>
      </c>
      <c r="K7744" s="3">
        <v>24</v>
      </c>
      <c r="L7744" s="3">
        <v>1</v>
      </c>
      <c r="M7744" s="3">
        <v>0</v>
      </c>
      <c r="N7744" s="3">
        <v>22</v>
      </c>
      <c r="O7744" s="3"/>
      <c r="P7744" s="3"/>
      <c r="Q7744" s="3"/>
    </row>
    <row r="7745" spans="1:17" ht="15" x14ac:dyDescent="0.25">
      <c r="A7745" s="3">
        <f>7738</f>
        <v>7738</v>
      </c>
      <c r="B7745" s="3" t="s">
        <v>7747</v>
      </c>
      <c r="C7745" s="3" t="s">
        <v>10</v>
      </c>
      <c r="D7745" s="3" t="s">
        <v>9</v>
      </c>
      <c r="E7745" s="3">
        <v>24</v>
      </c>
      <c r="F7745" s="3">
        <v>70</v>
      </c>
      <c r="G7745" s="3">
        <v>1</v>
      </c>
      <c r="H7745" s="3">
        <v>5</v>
      </c>
      <c r="I7745" s="3">
        <v>21</v>
      </c>
      <c r="J7745" s="3">
        <v>1</v>
      </c>
      <c r="K7745" s="3">
        <v>24</v>
      </c>
      <c r="L7745" s="3">
        <v>1</v>
      </c>
      <c r="M7745" s="3">
        <v>0</v>
      </c>
      <c r="N7745" s="3">
        <v>22</v>
      </c>
      <c r="O7745" s="3"/>
      <c r="P7745" s="3"/>
      <c r="Q7745" s="3"/>
    </row>
    <row r="7746" spans="1:17" ht="15" x14ac:dyDescent="0.25">
      <c r="A7746" s="3">
        <f>7739</f>
        <v>7739</v>
      </c>
      <c r="B7746" s="3" t="s">
        <v>7748</v>
      </c>
      <c r="C7746" s="3" t="s">
        <v>10</v>
      </c>
      <c r="D7746" s="3" t="s">
        <v>9</v>
      </c>
      <c r="E7746" s="3">
        <v>24</v>
      </c>
      <c r="F7746" s="3">
        <v>70</v>
      </c>
      <c r="G7746" s="3">
        <v>1</v>
      </c>
      <c r="H7746" s="3">
        <v>5</v>
      </c>
      <c r="I7746" s="3">
        <v>21</v>
      </c>
      <c r="J7746" s="3">
        <v>1</v>
      </c>
      <c r="K7746" s="3">
        <v>24</v>
      </c>
      <c r="L7746" s="3">
        <v>1</v>
      </c>
      <c r="M7746" s="3">
        <v>0</v>
      </c>
      <c r="N7746" s="3">
        <v>22</v>
      </c>
      <c r="O7746" s="3"/>
      <c r="P7746" s="3"/>
      <c r="Q7746" s="3"/>
    </row>
    <row r="7747" spans="1:17" ht="15" x14ac:dyDescent="0.25">
      <c r="A7747" s="3">
        <f>7740</f>
        <v>7740</v>
      </c>
      <c r="B7747" s="3" t="s">
        <v>7749</v>
      </c>
      <c r="C7747" s="3" t="s">
        <v>10</v>
      </c>
      <c r="D7747" s="3" t="s">
        <v>9</v>
      </c>
      <c r="E7747" s="3">
        <v>24</v>
      </c>
      <c r="F7747" s="3">
        <v>70</v>
      </c>
      <c r="G7747" s="3">
        <v>1</v>
      </c>
      <c r="H7747" s="3">
        <v>5</v>
      </c>
      <c r="I7747" s="3">
        <v>21</v>
      </c>
      <c r="J7747" s="3">
        <v>1</v>
      </c>
      <c r="K7747" s="3">
        <v>24</v>
      </c>
      <c r="L7747" s="3">
        <v>1</v>
      </c>
      <c r="M7747" s="3">
        <v>0</v>
      </c>
      <c r="N7747" s="3">
        <v>22</v>
      </c>
      <c r="O7747" s="3"/>
      <c r="P7747" s="3"/>
      <c r="Q7747" s="3"/>
    </row>
    <row r="7748" spans="1:17" ht="15" x14ac:dyDescent="0.25">
      <c r="A7748" s="3">
        <f>7741</f>
        <v>7741</v>
      </c>
      <c r="B7748" s="3" t="s">
        <v>7750</v>
      </c>
      <c r="C7748" s="3" t="s">
        <v>10</v>
      </c>
      <c r="D7748" s="3" t="s">
        <v>9</v>
      </c>
      <c r="E7748" s="3">
        <v>24</v>
      </c>
      <c r="F7748" s="3">
        <v>70</v>
      </c>
      <c r="G7748" s="3">
        <v>1</v>
      </c>
      <c r="H7748" s="3">
        <v>5</v>
      </c>
      <c r="I7748" s="3">
        <v>21</v>
      </c>
      <c r="J7748" s="3">
        <v>1</v>
      </c>
      <c r="K7748" s="3">
        <v>24</v>
      </c>
      <c r="L7748" s="3">
        <v>1</v>
      </c>
      <c r="M7748" s="3">
        <v>0</v>
      </c>
      <c r="N7748" s="3">
        <v>22</v>
      </c>
      <c r="O7748" s="3"/>
      <c r="P7748" s="3"/>
      <c r="Q7748" s="3"/>
    </row>
    <row r="7749" spans="1:17" ht="15" x14ac:dyDescent="0.25">
      <c r="A7749" s="3">
        <f>7742</f>
        <v>7742</v>
      </c>
      <c r="B7749" s="3" t="s">
        <v>7751</v>
      </c>
      <c r="C7749" s="3" t="s">
        <v>9</v>
      </c>
      <c r="D7749" s="3" t="s">
        <v>10</v>
      </c>
      <c r="E7749" s="3">
        <v>24</v>
      </c>
      <c r="F7749" s="3">
        <v>70</v>
      </c>
      <c r="G7749" s="3">
        <v>1</v>
      </c>
      <c r="H7749" s="3">
        <v>5</v>
      </c>
      <c r="I7749" s="3">
        <v>21</v>
      </c>
      <c r="J7749" s="3">
        <v>1</v>
      </c>
      <c r="K7749" s="3">
        <v>24</v>
      </c>
      <c r="L7749" s="3">
        <v>1</v>
      </c>
      <c r="M7749" s="3">
        <v>0</v>
      </c>
      <c r="N7749" s="3">
        <v>22</v>
      </c>
      <c r="O7749" s="3"/>
      <c r="P7749" s="3"/>
      <c r="Q7749" s="3"/>
    </row>
    <row r="7750" spans="1:17" ht="15" x14ac:dyDescent="0.25">
      <c r="A7750" s="3">
        <f>7743</f>
        <v>7743</v>
      </c>
      <c r="B7750" s="3" t="s">
        <v>7752</v>
      </c>
      <c r="C7750" s="3" t="s">
        <v>9</v>
      </c>
      <c r="D7750" s="3" t="s">
        <v>10</v>
      </c>
      <c r="E7750" s="3">
        <v>24</v>
      </c>
      <c r="F7750" s="3">
        <v>70</v>
      </c>
      <c r="G7750" s="3">
        <v>1</v>
      </c>
      <c r="H7750" s="3">
        <v>5</v>
      </c>
      <c r="I7750" s="3">
        <v>21</v>
      </c>
      <c r="J7750" s="3">
        <v>1</v>
      </c>
      <c r="K7750" s="3">
        <v>24</v>
      </c>
      <c r="L7750" s="3">
        <v>1</v>
      </c>
      <c r="M7750" s="3">
        <v>0</v>
      </c>
      <c r="N7750" s="3">
        <v>22</v>
      </c>
      <c r="O7750" s="3"/>
      <c r="P7750" s="3"/>
      <c r="Q7750" s="3"/>
    </row>
    <row r="7751" spans="1:17" ht="15" x14ac:dyDescent="0.25">
      <c r="A7751" s="3">
        <f>7744</f>
        <v>7744</v>
      </c>
      <c r="B7751" s="3" t="s">
        <v>7753</v>
      </c>
      <c r="C7751" s="3" t="s">
        <v>9</v>
      </c>
      <c r="D7751" s="3" t="s">
        <v>10</v>
      </c>
      <c r="E7751" s="3">
        <v>24</v>
      </c>
      <c r="F7751" s="3">
        <v>70</v>
      </c>
      <c r="G7751" s="3">
        <v>1</v>
      </c>
      <c r="H7751" s="3">
        <v>5</v>
      </c>
      <c r="I7751" s="3">
        <v>21</v>
      </c>
      <c r="J7751" s="3">
        <v>1</v>
      </c>
      <c r="K7751" s="3">
        <v>24</v>
      </c>
      <c r="L7751" s="3">
        <v>1</v>
      </c>
      <c r="M7751" s="3">
        <v>0</v>
      </c>
      <c r="N7751" s="3">
        <v>22</v>
      </c>
      <c r="O7751" s="3"/>
      <c r="P7751" s="3"/>
      <c r="Q7751" s="3"/>
    </row>
    <row r="7752" spans="1:17" ht="15" x14ac:dyDescent="0.25">
      <c r="A7752" s="3">
        <f>7745</f>
        <v>7745</v>
      </c>
      <c r="B7752" s="3" t="s">
        <v>7754</v>
      </c>
      <c r="C7752" s="3" t="s">
        <v>9</v>
      </c>
      <c r="D7752" s="3" t="s">
        <v>10</v>
      </c>
      <c r="E7752" s="3">
        <v>24</v>
      </c>
      <c r="F7752" s="3">
        <v>70</v>
      </c>
      <c r="G7752" s="3">
        <v>1</v>
      </c>
      <c r="H7752" s="3">
        <v>5</v>
      </c>
      <c r="I7752" s="3">
        <v>21</v>
      </c>
      <c r="J7752" s="3">
        <v>1</v>
      </c>
      <c r="K7752" s="3">
        <v>24</v>
      </c>
      <c r="L7752" s="3">
        <v>1</v>
      </c>
      <c r="M7752" s="3">
        <v>0</v>
      </c>
      <c r="N7752" s="3">
        <v>22</v>
      </c>
      <c r="O7752" s="3"/>
      <c r="P7752" s="3"/>
      <c r="Q7752" s="3"/>
    </row>
    <row r="7753" spans="1:17" ht="15" x14ac:dyDescent="0.25">
      <c r="A7753" s="3">
        <f>7746</f>
        <v>7746</v>
      </c>
      <c r="B7753" s="3" t="s">
        <v>7755</v>
      </c>
      <c r="C7753" s="3" t="s">
        <v>9</v>
      </c>
      <c r="D7753" s="3" t="s">
        <v>10</v>
      </c>
      <c r="E7753" s="3">
        <v>24</v>
      </c>
      <c r="F7753" s="3">
        <v>70</v>
      </c>
      <c r="G7753" s="3">
        <v>1</v>
      </c>
      <c r="H7753" s="3">
        <v>5</v>
      </c>
      <c r="I7753" s="3">
        <v>21</v>
      </c>
      <c r="J7753" s="3">
        <v>1</v>
      </c>
      <c r="K7753" s="3">
        <v>24</v>
      </c>
      <c r="L7753" s="3">
        <v>1</v>
      </c>
      <c r="M7753" s="3">
        <v>0</v>
      </c>
      <c r="N7753" s="3">
        <v>22</v>
      </c>
      <c r="O7753" s="3"/>
      <c r="P7753" s="3"/>
      <c r="Q7753" s="3"/>
    </row>
    <row r="7754" spans="1:17" ht="15" x14ac:dyDescent="0.25">
      <c r="A7754" s="3">
        <f>7747</f>
        <v>7747</v>
      </c>
      <c r="B7754" s="3" t="s">
        <v>7756</v>
      </c>
      <c r="C7754" s="3" t="s">
        <v>9</v>
      </c>
      <c r="D7754" s="3" t="s">
        <v>10</v>
      </c>
      <c r="E7754" s="3">
        <v>24</v>
      </c>
      <c r="F7754" s="3">
        <v>70</v>
      </c>
      <c r="G7754" s="3">
        <v>1</v>
      </c>
      <c r="H7754" s="3">
        <v>5</v>
      </c>
      <c r="I7754" s="3">
        <v>21</v>
      </c>
      <c r="J7754" s="3">
        <v>1</v>
      </c>
      <c r="K7754" s="3">
        <v>24</v>
      </c>
      <c r="L7754" s="3">
        <v>1</v>
      </c>
      <c r="M7754" s="3">
        <v>0</v>
      </c>
      <c r="N7754" s="3">
        <v>22</v>
      </c>
      <c r="O7754" s="3"/>
      <c r="P7754" s="3"/>
      <c r="Q7754" s="3"/>
    </row>
    <row r="7755" spans="1:17" ht="15" x14ac:dyDescent="0.25">
      <c r="A7755" s="3">
        <f>7748</f>
        <v>7748</v>
      </c>
      <c r="B7755" s="3" t="s">
        <v>7757</v>
      </c>
      <c r="C7755" s="3" t="s">
        <v>9</v>
      </c>
      <c r="D7755" s="3" t="s">
        <v>10</v>
      </c>
      <c r="E7755" s="3">
        <v>24</v>
      </c>
      <c r="F7755" s="3">
        <v>70</v>
      </c>
      <c r="G7755" s="3">
        <v>1</v>
      </c>
      <c r="H7755" s="3">
        <v>5</v>
      </c>
      <c r="I7755" s="3">
        <v>21</v>
      </c>
      <c r="J7755" s="3">
        <v>1</v>
      </c>
      <c r="K7755" s="3">
        <v>24</v>
      </c>
      <c r="L7755" s="3">
        <v>1</v>
      </c>
      <c r="M7755" s="3">
        <v>0</v>
      </c>
      <c r="N7755" s="3">
        <v>22</v>
      </c>
      <c r="O7755" s="3"/>
      <c r="P7755" s="3"/>
      <c r="Q7755" s="3"/>
    </row>
    <row r="7756" spans="1:17" ht="15" x14ac:dyDescent="0.25">
      <c r="A7756" s="3">
        <f>7749</f>
        <v>7749</v>
      </c>
      <c r="B7756" s="3" t="s">
        <v>7758</v>
      </c>
      <c r="C7756" s="3" t="s">
        <v>9</v>
      </c>
      <c r="D7756" s="3" t="s">
        <v>10</v>
      </c>
      <c r="E7756" s="3">
        <v>24</v>
      </c>
      <c r="F7756" s="3">
        <v>70</v>
      </c>
      <c r="G7756" s="3">
        <v>1</v>
      </c>
      <c r="H7756" s="3">
        <v>5</v>
      </c>
      <c r="I7756" s="3">
        <v>21</v>
      </c>
      <c r="J7756" s="3">
        <v>1</v>
      </c>
      <c r="K7756" s="3">
        <v>24</v>
      </c>
      <c r="L7756" s="3">
        <v>1</v>
      </c>
      <c r="M7756" s="3">
        <v>0</v>
      </c>
      <c r="N7756" s="3">
        <v>22</v>
      </c>
      <c r="O7756" s="3"/>
      <c r="P7756" s="3"/>
      <c r="Q7756" s="3"/>
    </row>
    <row r="7757" spans="1:17" ht="15" x14ac:dyDescent="0.25">
      <c r="A7757" s="3">
        <f>7750</f>
        <v>7750</v>
      </c>
      <c r="B7757" s="3" t="s">
        <v>7759</v>
      </c>
      <c r="C7757" s="3" t="s">
        <v>9</v>
      </c>
      <c r="D7757" s="3" t="s">
        <v>10</v>
      </c>
      <c r="E7757" s="3">
        <v>24</v>
      </c>
      <c r="F7757" s="3">
        <v>70</v>
      </c>
      <c r="G7757" s="3">
        <v>1</v>
      </c>
      <c r="H7757" s="3">
        <v>5</v>
      </c>
      <c r="I7757" s="3">
        <v>21</v>
      </c>
      <c r="J7757" s="3">
        <v>1</v>
      </c>
      <c r="K7757" s="3">
        <v>24</v>
      </c>
      <c r="L7757" s="3">
        <v>1</v>
      </c>
      <c r="M7757" s="3">
        <v>0</v>
      </c>
      <c r="N7757" s="3">
        <v>22</v>
      </c>
      <c r="O7757" s="3"/>
      <c r="P7757" s="3"/>
      <c r="Q7757" s="3"/>
    </row>
    <row r="7758" spans="1:17" ht="15" x14ac:dyDescent="0.25">
      <c r="A7758" s="3">
        <f>7751</f>
        <v>7751</v>
      </c>
      <c r="B7758" s="3" t="s">
        <v>7760</v>
      </c>
      <c r="C7758" s="3" t="s">
        <v>9</v>
      </c>
      <c r="D7758" s="3" t="s">
        <v>10</v>
      </c>
      <c r="E7758" s="3">
        <v>24</v>
      </c>
      <c r="F7758" s="3">
        <v>70</v>
      </c>
      <c r="G7758" s="3">
        <v>1</v>
      </c>
      <c r="H7758" s="3">
        <v>5</v>
      </c>
      <c r="I7758" s="3">
        <v>21</v>
      </c>
      <c r="J7758" s="3">
        <v>1</v>
      </c>
      <c r="K7758" s="3">
        <v>24</v>
      </c>
      <c r="L7758" s="3">
        <v>1</v>
      </c>
      <c r="M7758" s="3">
        <v>0</v>
      </c>
      <c r="N7758" s="3">
        <v>22</v>
      </c>
      <c r="O7758" s="3"/>
      <c r="P7758" s="3"/>
      <c r="Q7758" s="3"/>
    </row>
    <row r="7759" spans="1:17" ht="15" x14ac:dyDescent="0.25">
      <c r="A7759" s="3">
        <f>7752</f>
        <v>7752</v>
      </c>
      <c r="B7759" s="3" t="s">
        <v>7761</v>
      </c>
      <c r="C7759" s="3" t="s">
        <v>10</v>
      </c>
      <c r="D7759" s="3" t="s">
        <v>9</v>
      </c>
      <c r="E7759" s="3">
        <v>24</v>
      </c>
      <c r="F7759" s="3">
        <v>70</v>
      </c>
      <c r="G7759" s="3">
        <v>1</v>
      </c>
      <c r="H7759" s="3">
        <v>5</v>
      </c>
      <c r="I7759" s="3">
        <v>21</v>
      </c>
      <c r="J7759" s="3">
        <v>1</v>
      </c>
      <c r="K7759" s="3">
        <v>24</v>
      </c>
      <c r="L7759" s="3">
        <v>1</v>
      </c>
      <c r="M7759" s="3">
        <v>0</v>
      </c>
      <c r="N7759" s="3">
        <v>22</v>
      </c>
      <c r="O7759" s="3"/>
      <c r="P7759" s="3"/>
      <c r="Q7759" s="3"/>
    </row>
    <row r="7760" spans="1:17" ht="15" x14ac:dyDescent="0.25">
      <c r="A7760" s="3">
        <f>7753</f>
        <v>7753</v>
      </c>
      <c r="B7760" s="3" t="s">
        <v>7762</v>
      </c>
      <c r="C7760" s="3" t="s">
        <v>10</v>
      </c>
      <c r="D7760" s="3" t="s">
        <v>9</v>
      </c>
      <c r="E7760" s="3">
        <v>24</v>
      </c>
      <c r="F7760" s="3">
        <v>70</v>
      </c>
      <c r="G7760" s="3">
        <v>1</v>
      </c>
      <c r="H7760" s="3">
        <v>5</v>
      </c>
      <c r="I7760" s="3">
        <v>21</v>
      </c>
      <c r="J7760" s="3">
        <v>1</v>
      </c>
      <c r="K7760" s="3">
        <v>24</v>
      </c>
      <c r="L7760" s="3">
        <v>1</v>
      </c>
      <c r="M7760" s="3">
        <v>0</v>
      </c>
      <c r="N7760" s="3">
        <v>22</v>
      </c>
      <c r="O7760" s="3"/>
      <c r="P7760" s="3"/>
      <c r="Q7760" s="3"/>
    </row>
    <row r="7761" spans="1:17" ht="15" x14ac:dyDescent="0.25">
      <c r="A7761" s="3">
        <f>7754</f>
        <v>7754</v>
      </c>
      <c r="B7761" s="3" t="s">
        <v>7763</v>
      </c>
      <c r="C7761" s="3" t="s">
        <v>10</v>
      </c>
      <c r="D7761" s="3" t="s">
        <v>9</v>
      </c>
      <c r="E7761" s="3">
        <v>24</v>
      </c>
      <c r="F7761" s="3">
        <v>70</v>
      </c>
      <c r="G7761" s="3">
        <v>1</v>
      </c>
      <c r="H7761" s="3">
        <v>5</v>
      </c>
      <c r="I7761" s="3">
        <v>21</v>
      </c>
      <c r="J7761" s="3">
        <v>1</v>
      </c>
      <c r="K7761" s="3">
        <v>24</v>
      </c>
      <c r="L7761" s="3">
        <v>1</v>
      </c>
      <c r="M7761" s="3">
        <v>0</v>
      </c>
      <c r="N7761" s="3">
        <v>22</v>
      </c>
      <c r="O7761" s="3"/>
      <c r="P7761" s="3"/>
      <c r="Q7761" s="3"/>
    </row>
    <row r="7762" spans="1:17" ht="15" x14ac:dyDescent="0.25">
      <c r="A7762" s="3">
        <f>7755</f>
        <v>7755</v>
      </c>
      <c r="B7762" s="3" t="s">
        <v>7764</v>
      </c>
      <c r="C7762" s="3" t="s">
        <v>10</v>
      </c>
      <c r="D7762" s="3" t="s">
        <v>9</v>
      </c>
      <c r="E7762" s="3">
        <v>24</v>
      </c>
      <c r="F7762" s="3">
        <v>70</v>
      </c>
      <c r="G7762" s="3">
        <v>1</v>
      </c>
      <c r="H7762" s="3">
        <v>5</v>
      </c>
      <c r="I7762" s="3">
        <v>21</v>
      </c>
      <c r="J7762" s="3">
        <v>1</v>
      </c>
      <c r="K7762" s="3">
        <v>24</v>
      </c>
      <c r="L7762" s="3">
        <v>1</v>
      </c>
      <c r="M7762" s="3">
        <v>0</v>
      </c>
      <c r="N7762" s="3">
        <v>22</v>
      </c>
      <c r="O7762" s="3"/>
      <c r="P7762" s="3"/>
      <c r="Q7762" s="3"/>
    </row>
    <row r="7763" spans="1:17" ht="15" x14ac:dyDescent="0.25">
      <c r="A7763" s="3">
        <f>7756</f>
        <v>7756</v>
      </c>
      <c r="B7763" s="3" t="s">
        <v>7765</v>
      </c>
      <c r="C7763" s="3" t="s">
        <v>10</v>
      </c>
      <c r="D7763" s="3" t="s">
        <v>9</v>
      </c>
      <c r="E7763" s="3">
        <v>24</v>
      </c>
      <c r="F7763" s="3">
        <v>70</v>
      </c>
      <c r="G7763" s="3">
        <v>1</v>
      </c>
      <c r="H7763" s="3">
        <v>5</v>
      </c>
      <c r="I7763" s="3">
        <v>21</v>
      </c>
      <c r="J7763" s="3">
        <v>1</v>
      </c>
      <c r="K7763" s="3">
        <v>24</v>
      </c>
      <c r="L7763" s="3">
        <v>1</v>
      </c>
      <c r="M7763" s="3">
        <v>0</v>
      </c>
      <c r="N7763" s="3">
        <v>22</v>
      </c>
      <c r="O7763" s="3"/>
      <c r="P7763" s="3"/>
      <c r="Q7763" s="3"/>
    </row>
    <row r="7764" spans="1:17" ht="15" x14ac:dyDescent="0.25">
      <c r="A7764" s="3">
        <f>7757</f>
        <v>7757</v>
      </c>
      <c r="B7764" s="3" t="s">
        <v>7766</v>
      </c>
      <c r="C7764" s="3" t="s">
        <v>10</v>
      </c>
      <c r="D7764" s="3" t="s">
        <v>9</v>
      </c>
      <c r="E7764" s="3">
        <v>24</v>
      </c>
      <c r="F7764" s="3">
        <v>70</v>
      </c>
      <c r="G7764" s="3">
        <v>1</v>
      </c>
      <c r="H7764" s="3">
        <v>5</v>
      </c>
      <c r="I7764" s="3">
        <v>21</v>
      </c>
      <c r="J7764" s="3">
        <v>1</v>
      </c>
      <c r="K7764" s="3">
        <v>24</v>
      </c>
      <c r="L7764" s="3">
        <v>1</v>
      </c>
      <c r="M7764" s="3">
        <v>0</v>
      </c>
      <c r="N7764" s="3">
        <v>22</v>
      </c>
      <c r="O7764" s="3"/>
      <c r="P7764" s="3"/>
      <c r="Q7764" s="3"/>
    </row>
    <row r="7765" spans="1:17" ht="15" x14ac:dyDescent="0.25">
      <c r="A7765" s="3">
        <f>7758</f>
        <v>7758</v>
      </c>
      <c r="B7765" s="3" t="s">
        <v>7767</v>
      </c>
      <c r="C7765" s="3" t="s">
        <v>10</v>
      </c>
      <c r="D7765" s="3" t="s">
        <v>9</v>
      </c>
      <c r="E7765" s="3">
        <v>24</v>
      </c>
      <c r="F7765" s="3">
        <v>70</v>
      </c>
      <c r="G7765" s="3">
        <v>1</v>
      </c>
      <c r="H7765" s="3">
        <v>5</v>
      </c>
      <c r="I7765" s="3">
        <v>21</v>
      </c>
      <c r="J7765" s="3">
        <v>1</v>
      </c>
      <c r="K7765" s="3">
        <v>24</v>
      </c>
      <c r="L7765" s="3">
        <v>1</v>
      </c>
      <c r="M7765" s="3">
        <v>0</v>
      </c>
      <c r="N7765" s="3">
        <v>22</v>
      </c>
      <c r="O7765" s="3"/>
      <c r="P7765" s="3"/>
      <c r="Q7765" s="3"/>
    </row>
    <row r="7766" spans="1:17" ht="15" x14ac:dyDescent="0.25">
      <c r="A7766" s="3">
        <f>7759</f>
        <v>7759</v>
      </c>
      <c r="B7766" s="3" t="s">
        <v>7768</v>
      </c>
      <c r="C7766" s="3" t="s">
        <v>10</v>
      </c>
      <c r="D7766" s="3" t="s">
        <v>9</v>
      </c>
      <c r="E7766" s="3">
        <v>24</v>
      </c>
      <c r="F7766" s="3">
        <v>70</v>
      </c>
      <c r="G7766" s="3">
        <v>1</v>
      </c>
      <c r="H7766" s="3">
        <v>5</v>
      </c>
      <c r="I7766" s="3">
        <v>21</v>
      </c>
      <c r="J7766" s="3">
        <v>1</v>
      </c>
      <c r="K7766" s="3">
        <v>24</v>
      </c>
      <c r="L7766" s="3">
        <v>1</v>
      </c>
      <c r="M7766" s="3">
        <v>0</v>
      </c>
      <c r="N7766" s="3">
        <v>22</v>
      </c>
      <c r="O7766" s="3"/>
      <c r="P7766" s="3"/>
      <c r="Q7766" s="3"/>
    </row>
    <row r="7767" spans="1:17" ht="15" x14ac:dyDescent="0.25">
      <c r="A7767" s="3">
        <f>7760</f>
        <v>7760</v>
      </c>
      <c r="B7767" s="3" t="s">
        <v>7769</v>
      </c>
      <c r="C7767" s="3" t="s">
        <v>10</v>
      </c>
      <c r="D7767" s="3" t="s">
        <v>9</v>
      </c>
      <c r="E7767" s="3">
        <v>24</v>
      </c>
      <c r="F7767" s="3">
        <v>70</v>
      </c>
      <c r="G7767" s="3">
        <v>1</v>
      </c>
      <c r="H7767" s="3">
        <v>5</v>
      </c>
      <c r="I7767" s="3">
        <v>21</v>
      </c>
      <c r="J7767" s="3">
        <v>1</v>
      </c>
      <c r="K7767" s="3">
        <v>24</v>
      </c>
      <c r="L7767" s="3">
        <v>1</v>
      </c>
      <c r="M7767" s="3">
        <v>0</v>
      </c>
      <c r="N7767" s="3">
        <v>22</v>
      </c>
      <c r="O7767" s="3"/>
      <c r="P7767" s="3"/>
      <c r="Q7767" s="3"/>
    </row>
    <row r="7768" spans="1:17" ht="15" x14ac:dyDescent="0.25">
      <c r="A7768" s="3">
        <f>7761</f>
        <v>7761</v>
      </c>
      <c r="B7768" s="3" t="s">
        <v>7770</v>
      </c>
      <c r="C7768" s="3" t="s">
        <v>10</v>
      </c>
      <c r="D7768" s="3" t="s">
        <v>9</v>
      </c>
      <c r="E7768" s="3">
        <v>24</v>
      </c>
      <c r="F7768" s="3">
        <v>70</v>
      </c>
      <c r="G7768" s="3">
        <v>1</v>
      </c>
      <c r="H7768" s="3">
        <v>5</v>
      </c>
      <c r="I7768" s="3">
        <v>21</v>
      </c>
      <c r="J7768" s="3">
        <v>1</v>
      </c>
      <c r="K7768" s="3">
        <v>24</v>
      </c>
      <c r="L7768" s="3">
        <v>1</v>
      </c>
      <c r="M7768" s="3">
        <v>0</v>
      </c>
      <c r="N7768" s="3">
        <v>22</v>
      </c>
      <c r="O7768" s="3"/>
      <c r="P7768" s="3"/>
      <c r="Q7768" s="3"/>
    </row>
    <row r="7769" spans="1:17" ht="15" x14ac:dyDescent="0.25">
      <c r="A7769" s="3">
        <f>7762</f>
        <v>7762</v>
      </c>
      <c r="B7769" s="3" t="s">
        <v>7771</v>
      </c>
      <c r="C7769" s="3" t="s">
        <v>10</v>
      </c>
      <c r="D7769" s="3" t="s">
        <v>9</v>
      </c>
      <c r="E7769" s="3">
        <v>24</v>
      </c>
      <c r="F7769" s="3">
        <v>70</v>
      </c>
      <c r="G7769" s="3">
        <v>1</v>
      </c>
      <c r="H7769" s="3">
        <v>5</v>
      </c>
      <c r="I7769" s="3">
        <v>21</v>
      </c>
      <c r="J7769" s="3">
        <v>1</v>
      </c>
      <c r="K7769" s="3">
        <v>24</v>
      </c>
      <c r="L7769" s="3">
        <v>1</v>
      </c>
      <c r="M7769" s="3">
        <v>0</v>
      </c>
      <c r="N7769" s="3">
        <v>22</v>
      </c>
      <c r="O7769" s="3"/>
      <c r="P7769" s="3"/>
      <c r="Q7769" s="3"/>
    </row>
    <row r="7770" spans="1:17" ht="15" x14ac:dyDescent="0.25">
      <c r="A7770" s="3">
        <f>7763</f>
        <v>7763</v>
      </c>
      <c r="B7770" s="3" t="s">
        <v>7772</v>
      </c>
      <c r="C7770" s="3" t="s">
        <v>10</v>
      </c>
      <c r="D7770" s="3" t="s">
        <v>9</v>
      </c>
      <c r="E7770" s="3">
        <v>24</v>
      </c>
      <c r="F7770" s="3">
        <v>70</v>
      </c>
      <c r="G7770" s="3">
        <v>1</v>
      </c>
      <c r="H7770" s="3">
        <v>5</v>
      </c>
      <c r="I7770" s="3">
        <v>21</v>
      </c>
      <c r="J7770" s="3">
        <v>1</v>
      </c>
      <c r="K7770" s="3">
        <v>24</v>
      </c>
      <c r="L7770" s="3">
        <v>1</v>
      </c>
      <c r="M7770" s="3">
        <v>0</v>
      </c>
      <c r="N7770" s="3">
        <v>22</v>
      </c>
      <c r="O7770" s="3"/>
      <c r="P7770" s="3"/>
      <c r="Q7770" s="3"/>
    </row>
    <row r="7771" spans="1:17" ht="15" x14ac:dyDescent="0.25">
      <c r="A7771" s="3">
        <f>7764</f>
        <v>7764</v>
      </c>
      <c r="B7771" s="3" t="s">
        <v>7773</v>
      </c>
      <c r="C7771" s="3" t="s">
        <v>10</v>
      </c>
      <c r="D7771" s="3" t="s">
        <v>9</v>
      </c>
      <c r="E7771" s="3">
        <v>24</v>
      </c>
      <c r="F7771" s="3">
        <v>70</v>
      </c>
      <c r="G7771" s="3">
        <v>1</v>
      </c>
      <c r="H7771" s="3">
        <v>5</v>
      </c>
      <c r="I7771" s="3">
        <v>21</v>
      </c>
      <c r="J7771" s="3">
        <v>1</v>
      </c>
      <c r="K7771" s="3">
        <v>24</v>
      </c>
      <c r="L7771" s="3">
        <v>1</v>
      </c>
      <c r="M7771" s="3">
        <v>0</v>
      </c>
      <c r="N7771" s="3">
        <v>22</v>
      </c>
      <c r="O7771" s="3"/>
      <c r="P7771" s="3"/>
      <c r="Q7771" s="3"/>
    </row>
    <row r="7772" spans="1:17" ht="15" x14ac:dyDescent="0.25">
      <c r="A7772" s="3">
        <f>7765</f>
        <v>7765</v>
      </c>
      <c r="B7772" s="3" t="s">
        <v>7774</v>
      </c>
      <c r="C7772" s="3" t="s">
        <v>10</v>
      </c>
      <c r="D7772" s="3" t="s">
        <v>9</v>
      </c>
      <c r="E7772" s="3">
        <v>24</v>
      </c>
      <c r="F7772" s="3">
        <v>70</v>
      </c>
      <c r="G7772" s="3">
        <v>1</v>
      </c>
      <c r="H7772" s="3">
        <v>5</v>
      </c>
      <c r="I7772" s="3">
        <v>21</v>
      </c>
      <c r="J7772" s="3">
        <v>1</v>
      </c>
      <c r="K7772" s="3">
        <v>24</v>
      </c>
      <c r="L7772" s="3">
        <v>1</v>
      </c>
      <c r="M7772" s="3">
        <v>0</v>
      </c>
      <c r="N7772" s="3">
        <v>22</v>
      </c>
      <c r="O7772" s="3"/>
      <c r="P7772" s="3"/>
      <c r="Q7772" s="3"/>
    </row>
    <row r="7773" spans="1:17" ht="15" x14ac:dyDescent="0.25">
      <c r="A7773" s="3">
        <f>7766</f>
        <v>7766</v>
      </c>
      <c r="B7773" s="3" t="s">
        <v>7775</v>
      </c>
      <c r="C7773" s="3" t="s">
        <v>10</v>
      </c>
      <c r="D7773" s="3" t="s">
        <v>9</v>
      </c>
      <c r="E7773" s="3">
        <v>24</v>
      </c>
      <c r="F7773" s="3">
        <v>70</v>
      </c>
      <c r="G7773" s="3">
        <v>1</v>
      </c>
      <c r="H7773" s="3">
        <v>5</v>
      </c>
      <c r="I7773" s="3">
        <v>21</v>
      </c>
      <c r="J7773" s="3">
        <v>1</v>
      </c>
      <c r="K7773" s="3">
        <v>24</v>
      </c>
      <c r="L7773" s="3">
        <v>1</v>
      </c>
      <c r="M7773" s="3">
        <v>0</v>
      </c>
      <c r="N7773" s="3">
        <v>22</v>
      </c>
      <c r="O7773" s="3"/>
      <c r="P7773" s="3"/>
      <c r="Q7773" s="3"/>
    </row>
    <row r="7774" spans="1:17" ht="15" x14ac:dyDescent="0.25">
      <c r="A7774" s="3">
        <f>7767</f>
        <v>7767</v>
      </c>
      <c r="B7774" s="3" t="s">
        <v>7776</v>
      </c>
      <c r="C7774" s="3" t="s">
        <v>10</v>
      </c>
      <c r="D7774" s="3" t="s">
        <v>9</v>
      </c>
      <c r="E7774" s="3">
        <v>24</v>
      </c>
      <c r="F7774" s="3">
        <v>70</v>
      </c>
      <c r="G7774" s="3">
        <v>1</v>
      </c>
      <c r="H7774" s="3">
        <v>5</v>
      </c>
      <c r="I7774" s="3">
        <v>21</v>
      </c>
      <c r="J7774" s="3">
        <v>1</v>
      </c>
      <c r="K7774" s="3">
        <v>24</v>
      </c>
      <c r="L7774" s="3">
        <v>1</v>
      </c>
      <c r="M7774" s="3">
        <v>0</v>
      </c>
      <c r="N7774" s="3">
        <v>22</v>
      </c>
      <c r="O7774" s="3"/>
      <c r="P7774" s="3"/>
      <c r="Q7774" s="3"/>
    </row>
    <row r="7775" spans="1:17" ht="15" x14ac:dyDescent="0.25">
      <c r="A7775" s="3">
        <f>7768</f>
        <v>7768</v>
      </c>
      <c r="B7775" s="3" t="s">
        <v>7777</v>
      </c>
      <c r="C7775" s="3" t="s">
        <v>10</v>
      </c>
      <c r="D7775" s="3" t="s">
        <v>9</v>
      </c>
      <c r="E7775" s="3">
        <v>24</v>
      </c>
      <c r="F7775" s="3">
        <v>70</v>
      </c>
      <c r="G7775" s="3">
        <v>1</v>
      </c>
      <c r="H7775" s="3">
        <v>5</v>
      </c>
      <c r="I7775" s="3">
        <v>21</v>
      </c>
      <c r="J7775" s="3">
        <v>1</v>
      </c>
      <c r="K7775" s="3">
        <v>24</v>
      </c>
      <c r="L7775" s="3">
        <v>1</v>
      </c>
      <c r="M7775" s="3">
        <v>0</v>
      </c>
      <c r="N7775" s="3">
        <v>22</v>
      </c>
      <c r="O7775" s="3"/>
      <c r="P7775" s="3"/>
      <c r="Q7775" s="3"/>
    </row>
    <row r="7776" spans="1:17" ht="15" x14ac:dyDescent="0.25">
      <c r="A7776" s="3">
        <f>7769</f>
        <v>7769</v>
      </c>
      <c r="B7776" s="3" t="s">
        <v>7778</v>
      </c>
      <c r="C7776" s="3" t="s">
        <v>10</v>
      </c>
      <c r="D7776" s="3" t="s">
        <v>9</v>
      </c>
      <c r="E7776" s="3">
        <v>24</v>
      </c>
      <c r="F7776" s="3">
        <v>70</v>
      </c>
      <c r="G7776" s="3">
        <v>1</v>
      </c>
      <c r="H7776" s="3">
        <v>5</v>
      </c>
      <c r="I7776" s="3">
        <v>21</v>
      </c>
      <c r="J7776" s="3">
        <v>1</v>
      </c>
      <c r="K7776" s="3">
        <v>24</v>
      </c>
      <c r="L7776" s="3">
        <v>1</v>
      </c>
      <c r="M7776" s="3">
        <v>0</v>
      </c>
      <c r="N7776" s="3">
        <v>22</v>
      </c>
      <c r="O7776" s="3"/>
      <c r="P7776" s="3"/>
      <c r="Q7776" s="3"/>
    </row>
    <row r="7777" spans="1:17" ht="15" x14ac:dyDescent="0.25">
      <c r="A7777" s="3">
        <f>7770</f>
        <v>7770</v>
      </c>
      <c r="B7777" s="3" t="s">
        <v>7779</v>
      </c>
      <c r="C7777" s="3" t="s">
        <v>10</v>
      </c>
      <c r="D7777" s="3" t="s">
        <v>9</v>
      </c>
      <c r="E7777" s="3">
        <v>24</v>
      </c>
      <c r="F7777" s="3">
        <v>70</v>
      </c>
      <c r="G7777" s="3">
        <v>1</v>
      </c>
      <c r="H7777" s="3">
        <v>5</v>
      </c>
      <c r="I7777" s="3">
        <v>21</v>
      </c>
      <c r="J7777" s="3">
        <v>1</v>
      </c>
      <c r="K7777" s="3">
        <v>24</v>
      </c>
      <c r="L7777" s="3">
        <v>1</v>
      </c>
      <c r="M7777" s="3">
        <v>0</v>
      </c>
      <c r="N7777" s="3">
        <v>22</v>
      </c>
      <c r="O7777" s="3"/>
      <c r="P7777" s="3"/>
      <c r="Q7777" s="3"/>
    </row>
    <row r="7778" spans="1:17" ht="15" x14ac:dyDescent="0.25">
      <c r="A7778" s="3">
        <f>7771</f>
        <v>7771</v>
      </c>
      <c r="B7778" s="3" t="s">
        <v>7780</v>
      </c>
      <c r="C7778" s="3" t="s">
        <v>10</v>
      </c>
      <c r="D7778" s="3" t="s">
        <v>9</v>
      </c>
      <c r="E7778" s="3">
        <v>24</v>
      </c>
      <c r="F7778" s="3">
        <v>70</v>
      </c>
      <c r="G7778" s="3">
        <v>1</v>
      </c>
      <c r="H7778" s="3">
        <v>5</v>
      </c>
      <c r="I7778" s="3">
        <v>21</v>
      </c>
      <c r="J7778" s="3">
        <v>1</v>
      </c>
      <c r="K7778" s="3">
        <v>24</v>
      </c>
      <c r="L7778" s="3">
        <v>1</v>
      </c>
      <c r="M7778" s="3">
        <v>0</v>
      </c>
      <c r="N7778" s="3">
        <v>22</v>
      </c>
      <c r="O7778" s="3"/>
      <c r="P7778" s="3"/>
      <c r="Q7778" s="3"/>
    </row>
    <row r="7779" spans="1:17" ht="15" x14ac:dyDescent="0.25">
      <c r="A7779" s="3">
        <f>7772</f>
        <v>7772</v>
      </c>
      <c r="B7779" s="3" t="s">
        <v>7781</v>
      </c>
      <c r="C7779" s="3" t="s">
        <v>10</v>
      </c>
      <c r="D7779" s="3" t="s">
        <v>9</v>
      </c>
      <c r="E7779" s="3">
        <v>24</v>
      </c>
      <c r="F7779" s="3">
        <v>70</v>
      </c>
      <c r="G7779" s="3">
        <v>1</v>
      </c>
      <c r="H7779" s="3">
        <v>5</v>
      </c>
      <c r="I7779" s="3">
        <v>21</v>
      </c>
      <c r="J7779" s="3">
        <v>1</v>
      </c>
      <c r="K7779" s="3">
        <v>24</v>
      </c>
      <c r="L7779" s="3">
        <v>1</v>
      </c>
      <c r="M7779" s="3">
        <v>0</v>
      </c>
      <c r="N7779" s="3">
        <v>22</v>
      </c>
      <c r="O7779" s="3"/>
      <c r="P7779" s="3"/>
      <c r="Q7779" s="3"/>
    </row>
    <row r="7780" spans="1:17" ht="15" x14ac:dyDescent="0.25">
      <c r="A7780" s="3">
        <f>7773</f>
        <v>7773</v>
      </c>
      <c r="B7780" s="3" t="s">
        <v>7782</v>
      </c>
      <c r="C7780" s="3" t="s">
        <v>10</v>
      </c>
      <c r="D7780" s="3" t="s">
        <v>9</v>
      </c>
      <c r="E7780" s="3">
        <v>24</v>
      </c>
      <c r="F7780" s="3">
        <v>70</v>
      </c>
      <c r="G7780" s="3">
        <v>1</v>
      </c>
      <c r="H7780" s="3">
        <v>5</v>
      </c>
      <c r="I7780" s="3">
        <v>21</v>
      </c>
      <c r="J7780" s="3">
        <v>1</v>
      </c>
      <c r="K7780" s="3">
        <v>24</v>
      </c>
      <c r="L7780" s="3">
        <v>1</v>
      </c>
      <c r="M7780" s="3">
        <v>0</v>
      </c>
      <c r="N7780" s="3">
        <v>22</v>
      </c>
      <c r="O7780" s="3"/>
      <c r="P7780" s="3"/>
      <c r="Q7780" s="3"/>
    </row>
    <row r="7781" spans="1:17" ht="15" x14ac:dyDescent="0.25">
      <c r="A7781" s="3">
        <f>7774</f>
        <v>7774</v>
      </c>
      <c r="B7781" s="3" t="s">
        <v>7783</v>
      </c>
      <c r="C7781" s="3" t="s">
        <v>10</v>
      </c>
      <c r="D7781" s="3" t="s">
        <v>9</v>
      </c>
      <c r="E7781" s="3">
        <v>24</v>
      </c>
      <c r="F7781" s="3">
        <v>70</v>
      </c>
      <c r="G7781" s="3">
        <v>1</v>
      </c>
      <c r="H7781" s="3">
        <v>5</v>
      </c>
      <c r="I7781" s="3">
        <v>21</v>
      </c>
      <c r="J7781" s="3">
        <v>1</v>
      </c>
      <c r="K7781" s="3">
        <v>24</v>
      </c>
      <c r="L7781" s="3">
        <v>1</v>
      </c>
      <c r="M7781" s="3">
        <v>0</v>
      </c>
      <c r="N7781" s="3">
        <v>22</v>
      </c>
      <c r="O7781" s="3"/>
      <c r="P7781" s="3"/>
      <c r="Q7781" s="3"/>
    </row>
    <row r="7782" spans="1:17" ht="15" x14ac:dyDescent="0.25">
      <c r="A7782" s="3">
        <f>7775</f>
        <v>7775</v>
      </c>
      <c r="B7782" s="3" t="s">
        <v>7784</v>
      </c>
      <c r="C7782" s="3" t="s">
        <v>10</v>
      </c>
      <c r="D7782" s="3" t="s">
        <v>9</v>
      </c>
      <c r="E7782" s="3">
        <v>24</v>
      </c>
      <c r="F7782" s="3">
        <v>70</v>
      </c>
      <c r="G7782" s="3">
        <v>1</v>
      </c>
      <c r="H7782" s="3">
        <v>5</v>
      </c>
      <c r="I7782" s="3">
        <v>21</v>
      </c>
      <c r="J7782" s="3">
        <v>1</v>
      </c>
      <c r="K7782" s="3">
        <v>24</v>
      </c>
      <c r="L7782" s="3">
        <v>1</v>
      </c>
      <c r="M7782" s="3">
        <v>0</v>
      </c>
      <c r="N7782" s="3">
        <v>22</v>
      </c>
      <c r="O7782" s="3"/>
      <c r="P7782" s="3"/>
      <c r="Q7782" s="3"/>
    </row>
    <row r="7783" spans="1:17" ht="15" x14ac:dyDescent="0.25">
      <c r="A7783" s="3">
        <f>7776</f>
        <v>7776</v>
      </c>
      <c r="B7783" s="3" t="s">
        <v>7785</v>
      </c>
      <c r="C7783" s="3" t="s">
        <v>10</v>
      </c>
      <c r="D7783" s="3" t="s">
        <v>9</v>
      </c>
      <c r="E7783" s="3">
        <v>24</v>
      </c>
      <c r="F7783" s="3">
        <v>70</v>
      </c>
      <c r="G7783" s="3">
        <v>1</v>
      </c>
      <c r="H7783" s="3">
        <v>5</v>
      </c>
      <c r="I7783" s="3">
        <v>21</v>
      </c>
      <c r="J7783" s="3">
        <v>1</v>
      </c>
      <c r="K7783" s="3">
        <v>24</v>
      </c>
      <c r="L7783" s="3">
        <v>1</v>
      </c>
      <c r="M7783" s="3">
        <v>0</v>
      </c>
      <c r="N7783" s="3">
        <v>22</v>
      </c>
      <c r="O7783" s="3"/>
      <c r="P7783" s="3"/>
      <c r="Q7783" s="3"/>
    </row>
    <row r="7784" spans="1:17" ht="15" x14ac:dyDescent="0.25">
      <c r="A7784" s="3">
        <f>7777</f>
        <v>7777</v>
      </c>
      <c r="B7784" s="3" t="s">
        <v>7786</v>
      </c>
      <c r="C7784" s="3" t="s">
        <v>10</v>
      </c>
      <c r="D7784" s="3" t="s">
        <v>9</v>
      </c>
      <c r="E7784" s="3">
        <v>24</v>
      </c>
      <c r="F7784" s="3">
        <v>70</v>
      </c>
      <c r="G7784" s="3">
        <v>1</v>
      </c>
      <c r="H7784" s="3">
        <v>5</v>
      </c>
      <c r="I7784" s="3">
        <v>21</v>
      </c>
      <c r="J7784" s="3">
        <v>1</v>
      </c>
      <c r="K7784" s="3">
        <v>24</v>
      </c>
      <c r="L7784" s="3">
        <v>1</v>
      </c>
      <c r="M7784" s="3">
        <v>0</v>
      </c>
      <c r="N7784" s="3">
        <v>22</v>
      </c>
      <c r="O7784" s="3"/>
      <c r="P7784" s="3"/>
      <c r="Q7784" s="3"/>
    </row>
    <row r="7785" spans="1:17" ht="15" x14ac:dyDescent="0.25">
      <c r="A7785" s="3">
        <f>7778</f>
        <v>7778</v>
      </c>
      <c r="B7785" s="3" t="s">
        <v>7787</v>
      </c>
      <c r="C7785" s="3" t="s">
        <v>10</v>
      </c>
      <c r="D7785" s="3" t="s">
        <v>9</v>
      </c>
      <c r="E7785" s="3">
        <v>24</v>
      </c>
      <c r="F7785" s="3">
        <v>70</v>
      </c>
      <c r="G7785" s="3">
        <v>1</v>
      </c>
      <c r="H7785" s="3">
        <v>5</v>
      </c>
      <c r="I7785" s="3">
        <v>21</v>
      </c>
      <c r="J7785" s="3">
        <v>1</v>
      </c>
      <c r="K7785" s="3">
        <v>24</v>
      </c>
      <c r="L7785" s="3">
        <v>1</v>
      </c>
      <c r="M7785" s="3">
        <v>0</v>
      </c>
      <c r="N7785" s="3">
        <v>22</v>
      </c>
      <c r="O7785" s="3"/>
      <c r="P7785" s="3"/>
      <c r="Q7785" s="3"/>
    </row>
    <row r="7786" spans="1:17" ht="15" x14ac:dyDescent="0.25">
      <c r="A7786" s="3">
        <f>7779</f>
        <v>7779</v>
      </c>
      <c r="B7786" s="3" t="s">
        <v>7788</v>
      </c>
      <c r="C7786" s="3" t="s">
        <v>10</v>
      </c>
      <c r="D7786" s="3" t="s">
        <v>9</v>
      </c>
      <c r="E7786" s="3">
        <v>24</v>
      </c>
      <c r="F7786" s="3">
        <v>70</v>
      </c>
      <c r="G7786" s="3">
        <v>1</v>
      </c>
      <c r="H7786" s="3">
        <v>5</v>
      </c>
      <c r="I7786" s="3">
        <v>21</v>
      </c>
      <c r="J7786" s="3">
        <v>1</v>
      </c>
      <c r="K7786" s="3">
        <v>24</v>
      </c>
      <c r="L7786" s="3">
        <v>1</v>
      </c>
      <c r="M7786" s="3">
        <v>0</v>
      </c>
      <c r="N7786" s="3">
        <v>22</v>
      </c>
      <c r="O7786" s="3"/>
      <c r="P7786" s="3"/>
      <c r="Q7786" s="3"/>
    </row>
    <row r="7787" spans="1:17" ht="15" x14ac:dyDescent="0.25">
      <c r="A7787" s="3">
        <f>7780</f>
        <v>7780</v>
      </c>
      <c r="B7787" s="3" t="s">
        <v>7789</v>
      </c>
      <c r="C7787" s="3" t="s">
        <v>10</v>
      </c>
      <c r="D7787" s="3" t="s">
        <v>9</v>
      </c>
      <c r="E7787" s="3">
        <v>24</v>
      </c>
      <c r="F7787" s="3">
        <v>70</v>
      </c>
      <c r="G7787" s="3">
        <v>1</v>
      </c>
      <c r="H7787" s="3">
        <v>5</v>
      </c>
      <c r="I7787" s="3">
        <v>21</v>
      </c>
      <c r="J7787" s="3">
        <v>1</v>
      </c>
      <c r="K7787" s="3">
        <v>24</v>
      </c>
      <c r="L7787" s="3">
        <v>1</v>
      </c>
      <c r="M7787" s="3">
        <v>0</v>
      </c>
      <c r="N7787" s="3">
        <v>22</v>
      </c>
      <c r="O7787" s="3"/>
      <c r="P7787" s="3"/>
      <c r="Q7787" s="3"/>
    </row>
    <row r="7788" spans="1:17" ht="15" x14ac:dyDescent="0.25">
      <c r="A7788" s="3">
        <f>7781</f>
        <v>7781</v>
      </c>
      <c r="B7788" s="3" t="s">
        <v>7790</v>
      </c>
      <c r="C7788" s="3" t="s">
        <v>10</v>
      </c>
      <c r="D7788" s="3" t="s">
        <v>9</v>
      </c>
      <c r="E7788" s="3">
        <v>24</v>
      </c>
      <c r="F7788" s="3">
        <v>70</v>
      </c>
      <c r="G7788" s="3">
        <v>1</v>
      </c>
      <c r="H7788" s="3">
        <v>5</v>
      </c>
      <c r="I7788" s="3">
        <v>21</v>
      </c>
      <c r="J7788" s="3">
        <v>1</v>
      </c>
      <c r="K7788" s="3">
        <v>24</v>
      </c>
      <c r="L7788" s="3">
        <v>1</v>
      </c>
      <c r="M7788" s="3">
        <v>0</v>
      </c>
      <c r="N7788" s="3">
        <v>22</v>
      </c>
      <c r="O7788" s="3"/>
      <c r="P7788" s="3"/>
      <c r="Q7788" s="3"/>
    </row>
    <row r="7789" spans="1:17" ht="15" x14ac:dyDescent="0.25">
      <c r="A7789" s="3">
        <f>7782</f>
        <v>7782</v>
      </c>
      <c r="B7789" s="3" t="s">
        <v>7791</v>
      </c>
      <c r="C7789" s="3" t="s">
        <v>10</v>
      </c>
      <c r="D7789" s="3" t="s">
        <v>9</v>
      </c>
      <c r="E7789" s="3">
        <v>24</v>
      </c>
      <c r="F7789" s="3">
        <v>70</v>
      </c>
      <c r="G7789" s="3">
        <v>1</v>
      </c>
      <c r="H7789" s="3">
        <v>5</v>
      </c>
      <c r="I7789" s="3">
        <v>21</v>
      </c>
      <c r="J7789" s="3">
        <v>1</v>
      </c>
      <c r="K7789" s="3">
        <v>24</v>
      </c>
      <c r="L7789" s="3">
        <v>1</v>
      </c>
      <c r="M7789" s="3">
        <v>0</v>
      </c>
      <c r="N7789" s="3">
        <v>22</v>
      </c>
      <c r="O7789" s="3"/>
      <c r="P7789" s="3"/>
      <c r="Q7789" s="3"/>
    </row>
    <row r="7790" spans="1:17" ht="15" x14ac:dyDescent="0.25">
      <c r="A7790" s="3">
        <f>7783</f>
        <v>7783</v>
      </c>
      <c r="B7790" s="3" t="s">
        <v>7792</v>
      </c>
      <c r="C7790" s="3" t="s">
        <v>10</v>
      </c>
      <c r="D7790" s="3" t="s">
        <v>9</v>
      </c>
      <c r="E7790" s="3">
        <v>24</v>
      </c>
      <c r="F7790" s="3">
        <v>70</v>
      </c>
      <c r="G7790" s="3">
        <v>1</v>
      </c>
      <c r="H7790" s="3">
        <v>5</v>
      </c>
      <c r="I7790" s="3">
        <v>21</v>
      </c>
      <c r="J7790" s="3">
        <v>1</v>
      </c>
      <c r="K7790" s="3">
        <v>24</v>
      </c>
      <c r="L7790" s="3">
        <v>1</v>
      </c>
      <c r="M7790" s="3">
        <v>0</v>
      </c>
      <c r="N7790" s="3">
        <v>22</v>
      </c>
      <c r="O7790" s="3"/>
      <c r="P7790" s="3"/>
      <c r="Q7790" s="3"/>
    </row>
    <row r="7791" spans="1:17" ht="15" x14ac:dyDescent="0.25">
      <c r="A7791" s="3">
        <f>7784</f>
        <v>7784</v>
      </c>
      <c r="B7791" s="3" t="s">
        <v>7793</v>
      </c>
      <c r="C7791" s="3" t="s">
        <v>10</v>
      </c>
      <c r="D7791" s="3" t="s">
        <v>9</v>
      </c>
      <c r="E7791" s="3">
        <v>24</v>
      </c>
      <c r="F7791" s="3">
        <v>70</v>
      </c>
      <c r="G7791" s="3">
        <v>1</v>
      </c>
      <c r="H7791" s="3">
        <v>5</v>
      </c>
      <c r="I7791" s="3">
        <v>21</v>
      </c>
      <c r="J7791" s="3">
        <v>1</v>
      </c>
      <c r="K7791" s="3">
        <v>24</v>
      </c>
      <c r="L7791" s="3">
        <v>1</v>
      </c>
      <c r="M7791" s="3">
        <v>0</v>
      </c>
      <c r="N7791" s="3">
        <v>22</v>
      </c>
      <c r="O7791" s="3"/>
      <c r="P7791" s="3"/>
      <c r="Q7791" s="3"/>
    </row>
    <row r="7792" spans="1:17" ht="15" x14ac:dyDescent="0.25">
      <c r="A7792" s="3">
        <f>7785</f>
        <v>7785</v>
      </c>
      <c r="B7792" s="3" t="s">
        <v>7794</v>
      </c>
      <c r="C7792" s="3" t="s">
        <v>10</v>
      </c>
      <c r="D7792" s="3" t="s">
        <v>9</v>
      </c>
      <c r="E7792" s="3">
        <v>24</v>
      </c>
      <c r="F7792" s="3">
        <v>70</v>
      </c>
      <c r="G7792" s="3">
        <v>1</v>
      </c>
      <c r="H7792" s="3">
        <v>5</v>
      </c>
      <c r="I7792" s="3">
        <v>21</v>
      </c>
      <c r="J7792" s="3">
        <v>1</v>
      </c>
      <c r="K7792" s="3">
        <v>24</v>
      </c>
      <c r="L7792" s="3">
        <v>1</v>
      </c>
      <c r="M7792" s="3">
        <v>0</v>
      </c>
      <c r="N7792" s="3">
        <v>22</v>
      </c>
      <c r="O7792" s="3"/>
      <c r="P7792" s="3"/>
      <c r="Q7792" s="3"/>
    </row>
    <row r="7793" spans="1:17" ht="15" x14ac:dyDescent="0.25">
      <c r="A7793" s="3">
        <f>7786</f>
        <v>7786</v>
      </c>
      <c r="B7793" s="3" t="s">
        <v>7795</v>
      </c>
      <c r="C7793" s="3" t="s">
        <v>10</v>
      </c>
      <c r="D7793" s="3" t="s">
        <v>9</v>
      </c>
      <c r="E7793" s="3">
        <v>24</v>
      </c>
      <c r="F7793" s="3">
        <v>70</v>
      </c>
      <c r="G7793" s="3">
        <v>1</v>
      </c>
      <c r="H7793" s="3">
        <v>5</v>
      </c>
      <c r="I7793" s="3">
        <v>21</v>
      </c>
      <c r="J7793" s="3">
        <v>1</v>
      </c>
      <c r="K7793" s="3">
        <v>24</v>
      </c>
      <c r="L7793" s="3">
        <v>1</v>
      </c>
      <c r="M7793" s="3">
        <v>0</v>
      </c>
      <c r="N7793" s="3">
        <v>22</v>
      </c>
      <c r="O7793" s="3"/>
      <c r="P7793" s="3"/>
      <c r="Q7793" s="3"/>
    </row>
    <row r="7794" spans="1:17" ht="15" x14ac:dyDescent="0.25">
      <c r="A7794" s="3">
        <f>7787</f>
        <v>7787</v>
      </c>
      <c r="B7794" s="3" t="s">
        <v>7796</v>
      </c>
      <c r="C7794" s="3" t="s">
        <v>10</v>
      </c>
      <c r="D7794" s="3" t="s">
        <v>9</v>
      </c>
      <c r="E7794" s="3">
        <v>24</v>
      </c>
      <c r="F7794" s="3">
        <v>70</v>
      </c>
      <c r="G7794" s="3">
        <v>1</v>
      </c>
      <c r="H7794" s="3">
        <v>5</v>
      </c>
      <c r="I7794" s="3">
        <v>21</v>
      </c>
      <c r="J7794" s="3">
        <v>1</v>
      </c>
      <c r="K7794" s="3">
        <v>24</v>
      </c>
      <c r="L7794" s="3">
        <v>1</v>
      </c>
      <c r="M7794" s="3">
        <v>0</v>
      </c>
      <c r="N7794" s="3">
        <v>22</v>
      </c>
      <c r="O7794" s="3"/>
      <c r="P7794" s="3"/>
      <c r="Q7794" s="3"/>
    </row>
    <row r="7795" spans="1:17" ht="15" x14ac:dyDescent="0.25">
      <c r="A7795" s="3">
        <f>7788</f>
        <v>7788</v>
      </c>
      <c r="B7795" s="3" t="s">
        <v>7797</v>
      </c>
      <c r="C7795" s="3" t="s">
        <v>10</v>
      </c>
      <c r="D7795" s="3" t="s">
        <v>9</v>
      </c>
      <c r="E7795" s="3">
        <v>24</v>
      </c>
      <c r="F7795" s="3">
        <v>70</v>
      </c>
      <c r="G7795" s="3">
        <v>1</v>
      </c>
      <c r="H7795" s="3">
        <v>5</v>
      </c>
      <c r="I7795" s="3">
        <v>21</v>
      </c>
      <c r="J7795" s="3">
        <v>1</v>
      </c>
      <c r="K7795" s="3">
        <v>24</v>
      </c>
      <c r="L7795" s="3">
        <v>1</v>
      </c>
      <c r="M7795" s="3">
        <v>0</v>
      </c>
      <c r="N7795" s="3">
        <v>22</v>
      </c>
      <c r="O7795" s="3"/>
      <c r="P7795" s="3"/>
      <c r="Q7795" s="3"/>
    </row>
    <row r="7796" spans="1:17" ht="15" x14ac:dyDescent="0.25">
      <c r="A7796" s="3">
        <f>7789</f>
        <v>7789</v>
      </c>
      <c r="B7796" s="3" t="s">
        <v>7798</v>
      </c>
      <c r="C7796" s="3" t="s">
        <v>10</v>
      </c>
      <c r="D7796" s="3" t="s">
        <v>9</v>
      </c>
      <c r="E7796" s="3">
        <v>24</v>
      </c>
      <c r="F7796" s="3">
        <v>70</v>
      </c>
      <c r="G7796" s="3">
        <v>1</v>
      </c>
      <c r="H7796" s="3">
        <v>5</v>
      </c>
      <c r="I7796" s="3">
        <v>21</v>
      </c>
      <c r="J7796" s="3">
        <v>1</v>
      </c>
      <c r="K7796" s="3">
        <v>24</v>
      </c>
      <c r="L7796" s="3">
        <v>1</v>
      </c>
      <c r="M7796" s="3">
        <v>0</v>
      </c>
      <c r="N7796" s="3">
        <v>22</v>
      </c>
      <c r="O7796" s="3"/>
      <c r="P7796" s="3"/>
      <c r="Q7796" s="3"/>
    </row>
    <row r="7797" spans="1:17" ht="15" x14ac:dyDescent="0.25">
      <c r="A7797" s="3">
        <f>7790</f>
        <v>7790</v>
      </c>
      <c r="B7797" s="3" t="s">
        <v>7799</v>
      </c>
      <c r="C7797" s="3" t="s">
        <v>10</v>
      </c>
      <c r="D7797" s="3" t="s">
        <v>9</v>
      </c>
      <c r="E7797" s="3">
        <v>24</v>
      </c>
      <c r="F7797" s="3">
        <v>70</v>
      </c>
      <c r="G7797" s="3">
        <v>1</v>
      </c>
      <c r="H7797" s="3">
        <v>5</v>
      </c>
      <c r="I7797" s="3">
        <v>21</v>
      </c>
      <c r="J7797" s="3">
        <v>1</v>
      </c>
      <c r="K7797" s="3">
        <v>24</v>
      </c>
      <c r="L7797" s="3">
        <v>1</v>
      </c>
      <c r="M7797" s="3">
        <v>0</v>
      </c>
      <c r="N7797" s="3">
        <v>22</v>
      </c>
      <c r="O7797" s="3"/>
      <c r="P7797" s="3"/>
      <c r="Q7797" s="3"/>
    </row>
    <row r="7798" spans="1:17" ht="15" x14ac:dyDescent="0.25">
      <c r="A7798" s="3">
        <f>7791</f>
        <v>7791</v>
      </c>
      <c r="B7798" s="3" t="s">
        <v>7800</v>
      </c>
      <c r="C7798" s="3" t="s">
        <v>10</v>
      </c>
      <c r="D7798" s="3" t="s">
        <v>9</v>
      </c>
      <c r="E7798" s="3">
        <v>24</v>
      </c>
      <c r="F7798" s="3">
        <v>70</v>
      </c>
      <c r="G7798" s="3">
        <v>1</v>
      </c>
      <c r="H7798" s="3">
        <v>5</v>
      </c>
      <c r="I7798" s="3">
        <v>21</v>
      </c>
      <c r="J7798" s="3">
        <v>1</v>
      </c>
      <c r="K7798" s="3">
        <v>24</v>
      </c>
      <c r="L7798" s="3">
        <v>1</v>
      </c>
      <c r="M7798" s="3">
        <v>0</v>
      </c>
      <c r="N7798" s="3">
        <v>22</v>
      </c>
      <c r="O7798" s="3"/>
      <c r="P7798" s="3"/>
      <c r="Q7798" s="3"/>
    </row>
    <row r="7799" spans="1:17" ht="15" x14ac:dyDescent="0.25">
      <c r="A7799" s="3">
        <f>7792</f>
        <v>7792</v>
      </c>
      <c r="B7799" s="3" t="s">
        <v>7801</v>
      </c>
      <c r="C7799" s="3" t="s">
        <v>10</v>
      </c>
      <c r="D7799" s="3" t="s">
        <v>9</v>
      </c>
      <c r="E7799" s="3">
        <v>24</v>
      </c>
      <c r="F7799" s="3">
        <v>70</v>
      </c>
      <c r="G7799" s="3">
        <v>1</v>
      </c>
      <c r="H7799" s="3">
        <v>5</v>
      </c>
      <c r="I7799" s="3">
        <v>21</v>
      </c>
      <c r="J7799" s="3">
        <v>1</v>
      </c>
      <c r="K7799" s="3">
        <v>24</v>
      </c>
      <c r="L7799" s="3">
        <v>1</v>
      </c>
      <c r="M7799" s="3">
        <v>0</v>
      </c>
      <c r="N7799" s="3">
        <v>22</v>
      </c>
      <c r="O7799" s="3"/>
      <c r="P7799" s="3"/>
      <c r="Q7799" s="3"/>
    </row>
    <row r="7800" spans="1:17" ht="15" x14ac:dyDescent="0.25">
      <c r="A7800" s="3">
        <f>7793</f>
        <v>7793</v>
      </c>
      <c r="B7800" s="3" t="s">
        <v>7802</v>
      </c>
      <c r="C7800" s="3" t="s">
        <v>10</v>
      </c>
      <c r="D7800" s="3" t="s">
        <v>9</v>
      </c>
      <c r="E7800" s="3">
        <v>24</v>
      </c>
      <c r="F7800" s="3">
        <v>70</v>
      </c>
      <c r="G7800" s="3">
        <v>1</v>
      </c>
      <c r="H7800" s="3">
        <v>5</v>
      </c>
      <c r="I7800" s="3">
        <v>21</v>
      </c>
      <c r="J7800" s="3">
        <v>1</v>
      </c>
      <c r="K7800" s="3">
        <v>24</v>
      </c>
      <c r="L7800" s="3">
        <v>1</v>
      </c>
      <c r="M7800" s="3">
        <v>0</v>
      </c>
      <c r="N7800" s="3">
        <v>22</v>
      </c>
      <c r="O7800" s="3"/>
      <c r="P7800" s="3"/>
      <c r="Q7800" s="3"/>
    </row>
    <row r="7801" spans="1:17" ht="15" x14ac:dyDescent="0.25">
      <c r="A7801" s="3">
        <f>7794</f>
        <v>7794</v>
      </c>
      <c r="B7801" s="3" t="s">
        <v>7803</v>
      </c>
      <c r="C7801" s="3" t="s">
        <v>10</v>
      </c>
      <c r="D7801" s="3" t="s">
        <v>9</v>
      </c>
      <c r="E7801" s="3">
        <v>24</v>
      </c>
      <c r="F7801" s="3">
        <v>70</v>
      </c>
      <c r="G7801" s="3">
        <v>1</v>
      </c>
      <c r="H7801" s="3">
        <v>5</v>
      </c>
      <c r="I7801" s="3">
        <v>21</v>
      </c>
      <c r="J7801" s="3">
        <v>1</v>
      </c>
      <c r="K7801" s="3">
        <v>24</v>
      </c>
      <c r="L7801" s="3">
        <v>1</v>
      </c>
      <c r="M7801" s="3">
        <v>0</v>
      </c>
      <c r="N7801" s="3">
        <v>22</v>
      </c>
      <c r="O7801" s="3"/>
      <c r="P7801" s="3"/>
      <c r="Q7801" s="3"/>
    </row>
    <row r="7802" spans="1:17" ht="15" x14ac:dyDescent="0.25">
      <c r="A7802" s="3">
        <f>7795</f>
        <v>7795</v>
      </c>
      <c r="B7802" s="3" t="s">
        <v>7804</v>
      </c>
      <c r="C7802" s="3" t="s">
        <v>10</v>
      </c>
      <c r="D7802" s="3" t="s">
        <v>9</v>
      </c>
      <c r="E7802" s="3">
        <v>24</v>
      </c>
      <c r="F7802" s="3">
        <v>70</v>
      </c>
      <c r="G7802" s="3">
        <v>1</v>
      </c>
      <c r="H7802" s="3">
        <v>5</v>
      </c>
      <c r="I7802" s="3">
        <v>21</v>
      </c>
      <c r="J7802" s="3">
        <v>1</v>
      </c>
      <c r="K7802" s="3">
        <v>24</v>
      </c>
      <c r="L7802" s="3">
        <v>1</v>
      </c>
      <c r="M7802" s="3">
        <v>0</v>
      </c>
      <c r="N7802" s="3">
        <v>22</v>
      </c>
      <c r="O7802" s="3"/>
      <c r="P7802" s="3"/>
      <c r="Q7802" s="3"/>
    </row>
    <row r="7803" spans="1:17" ht="15" x14ac:dyDescent="0.25">
      <c r="A7803" s="3">
        <f>7796</f>
        <v>7796</v>
      </c>
      <c r="B7803" s="3" t="s">
        <v>7805</v>
      </c>
      <c r="C7803" s="3" t="s">
        <v>10</v>
      </c>
      <c r="D7803" s="3" t="s">
        <v>9</v>
      </c>
      <c r="E7803" s="3">
        <v>24</v>
      </c>
      <c r="F7803" s="3">
        <v>70</v>
      </c>
      <c r="G7803" s="3">
        <v>1</v>
      </c>
      <c r="H7803" s="3">
        <v>5</v>
      </c>
      <c r="I7803" s="3">
        <v>21</v>
      </c>
      <c r="J7803" s="3">
        <v>1</v>
      </c>
      <c r="K7803" s="3">
        <v>24</v>
      </c>
      <c r="L7803" s="3">
        <v>1</v>
      </c>
      <c r="M7803" s="3">
        <v>0</v>
      </c>
      <c r="N7803" s="3">
        <v>22</v>
      </c>
      <c r="O7803" s="3"/>
      <c r="P7803" s="3"/>
      <c r="Q7803" s="3"/>
    </row>
    <row r="7804" spans="1:17" ht="15" x14ac:dyDescent="0.25">
      <c r="A7804" s="3">
        <f>7797</f>
        <v>7797</v>
      </c>
      <c r="B7804" s="3" t="s">
        <v>7806</v>
      </c>
      <c r="C7804" s="3" t="s">
        <v>10</v>
      </c>
      <c r="D7804" s="3" t="s">
        <v>9</v>
      </c>
      <c r="E7804" s="3">
        <v>24</v>
      </c>
      <c r="F7804" s="3">
        <v>70</v>
      </c>
      <c r="G7804" s="3">
        <v>1</v>
      </c>
      <c r="H7804" s="3">
        <v>5</v>
      </c>
      <c r="I7804" s="3">
        <v>21</v>
      </c>
      <c r="J7804" s="3">
        <v>1</v>
      </c>
      <c r="K7804" s="3">
        <v>24</v>
      </c>
      <c r="L7804" s="3">
        <v>1</v>
      </c>
      <c r="M7804" s="3">
        <v>0</v>
      </c>
      <c r="N7804" s="3">
        <v>22</v>
      </c>
      <c r="O7804" s="3"/>
      <c r="P7804" s="3"/>
      <c r="Q7804" s="3"/>
    </row>
    <row r="7805" spans="1:17" ht="15" x14ac:dyDescent="0.25">
      <c r="A7805" s="3">
        <f>7798</f>
        <v>7798</v>
      </c>
      <c r="B7805" s="3" t="s">
        <v>7807</v>
      </c>
      <c r="C7805" s="3" t="s">
        <v>10</v>
      </c>
      <c r="D7805" s="3" t="s">
        <v>9</v>
      </c>
      <c r="E7805" s="3">
        <v>24</v>
      </c>
      <c r="F7805" s="3">
        <v>70</v>
      </c>
      <c r="G7805" s="3">
        <v>1</v>
      </c>
      <c r="H7805" s="3">
        <v>5</v>
      </c>
      <c r="I7805" s="3">
        <v>21</v>
      </c>
      <c r="J7805" s="3">
        <v>1</v>
      </c>
      <c r="K7805" s="3">
        <v>24</v>
      </c>
      <c r="L7805" s="3">
        <v>1</v>
      </c>
      <c r="M7805" s="3">
        <v>0</v>
      </c>
      <c r="N7805" s="3">
        <v>22</v>
      </c>
      <c r="O7805" s="3"/>
      <c r="P7805" s="3"/>
      <c r="Q7805" s="3"/>
    </row>
    <row r="7806" spans="1:17" ht="15" x14ac:dyDescent="0.25">
      <c r="A7806" s="3">
        <f>7799</f>
        <v>7799</v>
      </c>
      <c r="B7806" s="3" t="s">
        <v>7808</v>
      </c>
      <c r="C7806" s="3" t="s">
        <v>10</v>
      </c>
      <c r="D7806" s="3" t="s">
        <v>9</v>
      </c>
      <c r="E7806" s="3">
        <v>24</v>
      </c>
      <c r="F7806" s="3">
        <v>70</v>
      </c>
      <c r="G7806" s="3">
        <v>1</v>
      </c>
      <c r="H7806" s="3">
        <v>5</v>
      </c>
      <c r="I7806" s="3">
        <v>21</v>
      </c>
      <c r="J7806" s="3">
        <v>1</v>
      </c>
      <c r="K7806" s="3">
        <v>24</v>
      </c>
      <c r="L7806" s="3">
        <v>1</v>
      </c>
      <c r="M7806" s="3">
        <v>0</v>
      </c>
      <c r="N7806" s="3">
        <v>22</v>
      </c>
      <c r="O7806" s="3"/>
      <c r="P7806" s="3"/>
      <c r="Q7806" s="3"/>
    </row>
    <row r="7807" spans="1:17" ht="15" x14ac:dyDescent="0.25">
      <c r="A7807" s="3">
        <f>7800</f>
        <v>7800</v>
      </c>
      <c r="B7807" s="3" t="s">
        <v>7809</v>
      </c>
      <c r="C7807" s="3" t="s">
        <v>10</v>
      </c>
      <c r="D7807" s="3" t="s">
        <v>9</v>
      </c>
      <c r="E7807" s="3">
        <v>24</v>
      </c>
      <c r="F7807" s="3">
        <v>70</v>
      </c>
      <c r="G7807" s="3">
        <v>1</v>
      </c>
      <c r="H7807" s="3">
        <v>5</v>
      </c>
      <c r="I7807" s="3">
        <v>21</v>
      </c>
      <c r="J7807" s="3">
        <v>1</v>
      </c>
      <c r="K7807" s="3">
        <v>24</v>
      </c>
      <c r="L7807" s="3">
        <v>1</v>
      </c>
      <c r="M7807" s="3">
        <v>0</v>
      </c>
      <c r="N7807" s="3">
        <v>22</v>
      </c>
      <c r="O7807" s="3"/>
      <c r="P7807" s="3"/>
      <c r="Q7807" s="3"/>
    </row>
    <row r="7808" spans="1:17" ht="15" x14ac:dyDescent="0.25">
      <c r="A7808" s="3">
        <f>7801</f>
        <v>7801</v>
      </c>
      <c r="B7808" s="3" t="s">
        <v>7810</v>
      </c>
      <c r="C7808" s="3" t="s">
        <v>10</v>
      </c>
      <c r="D7808" s="3" t="s">
        <v>9</v>
      </c>
      <c r="E7808" s="3">
        <v>24</v>
      </c>
      <c r="F7808" s="3">
        <v>70</v>
      </c>
      <c r="G7808" s="3">
        <v>1</v>
      </c>
      <c r="H7808" s="3">
        <v>5</v>
      </c>
      <c r="I7808" s="3">
        <v>21</v>
      </c>
      <c r="J7808" s="3">
        <v>1</v>
      </c>
      <c r="K7808" s="3">
        <v>24</v>
      </c>
      <c r="L7808" s="3">
        <v>1</v>
      </c>
      <c r="M7808" s="3">
        <v>0</v>
      </c>
      <c r="N7808" s="3">
        <v>22</v>
      </c>
      <c r="O7808" s="3"/>
      <c r="P7808" s="3"/>
      <c r="Q7808" s="3"/>
    </row>
    <row r="7809" spans="1:17" ht="15" x14ac:dyDescent="0.25">
      <c r="A7809" s="3">
        <f>7802</f>
        <v>7802</v>
      </c>
      <c r="B7809" s="3" t="s">
        <v>7811</v>
      </c>
      <c r="C7809" s="3" t="s">
        <v>10</v>
      </c>
      <c r="D7809" s="3" t="s">
        <v>9</v>
      </c>
      <c r="E7809" s="3">
        <v>24</v>
      </c>
      <c r="F7809" s="3">
        <v>70</v>
      </c>
      <c r="G7809" s="3">
        <v>1</v>
      </c>
      <c r="H7809" s="3">
        <v>5</v>
      </c>
      <c r="I7809" s="3">
        <v>21</v>
      </c>
      <c r="J7809" s="3">
        <v>1</v>
      </c>
      <c r="K7809" s="3">
        <v>24</v>
      </c>
      <c r="L7809" s="3">
        <v>1</v>
      </c>
      <c r="M7809" s="3">
        <v>0</v>
      </c>
      <c r="N7809" s="3">
        <v>22</v>
      </c>
      <c r="O7809" s="3"/>
      <c r="P7809" s="3"/>
      <c r="Q7809" s="3"/>
    </row>
    <row r="7810" spans="1:17" ht="15" x14ac:dyDescent="0.25">
      <c r="A7810" s="3">
        <f>7803</f>
        <v>7803</v>
      </c>
      <c r="B7810" s="3" t="s">
        <v>7812</v>
      </c>
      <c r="C7810" s="3" t="s">
        <v>10</v>
      </c>
      <c r="D7810" s="3" t="s">
        <v>9</v>
      </c>
      <c r="E7810" s="3">
        <v>24</v>
      </c>
      <c r="F7810" s="3">
        <v>70</v>
      </c>
      <c r="G7810" s="3">
        <v>1</v>
      </c>
      <c r="H7810" s="3">
        <v>5</v>
      </c>
      <c r="I7810" s="3">
        <v>21</v>
      </c>
      <c r="J7810" s="3">
        <v>1</v>
      </c>
      <c r="K7810" s="3">
        <v>24</v>
      </c>
      <c r="L7810" s="3">
        <v>1</v>
      </c>
      <c r="M7810" s="3">
        <v>0</v>
      </c>
      <c r="N7810" s="3">
        <v>22</v>
      </c>
      <c r="O7810" s="3"/>
      <c r="P7810" s="3"/>
      <c r="Q7810" s="3"/>
    </row>
    <row r="7811" spans="1:17" ht="15" x14ac:dyDescent="0.25">
      <c r="A7811" s="3">
        <f>7804</f>
        <v>7804</v>
      </c>
      <c r="B7811" s="3" t="s">
        <v>7813</v>
      </c>
      <c r="C7811" s="3" t="s">
        <v>10</v>
      </c>
      <c r="D7811" s="3" t="s">
        <v>9</v>
      </c>
      <c r="E7811" s="3">
        <v>24</v>
      </c>
      <c r="F7811" s="3">
        <v>70</v>
      </c>
      <c r="G7811" s="3">
        <v>1</v>
      </c>
      <c r="H7811" s="3">
        <v>5</v>
      </c>
      <c r="I7811" s="3">
        <v>21</v>
      </c>
      <c r="J7811" s="3">
        <v>1</v>
      </c>
      <c r="K7811" s="3">
        <v>24</v>
      </c>
      <c r="L7811" s="3">
        <v>1</v>
      </c>
      <c r="M7811" s="3">
        <v>0</v>
      </c>
      <c r="N7811" s="3">
        <v>22</v>
      </c>
      <c r="O7811" s="3"/>
      <c r="P7811" s="3"/>
      <c r="Q7811" s="3"/>
    </row>
    <row r="7812" spans="1:17" ht="15" x14ac:dyDescent="0.25">
      <c r="A7812" s="3">
        <f>7805</f>
        <v>7805</v>
      </c>
      <c r="B7812" s="3" t="s">
        <v>7814</v>
      </c>
      <c r="C7812" s="3" t="s">
        <v>10</v>
      </c>
      <c r="D7812" s="3" t="s">
        <v>9</v>
      </c>
      <c r="E7812" s="3">
        <v>24</v>
      </c>
      <c r="F7812" s="3">
        <v>70</v>
      </c>
      <c r="G7812" s="3">
        <v>1</v>
      </c>
      <c r="H7812" s="3">
        <v>5</v>
      </c>
      <c r="I7812" s="3">
        <v>21</v>
      </c>
      <c r="J7812" s="3">
        <v>1</v>
      </c>
      <c r="K7812" s="3">
        <v>24</v>
      </c>
      <c r="L7812" s="3">
        <v>1</v>
      </c>
      <c r="M7812" s="3">
        <v>0</v>
      </c>
      <c r="N7812" s="3">
        <v>22</v>
      </c>
      <c r="O7812" s="3"/>
      <c r="P7812" s="3"/>
      <c r="Q7812" s="3"/>
    </row>
    <row r="7813" spans="1:17" ht="15" x14ac:dyDescent="0.25">
      <c r="A7813" s="3">
        <f>7806</f>
        <v>7806</v>
      </c>
      <c r="B7813" s="3" t="s">
        <v>7815</v>
      </c>
      <c r="C7813" s="3" t="s">
        <v>10</v>
      </c>
      <c r="D7813" s="3" t="s">
        <v>9</v>
      </c>
      <c r="E7813" s="3">
        <v>24</v>
      </c>
      <c r="F7813" s="3">
        <v>70</v>
      </c>
      <c r="G7813" s="3">
        <v>1</v>
      </c>
      <c r="H7813" s="3">
        <v>5</v>
      </c>
      <c r="I7813" s="3">
        <v>21</v>
      </c>
      <c r="J7813" s="3">
        <v>1</v>
      </c>
      <c r="K7813" s="3">
        <v>24</v>
      </c>
      <c r="L7813" s="3">
        <v>1</v>
      </c>
      <c r="M7813" s="3">
        <v>0</v>
      </c>
      <c r="N7813" s="3">
        <v>22</v>
      </c>
      <c r="O7813" s="3"/>
      <c r="P7813" s="3"/>
      <c r="Q7813" s="3"/>
    </row>
    <row r="7814" spans="1:17" ht="15" x14ac:dyDescent="0.25">
      <c r="A7814" s="3">
        <f>7807</f>
        <v>7807</v>
      </c>
      <c r="B7814" s="3" t="s">
        <v>7816</v>
      </c>
      <c r="C7814" s="3" t="s">
        <v>10</v>
      </c>
      <c r="D7814" s="3" t="s">
        <v>9</v>
      </c>
      <c r="E7814" s="3">
        <v>24</v>
      </c>
      <c r="F7814" s="3">
        <v>70</v>
      </c>
      <c r="G7814" s="3">
        <v>1</v>
      </c>
      <c r="H7814" s="3">
        <v>5</v>
      </c>
      <c r="I7814" s="3">
        <v>21</v>
      </c>
      <c r="J7814" s="3">
        <v>1</v>
      </c>
      <c r="K7814" s="3">
        <v>24</v>
      </c>
      <c r="L7814" s="3">
        <v>1</v>
      </c>
      <c r="M7814" s="3">
        <v>0</v>
      </c>
      <c r="N7814" s="3">
        <v>22</v>
      </c>
      <c r="O7814" s="3"/>
      <c r="P7814" s="3"/>
      <c r="Q7814" s="3"/>
    </row>
    <row r="7815" spans="1:17" ht="15" x14ac:dyDescent="0.25">
      <c r="A7815" s="3">
        <f>7808</f>
        <v>7808</v>
      </c>
      <c r="B7815" s="3" t="s">
        <v>7817</v>
      </c>
      <c r="C7815" s="3" t="s">
        <v>10</v>
      </c>
      <c r="D7815" s="3" t="s">
        <v>9</v>
      </c>
      <c r="E7815" s="3">
        <v>24</v>
      </c>
      <c r="F7815" s="3">
        <v>70</v>
      </c>
      <c r="G7815" s="3">
        <v>1</v>
      </c>
      <c r="H7815" s="3">
        <v>5</v>
      </c>
      <c r="I7815" s="3">
        <v>21</v>
      </c>
      <c r="J7815" s="3">
        <v>1</v>
      </c>
      <c r="K7815" s="3">
        <v>24</v>
      </c>
      <c r="L7815" s="3">
        <v>1</v>
      </c>
      <c r="M7815" s="3">
        <v>0</v>
      </c>
      <c r="N7815" s="3">
        <v>22</v>
      </c>
      <c r="O7815" s="3"/>
      <c r="P7815" s="3"/>
      <c r="Q7815" s="3"/>
    </row>
    <row r="7816" spans="1:17" ht="15" x14ac:dyDescent="0.25">
      <c r="A7816" s="3">
        <f>7809</f>
        <v>7809</v>
      </c>
      <c r="B7816" s="3" t="s">
        <v>7818</v>
      </c>
      <c r="C7816" s="3" t="s">
        <v>10</v>
      </c>
      <c r="D7816" s="3" t="s">
        <v>9</v>
      </c>
      <c r="E7816" s="3">
        <v>24</v>
      </c>
      <c r="F7816" s="3">
        <v>70</v>
      </c>
      <c r="G7816" s="3">
        <v>1</v>
      </c>
      <c r="H7816" s="3">
        <v>5</v>
      </c>
      <c r="I7816" s="3">
        <v>21</v>
      </c>
      <c r="J7816" s="3">
        <v>1</v>
      </c>
      <c r="K7816" s="3">
        <v>24</v>
      </c>
      <c r="L7816" s="3">
        <v>1</v>
      </c>
      <c r="M7816" s="3">
        <v>0</v>
      </c>
      <c r="N7816" s="3">
        <v>22</v>
      </c>
      <c r="O7816" s="3"/>
      <c r="P7816" s="3"/>
      <c r="Q7816" s="3"/>
    </row>
    <row r="7817" spans="1:17" ht="15" x14ac:dyDescent="0.25">
      <c r="A7817" s="3">
        <f>7810</f>
        <v>7810</v>
      </c>
      <c r="B7817" s="3" t="s">
        <v>7819</v>
      </c>
      <c r="C7817" s="3" t="s">
        <v>10</v>
      </c>
      <c r="D7817" s="3" t="s">
        <v>9</v>
      </c>
      <c r="E7817" s="3">
        <v>24</v>
      </c>
      <c r="F7817" s="3">
        <v>70</v>
      </c>
      <c r="G7817" s="3">
        <v>1</v>
      </c>
      <c r="H7817" s="3">
        <v>5</v>
      </c>
      <c r="I7817" s="3">
        <v>21</v>
      </c>
      <c r="J7817" s="3">
        <v>1</v>
      </c>
      <c r="K7817" s="3">
        <v>24</v>
      </c>
      <c r="L7817" s="3">
        <v>1</v>
      </c>
      <c r="M7817" s="3">
        <v>0</v>
      </c>
      <c r="N7817" s="3">
        <v>22</v>
      </c>
      <c r="O7817" s="3"/>
      <c r="P7817" s="3"/>
      <c r="Q7817" s="3"/>
    </row>
    <row r="7818" spans="1:17" ht="15" x14ac:dyDescent="0.25">
      <c r="A7818" s="3">
        <f>7811</f>
        <v>7811</v>
      </c>
      <c r="B7818" s="3" t="s">
        <v>7820</v>
      </c>
      <c r="C7818" s="3" t="s">
        <v>10</v>
      </c>
      <c r="D7818" s="3" t="s">
        <v>9</v>
      </c>
      <c r="E7818" s="3">
        <v>24</v>
      </c>
      <c r="F7818" s="3">
        <v>70</v>
      </c>
      <c r="G7818" s="3">
        <v>1</v>
      </c>
      <c r="H7818" s="3">
        <v>5</v>
      </c>
      <c r="I7818" s="3">
        <v>21</v>
      </c>
      <c r="J7818" s="3">
        <v>1</v>
      </c>
      <c r="K7818" s="3">
        <v>24</v>
      </c>
      <c r="L7818" s="3">
        <v>1</v>
      </c>
      <c r="M7818" s="3">
        <v>0</v>
      </c>
      <c r="N7818" s="3">
        <v>22</v>
      </c>
      <c r="O7818" s="3"/>
      <c r="P7818" s="3"/>
      <c r="Q7818" s="3"/>
    </row>
    <row r="7819" spans="1:17" ht="15" x14ac:dyDescent="0.25">
      <c r="A7819" s="3">
        <f>7812</f>
        <v>7812</v>
      </c>
      <c r="B7819" s="3" t="s">
        <v>7821</v>
      </c>
      <c r="C7819" s="3" t="s">
        <v>9</v>
      </c>
      <c r="D7819" s="3" t="s">
        <v>10</v>
      </c>
      <c r="E7819" s="3">
        <v>24</v>
      </c>
      <c r="F7819" s="3">
        <v>70</v>
      </c>
      <c r="G7819" s="3">
        <v>1</v>
      </c>
      <c r="H7819" s="3">
        <v>5</v>
      </c>
      <c r="I7819" s="3">
        <v>21</v>
      </c>
      <c r="J7819" s="3">
        <v>1</v>
      </c>
      <c r="K7819" s="3">
        <v>24</v>
      </c>
      <c r="L7819" s="3">
        <v>1</v>
      </c>
      <c r="M7819" s="3">
        <v>0</v>
      </c>
      <c r="N7819" s="3">
        <v>22</v>
      </c>
      <c r="O7819" s="3"/>
      <c r="P7819" s="3"/>
      <c r="Q7819" s="3"/>
    </row>
    <row r="7820" spans="1:17" ht="15" x14ac:dyDescent="0.25">
      <c r="A7820" s="3">
        <f>7813</f>
        <v>7813</v>
      </c>
      <c r="B7820" s="3" t="s">
        <v>7822</v>
      </c>
      <c r="C7820" s="3" t="s">
        <v>9</v>
      </c>
      <c r="D7820" s="3" t="s">
        <v>10</v>
      </c>
      <c r="E7820" s="3">
        <v>24</v>
      </c>
      <c r="F7820" s="3">
        <v>70</v>
      </c>
      <c r="G7820" s="3">
        <v>1</v>
      </c>
      <c r="H7820" s="3">
        <v>5</v>
      </c>
      <c r="I7820" s="3">
        <v>21</v>
      </c>
      <c r="J7820" s="3">
        <v>1</v>
      </c>
      <c r="K7820" s="3">
        <v>24</v>
      </c>
      <c r="L7820" s="3">
        <v>1</v>
      </c>
      <c r="M7820" s="3">
        <v>0</v>
      </c>
      <c r="N7820" s="3">
        <v>22</v>
      </c>
      <c r="O7820" s="3"/>
      <c r="P7820" s="3"/>
      <c r="Q7820" s="3"/>
    </row>
    <row r="7821" spans="1:17" ht="15" x14ac:dyDescent="0.25">
      <c r="A7821" s="3">
        <f>7814</f>
        <v>7814</v>
      </c>
      <c r="B7821" s="3" t="s">
        <v>7823</v>
      </c>
      <c r="C7821" s="3" t="s">
        <v>9</v>
      </c>
      <c r="D7821" s="3" t="s">
        <v>10</v>
      </c>
      <c r="E7821" s="3">
        <v>24</v>
      </c>
      <c r="F7821" s="3">
        <v>70</v>
      </c>
      <c r="G7821" s="3">
        <v>1</v>
      </c>
      <c r="H7821" s="3">
        <v>5</v>
      </c>
      <c r="I7821" s="3">
        <v>21</v>
      </c>
      <c r="J7821" s="3">
        <v>1</v>
      </c>
      <c r="K7821" s="3">
        <v>24</v>
      </c>
      <c r="L7821" s="3">
        <v>1</v>
      </c>
      <c r="M7821" s="3">
        <v>0</v>
      </c>
      <c r="N7821" s="3">
        <v>22</v>
      </c>
      <c r="O7821" s="3"/>
      <c r="P7821" s="3"/>
      <c r="Q7821" s="3"/>
    </row>
    <row r="7822" spans="1:17" ht="15" x14ac:dyDescent="0.25">
      <c r="A7822" s="3">
        <f>7815</f>
        <v>7815</v>
      </c>
      <c r="B7822" s="3" t="s">
        <v>7824</v>
      </c>
      <c r="C7822" s="3" t="s">
        <v>9</v>
      </c>
      <c r="D7822" s="3" t="s">
        <v>10</v>
      </c>
      <c r="E7822" s="3">
        <v>24</v>
      </c>
      <c r="F7822" s="3">
        <v>70</v>
      </c>
      <c r="G7822" s="3">
        <v>1</v>
      </c>
      <c r="H7822" s="3">
        <v>5</v>
      </c>
      <c r="I7822" s="3">
        <v>21</v>
      </c>
      <c r="J7822" s="3">
        <v>1</v>
      </c>
      <c r="K7822" s="3">
        <v>24</v>
      </c>
      <c r="L7822" s="3">
        <v>1</v>
      </c>
      <c r="M7822" s="3">
        <v>0</v>
      </c>
      <c r="N7822" s="3">
        <v>22</v>
      </c>
      <c r="O7822" s="3"/>
      <c r="P7822" s="3"/>
      <c r="Q7822" s="3"/>
    </row>
    <row r="7823" spans="1:17" ht="15" x14ac:dyDescent="0.25">
      <c r="A7823" s="3">
        <f>7816</f>
        <v>7816</v>
      </c>
      <c r="B7823" s="3" t="s">
        <v>7825</v>
      </c>
      <c r="C7823" s="3" t="s">
        <v>9</v>
      </c>
      <c r="D7823" s="3" t="s">
        <v>10</v>
      </c>
      <c r="E7823" s="3">
        <v>24</v>
      </c>
      <c r="F7823" s="3">
        <v>70</v>
      </c>
      <c r="G7823" s="3">
        <v>1</v>
      </c>
      <c r="H7823" s="3">
        <v>5</v>
      </c>
      <c r="I7823" s="3">
        <v>21</v>
      </c>
      <c r="J7823" s="3">
        <v>1</v>
      </c>
      <c r="K7823" s="3">
        <v>24</v>
      </c>
      <c r="L7823" s="3">
        <v>1</v>
      </c>
      <c r="M7823" s="3">
        <v>0</v>
      </c>
      <c r="N7823" s="3">
        <v>22</v>
      </c>
      <c r="O7823" s="3"/>
      <c r="P7823" s="3"/>
      <c r="Q7823" s="3"/>
    </row>
    <row r="7824" spans="1:17" ht="15" x14ac:dyDescent="0.25">
      <c r="A7824" s="3">
        <f>7817</f>
        <v>7817</v>
      </c>
      <c r="B7824" s="3" t="s">
        <v>7826</v>
      </c>
      <c r="C7824" s="3" t="s">
        <v>9</v>
      </c>
      <c r="D7824" s="3" t="s">
        <v>10</v>
      </c>
      <c r="E7824" s="3">
        <v>24</v>
      </c>
      <c r="F7824" s="3">
        <v>70</v>
      </c>
      <c r="G7824" s="3">
        <v>1</v>
      </c>
      <c r="H7824" s="3">
        <v>5</v>
      </c>
      <c r="I7824" s="3">
        <v>21</v>
      </c>
      <c r="J7824" s="3">
        <v>1</v>
      </c>
      <c r="K7824" s="3">
        <v>24</v>
      </c>
      <c r="L7824" s="3">
        <v>1</v>
      </c>
      <c r="M7824" s="3">
        <v>0</v>
      </c>
      <c r="N7824" s="3">
        <v>22</v>
      </c>
      <c r="O7824" s="3"/>
      <c r="P7824" s="3"/>
      <c r="Q7824" s="3"/>
    </row>
    <row r="7825" spans="1:17" ht="15" x14ac:dyDescent="0.25">
      <c r="A7825" s="3">
        <f>7818</f>
        <v>7818</v>
      </c>
      <c r="B7825" s="3" t="s">
        <v>7827</v>
      </c>
      <c r="C7825" s="3" t="s">
        <v>9</v>
      </c>
      <c r="D7825" s="3" t="s">
        <v>10</v>
      </c>
      <c r="E7825" s="3">
        <v>24</v>
      </c>
      <c r="F7825" s="3">
        <v>70</v>
      </c>
      <c r="G7825" s="3">
        <v>1</v>
      </c>
      <c r="H7825" s="3">
        <v>5</v>
      </c>
      <c r="I7825" s="3">
        <v>21</v>
      </c>
      <c r="J7825" s="3">
        <v>1</v>
      </c>
      <c r="K7825" s="3">
        <v>24</v>
      </c>
      <c r="L7825" s="3">
        <v>1</v>
      </c>
      <c r="M7825" s="3">
        <v>0</v>
      </c>
      <c r="N7825" s="3">
        <v>22</v>
      </c>
      <c r="O7825" s="3"/>
      <c r="P7825" s="3"/>
      <c r="Q7825" s="3"/>
    </row>
    <row r="7826" spans="1:17" ht="15" x14ac:dyDescent="0.25">
      <c r="A7826" s="3">
        <f>7819</f>
        <v>7819</v>
      </c>
      <c r="B7826" s="3" t="s">
        <v>7828</v>
      </c>
      <c r="C7826" s="3" t="s">
        <v>9</v>
      </c>
      <c r="D7826" s="3" t="s">
        <v>10</v>
      </c>
      <c r="E7826" s="3">
        <v>24</v>
      </c>
      <c r="F7826" s="3">
        <v>70</v>
      </c>
      <c r="G7826" s="3">
        <v>1</v>
      </c>
      <c r="H7826" s="3">
        <v>5</v>
      </c>
      <c r="I7826" s="3">
        <v>21</v>
      </c>
      <c r="J7826" s="3">
        <v>1</v>
      </c>
      <c r="K7826" s="3">
        <v>24</v>
      </c>
      <c r="L7826" s="3">
        <v>1</v>
      </c>
      <c r="M7826" s="3">
        <v>0</v>
      </c>
      <c r="N7826" s="3">
        <v>22</v>
      </c>
      <c r="O7826" s="3"/>
      <c r="P7826" s="3"/>
      <c r="Q7826" s="3"/>
    </row>
    <row r="7827" spans="1:17" ht="15" x14ac:dyDescent="0.25">
      <c r="A7827" s="3">
        <f>7820</f>
        <v>7820</v>
      </c>
      <c r="B7827" s="3" t="s">
        <v>7829</v>
      </c>
      <c r="C7827" s="3" t="s">
        <v>9</v>
      </c>
      <c r="D7827" s="3" t="s">
        <v>10</v>
      </c>
      <c r="E7827" s="3">
        <v>24</v>
      </c>
      <c r="F7827" s="3">
        <v>70</v>
      </c>
      <c r="G7827" s="3">
        <v>1</v>
      </c>
      <c r="H7827" s="3">
        <v>5</v>
      </c>
      <c r="I7827" s="3">
        <v>21</v>
      </c>
      <c r="J7827" s="3">
        <v>1</v>
      </c>
      <c r="K7827" s="3">
        <v>24</v>
      </c>
      <c r="L7827" s="3">
        <v>1</v>
      </c>
      <c r="M7827" s="3">
        <v>0</v>
      </c>
      <c r="N7827" s="3">
        <v>22</v>
      </c>
      <c r="O7827" s="3"/>
      <c r="P7827" s="3"/>
      <c r="Q7827" s="3"/>
    </row>
    <row r="7828" spans="1:17" ht="15" x14ac:dyDescent="0.25">
      <c r="A7828" s="3">
        <f>7821</f>
        <v>7821</v>
      </c>
      <c r="B7828" s="3" t="s">
        <v>7830</v>
      </c>
      <c r="C7828" s="3" t="s">
        <v>9</v>
      </c>
      <c r="D7828" s="3" t="s">
        <v>10</v>
      </c>
      <c r="E7828" s="3">
        <v>24</v>
      </c>
      <c r="F7828" s="3">
        <v>70</v>
      </c>
      <c r="G7828" s="3">
        <v>1</v>
      </c>
      <c r="H7828" s="3">
        <v>5</v>
      </c>
      <c r="I7828" s="3">
        <v>21</v>
      </c>
      <c r="J7828" s="3">
        <v>1</v>
      </c>
      <c r="K7828" s="3">
        <v>24</v>
      </c>
      <c r="L7828" s="3">
        <v>1</v>
      </c>
      <c r="M7828" s="3">
        <v>0</v>
      </c>
      <c r="N7828" s="3">
        <v>22</v>
      </c>
      <c r="O7828" s="3"/>
      <c r="P7828" s="3"/>
      <c r="Q7828" s="3"/>
    </row>
    <row r="7829" spans="1:17" ht="15" x14ac:dyDescent="0.25">
      <c r="A7829" s="3">
        <f>7822</f>
        <v>7822</v>
      </c>
      <c r="B7829" s="3" t="s">
        <v>7831</v>
      </c>
      <c r="C7829" s="3" t="s">
        <v>9</v>
      </c>
      <c r="D7829" s="3" t="s">
        <v>10</v>
      </c>
      <c r="E7829" s="3">
        <v>24</v>
      </c>
      <c r="F7829" s="3">
        <v>70</v>
      </c>
      <c r="G7829" s="3">
        <v>1</v>
      </c>
      <c r="H7829" s="3">
        <v>5</v>
      </c>
      <c r="I7829" s="3">
        <v>21</v>
      </c>
      <c r="J7829" s="3">
        <v>1</v>
      </c>
      <c r="K7829" s="3">
        <v>24</v>
      </c>
      <c r="L7829" s="3">
        <v>1</v>
      </c>
      <c r="M7829" s="3">
        <v>0</v>
      </c>
      <c r="N7829" s="3">
        <v>22</v>
      </c>
      <c r="O7829" s="3"/>
      <c r="P7829" s="3"/>
      <c r="Q7829" s="3"/>
    </row>
    <row r="7830" spans="1:17" ht="15" x14ac:dyDescent="0.25">
      <c r="A7830" s="3">
        <f>7823</f>
        <v>7823</v>
      </c>
      <c r="B7830" s="3" t="s">
        <v>7832</v>
      </c>
      <c r="C7830" s="3" t="s">
        <v>9</v>
      </c>
      <c r="D7830" s="3" t="s">
        <v>10</v>
      </c>
      <c r="E7830" s="3">
        <v>24</v>
      </c>
      <c r="F7830" s="3">
        <v>70</v>
      </c>
      <c r="G7830" s="3">
        <v>1</v>
      </c>
      <c r="H7830" s="3">
        <v>5</v>
      </c>
      <c r="I7830" s="3">
        <v>21</v>
      </c>
      <c r="J7830" s="3">
        <v>1</v>
      </c>
      <c r="K7830" s="3">
        <v>24</v>
      </c>
      <c r="L7830" s="3">
        <v>1</v>
      </c>
      <c r="M7830" s="3">
        <v>0</v>
      </c>
      <c r="N7830" s="3">
        <v>22</v>
      </c>
      <c r="O7830" s="3"/>
      <c r="P7830" s="3"/>
      <c r="Q7830" s="3"/>
    </row>
    <row r="7831" spans="1:17" ht="15" x14ac:dyDescent="0.25">
      <c r="A7831" s="3">
        <f>7824</f>
        <v>7824</v>
      </c>
      <c r="B7831" s="3" t="s">
        <v>7833</v>
      </c>
      <c r="C7831" s="3" t="s">
        <v>9</v>
      </c>
      <c r="D7831" s="3" t="s">
        <v>10</v>
      </c>
      <c r="E7831" s="3">
        <v>24</v>
      </c>
      <c r="F7831" s="3">
        <v>70</v>
      </c>
      <c r="G7831" s="3">
        <v>1</v>
      </c>
      <c r="H7831" s="3">
        <v>5</v>
      </c>
      <c r="I7831" s="3">
        <v>21</v>
      </c>
      <c r="J7831" s="3">
        <v>1</v>
      </c>
      <c r="K7831" s="3">
        <v>24</v>
      </c>
      <c r="L7831" s="3">
        <v>1</v>
      </c>
      <c r="M7831" s="3">
        <v>0</v>
      </c>
      <c r="N7831" s="3">
        <v>22</v>
      </c>
      <c r="O7831" s="3"/>
      <c r="P7831" s="3"/>
      <c r="Q7831" s="3"/>
    </row>
    <row r="7832" spans="1:17" ht="15" x14ac:dyDescent="0.25">
      <c r="A7832" s="3">
        <f>7825</f>
        <v>7825</v>
      </c>
      <c r="B7832" s="3" t="s">
        <v>7834</v>
      </c>
      <c r="C7832" s="3" t="s">
        <v>9</v>
      </c>
      <c r="D7832" s="3" t="s">
        <v>10</v>
      </c>
      <c r="E7832" s="3">
        <v>24</v>
      </c>
      <c r="F7832" s="3">
        <v>70</v>
      </c>
      <c r="G7832" s="3">
        <v>1</v>
      </c>
      <c r="H7832" s="3">
        <v>5</v>
      </c>
      <c r="I7832" s="3">
        <v>21</v>
      </c>
      <c r="J7832" s="3">
        <v>1</v>
      </c>
      <c r="K7832" s="3">
        <v>24</v>
      </c>
      <c r="L7832" s="3">
        <v>1</v>
      </c>
      <c r="M7832" s="3">
        <v>0</v>
      </c>
      <c r="N7832" s="3">
        <v>22</v>
      </c>
      <c r="O7832" s="3"/>
      <c r="P7832" s="3"/>
      <c r="Q7832" s="3"/>
    </row>
    <row r="7833" spans="1:17" ht="15" x14ac:dyDescent="0.25">
      <c r="A7833" s="3">
        <f>7826</f>
        <v>7826</v>
      </c>
      <c r="B7833" s="3" t="s">
        <v>7835</v>
      </c>
      <c r="C7833" s="3" t="s">
        <v>9</v>
      </c>
      <c r="D7833" s="3" t="s">
        <v>10</v>
      </c>
      <c r="E7833" s="3">
        <v>24</v>
      </c>
      <c r="F7833" s="3">
        <v>70</v>
      </c>
      <c r="G7833" s="3">
        <v>1</v>
      </c>
      <c r="H7833" s="3">
        <v>5</v>
      </c>
      <c r="I7833" s="3">
        <v>21</v>
      </c>
      <c r="J7833" s="3">
        <v>1</v>
      </c>
      <c r="K7833" s="3">
        <v>24</v>
      </c>
      <c r="L7833" s="3">
        <v>1</v>
      </c>
      <c r="M7833" s="3">
        <v>0</v>
      </c>
      <c r="N7833" s="3">
        <v>22</v>
      </c>
      <c r="O7833" s="3"/>
      <c r="P7833" s="3"/>
      <c r="Q7833" s="3"/>
    </row>
    <row r="7834" spans="1:17" ht="15" x14ac:dyDescent="0.25">
      <c r="A7834" s="3">
        <f>7827</f>
        <v>7827</v>
      </c>
      <c r="B7834" s="3" t="s">
        <v>7836</v>
      </c>
      <c r="C7834" s="3" t="s">
        <v>9</v>
      </c>
      <c r="D7834" s="3" t="s">
        <v>10</v>
      </c>
      <c r="E7834" s="3">
        <v>24</v>
      </c>
      <c r="F7834" s="3">
        <v>70</v>
      </c>
      <c r="G7834" s="3">
        <v>1</v>
      </c>
      <c r="H7834" s="3">
        <v>5</v>
      </c>
      <c r="I7834" s="3">
        <v>21</v>
      </c>
      <c r="J7834" s="3">
        <v>1</v>
      </c>
      <c r="K7834" s="3">
        <v>24</v>
      </c>
      <c r="L7834" s="3">
        <v>1</v>
      </c>
      <c r="M7834" s="3">
        <v>0</v>
      </c>
      <c r="N7834" s="3">
        <v>22</v>
      </c>
      <c r="O7834" s="3"/>
      <c r="P7834" s="3"/>
      <c r="Q7834" s="3"/>
    </row>
    <row r="7835" spans="1:17" ht="15" x14ac:dyDescent="0.25">
      <c r="A7835" s="3">
        <f>7828</f>
        <v>7828</v>
      </c>
      <c r="B7835" s="3" t="s">
        <v>7837</v>
      </c>
      <c r="C7835" s="3" t="s">
        <v>9</v>
      </c>
      <c r="D7835" s="3" t="s">
        <v>10</v>
      </c>
      <c r="E7835" s="3">
        <v>24</v>
      </c>
      <c r="F7835" s="3">
        <v>70</v>
      </c>
      <c r="G7835" s="3">
        <v>1</v>
      </c>
      <c r="H7835" s="3">
        <v>5</v>
      </c>
      <c r="I7835" s="3">
        <v>21</v>
      </c>
      <c r="J7835" s="3">
        <v>1</v>
      </c>
      <c r="K7835" s="3">
        <v>24</v>
      </c>
      <c r="L7835" s="3">
        <v>1</v>
      </c>
      <c r="M7835" s="3">
        <v>0</v>
      </c>
      <c r="N7835" s="3">
        <v>22</v>
      </c>
      <c r="O7835" s="3"/>
      <c r="P7835" s="3"/>
      <c r="Q7835" s="3"/>
    </row>
    <row r="7836" spans="1:17" ht="15" x14ac:dyDescent="0.25">
      <c r="A7836" s="3">
        <f>7829</f>
        <v>7829</v>
      </c>
      <c r="B7836" s="3" t="s">
        <v>7838</v>
      </c>
      <c r="C7836" s="3" t="s">
        <v>9</v>
      </c>
      <c r="D7836" s="3" t="s">
        <v>10</v>
      </c>
      <c r="E7836" s="3">
        <v>24</v>
      </c>
      <c r="F7836" s="3">
        <v>70</v>
      </c>
      <c r="G7836" s="3">
        <v>1</v>
      </c>
      <c r="H7836" s="3">
        <v>5</v>
      </c>
      <c r="I7836" s="3">
        <v>21</v>
      </c>
      <c r="J7836" s="3">
        <v>1</v>
      </c>
      <c r="K7836" s="3">
        <v>24</v>
      </c>
      <c r="L7836" s="3">
        <v>1</v>
      </c>
      <c r="M7836" s="3">
        <v>0</v>
      </c>
      <c r="N7836" s="3">
        <v>22</v>
      </c>
      <c r="O7836" s="3"/>
      <c r="P7836" s="3"/>
      <c r="Q7836" s="3"/>
    </row>
    <row r="7837" spans="1:17" ht="15" x14ac:dyDescent="0.25">
      <c r="A7837" s="3">
        <f>7830</f>
        <v>7830</v>
      </c>
      <c r="B7837" s="3" t="s">
        <v>7839</v>
      </c>
      <c r="C7837" s="3" t="s">
        <v>9</v>
      </c>
      <c r="D7837" s="3" t="s">
        <v>10</v>
      </c>
      <c r="E7837" s="3">
        <v>24</v>
      </c>
      <c r="F7837" s="3">
        <v>70</v>
      </c>
      <c r="G7837" s="3">
        <v>1</v>
      </c>
      <c r="H7837" s="3">
        <v>5</v>
      </c>
      <c r="I7837" s="3">
        <v>21</v>
      </c>
      <c r="J7837" s="3">
        <v>1</v>
      </c>
      <c r="K7837" s="3">
        <v>24</v>
      </c>
      <c r="L7837" s="3">
        <v>1</v>
      </c>
      <c r="M7837" s="3">
        <v>0</v>
      </c>
      <c r="N7837" s="3">
        <v>22</v>
      </c>
      <c r="O7837" s="3"/>
      <c r="P7837" s="3"/>
      <c r="Q7837" s="3"/>
    </row>
    <row r="7838" spans="1:17" ht="15" x14ac:dyDescent="0.25">
      <c r="A7838" s="3">
        <f>7831</f>
        <v>7831</v>
      </c>
      <c r="B7838" s="3" t="s">
        <v>7840</v>
      </c>
      <c r="C7838" s="3" t="s">
        <v>9</v>
      </c>
      <c r="D7838" s="3" t="s">
        <v>10</v>
      </c>
      <c r="E7838" s="3">
        <v>24</v>
      </c>
      <c r="F7838" s="3">
        <v>70</v>
      </c>
      <c r="G7838" s="3">
        <v>1</v>
      </c>
      <c r="H7838" s="3">
        <v>5</v>
      </c>
      <c r="I7838" s="3">
        <v>21</v>
      </c>
      <c r="J7838" s="3">
        <v>1</v>
      </c>
      <c r="K7838" s="3">
        <v>24</v>
      </c>
      <c r="L7838" s="3">
        <v>1</v>
      </c>
      <c r="M7838" s="3">
        <v>0</v>
      </c>
      <c r="N7838" s="3">
        <v>22</v>
      </c>
      <c r="O7838" s="3"/>
      <c r="P7838" s="3"/>
      <c r="Q7838" s="3"/>
    </row>
    <row r="7839" spans="1:17" ht="15" x14ac:dyDescent="0.25">
      <c r="A7839" s="3">
        <f>7832</f>
        <v>7832</v>
      </c>
      <c r="B7839" s="3" t="s">
        <v>7841</v>
      </c>
      <c r="C7839" s="3" t="s">
        <v>9</v>
      </c>
      <c r="D7839" s="3" t="s">
        <v>10</v>
      </c>
      <c r="E7839" s="3">
        <v>24</v>
      </c>
      <c r="F7839" s="3">
        <v>70</v>
      </c>
      <c r="G7839" s="3">
        <v>1</v>
      </c>
      <c r="H7839" s="3">
        <v>5</v>
      </c>
      <c r="I7839" s="3">
        <v>21</v>
      </c>
      <c r="J7839" s="3">
        <v>1</v>
      </c>
      <c r="K7839" s="3">
        <v>24</v>
      </c>
      <c r="L7839" s="3">
        <v>1</v>
      </c>
      <c r="M7839" s="3">
        <v>0</v>
      </c>
      <c r="N7839" s="3">
        <v>22</v>
      </c>
      <c r="O7839" s="3"/>
      <c r="P7839" s="3"/>
      <c r="Q7839" s="3"/>
    </row>
    <row r="7840" spans="1:17" ht="15" x14ac:dyDescent="0.25">
      <c r="A7840" s="3">
        <f>7833</f>
        <v>7833</v>
      </c>
      <c r="B7840" s="3" t="s">
        <v>7842</v>
      </c>
      <c r="C7840" s="3" t="s">
        <v>9</v>
      </c>
      <c r="D7840" s="3" t="s">
        <v>10</v>
      </c>
      <c r="E7840" s="3">
        <v>24</v>
      </c>
      <c r="F7840" s="3">
        <v>70</v>
      </c>
      <c r="G7840" s="3">
        <v>1</v>
      </c>
      <c r="H7840" s="3">
        <v>5</v>
      </c>
      <c r="I7840" s="3">
        <v>21</v>
      </c>
      <c r="J7840" s="3">
        <v>1</v>
      </c>
      <c r="K7840" s="3">
        <v>24</v>
      </c>
      <c r="L7840" s="3">
        <v>1</v>
      </c>
      <c r="M7840" s="3">
        <v>0</v>
      </c>
      <c r="N7840" s="3">
        <v>22</v>
      </c>
      <c r="O7840" s="3"/>
      <c r="P7840" s="3"/>
      <c r="Q7840" s="3"/>
    </row>
    <row r="7841" spans="1:17" ht="15" x14ac:dyDescent="0.25">
      <c r="A7841" s="3">
        <f>7834</f>
        <v>7834</v>
      </c>
      <c r="B7841" s="3" t="s">
        <v>7843</v>
      </c>
      <c r="C7841" s="3" t="s">
        <v>9</v>
      </c>
      <c r="D7841" s="3" t="s">
        <v>10</v>
      </c>
      <c r="E7841" s="3">
        <v>24</v>
      </c>
      <c r="F7841" s="3">
        <v>70</v>
      </c>
      <c r="G7841" s="3">
        <v>1</v>
      </c>
      <c r="H7841" s="3">
        <v>5</v>
      </c>
      <c r="I7841" s="3">
        <v>21</v>
      </c>
      <c r="J7841" s="3">
        <v>1</v>
      </c>
      <c r="K7841" s="3">
        <v>24</v>
      </c>
      <c r="L7841" s="3">
        <v>1</v>
      </c>
      <c r="M7841" s="3">
        <v>0</v>
      </c>
      <c r="N7841" s="3">
        <v>22</v>
      </c>
      <c r="O7841" s="3"/>
      <c r="P7841" s="3"/>
      <c r="Q7841" s="3"/>
    </row>
    <row r="7842" spans="1:17" ht="15" x14ac:dyDescent="0.25">
      <c r="A7842" s="3">
        <f>7835</f>
        <v>7835</v>
      </c>
      <c r="B7842" s="3" t="s">
        <v>7844</v>
      </c>
      <c r="C7842" s="3" t="s">
        <v>9</v>
      </c>
      <c r="D7842" s="3" t="s">
        <v>10</v>
      </c>
      <c r="E7842" s="3">
        <v>24</v>
      </c>
      <c r="F7842" s="3">
        <v>70</v>
      </c>
      <c r="G7842" s="3">
        <v>1</v>
      </c>
      <c r="H7842" s="3">
        <v>5</v>
      </c>
      <c r="I7842" s="3">
        <v>21</v>
      </c>
      <c r="J7842" s="3">
        <v>1</v>
      </c>
      <c r="K7842" s="3">
        <v>24</v>
      </c>
      <c r="L7842" s="3">
        <v>1</v>
      </c>
      <c r="M7842" s="3">
        <v>0</v>
      </c>
      <c r="N7842" s="3">
        <v>22</v>
      </c>
      <c r="O7842" s="3"/>
      <c r="P7842" s="3"/>
      <c r="Q7842" s="3"/>
    </row>
    <row r="7843" spans="1:17" ht="15" x14ac:dyDescent="0.25">
      <c r="A7843" s="3">
        <f>7836</f>
        <v>7836</v>
      </c>
      <c r="B7843" s="3" t="s">
        <v>7845</v>
      </c>
      <c r="C7843" s="3" t="s">
        <v>9</v>
      </c>
      <c r="D7843" s="3" t="s">
        <v>10</v>
      </c>
      <c r="E7843" s="3">
        <v>24</v>
      </c>
      <c r="F7843" s="3">
        <v>70</v>
      </c>
      <c r="G7843" s="3">
        <v>1</v>
      </c>
      <c r="H7843" s="3">
        <v>5</v>
      </c>
      <c r="I7843" s="3">
        <v>21</v>
      </c>
      <c r="J7843" s="3">
        <v>1</v>
      </c>
      <c r="K7843" s="3">
        <v>24</v>
      </c>
      <c r="L7843" s="3">
        <v>1</v>
      </c>
      <c r="M7843" s="3">
        <v>0</v>
      </c>
      <c r="N7843" s="3">
        <v>22</v>
      </c>
      <c r="O7843" s="3"/>
      <c r="P7843" s="3"/>
      <c r="Q7843" s="3"/>
    </row>
    <row r="7844" spans="1:17" ht="15" x14ac:dyDescent="0.25">
      <c r="A7844" s="3">
        <f>7837</f>
        <v>7837</v>
      </c>
      <c r="B7844" s="3" t="s">
        <v>7846</v>
      </c>
      <c r="C7844" s="3" t="s">
        <v>9</v>
      </c>
      <c r="D7844" s="3" t="s">
        <v>10</v>
      </c>
      <c r="E7844" s="3">
        <v>24</v>
      </c>
      <c r="F7844" s="3">
        <v>70</v>
      </c>
      <c r="G7844" s="3">
        <v>1</v>
      </c>
      <c r="H7844" s="3">
        <v>5</v>
      </c>
      <c r="I7844" s="3">
        <v>21</v>
      </c>
      <c r="J7844" s="3">
        <v>1</v>
      </c>
      <c r="K7844" s="3">
        <v>24</v>
      </c>
      <c r="L7844" s="3">
        <v>1</v>
      </c>
      <c r="M7844" s="3">
        <v>0</v>
      </c>
      <c r="N7844" s="3">
        <v>22</v>
      </c>
      <c r="O7844" s="3"/>
      <c r="P7844" s="3"/>
      <c r="Q7844" s="3"/>
    </row>
    <row r="7845" spans="1:17" ht="15" x14ac:dyDescent="0.25">
      <c r="A7845" s="3">
        <f>7838</f>
        <v>7838</v>
      </c>
      <c r="B7845" s="3" t="s">
        <v>7847</v>
      </c>
      <c r="C7845" s="3" t="s">
        <v>9</v>
      </c>
      <c r="D7845" s="3" t="s">
        <v>10</v>
      </c>
      <c r="E7845" s="3">
        <v>24</v>
      </c>
      <c r="F7845" s="3">
        <v>70</v>
      </c>
      <c r="G7845" s="3">
        <v>1</v>
      </c>
      <c r="H7845" s="3">
        <v>5</v>
      </c>
      <c r="I7845" s="3">
        <v>21</v>
      </c>
      <c r="J7845" s="3">
        <v>1</v>
      </c>
      <c r="K7845" s="3">
        <v>24</v>
      </c>
      <c r="L7845" s="3">
        <v>1</v>
      </c>
      <c r="M7845" s="3">
        <v>0</v>
      </c>
      <c r="N7845" s="3">
        <v>22</v>
      </c>
      <c r="O7845" s="3"/>
      <c r="P7845" s="3"/>
      <c r="Q7845" s="3"/>
    </row>
    <row r="7846" spans="1:17" ht="15" x14ac:dyDescent="0.25">
      <c r="A7846" s="3">
        <f>7839</f>
        <v>7839</v>
      </c>
      <c r="B7846" s="3" t="s">
        <v>7848</v>
      </c>
      <c r="C7846" s="3" t="s">
        <v>9</v>
      </c>
      <c r="D7846" s="3" t="s">
        <v>10</v>
      </c>
      <c r="E7846" s="3">
        <v>24</v>
      </c>
      <c r="F7846" s="3">
        <v>70</v>
      </c>
      <c r="G7846" s="3">
        <v>1</v>
      </c>
      <c r="H7846" s="3">
        <v>5</v>
      </c>
      <c r="I7846" s="3">
        <v>21</v>
      </c>
      <c r="J7846" s="3">
        <v>1</v>
      </c>
      <c r="K7846" s="3">
        <v>24</v>
      </c>
      <c r="L7846" s="3">
        <v>1</v>
      </c>
      <c r="M7846" s="3">
        <v>0</v>
      </c>
      <c r="N7846" s="3">
        <v>22</v>
      </c>
      <c r="O7846" s="3"/>
      <c r="P7846" s="3"/>
      <c r="Q7846" s="3"/>
    </row>
    <row r="7847" spans="1:17" ht="15" x14ac:dyDescent="0.25">
      <c r="A7847" s="3">
        <f>7840</f>
        <v>7840</v>
      </c>
      <c r="B7847" s="3" t="s">
        <v>7849</v>
      </c>
      <c r="C7847" s="3" t="s">
        <v>9</v>
      </c>
      <c r="D7847" s="3" t="s">
        <v>10</v>
      </c>
      <c r="E7847" s="3">
        <v>24</v>
      </c>
      <c r="F7847" s="3">
        <v>70</v>
      </c>
      <c r="G7847" s="3">
        <v>1</v>
      </c>
      <c r="H7847" s="3">
        <v>5</v>
      </c>
      <c r="I7847" s="3">
        <v>21</v>
      </c>
      <c r="J7847" s="3">
        <v>1</v>
      </c>
      <c r="K7847" s="3">
        <v>24</v>
      </c>
      <c r="L7847" s="3">
        <v>1</v>
      </c>
      <c r="M7847" s="3">
        <v>0</v>
      </c>
      <c r="N7847" s="3">
        <v>22</v>
      </c>
      <c r="O7847" s="3"/>
      <c r="P7847" s="3"/>
      <c r="Q7847" s="3"/>
    </row>
    <row r="7848" spans="1:17" ht="15" x14ac:dyDescent="0.25">
      <c r="A7848" s="3">
        <f>7841</f>
        <v>7841</v>
      </c>
      <c r="B7848" s="3" t="s">
        <v>7850</v>
      </c>
      <c r="C7848" s="3" t="s">
        <v>9</v>
      </c>
      <c r="D7848" s="3" t="s">
        <v>10</v>
      </c>
      <c r="E7848" s="3">
        <v>24</v>
      </c>
      <c r="F7848" s="3">
        <v>70</v>
      </c>
      <c r="G7848" s="3">
        <v>1</v>
      </c>
      <c r="H7848" s="3">
        <v>5</v>
      </c>
      <c r="I7848" s="3">
        <v>21</v>
      </c>
      <c r="J7848" s="3">
        <v>1</v>
      </c>
      <c r="K7848" s="3">
        <v>24</v>
      </c>
      <c r="L7848" s="3">
        <v>1</v>
      </c>
      <c r="M7848" s="3">
        <v>0</v>
      </c>
      <c r="N7848" s="3">
        <v>22</v>
      </c>
      <c r="O7848" s="3"/>
      <c r="P7848" s="3"/>
      <c r="Q7848" s="3"/>
    </row>
    <row r="7849" spans="1:17" ht="15" x14ac:dyDescent="0.25">
      <c r="A7849" s="3">
        <f>7842</f>
        <v>7842</v>
      </c>
      <c r="B7849" s="3" t="s">
        <v>7851</v>
      </c>
      <c r="C7849" s="3" t="s">
        <v>9</v>
      </c>
      <c r="D7849" s="3" t="s">
        <v>10</v>
      </c>
      <c r="E7849" s="3">
        <v>24</v>
      </c>
      <c r="F7849" s="3">
        <v>70</v>
      </c>
      <c r="G7849" s="3">
        <v>1</v>
      </c>
      <c r="H7849" s="3">
        <v>5</v>
      </c>
      <c r="I7849" s="3">
        <v>21</v>
      </c>
      <c r="J7849" s="3">
        <v>1</v>
      </c>
      <c r="K7849" s="3">
        <v>24</v>
      </c>
      <c r="L7849" s="3">
        <v>1</v>
      </c>
      <c r="M7849" s="3">
        <v>0</v>
      </c>
      <c r="N7849" s="3">
        <v>22</v>
      </c>
      <c r="O7849" s="3"/>
      <c r="P7849" s="3"/>
      <c r="Q7849" s="3"/>
    </row>
    <row r="7850" spans="1:17" ht="15" x14ac:dyDescent="0.25">
      <c r="A7850" s="3">
        <f>7843</f>
        <v>7843</v>
      </c>
      <c r="B7850" s="3" t="s">
        <v>7852</v>
      </c>
      <c r="C7850" s="3" t="s">
        <v>9</v>
      </c>
      <c r="D7850" s="3" t="s">
        <v>10</v>
      </c>
      <c r="E7850" s="3">
        <v>24</v>
      </c>
      <c r="F7850" s="3">
        <v>70</v>
      </c>
      <c r="G7850" s="3">
        <v>1</v>
      </c>
      <c r="H7850" s="3">
        <v>5</v>
      </c>
      <c r="I7850" s="3">
        <v>21</v>
      </c>
      <c r="J7850" s="3">
        <v>1</v>
      </c>
      <c r="K7850" s="3">
        <v>24</v>
      </c>
      <c r="L7850" s="3">
        <v>1</v>
      </c>
      <c r="M7850" s="3">
        <v>0</v>
      </c>
      <c r="N7850" s="3">
        <v>22</v>
      </c>
      <c r="O7850" s="3"/>
      <c r="P7850" s="3"/>
      <c r="Q7850" s="3"/>
    </row>
    <row r="7851" spans="1:17" ht="15" x14ac:dyDescent="0.25">
      <c r="A7851" s="3">
        <f>7844</f>
        <v>7844</v>
      </c>
      <c r="B7851" s="3" t="s">
        <v>7853</v>
      </c>
      <c r="C7851" s="3" t="s">
        <v>9</v>
      </c>
      <c r="D7851" s="3" t="s">
        <v>10</v>
      </c>
      <c r="E7851" s="3">
        <v>24</v>
      </c>
      <c r="F7851" s="3">
        <v>70</v>
      </c>
      <c r="G7851" s="3">
        <v>1</v>
      </c>
      <c r="H7851" s="3">
        <v>5</v>
      </c>
      <c r="I7851" s="3">
        <v>21</v>
      </c>
      <c r="J7851" s="3">
        <v>1</v>
      </c>
      <c r="K7851" s="3">
        <v>24</v>
      </c>
      <c r="L7851" s="3">
        <v>1</v>
      </c>
      <c r="M7851" s="3">
        <v>0</v>
      </c>
      <c r="N7851" s="3">
        <v>22</v>
      </c>
      <c r="O7851" s="3"/>
      <c r="P7851" s="3"/>
      <c r="Q7851" s="3"/>
    </row>
    <row r="7852" spans="1:17" ht="15" x14ac:dyDescent="0.25">
      <c r="A7852" s="3">
        <f>7845</f>
        <v>7845</v>
      </c>
      <c r="B7852" s="3" t="s">
        <v>7854</v>
      </c>
      <c r="C7852" s="3" t="s">
        <v>9</v>
      </c>
      <c r="D7852" s="3" t="s">
        <v>10</v>
      </c>
      <c r="E7852" s="3">
        <v>24</v>
      </c>
      <c r="F7852" s="3">
        <v>70</v>
      </c>
      <c r="G7852" s="3">
        <v>1</v>
      </c>
      <c r="H7852" s="3">
        <v>5</v>
      </c>
      <c r="I7852" s="3">
        <v>21</v>
      </c>
      <c r="J7852" s="3">
        <v>1</v>
      </c>
      <c r="K7852" s="3">
        <v>24</v>
      </c>
      <c r="L7852" s="3">
        <v>1</v>
      </c>
      <c r="M7852" s="3">
        <v>0</v>
      </c>
      <c r="N7852" s="3">
        <v>22</v>
      </c>
      <c r="O7852" s="3"/>
      <c r="P7852" s="3"/>
      <c r="Q7852" s="3"/>
    </row>
    <row r="7853" spans="1:17" ht="15" x14ac:dyDescent="0.25">
      <c r="A7853" s="3">
        <f>7846</f>
        <v>7846</v>
      </c>
      <c r="B7853" s="3" t="s">
        <v>7855</v>
      </c>
      <c r="C7853" s="3" t="s">
        <v>9</v>
      </c>
      <c r="D7853" s="3" t="s">
        <v>10</v>
      </c>
      <c r="E7853" s="3">
        <v>24</v>
      </c>
      <c r="F7853" s="3">
        <v>70</v>
      </c>
      <c r="G7853" s="3">
        <v>1</v>
      </c>
      <c r="H7853" s="3">
        <v>5</v>
      </c>
      <c r="I7853" s="3">
        <v>21</v>
      </c>
      <c r="J7853" s="3">
        <v>1</v>
      </c>
      <c r="K7853" s="3">
        <v>24</v>
      </c>
      <c r="L7853" s="3">
        <v>1</v>
      </c>
      <c r="M7853" s="3">
        <v>0</v>
      </c>
      <c r="N7853" s="3">
        <v>22</v>
      </c>
      <c r="O7853" s="3"/>
      <c r="P7853" s="3"/>
      <c r="Q7853" s="3"/>
    </row>
    <row r="7854" spans="1:17" ht="15" x14ac:dyDescent="0.25">
      <c r="A7854" s="3">
        <f>7847</f>
        <v>7847</v>
      </c>
      <c r="B7854" s="3" t="s">
        <v>7856</v>
      </c>
      <c r="C7854" s="3" t="s">
        <v>9</v>
      </c>
      <c r="D7854" s="3" t="s">
        <v>10</v>
      </c>
      <c r="E7854" s="3">
        <v>24</v>
      </c>
      <c r="F7854" s="3">
        <v>70</v>
      </c>
      <c r="G7854" s="3">
        <v>1</v>
      </c>
      <c r="H7854" s="3">
        <v>5</v>
      </c>
      <c r="I7854" s="3">
        <v>21</v>
      </c>
      <c r="J7854" s="3">
        <v>1</v>
      </c>
      <c r="K7854" s="3">
        <v>24</v>
      </c>
      <c r="L7854" s="3">
        <v>1</v>
      </c>
      <c r="M7854" s="3">
        <v>0</v>
      </c>
      <c r="N7854" s="3">
        <v>22</v>
      </c>
      <c r="O7854" s="3"/>
      <c r="P7854" s="3"/>
      <c r="Q7854" s="3"/>
    </row>
    <row r="7855" spans="1:17" ht="15" x14ac:dyDescent="0.25">
      <c r="A7855" s="3">
        <f>7848</f>
        <v>7848</v>
      </c>
      <c r="B7855" s="3" t="s">
        <v>7857</v>
      </c>
      <c r="C7855" s="3" t="s">
        <v>9</v>
      </c>
      <c r="D7855" s="3" t="s">
        <v>10</v>
      </c>
      <c r="E7855" s="3">
        <v>24</v>
      </c>
      <c r="F7855" s="3">
        <v>70</v>
      </c>
      <c r="G7855" s="3">
        <v>1</v>
      </c>
      <c r="H7855" s="3">
        <v>5</v>
      </c>
      <c r="I7855" s="3">
        <v>21</v>
      </c>
      <c r="J7855" s="3">
        <v>1</v>
      </c>
      <c r="K7855" s="3">
        <v>24</v>
      </c>
      <c r="L7855" s="3">
        <v>1</v>
      </c>
      <c r="M7855" s="3">
        <v>0</v>
      </c>
      <c r="N7855" s="3">
        <v>22</v>
      </c>
      <c r="O7855" s="3"/>
      <c r="P7855" s="3"/>
      <c r="Q7855" s="3"/>
    </row>
    <row r="7856" spans="1:17" ht="15" x14ac:dyDescent="0.25">
      <c r="A7856" s="3">
        <f>7849</f>
        <v>7849</v>
      </c>
      <c r="B7856" s="3" t="s">
        <v>7858</v>
      </c>
      <c r="C7856" s="3" t="s">
        <v>9</v>
      </c>
      <c r="D7856" s="3" t="s">
        <v>10</v>
      </c>
      <c r="E7856" s="3">
        <v>24</v>
      </c>
      <c r="F7856" s="3">
        <v>70</v>
      </c>
      <c r="G7856" s="3">
        <v>1</v>
      </c>
      <c r="H7856" s="3">
        <v>5</v>
      </c>
      <c r="I7856" s="3">
        <v>21</v>
      </c>
      <c r="J7856" s="3">
        <v>1</v>
      </c>
      <c r="K7856" s="3">
        <v>24</v>
      </c>
      <c r="L7856" s="3">
        <v>1</v>
      </c>
      <c r="M7856" s="3">
        <v>0</v>
      </c>
      <c r="N7856" s="3">
        <v>22</v>
      </c>
      <c r="O7856" s="3"/>
      <c r="P7856" s="3"/>
      <c r="Q7856" s="3"/>
    </row>
    <row r="7857" spans="1:17" ht="15" x14ac:dyDescent="0.25">
      <c r="A7857" s="3">
        <f>7850</f>
        <v>7850</v>
      </c>
      <c r="B7857" s="3" t="s">
        <v>7859</v>
      </c>
      <c r="C7857" s="3" t="s">
        <v>9</v>
      </c>
      <c r="D7857" s="3" t="s">
        <v>10</v>
      </c>
      <c r="E7857" s="3">
        <v>24</v>
      </c>
      <c r="F7857" s="3">
        <v>70</v>
      </c>
      <c r="G7857" s="3">
        <v>1</v>
      </c>
      <c r="H7857" s="3">
        <v>5</v>
      </c>
      <c r="I7857" s="3">
        <v>21</v>
      </c>
      <c r="J7857" s="3">
        <v>1</v>
      </c>
      <c r="K7857" s="3">
        <v>24</v>
      </c>
      <c r="L7857" s="3">
        <v>1</v>
      </c>
      <c r="M7857" s="3">
        <v>0</v>
      </c>
      <c r="N7857" s="3">
        <v>22</v>
      </c>
      <c r="O7857" s="3"/>
      <c r="P7857" s="3"/>
      <c r="Q7857" s="3"/>
    </row>
    <row r="7858" spans="1:17" ht="15" x14ac:dyDescent="0.25">
      <c r="A7858" s="3">
        <f>7851</f>
        <v>7851</v>
      </c>
      <c r="B7858" s="3" t="s">
        <v>7860</v>
      </c>
      <c r="C7858" s="3" t="s">
        <v>9</v>
      </c>
      <c r="D7858" s="3" t="s">
        <v>10</v>
      </c>
      <c r="E7858" s="3">
        <v>24</v>
      </c>
      <c r="F7858" s="3">
        <v>70</v>
      </c>
      <c r="G7858" s="3">
        <v>1</v>
      </c>
      <c r="H7858" s="3">
        <v>5</v>
      </c>
      <c r="I7858" s="3">
        <v>21</v>
      </c>
      <c r="J7858" s="3">
        <v>1</v>
      </c>
      <c r="K7858" s="3">
        <v>24</v>
      </c>
      <c r="L7858" s="3">
        <v>1</v>
      </c>
      <c r="M7858" s="3">
        <v>0</v>
      </c>
      <c r="N7858" s="3">
        <v>22</v>
      </c>
      <c r="O7858" s="3"/>
      <c r="P7858" s="3"/>
      <c r="Q7858" s="3"/>
    </row>
    <row r="7859" spans="1:17" ht="15" x14ac:dyDescent="0.25">
      <c r="A7859" s="3">
        <f>7852</f>
        <v>7852</v>
      </c>
      <c r="B7859" s="3" t="s">
        <v>7861</v>
      </c>
      <c r="C7859" s="3" t="s">
        <v>9</v>
      </c>
      <c r="D7859" s="3" t="s">
        <v>10</v>
      </c>
      <c r="E7859" s="3">
        <v>24</v>
      </c>
      <c r="F7859" s="3">
        <v>70</v>
      </c>
      <c r="G7859" s="3">
        <v>1</v>
      </c>
      <c r="H7859" s="3">
        <v>5</v>
      </c>
      <c r="I7859" s="3">
        <v>21</v>
      </c>
      <c r="J7859" s="3">
        <v>1</v>
      </c>
      <c r="K7859" s="3">
        <v>24</v>
      </c>
      <c r="L7859" s="3">
        <v>1</v>
      </c>
      <c r="M7859" s="3">
        <v>0</v>
      </c>
      <c r="N7859" s="3">
        <v>22</v>
      </c>
      <c r="O7859" s="3"/>
      <c r="P7859" s="3"/>
      <c r="Q7859" s="3"/>
    </row>
    <row r="7860" spans="1:17" ht="15" x14ac:dyDescent="0.25">
      <c r="A7860" s="3">
        <f>7853</f>
        <v>7853</v>
      </c>
      <c r="B7860" s="3" t="s">
        <v>7862</v>
      </c>
      <c r="C7860" s="3" t="s">
        <v>9</v>
      </c>
      <c r="D7860" s="3" t="s">
        <v>10</v>
      </c>
      <c r="E7860" s="3">
        <v>24</v>
      </c>
      <c r="F7860" s="3">
        <v>70</v>
      </c>
      <c r="G7860" s="3">
        <v>1</v>
      </c>
      <c r="H7860" s="3">
        <v>5</v>
      </c>
      <c r="I7860" s="3">
        <v>21</v>
      </c>
      <c r="J7860" s="3">
        <v>1</v>
      </c>
      <c r="K7860" s="3">
        <v>24</v>
      </c>
      <c r="L7860" s="3">
        <v>1</v>
      </c>
      <c r="M7860" s="3">
        <v>0</v>
      </c>
      <c r="N7860" s="3">
        <v>22</v>
      </c>
      <c r="O7860" s="3"/>
      <c r="P7860" s="3"/>
      <c r="Q7860" s="3"/>
    </row>
    <row r="7861" spans="1:17" ht="15" x14ac:dyDescent="0.25">
      <c r="A7861" s="3">
        <f>7854</f>
        <v>7854</v>
      </c>
      <c r="B7861" s="3" t="s">
        <v>7863</v>
      </c>
      <c r="C7861" s="3" t="s">
        <v>9</v>
      </c>
      <c r="D7861" s="3" t="s">
        <v>10</v>
      </c>
      <c r="E7861" s="3">
        <v>24</v>
      </c>
      <c r="F7861" s="3">
        <v>70</v>
      </c>
      <c r="G7861" s="3">
        <v>1</v>
      </c>
      <c r="H7861" s="3">
        <v>5</v>
      </c>
      <c r="I7861" s="3">
        <v>21</v>
      </c>
      <c r="J7861" s="3">
        <v>1</v>
      </c>
      <c r="K7861" s="3">
        <v>24</v>
      </c>
      <c r="L7861" s="3">
        <v>1</v>
      </c>
      <c r="M7861" s="3">
        <v>0</v>
      </c>
      <c r="N7861" s="3">
        <v>22</v>
      </c>
      <c r="O7861" s="3"/>
      <c r="P7861" s="3"/>
      <c r="Q7861" s="3"/>
    </row>
    <row r="7862" spans="1:17" ht="15" x14ac:dyDescent="0.25">
      <c r="A7862" s="3">
        <f>7855</f>
        <v>7855</v>
      </c>
      <c r="B7862" s="3" t="s">
        <v>7864</v>
      </c>
      <c r="C7862" s="3" t="s">
        <v>9</v>
      </c>
      <c r="D7862" s="3" t="s">
        <v>10</v>
      </c>
      <c r="E7862" s="3">
        <v>24</v>
      </c>
      <c r="F7862" s="3">
        <v>70</v>
      </c>
      <c r="G7862" s="3">
        <v>1</v>
      </c>
      <c r="H7862" s="3">
        <v>5</v>
      </c>
      <c r="I7862" s="3">
        <v>21</v>
      </c>
      <c r="J7862" s="3">
        <v>1</v>
      </c>
      <c r="K7862" s="3">
        <v>24</v>
      </c>
      <c r="L7862" s="3">
        <v>1</v>
      </c>
      <c r="M7862" s="3">
        <v>0</v>
      </c>
      <c r="N7862" s="3">
        <v>22</v>
      </c>
      <c r="O7862" s="3"/>
      <c r="P7862" s="3"/>
      <c r="Q7862" s="3"/>
    </row>
    <row r="7863" spans="1:17" ht="15" x14ac:dyDescent="0.25">
      <c r="A7863" s="3">
        <f>7856</f>
        <v>7856</v>
      </c>
      <c r="B7863" s="3" t="s">
        <v>7865</v>
      </c>
      <c r="C7863" s="3" t="s">
        <v>9</v>
      </c>
      <c r="D7863" s="3" t="s">
        <v>10</v>
      </c>
      <c r="E7863" s="3">
        <v>24</v>
      </c>
      <c r="F7863" s="3">
        <v>70</v>
      </c>
      <c r="G7863" s="3">
        <v>1</v>
      </c>
      <c r="H7863" s="3">
        <v>5</v>
      </c>
      <c r="I7863" s="3">
        <v>21</v>
      </c>
      <c r="J7863" s="3">
        <v>1</v>
      </c>
      <c r="K7863" s="3">
        <v>24</v>
      </c>
      <c r="L7863" s="3">
        <v>1</v>
      </c>
      <c r="M7863" s="3">
        <v>0</v>
      </c>
      <c r="N7863" s="3">
        <v>22</v>
      </c>
      <c r="O7863" s="3"/>
      <c r="P7863" s="3"/>
      <c r="Q7863" s="3"/>
    </row>
    <row r="7864" spans="1:17" ht="15" x14ac:dyDescent="0.25">
      <c r="A7864" s="3">
        <f>7857</f>
        <v>7857</v>
      </c>
      <c r="B7864" s="3" t="s">
        <v>7866</v>
      </c>
      <c r="C7864" s="3" t="s">
        <v>9</v>
      </c>
      <c r="D7864" s="3" t="s">
        <v>10</v>
      </c>
      <c r="E7864" s="3">
        <v>24</v>
      </c>
      <c r="F7864" s="3">
        <v>70</v>
      </c>
      <c r="G7864" s="3">
        <v>1</v>
      </c>
      <c r="H7864" s="3">
        <v>5</v>
      </c>
      <c r="I7864" s="3">
        <v>21</v>
      </c>
      <c r="J7864" s="3">
        <v>1</v>
      </c>
      <c r="K7864" s="3">
        <v>24</v>
      </c>
      <c r="L7864" s="3">
        <v>1</v>
      </c>
      <c r="M7864" s="3">
        <v>0</v>
      </c>
      <c r="N7864" s="3">
        <v>22</v>
      </c>
      <c r="O7864" s="3"/>
      <c r="P7864" s="3"/>
      <c r="Q7864" s="3"/>
    </row>
    <row r="7865" spans="1:17" ht="15" x14ac:dyDescent="0.25">
      <c r="A7865" s="3">
        <f>7858</f>
        <v>7858</v>
      </c>
      <c r="B7865" s="3" t="s">
        <v>7867</v>
      </c>
      <c r="C7865" s="3" t="s">
        <v>9</v>
      </c>
      <c r="D7865" s="3" t="s">
        <v>10</v>
      </c>
      <c r="E7865" s="3">
        <v>24</v>
      </c>
      <c r="F7865" s="3">
        <v>70</v>
      </c>
      <c r="G7865" s="3">
        <v>1</v>
      </c>
      <c r="H7865" s="3">
        <v>5</v>
      </c>
      <c r="I7865" s="3">
        <v>21</v>
      </c>
      <c r="J7865" s="3">
        <v>1</v>
      </c>
      <c r="K7865" s="3">
        <v>24</v>
      </c>
      <c r="L7865" s="3">
        <v>1</v>
      </c>
      <c r="M7865" s="3">
        <v>0</v>
      </c>
      <c r="N7865" s="3">
        <v>22</v>
      </c>
      <c r="O7865" s="3"/>
      <c r="P7865" s="3"/>
      <c r="Q7865" s="3"/>
    </row>
    <row r="7866" spans="1:17" ht="15" x14ac:dyDescent="0.25">
      <c r="A7866" s="3">
        <f>7859</f>
        <v>7859</v>
      </c>
      <c r="B7866" s="3" t="s">
        <v>7868</v>
      </c>
      <c r="C7866" s="3" t="s">
        <v>9</v>
      </c>
      <c r="D7866" s="3" t="s">
        <v>10</v>
      </c>
      <c r="E7866" s="3">
        <v>24</v>
      </c>
      <c r="F7866" s="3">
        <v>70</v>
      </c>
      <c r="G7866" s="3">
        <v>1</v>
      </c>
      <c r="H7866" s="3">
        <v>5</v>
      </c>
      <c r="I7866" s="3">
        <v>21</v>
      </c>
      <c r="J7866" s="3">
        <v>1</v>
      </c>
      <c r="K7866" s="3">
        <v>24</v>
      </c>
      <c r="L7866" s="3">
        <v>1</v>
      </c>
      <c r="M7866" s="3">
        <v>0</v>
      </c>
      <c r="N7866" s="3">
        <v>22</v>
      </c>
      <c r="O7866" s="3"/>
      <c r="P7866" s="3"/>
      <c r="Q7866" s="3"/>
    </row>
    <row r="7867" spans="1:17" ht="15" x14ac:dyDescent="0.25">
      <c r="A7867" s="3">
        <f>7860</f>
        <v>7860</v>
      </c>
      <c r="B7867" s="3" t="s">
        <v>7869</v>
      </c>
      <c r="C7867" s="3" t="s">
        <v>9</v>
      </c>
      <c r="D7867" s="3" t="s">
        <v>10</v>
      </c>
      <c r="E7867" s="3">
        <v>24</v>
      </c>
      <c r="F7867" s="3">
        <v>70</v>
      </c>
      <c r="G7867" s="3">
        <v>1</v>
      </c>
      <c r="H7867" s="3">
        <v>5</v>
      </c>
      <c r="I7867" s="3">
        <v>21</v>
      </c>
      <c r="J7867" s="3">
        <v>1</v>
      </c>
      <c r="K7867" s="3">
        <v>24</v>
      </c>
      <c r="L7867" s="3">
        <v>1</v>
      </c>
      <c r="M7867" s="3">
        <v>0</v>
      </c>
      <c r="N7867" s="3">
        <v>22</v>
      </c>
      <c r="O7867" s="3"/>
      <c r="P7867" s="3"/>
      <c r="Q7867" s="3"/>
    </row>
    <row r="7868" spans="1:17" ht="15" x14ac:dyDescent="0.25">
      <c r="A7868" s="3">
        <f>7861</f>
        <v>7861</v>
      </c>
      <c r="B7868" s="3" t="s">
        <v>7870</v>
      </c>
      <c r="C7868" s="3" t="s">
        <v>9</v>
      </c>
      <c r="D7868" s="3" t="s">
        <v>10</v>
      </c>
      <c r="E7868" s="3">
        <v>24</v>
      </c>
      <c r="F7868" s="3">
        <v>70</v>
      </c>
      <c r="G7868" s="3">
        <v>1</v>
      </c>
      <c r="H7868" s="3">
        <v>5</v>
      </c>
      <c r="I7868" s="3">
        <v>21</v>
      </c>
      <c r="J7868" s="3">
        <v>1</v>
      </c>
      <c r="K7868" s="3">
        <v>24</v>
      </c>
      <c r="L7868" s="3">
        <v>1</v>
      </c>
      <c r="M7868" s="3">
        <v>0</v>
      </c>
      <c r="N7868" s="3">
        <v>22</v>
      </c>
      <c r="O7868" s="3"/>
      <c r="P7868" s="3"/>
      <c r="Q7868" s="3"/>
    </row>
    <row r="7869" spans="1:17" ht="15" x14ac:dyDescent="0.25">
      <c r="A7869" s="3">
        <f>7862</f>
        <v>7862</v>
      </c>
      <c r="B7869" s="3" t="s">
        <v>7871</v>
      </c>
      <c r="C7869" s="3" t="s">
        <v>9</v>
      </c>
      <c r="D7869" s="3" t="s">
        <v>10</v>
      </c>
      <c r="E7869" s="3">
        <v>24</v>
      </c>
      <c r="F7869" s="3">
        <v>70</v>
      </c>
      <c r="G7869" s="3">
        <v>1</v>
      </c>
      <c r="H7869" s="3">
        <v>5</v>
      </c>
      <c r="I7869" s="3">
        <v>21</v>
      </c>
      <c r="J7869" s="3">
        <v>1</v>
      </c>
      <c r="K7869" s="3">
        <v>24</v>
      </c>
      <c r="L7869" s="3">
        <v>1</v>
      </c>
      <c r="M7869" s="3">
        <v>0</v>
      </c>
      <c r="N7869" s="3">
        <v>22</v>
      </c>
      <c r="O7869" s="3"/>
      <c r="P7869" s="3"/>
      <c r="Q7869" s="3"/>
    </row>
    <row r="7870" spans="1:17" ht="15" x14ac:dyDescent="0.25">
      <c r="A7870" s="3">
        <f>7863</f>
        <v>7863</v>
      </c>
      <c r="B7870" s="3" t="s">
        <v>7872</v>
      </c>
      <c r="C7870" s="3" t="s">
        <v>9</v>
      </c>
      <c r="D7870" s="3" t="s">
        <v>10</v>
      </c>
      <c r="E7870" s="3">
        <v>24</v>
      </c>
      <c r="F7870" s="3">
        <v>70</v>
      </c>
      <c r="G7870" s="3">
        <v>1</v>
      </c>
      <c r="H7870" s="3">
        <v>5</v>
      </c>
      <c r="I7870" s="3">
        <v>21</v>
      </c>
      <c r="J7870" s="3">
        <v>1</v>
      </c>
      <c r="K7870" s="3">
        <v>24</v>
      </c>
      <c r="L7870" s="3">
        <v>1</v>
      </c>
      <c r="M7870" s="3">
        <v>0</v>
      </c>
      <c r="N7870" s="3">
        <v>22</v>
      </c>
      <c r="O7870" s="3"/>
      <c r="P7870" s="3"/>
      <c r="Q7870" s="3"/>
    </row>
    <row r="7871" spans="1:17" ht="15" x14ac:dyDescent="0.25">
      <c r="A7871" s="3">
        <f>7864</f>
        <v>7864</v>
      </c>
      <c r="B7871" s="3" t="s">
        <v>7873</v>
      </c>
      <c r="C7871" s="3" t="s">
        <v>9</v>
      </c>
      <c r="D7871" s="3" t="s">
        <v>10</v>
      </c>
      <c r="E7871" s="3">
        <v>24</v>
      </c>
      <c r="F7871" s="3">
        <v>70</v>
      </c>
      <c r="G7871" s="3">
        <v>1</v>
      </c>
      <c r="H7871" s="3">
        <v>5</v>
      </c>
      <c r="I7871" s="3">
        <v>21</v>
      </c>
      <c r="J7871" s="3">
        <v>1</v>
      </c>
      <c r="K7871" s="3">
        <v>24</v>
      </c>
      <c r="L7871" s="3">
        <v>1</v>
      </c>
      <c r="M7871" s="3">
        <v>0</v>
      </c>
      <c r="N7871" s="3">
        <v>22</v>
      </c>
      <c r="O7871" s="3"/>
      <c r="P7871" s="3"/>
      <c r="Q7871" s="3"/>
    </row>
    <row r="7872" spans="1:17" ht="15" x14ac:dyDescent="0.25">
      <c r="A7872" s="3">
        <f>7865</f>
        <v>7865</v>
      </c>
      <c r="B7872" s="3" t="s">
        <v>7874</v>
      </c>
      <c r="C7872" s="3" t="s">
        <v>9</v>
      </c>
      <c r="D7872" s="3" t="s">
        <v>10</v>
      </c>
      <c r="E7872" s="3">
        <v>24</v>
      </c>
      <c r="F7872" s="3">
        <v>70</v>
      </c>
      <c r="G7872" s="3">
        <v>1</v>
      </c>
      <c r="H7872" s="3">
        <v>5</v>
      </c>
      <c r="I7872" s="3">
        <v>21</v>
      </c>
      <c r="J7872" s="3">
        <v>1</v>
      </c>
      <c r="K7872" s="3">
        <v>24</v>
      </c>
      <c r="L7872" s="3">
        <v>1</v>
      </c>
      <c r="M7872" s="3">
        <v>0</v>
      </c>
      <c r="N7872" s="3">
        <v>22</v>
      </c>
      <c r="O7872" s="3"/>
      <c r="P7872" s="3"/>
      <c r="Q7872" s="3"/>
    </row>
    <row r="7873" spans="1:17" ht="15" x14ac:dyDescent="0.25">
      <c r="A7873" s="3">
        <f>7866</f>
        <v>7866</v>
      </c>
      <c r="B7873" s="3" t="s">
        <v>7875</v>
      </c>
      <c r="C7873" s="3" t="s">
        <v>9</v>
      </c>
      <c r="D7873" s="3" t="s">
        <v>10</v>
      </c>
      <c r="E7873" s="3">
        <v>24</v>
      </c>
      <c r="F7873" s="3">
        <v>70</v>
      </c>
      <c r="G7873" s="3">
        <v>1</v>
      </c>
      <c r="H7873" s="3">
        <v>5</v>
      </c>
      <c r="I7873" s="3">
        <v>21</v>
      </c>
      <c r="J7873" s="3">
        <v>1</v>
      </c>
      <c r="K7873" s="3">
        <v>24</v>
      </c>
      <c r="L7873" s="3">
        <v>1</v>
      </c>
      <c r="M7873" s="3">
        <v>0</v>
      </c>
      <c r="N7873" s="3">
        <v>22</v>
      </c>
      <c r="O7873" s="3"/>
      <c r="P7873" s="3"/>
      <c r="Q7873" s="3"/>
    </row>
    <row r="7874" spans="1:17" ht="15" x14ac:dyDescent="0.25">
      <c r="A7874" s="3">
        <f>7867</f>
        <v>7867</v>
      </c>
      <c r="B7874" s="3" t="s">
        <v>7876</v>
      </c>
      <c r="C7874" s="3" t="s">
        <v>9</v>
      </c>
      <c r="D7874" s="3" t="s">
        <v>10</v>
      </c>
      <c r="E7874" s="3">
        <v>24</v>
      </c>
      <c r="F7874" s="3">
        <v>70</v>
      </c>
      <c r="G7874" s="3">
        <v>1</v>
      </c>
      <c r="H7874" s="3">
        <v>5</v>
      </c>
      <c r="I7874" s="3">
        <v>21</v>
      </c>
      <c r="J7874" s="3">
        <v>1</v>
      </c>
      <c r="K7874" s="3">
        <v>24</v>
      </c>
      <c r="L7874" s="3">
        <v>1</v>
      </c>
      <c r="M7874" s="3">
        <v>0</v>
      </c>
      <c r="N7874" s="3">
        <v>22</v>
      </c>
      <c r="O7874" s="3"/>
      <c r="P7874" s="3"/>
      <c r="Q7874" s="3"/>
    </row>
    <row r="7875" spans="1:17" ht="15" x14ac:dyDescent="0.25">
      <c r="A7875" s="3">
        <f>7868</f>
        <v>7868</v>
      </c>
      <c r="B7875" s="3" t="s">
        <v>7877</v>
      </c>
      <c r="C7875" s="3" t="s">
        <v>9</v>
      </c>
      <c r="D7875" s="3" t="s">
        <v>10</v>
      </c>
      <c r="E7875" s="3">
        <v>24</v>
      </c>
      <c r="F7875" s="3">
        <v>70</v>
      </c>
      <c r="G7875" s="3">
        <v>1</v>
      </c>
      <c r="H7875" s="3">
        <v>5</v>
      </c>
      <c r="I7875" s="3">
        <v>21</v>
      </c>
      <c r="J7875" s="3">
        <v>1</v>
      </c>
      <c r="K7875" s="3">
        <v>24</v>
      </c>
      <c r="L7875" s="3">
        <v>1</v>
      </c>
      <c r="M7875" s="3">
        <v>0</v>
      </c>
      <c r="N7875" s="3">
        <v>22</v>
      </c>
      <c r="O7875" s="3"/>
      <c r="P7875" s="3"/>
      <c r="Q7875" s="3"/>
    </row>
    <row r="7876" spans="1:17" ht="15" x14ac:dyDescent="0.25">
      <c r="A7876" s="3">
        <f>7869</f>
        <v>7869</v>
      </c>
      <c r="B7876" s="3" t="s">
        <v>7878</v>
      </c>
      <c r="C7876" s="3" t="s">
        <v>9</v>
      </c>
      <c r="D7876" s="3" t="s">
        <v>10</v>
      </c>
      <c r="E7876" s="3">
        <v>24</v>
      </c>
      <c r="F7876" s="3">
        <v>70</v>
      </c>
      <c r="G7876" s="3">
        <v>1</v>
      </c>
      <c r="H7876" s="3">
        <v>5</v>
      </c>
      <c r="I7876" s="3">
        <v>21</v>
      </c>
      <c r="J7876" s="3">
        <v>1</v>
      </c>
      <c r="K7876" s="3">
        <v>24</v>
      </c>
      <c r="L7876" s="3">
        <v>1</v>
      </c>
      <c r="M7876" s="3">
        <v>0</v>
      </c>
      <c r="N7876" s="3">
        <v>22</v>
      </c>
      <c r="O7876" s="3"/>
      <c r="P7876" s="3"/>
      <c r="Q7876" s="3"/>
    </row>
    <row r="7877" spans="1:17" ht="15" x14ac:dyDescent="0.25">
      <c r="A7877" s="3">
        <f>7870</f>
        <v>7870</v>
      </c>
      <c r="B7877" s="3" t="s">
        <v>7879</v>
      </c>
      <c r="C7877" s="3" t="s">
        <v>9</v>
      </c>
      <c r="D7877" s="3" t="s">
        <v>10</v>
      </c>
      <c r="E7877" s="3">
        <v>24</v>
      </c>
      <c r="F7877" s="3">
        <v>70</v>
      </c>
      <c r="G7877" s="3">
        <v>1</v>
      </c>
      <c r="H7877" s="3">
        <v>5</v>
      </c>
      <c r="I7877" s="3">
        <v>21</v>
      </c>
      <c r="J7877" s="3">
        <v>1</v>
      </c>
      <c r="K7877" s="3">
        <v>24</v>
      </c>
      <c r="L7877" s="3">
        <v>1</v>
      </c>
      <c r="M7877" s="3">
        <v>0</v>
      </c>
      <c r="N7877" s="3">
        <v>22</v>
      </c>
      <c r="O7877" s="3"/>
      <c r="P7877" s="3"/>
      <c r="Q7877" s="3"/>
    </row>
    <row r="7878" spans="1:17" ht="15" x14ac:dyDescent="0.25">
      <c r="A7878" s="3">
        <f>7871</f>
        <v>7871</v>
      </c>
      <c r="B7878" s="3" t="s">
        <v>7880</v>
      </c>
      <c r="C7878" s="3" t="s">
        <v>9</v>
      </c>
      <c r="D7878" s="3" t="s">
        <v>10</v>
      </c>
      <c r="E7878" s="3">
        <v>24</v>
      </c>
      <c r="F7878" s="3">
        <v>70</v>
      </c>
      <c r="G7878" s="3">
        <v>1</v>
      </c>
      <c r="H7878" s="3">
        <v>5</v>
      </c>
      <c r="I7878" s="3">
        <v>21</v>
      </c>
      <c r="J7878" s="3">
        <v>1</v>
      </c>
      <c r="K7878" s="3">
        <v>24</v>
      </c>
      <c r="L7878" s="3">
        <v>1</v>
      </c>
      <c r="M7878" s="3">
        <v>0</v>
      </c>
      <c r="N7878" s="3">
        <v>22</v>
      </c>
      <c r="O7878" s="3"/>
      <c r="P7878" s="3"/>
      <c r="Q7878" s="3"/>
    </row>
    <row r="7879" spans="1:17" ht="15" x14ac:dyDescent="0.25">
      <c r="A7879" s="3">
        <f>7872</f>
        <v>7872</v>
      </c>
      <c r="B7879" s="3" t="s">
        <v>7881</v>
      </c>
      <c r="C7879" s="3" t="s">
        <v>9</v>
      </c>
      <c r="D7879" s="3" t="s">
        <v>10</v>
      </c>
      <c r="E7879" s="3">
        <v>24</v>
      </c>
      <c r="F7879" s="3">
        <v>70</v>
      </c>
      <c r="G7879" s="3">
        <v>1</v>
      </c>
      <c r="H7879" s="3">
        <v>5</v>
      </c>
      <c r="I7879" s="3">
        <v>21</v>
      </c>
      <c r="J7879" s="3">
        <v>1</v>
      </c>
      <c r="K7879" s="3">
        <v>24</v>
      </c>
      <c r="L7879" s="3">
        <v>1</v>
      </c>
      <c r="M7879" s="3">
        <v>0</v>
      </c>
      <c r="N7879" s="3">
        <v>22</v>
      </c>
      <c r="O7879" s="3"/>
      <c r="P7879" s="3"/>
      <c r="Q7879" s="3"/>
    </row>
    <row r="7880" spans="1:17" ht="15" x14ac:dyDescent="0.25">
      <c r="A7880" s="3">
        <f>7873</f>
        <v>7873</v>
      </c>
      <c r="B7880" s="3" t="s">
        <v>7882</v>
      </c>
      <c r="C7880" s="3" t="s">
        <v>9</v>
      </c>
      <c r="D7880" s="3" t="s">
        <v>10</v>
      </c>
      <c r="E7880" s="3">
        <v>24</v>
      </c>
      <c r="F7880" s="3">
        <v>70</v>
      </c>
      <c r="G7880" s="3">
        <v>1</v>
      </c>
      <c r="H7880" s="3">
        <v>5</v>
      </c>
      <c r="I7880" s="3">
        <v>21</v>
      </c>
      <c r="J7880" s="3">
        <v>1</v>
      </c>
      <c r="K7880" s="3">
        <v>24</v>
      </c>
      <c r="L7880" s="3">
        <v>1</v>
      </c>
      <c r="M7880" s="3">
        <v>0</v>
      </c>
      <c r="N7880" s="3">
        <v>22</v>
      </c>
      <c r="O7880" s="3"/>
      <c r="P7880" s="3"/>
      <c r="Q7880" s="3"/>
    </row>
    <row r="7881" spans="1:17" ht="15" x14ac:dyDescent="0.25">
      <c r="A7881" s="3">
        <f>7874</f>
        <v>7874</v>
      </c>
      <c r="B7881" s="3" t="s">
        <v>7883</v>
      </c>
      <c r="C7881" s="3" t="s">
        <v>9</v>
      </c>
      <c r="D7881" s="3" t="s">
        <v>10</v>
      </c>
      <c r="E7881" s="3">
        <v>24</v>
      </c>
      <c r="F7881" s="3">
        <v>70</v>
      </c>
      <c r="G7881" s="3">
        <v>1</v>
      </c>
      <c r="H7881" s="3">
        <v>5</v>
      </c>
      <c r="I7881" s="3">
        <v>21</v>
      </c>
      <c r="J7881" s="3">
        <v>1</v>
      </c>
      <c r="K7881" s="3">
        <v>24</v>
      </c>
      <c r="L7881" s="3">
        <v>1</v>
      </c>
      <c r="M7881" s="3">
        <v>0</v>
      </c>
      <c r="N7881" s="3">
        <v>22</v>
      </c>
      <c r="O7881" s="3"/>
      <c r="P7881" s="3"/>
      <c r="Q7881" s="3"/>
    </row>
    <row r="7882" spans="1:17" ht="15" x14ac:dyDescent="0.25">
      <c r="A7882" s="3">
        <f>7875</f>
        <v>7875</v>
      </c>
      <c r="B7882" s="3" t="s">
        <v>7884</v>
      </c>
      <c r="C7882" s="3" t="s">
        <v>9</v>
      </c>
      <c r="D7882" s="3" t="s">
        <v>10</v>
      </c>
      <c r="E7882" s="3">
        <v>24</v>
      </c>
      <c r="F7882" s="3">
        <v>70</v>
      </c>
      <c r="G7882" s="3">
        <v>1</v>
      </c>
      <c r="H7882" s="3">
        <v>5</v>
      </c>
      <c r="I7882" s="3">
        <v>21</v>
      </c>
      <c r="J7882" s="3">
        <v>1</v>
      </c>
      <c r="K7882" s="3">
        <v>24</v>
      </c>
      <c r="L7882" s="3">
        <v>1</v>
      </c>
      <c r="M7882" s="3">
        <v>0</v>
      </c>
      <c r="N7882" s="3">
        <v>22</v>
      </c>
      <c r="O7882" s="3"/>
      <c r="P7882" s="3"/>
      <c r="Q7882" s="3"/>
    </row>
    <row r="7883" spans="1:17" ht="15" x14ac:dyDescent="0.25">
      <c r="A7883" s="3">
        <f>7876</f>
        <v>7876</v>
      </c>
      <c r="B7883" s="3" t="s">
        <v>7885</v>
      </c>
      <c r="C7883" s="3" t="s">
        <v>10</v>
      </c>
      <c r="D7883" s="3" t="s">
        <v>9</v>
      </c>
      <c r="E7883" s="3">
        <v>24</v>
      </c>
      <c r="F7883" s="3">
        <v>70</v>
      </c>
      <c r="G7883" s="3">
        <v>1</v>
      </c>
      <c r="H7883" s="3">
        <v>5</v>
      </c>
      <c r="I7883" s="3">
        <v>21</v>
      </c>
      <c r="J7883" s="3">
        <v>1</v>
      </c>
      <c r="K7883" s="3">
        <v>24</v>
      </c>
      <c r="L7883" s="3">
        <v>1</v>
      </c>
      <c r="M7883" s="3">
        <v>0</v>
      </c>
      <c r="N7883" s="3">
        <v>22</v>
      </c>
      <c r="O7883" s="3"/>
      <c r="P7883" s="3"/>
      <c r="Q7883" s="3"/>
    </row>
    <row r="7884" spans="1:17" ht="15" x14ac:dyDescent="0.25">
      <c r="A7884" s="3">
        <f>7877</f>
        <v>7877</v>
      </c>
      <c r="B7884" s="3" t="s">
        <v>7886</v>
      </c>
      <c r="C7884" s="3" t="s">
        <v>10</v>
      </c>
      <c r="D7884" s="3" t="s">
        <v>9</v>
      </c>
      <c r="E7884" s="3">
        <v>24</v>
      </c>
      <c r="F7884" s="3">
        <v>70</v>
      </c>
      <c r="G7884" s="3">
        <v>1</v>
      </c>
      <c r="H7884" s="3">
        <v>5</v>
      </c>
      <c r="I7884" s="3">
        <v>21</v>
      </c>
      <c r="J7884" s="3">
        <v>1</v>
      </c>
      <c r="K7884" s="3">
        <v>24</v>
      </c>
      <c r="L7884" s="3">
        <v>1</v>
      </c>
      <c r="M7884" s="3">
        <v>0</v>
      </c>
      <c r="N7884" s="3">
        <v>22</v>
      </c>
      <c r="O7884" s="3"/>
      <c r="P7884" s="3"/>
      <c r="Q7884" s="3"/>
    </row>
    <row r="7885" spans="1:17" ht="15" x14ac:dyDescent="0.25">
      <c r="A7885" s="3">
        <f>7878</f>
        <v>7878</v>
      </c>
      <c r="B7885" s="3" t="s">
        <v>7887</v>
      </c>
      <c r="C7885" s="3" t="s">
        <v>10</v>
      </c>
      <c r="D7885" s="3" t="s">
        <v>9</v>
      </c>
      <c r="E7885" s="3">
        <v>24</v>
      </c>
      <c r="F7885" s="3">
        <v>70</v>
      </c>
      <c r="G7885" s="3">
        <v>1</v>
      </c>
      <c r="H7885" s="3">
        <v>5</v>
      </c>
      <c r="I7885" s="3">
        <v>21</v>
      </c>
      <c r="J7885" s="3">
        <v>1</v>
      </c>
      <c r="K7885" s="3">
        <v>24</v>
      </c>
      <c r="L7885" s="3">
        <v>1</v>
      </c>
      <c r="M7885" s="3">
        <v>0</v>
      </c>
      <c r="N7885" s="3">
        <v>22</v>
      </c>
      <c r="O7885" s="3"/>
      <c r="P7885" s="3"/>
      <c r="Q7885" s="3"/>
    </row>
    <row r="7886" spans="1:17" ht="15" x14ac:dyDescent="0.25">
      <c r="A7886" s="3">
        <f>7879</f>
        <v>7879</v>
      </c>
      <c r="B7886" s="3" t="s">
        <v>7888</v>
      </c>
      <c r="C7886" s="3" t="s">
        <v>10</v>
      </c>
      <c r="D7886" s="3" t="s">
        <v>9</v>
      </c>
      <c r="E7886" s="3">
        <v>24</v>
      </c>
      <c r="F7886" s="3">
        <v>70</v>
      </c>
      <c r="G7886" s="3">
        <v>1</v>
      </c>
      <c r="H7886" s="3">
        <v>5</v>
      </c>
      <c r="I7886" s="3">
        <v>21</v>
      </c>
      <c r="J7886" s="3">
        <v>1</v>
      </c>
      <c r="K7886" s="3">
        <v>24</v>
      </c>
      <c r="L7886" s="3">
        <v>1</v>
      </c>
      <c r="M7886" s="3">
        <v>0</v>
      </c>
      <c r="N7886" s="3">
        <v>22</v>
      </c>
      <c r="O7886" s="3"/>
      <c r="P7886" s="3"/>
      <c r="Q7886" s="3"/>
    </row>
    <row r="7887" spans="1:17" ht="15" x14ac:dyDescent="0.25">
      <c r="A7887" s="3">
        <f>7880</f>
        <v>7880</v>
      </c>
      <c r="B7887" s="3" t="s">
        <v>7889</v>
      </c>
      <c r="C7887" s="3" t="s">
        <v>10</v>
      </c>
      <c r="D7887" s="3" t="s">
        <v>9</v>
      </c>
      <c r="E7887" s="3">
        <v>24</v>
      </c>
      <c r="F7887" s="3">
        <v>70</v>
      </c>
      <c r="G7887" s="3">
        <v>1</v>
      </c>
      <c r="H7887" s="3">
        <v>5</v>
      </c>
      <c r="I7887" s="3">
        <v>21</v>
      </c>
      <c r="J7887" s="3">
        <v>1</v>
      </c>
      <c r="K7887" s="3">
        <v>24</v>
      </c>
      <c r="L7887" s="3">
        <v>1</v>
      </c>
      <c r="M7887" s="3">
        <v>0</v>
      </c>
      <c r="N7887" s="3">
        <v>22</v>
      </c>
      <c r="O7887" s="3"/>
      <c r="P7887" s="3"/>
      <c r="Q7887" s="3"/>
    </row>
    <row r="7888" spans="1:17" ht="15" x14ac:dyDescent="0.25">
      <c r="A7888" s="3">
        <f>7881</f>
        <v>7881</v>
      </c>
      <c r="B7888" s="3" t="s">
        <v>7890</v>
      </c>
      <c r="C7888" s="3" t="s">
        <v>10</v>
      </c>
      <c r="D7888" s="3" t="s">
        <v>9</v>
      </c>
      <c r="E7888" s="3">
        <v>24</v>
      </c>
      <c r="F7888" s="3">
        <v>70</v>
      </c>
      <c r="G7888" s="3">
        <v>1</v>
      </c>
      <c r="H7888" s="3">
        <v>5</v>
      </c>
      <c r="I7888" s="3">
        <v>21</v>
      </c>
      <c r="J7888" s="3">
        <v>1</v>
      </c>
      <c r="K7888" s="3">
        <v>24</v>
      </c>
      <c r="L7888" s="3">
        <v>1</v>
      </c>
      <c r="M7888" s="3">
        <v>0</v>
      </c>
      <c r="N7888" s="3">
        <v>22</v>
      </c>
      <c r="O7888" s="3"/>
      <c r="P7888" s="3"/>
      <c r="Q7888" s="3"/>
    </row>
    <row r="7889" spans="1:17" ht="15" x14ac:dyDescent="0.25">
      <c r="A7889" s="3">
        <f>7882</f>
        <v>7882</v>
      </c>
      <c r="B7889" s="3" t="s">
        <v>7891</v>
      </c>
      <c r="C7889" s="3" t="s">
        <v>10</v>
      </c>
      <c r="D7889" s="3" t="s">
        <v>9</v>
      </c>
      <c r="E7889" s="3">
        <v>24</v>
      </c>
      <c r="F7889" s="3">
        <v>70</v>
      </c>
      <c r="G7889" s="3">
        <v>1</v>
      </c>
      <c r="H7889" s="3">
        <v>5</v>
      </c>
      <c r="I7889" s="3">
        <v>21</v>
      </c>
      <c r="J7889" s="3">
        <v>1</v>
      </c>
      <c r="K7889" s="3">
        <v>24</v>
      </c>
      <c r="L7889" s="3">
        <v>1</v>
      </c>
      <c r="M7889" s="3">
        <v>0</v>
      </c>
      <c r="N7889" s="3">
        <v>22</v>
      </c>
      <c r="O7889" s="3"/>
      <c r="P7889" s="3"/>
      <c r="Q7889" s="3"/>
    </row>
    <row r="7890" spans="1:17" ht="15" x14ac:dyDescent="0.25">
      <c r="A7890" s="3">
        <f>7883</f>
        <v>7883</v>
      </c>
      <c r="B7890" s="3" t="s">
        <v>7892</v>
      </c>
      <c r="C7890" s="3" t="s">
        <v>10</v>
      </c>
      <c r="D7890" s="3" t="s">
        <v>9</v>
      </c>
      <c r="E7890" s="3">
        <v>24</v>
      </c>
      <c r="F7890" s="3">
        <v>70</v>
      </c>
      <c r="G7890" s="3">
        <v>1</v>
      </c>
      <c r="H7890" s="3">
        <v>5</v>
      </c>
      <c r="I7890" s="3">
        <v>21</v>
      </c>
      <c r="J7890" s="3">
        <v>1</v>
      </c>
      <c r="K7890" s="3">
        <v>24</v>
      </c>
      <c r="L7890" s="3">
        <v>1</v>
      </c>
      <c r="M7890" s="3">
        <v>0</v>
      </c>
      <c r="N7890" s="3">
        <v>22</v>
      </c>
      <c r="O7890" s="3"/>
      <c r="P7890" s="3"/>
      <c r="Q7890" s="3"/>
    </row>
    <row r="7891" spans="1:17" ht="15" x14ac:dyDescent="0.25">
      <c r="A7891" s="3">
        <f>7884</f>
        <v>7884</v>
      </c>
      <c r="B7891" s="3" t="s">
        <v>7893</v>
      </c>
      <c r="C7891" s="3" t="s">
        <v>10</v>
      </c>
      <c r="D7891" s="3" t="s">
        <v>9</v>
      </c>
      <c r="E7891" s="3">
        <v>24</v>
      </c>
      <c r="F7891" s="3">
        <v>70</v>
      </c>
      <c r="G7891" s="3">
        <v>1</v>
      </c>
      <c r="H7891" s="3">
        <v>5</v>
      </c>
      <c r="I7891" s="3">
        <v>21</v>
      </c>
      <c r="J7891" s="3">
        <v>1</v>
      </c>
      <c r="K7891" s="3">
        <v>24</v>
      </c>
      <c r="L7891" s="3">
        <v>1</v>
      </c>
      <c r="M7891" s="3">
        <v>0</v>
      </c>
      <c r="N7891" s="3">
        <v>22</v>
      </c>
      <c r="O7891" s="3"/>
      <c r="P7891" s="3"/>
      <c r="Q7891" s="3"/>
    </row>
    <row r="7892" spans="1:17" ht="15" x14ac:dyDescent="0.25">
      <c r="A7892" s="3">
        <f>7885</f>
        <v>7885</v>
      </c>
      <c r="B7892" s="3" t="s">
        <v>7894</v>
      </c>
      <c r="C7892" s="3" t="s">
        <v>10</v>
      </c>
      <c r="D7892" s="3" t="s">
        <v>9</v>
      </c>
      <c r="E7892" s="3">
        <v>24</v>
      </c>
      <c r="F7892" s="3">
        <v>70</v>
      </c>
      <c r="G7892" s="3">
        <v>1</v>
      </c>
      <c r="H7892" s="3">
        <v>5</v>
      </c>
      <c r="I7892" s="3">
        <v>21</v>
      </c>
      <c r="J7892" s="3">
        <v>1</v>
      </c>
      <c r="K7892" s="3">
        <v>24</v>
      </c>
      <c r="L7892" s="3">
        <v>1</v>
      </c>
      <c r="M7892" s="3">
        <v>0</v>
      </c>
      <c r="N7892" s="3">
        <v>22</v>
      </c>
      <c r="O7892" s="3"/>
      <c r="P7892" s="3"/>
      <c r="Q7892" s="3"/>
    </row>
    <row r="7893" spans="1:17" ht="15" x14ac:dyDescent="0.25">
      <c r="A7893" s="3">
        <f>7886</f>
        <v>7886</v>
      </c>
      <c r="B7893" s="3" t="s">
        <v>7895</v>
      </c>
      <c r="C7893" s="3" t="s">
        <v>9</v>
      </c>
      <c r="D7893" s="3" t="s">
        <v>9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/>
      <c r="P7893" s="3"/>
      <c r="Q7893" s="3"/>
    </row>
    <row r="7894" spans="1:17" ht="15" x14ac:dyDescent="0.25">
      <c r="A7894" s="3">
        <f>7887</f>
        <v>7887</v>
      </c>
      <c r="B7894" s="3" t="s">
        <v>7896</v>
      </c>
      <c r="C7894" s="3" t="s">
        <v>9</v>
      </c>
      <c r="D7894" s="3" t="s">
        <v>9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/>
      <c r="P7894" s="3"/>
      <c r="Q7894" s="3"/>
    </row>
    <row r="7895" spans="1:17" ht="15" x14ac:dyDescent="0.25">
      <c r="A7895" s="3">
        <f>7888</f>
        <v>7888</v>
      </c>
      <c r="B7895" s="3" t="s">
        <v>7897</v>
      </c>
      <c r="C7895" s="3" t="s">
        <v>9</v>
      </c>
      <c r="D7895" s="3" t="s">
        <v>9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/>
      <c r="P7895" s="3"/>
      <c r="Q7895" s="3"/>
    </row>
    <row r="7896" spans="1:17" ht="15" x14ac:dyDescent="0.25">
      <c r="A7896" s="3">
        <f>7889</f>
        <v>7889</v>
      </c>
      <c r="B7896" s="3" t="s">
        <v>7898</v>
      </c>
      <c r="C7896" s="3" t="s">
        <v>9</v>
      </c>
      <c r="D7896" s="3" t="s">
        <v>9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/>
      <c r="P7896" s="3"/>
      <c r="Q7896" s="3"/>
    </row>
    <row r="7897" spans="1:17" ht="15" x14ac:dyDescent="0.25">
      <c r="A7897" s="3">
        <f>7890</f>
        <v>7890</v>
      </c>
      <c r="B7897" s="3" t="s">
        <v>7899</v>
      </c>
      <c r="C7897" s="3" t="s">
        <v>9</v>
      </c>
      <c r="D7897" s="3" t="s">
        <v>9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/>
      <c r="P7897" s="3"/>
      <c r="Q7897" s="3"/>
    </row>
    <row r="7898" spans="1:17" ht="15" x14ac:dyDescent="0.25">
      <c r="A7898" s="3">
        <f>7891</f>
        <v>7891</v>
      </c>
      <c r="B7898" s="3" t="s">
        <v>7900</v>
      </c>
      <c r="C7898" s="3" t="s">
        <v>9</v>
      </c>
      <c r="D7898" s="3" t="s">
        <v>9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/>
      <c r="P7898" s="3"/>
      <c r="Q7898" s="3"/>
    </row>
    <row r="7899" spans="1:17" ht="15" x14ac:dyDescent="0.25">
      <c r="A7899" s="3">
        <f>7892</f>
        <v>7892</v>
      </c>
      <c r="B7899" s="3" t="s">
        <v>7901</v>
      </c>
      <c r="C7899" s="3" t="s">
        <v>9</v>
      </c>
      <c r="D7899" s="3" t="s">
        <v>9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/>
      <c r="P7899" s="3"/>
      <c r="Q7899" s="3"/>
    </row>
    <row r="7900" spans="1:17" ht="15" x14ac:dyDescent="0.25">
      <c r="A7900" s="3">
        <f>7893</f>
        <v>7893</v>
      </c>
      <c r="B7900" s="3" t="s">
        <v>7902</v>
      </c>
      <c r="C7900" s="3" t="s">
        <v>9</v>
      </c>
      <c r="D7900" s="3" t="s">
        <v>9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/>
      <c r="P7900" s="3"/>
      <c r="Q7900" s="3"/>
    </row>
    <row r="7901" spans="1:17" ht="15" x14ac:dyDescent="0.25">
      <c r="A7901" s="3">
        <f>7894</f>
        <v>7894</v>
      </c>
      <c r="B7901" s="3" t="s">
        <v>7903</v>
      </c>
      <c r="C7901" s="3" t="s">
        <v>9</v>
      </c>
      <c r="D7901" s="3" t="s">
        <v>9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/>
      <c r="P7901" s="3"/>
      <c r="Q7901" s="3"/>
    </row>
    <row r="7902" spans="1:17" ht="15" x14ac:dyDescent="0.25">
      <c r="A7902" s="3">
        <f>7895</f>
        <v>7895</v>
      </c>
      <c r="B7902" s="3" t="s">
        <v>7904</v>
      </c>
      <c r="C7902" s="3" t="s">
        <v>9</v>
      </c>
      <c r="D7902" s="3" t="s">
        <v>9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/>
      <c r="P7902" s="3"/>
      <c r="Q7902" s="3"/>
    </row>
    <row r="7903" spans="1:17" ht="15" x14ac:dyDescent="0.25">
      <c r="A7903" s="3">
        <f>7896</f>
        <v>7896</v>
      </c>
      <c r="B7903" s="3" t="s">
        <v>7905</v>
      </c>
      <c r="C7903" s="3" t="s">
        <v>9</v>
      </c>
      <c r="D7903" s="3" t="s">
        <v>9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/>
      <c r="P7903" s="3"/>
      <c r="Q7903" s="3"/>
    </row>
    <row r="7904" spans="1:17" ht="15" x14ac:dyDescent="0.25">
      <c r="A7904" s="3">
        <f>7897</f>
        <v>7897</v>
      </c>
      <c r="B7904" s="3" t="s">
        <v>7906</v>
      </c>
      <c r="C7904" s="3" t="s">
        <v>9</v>
      </c>
      <c r="D7904" s="3" t="s">
        <v>9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/>
      <c r="P7904" s="3"/>
      <c r="Q7904" s="3"/>
    </row>
    <row r="7905" spans="1:17" ht="15" x14ac:dyDescent="0.25">
      <c r="A7905" s="3">
        <f>7898</f>
        <v>7898</v>
      </c>
      <c r="B7905" s="3" t="s">
        <v>7907</v>
      </c>
      <c r="C7905" s="3" t="s">
        <v>9</v>
      </c>
      <c r="D7905" s="3" t="s">
        <v>9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/>
      <c r="P7905" s="3"/>
      <c r="Q7905" s="3"/>
    </row>
    <row r="7906" spans="1:17" ht="15" x14ac:dyDescent="0.25">
      <c r="A7906" s="3">
        <f>7899</f>
        <v>7899</v>
      </c>
      <c r="B7906" s="3" t="s">
        <v>7908</v>
      </c>
      <c r="C7906" s="3" t="s">
        <v>9</v>
      </c>
      <c r="D7906" s="3" t="s">
        <v>9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/>
      <c r="P7906" s="3"/>
      <c r="Q7906" s="3"/>
    </row>
    <row r="7907" spans="1:17" ht="15" x14ac:dyDescent="0.25">
      <c r="A7907" s="3">
        <f>7900</f>
        <v>7900</v>
      </c>
      <c r="B7907" s="3" t="s">
        <v>7909</v>
      </c>
      <c r="C7907" s="3" t="s">
        <v>9</v>
      </c>
      <c r="D7907" s="3" t="s">
        <v>9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/>
      <c r="P7907" s="3"/>
      <c r="Q7907" s="3"/>
    </row>
    <row r="7908" spans="1:17" ht="15" x14ac:dyDescent="0.25">
      <c r="A7908" s="3">
        <f>7901</f>
        <v>7901</v>
      </c>
      <c r="B7908" s="3" t="s">
        <v>7910</v>
      </c>
      <c r="C7908" s="3" t="s">
        <v>9</v>
      </c>
      <c r="D7908" s="3" t="s">
        <v>9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/>
      <c r="P7908" s="3"/>
      <c r="Q7908" s="3"/>
    </row>
    <row r="7909" spans="1:17" ht="15" x14ac:dyDescent="0.25">
      <c r="A7909" s="3">
        <f>7902</f>
        <v>7902</v>
      </c>
      <c r="B7909" s="3" t="s">
        <v>7911</v>
      </c>
      <c r="C7909" s="3" t="s">
        <v>9</v>
      </c>
      <c r="D7909" s="3" t="s">
        <v>9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/>
      <c r="P7909" s="3"/>
      <c r="Q7909" s="3"/>
    </row>
    <row r="7910" spans="1:17" ht="15" x14ac:dyDescent="0.25">
      <c r="A7910" s="3">
        <f>7903</f>
        <v>7903</v>
      </c>
      <c r="B7910" s="3" t="s">
        <v>7912</v>
      </c>
      <c r="C7910" s="3" t="s">
        <v>9</v>
      </c>
      <c r="D7910" s="3" t="s">
        <v>9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/>
      <c r="P7910" s="3"/>
      <c r="Q7910" s="3"/>
    </row>
    <row r="7911" spans="1:17" ht="15" x14ac:dyDescent="0.25">
      <c r="A7911" s="3">
        <f>7904</f>
        <v>7904</v>
      </c>
      <c r="B7911" s="3" t="s">
        <v>7913</v>
      </c>
      <c r="C7911" s="3" t="s">
        <v>9</v>
      </c>
      <c r="D7911" s="3" t="s">
        <v>9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/>
      <c r="P7911" s="3"/>
      <c r="Q7911" s="3"/>
    </row>
    <row r="7912" spans="1:17" ht="15" x14ac:dyDescent="0.25">
      <c r="A7912" s="3">
        <f>7905</f>
        <v>7905</v>
      </c>
      <c r="B7912" s="3" t="s">
        <v>7914</v>
      </c>
      <c r="C7912" s="3" t="s">
        <v>9</v>
      </c>
      <c r="D7912" s="3" t="s">
        <v>9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/>
      <c r="P7912" s="3"/>
      <c r="Q7912" s="3"/>
    </row>
    <row r="7913" spans="1:17" ht="15" x14ac:dyDescent="0.25">
      <c r="A7913" s="3">
        <f>7906</f>
        <v>7906</v>
      </c>
      <c r="B7913" s="3" t="s">
        <v>7915</v>
      </c>
      <c r="C7913" s="3" t="s">
        <v>9</v>
      </c>
      <c r="D7913" s="3" t="s">
        <v>9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/>
      <c r="P7913" s="3"/>
      <c r="Q7913" s="3"/>
    </row>
    <row r="7914" spans="1:17" ht="15" x14ac:dyDescent="0.25">
      <c r="A7914" s="3">
        <f>7907</f>
        <v>7907</v>
      </c>
      <c r="B7914" s="3" t="s">
        <v>7916</v>
      </c>
      <c r="C7914" s="3" t="s">
        <v>9</v>
      </c>
      <c r="D7914" s="3" t="s">
        <v>9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/>
      <c r="P7914" s="3"/>
      <c r="Q7914" s="3"/>
    </row>
    <row r="7915" spans="1:17" ht="15" x14ac:dyDescent="0.25">
      <c r="A7915" s="3">
        <f>7908</f>
        <v>7908</v>
      </c>
      <c r="B7915" s="3" t="s">
        <v>7917</v>
      </c>
      <c r="C7915" s="3" t="s">
        <v>9</v>
      </c>
      <c r="D7915" s="3" t="s">
        <v>9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/>
      <c r="P7915" s="3"/>
      <c r="Q7915" s="3"/>
    </row>
    <row r="7916" spans="1:17" ht="15" x14ac:dyDescent="0.25">
      <c r="A7916" s="3">
        <f>7909</f>
        <v>7909</v>
      </c>
      <c r="B7916" s="3" t="s">
        <v>7918</v>
      </c>
      <c r="C7916" s="3" t="s">
        <v>9</v>
      </c>
      <c r="D7916" s="3" t="s">
        <v>9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/>
      <c r="P7916" s="3"/>
      <c r="Q7916" s="3"/>
    </row>
    <row r="7917" spans="1:17" ht="15" x14ac:dyDescent="0.25">
      <c r="A7917" s="3">
        <f>7910</f>
        <v>7910</v>
      </c>
      <c r="B7917" s="3" t="s">
        <v>7919</v>
      </c>
      <c r="C7917" s="3" t="s">
        <v>9</v>
      </c>
      <c r="D7917" s="3" t="s">
        <v>9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/>
      <c r="P7917" s="3"/>
      <c r="Q7917" s="3"/>
    </row>
    <row r="7918" spans="1:17" ht="15" x14ac:dyDescent="0.25">
      <c r="A7918" s="3">
        <f>7911</f>
        <v>7911</v>
      </c>
      <c r="B7918" s="3" t="s">
        <v>7920</v>
      </c>
      <c r="C7918" s="3" t="s">
        <v>9</v>
      </c>
      <c r="D7918" s="3" t="s">
        <v>9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/>
      <c r="P7918" s="3"/>
      <c r="Q7918" s="3"/>
    </row>
    <row r="7919" spans="1:17" ht="15" x14ac:dyDescent="0.25">
      <c r="A7919" s="3">
        <f>7912</f>
        <v>7912</v>
      </c>
      <c r="B7919" s="3" t="s">
        <v>7921</v>
      </c>
      <c r="C7919" s="3" t="s">
        <v>9</v>
      </c>
      <c r="D7919" s="3" t="s">
        <v>9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/>
      <c r="P7919" s="3"/>
      <c r="Q7919" s="3"/>
    </row>
    <row r="7920" spans="1:17" ht="15" x14ac:dyDescent="0.25">
      <c r="A7920" s="3">
        <f>7913</f>
        <v>7913</v>
      </c>
      <c r="B7920" s="3" t="s">
        <v>7922</v>
      </c>
      <c r="C7920" s="3" t="s">
        <v>9</v>
      </c>
      <c r="D7920" s="3" t="s">
        <v>9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/>
      <c r="P7920" s="3"/>
      <c r="Q7920" s="3"/>
    </row>
    <row r="7921" spans="1:17" ht="15" x14ac:dyDescent="0.25">
      <c r="A7921" s="3">
        <f>7914</f>
        <v>7914</v>
      </c>
      <c r="B7921" s="3" t="s">
        <v>7923</v>
      </c>
      <c r="C7921" s="3" t="s">
        <v>9</v>
      </c>
      <c r="D7921" s="3" t="s">
        <v>9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/>
      <c r="P7921" s="3"/>
      <c r="Q7921" s="3"/>
    </row>
    <row r="7922" spans="1:17" ht="15" x14ac:dyDescent="0.25">
      <c r="A7922" s="3">
        <f>7915</f>
        <v>7915</v>
      </c>
      <c r="B7922" s="3" t="s">
        <v>7924</v>
      </c>
      <c r="C7922" s="3" t="s">
        <v>9</v>
      </c>
      <c r="D7922" s="3" t="s">
        <v>9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/>
      <c r="P7922" s="3"/>
      <c r="Q7922" s="3"/>
    </row>
    <row r="7923" spans="1:17" ht="15" x14ac:dyDescent="0.25">
      <c r="A7923" s="3">
        <f>7916</f>
        <v>7916</v>
      </c>
      <c r="B7923" s="3" t="s">
        <v>7925</v>
      </c>
      <c r="C7923" s="3" t="s">
        <v>9</v>
      </c>
      <c r="D7923" s="3" t="s">
        <v>9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/>
      <c r="P7923" s="3"/>
      <c r="Q7923" s="3"/>
    </row>
    <row r="7924" spans="1:17" ht="15" x14ac:dyDescent="0.25">
      <c r="A7924" s="3">
        <f>7917</f>
        <v>7917</v>
      </c>
      <c r="B7924" s="3" t="s">
        <v>7926</v>
      </c>
      <c r="C7924" s="3" t="s">
        <v>9</v>
      </c>
      <c r="D7924" s="3" t="s">
        <v>9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/>
      <c r="P7924" s="3"/>
      <c r="Q7924" s="3"/>
    </row>
    <row r="7925" spans="1:17" ht="15" x14ac:dyDescent="0.25">
      <c r="A7925" s="3">
        <f>7918</f>
        <v>7918</v>
      </c>
      <c r="B7925" s="3" t="s">
        <v>7927</v>
      </c>
      <c r="C7925" s="3" t="s">
        <v>9</v>
      </c>
      <c r="D7925" s="3" t="s">
        <v>9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/>
      <c r="P7925" s="3"/>
      <c r="Q7925" s="3"/>
    </row>
    <row r="7926" spans="1:17" ht="15" x14ac:dyDescent="0.25">
      <c r="A7926" s="3">
        <f>7919</f>
        <v>7919</v>
      </c>
      <c r="B7926" s="3" t="s">
        <v>7928</v>
      </c>
      <c r="C7926" s="3" t="s">
        <v>9</v>
      </c>
      <c r="D7926" s="3" t="s">
        <v>9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/>
      <c r="P7926" s="3"/>
      <c r="Q7926" s="3"/>
    </row>
    <row r="7927" spans="1:17" ht="15" x14ac:dyDescent="0.25">
      <c r="A7927" s="3">
        <f>7920</f>
        <v>7920</v>
      </c>
      <c r="B7927" s="3" t="s">
        <v>7929</v>
      </c>
      <c r="C7927" s="3" t="s">
        <v>9</v>
      </c>
      <c r="D7927" s="3" t="s">
        <v>9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/>
      <c r="P7927" s="3"/>
      <c r="Q7927" s="3"/>
    </row>
    <row r="7928" spans="1:17" ht="15" x14ac:dyDescent="0.25">
      <c r="A7928" s="3">
        <f>7921</f>
        <v>7921</v>
      </c>
      <c r="B7928" s="3" t="s">
        <v>7930</v>
      </c>
      <c r="C7928" s="3" t="s">
        <v>9</v>
      </c>
      <c r="D7928" s="3" t="s">
        <v>9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/>
      <c r="P7928" s="3"/>
      <c r="Q7928" s="3"/>
    </row>
    <row r="7929" spans="1:17" ht="15" x14ac:dyDescent="0.25">
      <c r="A7929" s="3">
        <f>7922</f>
        <v>7922</v>
      </c>
      <c r="B7929" s="3" t="s">
        <v>7931</v>
      </c>
      <c r="C7929" s="3" t="s">
        <v>9</v>
      </c>
      <c r="D7929" s="3" t="s">
        <v>9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/>
      <c r="P7929" s="3"/>
      <c r="Q7929" s="3"/>
    </row>
    <row r="7930" spans="1:17" ht="15" x14ac:dyDescent="0.25">
      <c r="A7930" s="3">
        <f>7923</f>
        <v>7923</v>
      </c>
      <c r="B7930" s="3" t="s">
        <v>7932</v>
      </c>
      <c r="C7930" s="3" t="s">
        <v>9</v>
      </c>
      <c r="D7930" s="3" t="s">
        <v>9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/>
      <c r="P7930" s="3"/>
      <c r="Q7930" s="3"/>
    </row>
    <row r="7931" spans="1:17" ht="15" x14ac:dyDescent="0.25">
      <c r="A7931" s="3">
        <f>7924</f>
        <v>7924</v>
      </c>
      <c r="B7931" s="3" t="s">
        <v>7933</v>
      </c>
      <c r="C7931" s="3" t="s">
        <v>9</v>
      </c>
      <c r="D7931" s="3" t="s">
        <v>9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/>
      <c r="P7931" s="3"/>
      <c r="Q7931" s="3"/>
    </row>
    <row r="7932" spans="1:17" ht="15" x14ac:dyDescent="0.25">
      <c r="A7932" s="3">
        <f>7925</f>
        <v>7925</v>
      </c>
      <c r="B7932" s="3" t="s">
        <v>7934</v>
      </c>
      <c r="C7932" s="3" t="s">
        <v>9</v>
      </c>
      <c r="D7932" s="3" t="s">
        <v>9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/>
      <c r="P7932" s="3"/>
      <c r="Q7932" s="3"/>
    </row>
    <row r="7933" spans="1:17" ht="15" x14ac:dyDescent="0.25">
      <c r="A7933" s="3">
        <f>7926</f>
        <v>7926</v>
      </c>
      <c r="B7933" s="3" t="s">
        <v>7935</v>
      </c>
      <c r="C7933" s="3" t="s">
        <v>9</v>
      </c>
      <c r="D7933" s="3" t="s">
        <v>9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/>
      <c r="P7933" s="3"/>
      <c r="Q7933" s="3"/>
    </row>
    <row r="7934" spans="1:17" ht="15" x14ac:dyDescent="0.25">
      <c r="A7934" s="3">
        <f>7927</f>
        <v>7927</v>
      </c>
      <c r="B7934" s="3" t="s">
        <v>7936</v>
      </c>
      <c r="C7934" s="3" t="s">
        <v>9</v>
      </c>
      <c r="D7934" s="3" t="s">
        <v>9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/>
      <c r="P7934" s="3"/>
      <c r="Q7934" s="3"/>
    </row>
    <row r="7935" spans="1:17" ht="15" x14ac:dyDescent="0.25">
      <c r="A7935" s="3">
        <f>7928</f>
        <v>7928</v>
      </c>
      <c r="B7935" s="3" t="s">
        <v>7937</v>
      </c>
      <c r="C7935" s="3" t="s">
        <v>9</v>
      </c>
      <c r="D7935" s="3" t="s">
        <v>9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/>
      <c r="P7935" s="3"/>
      <c r="Q7935" s="3"/>
    </row>
    <row r="7936" spans="1:17" ht="15" x14ac:dyDescent="0.25">
      <c r="A7936" s="3">
        <f>7929</f>
        <v>7929</v>
      </c>
      <c r="B7936" s="3" t="s">
        <v>7938</v>
      </c>
      <c r="C7936" s="3" t="s">
        <v>9</v>
      </c>
      <c r="D7936" s="3" t="s">
        <v>9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/>
      <c r="P7936" s="3"/>
      <c r="Q7936" s="3"/>
    </row>
    <row r="7937" spans="1:17" ht="15" x14ac:dyDescent="0.25">
      <c r="A7937" s="3">
        <f>7930</f>
        <v>7930</v>
      </c>
      <c r="B7937" s="3" t="s">
        <v>7939</v>
      </c>
      <c r="C7937" s="3" t="s">
        <v>9</v>
      </c>
      <c r="D7937" s="3" t="s">
        <v>9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/>
      <c r="P7937" s="3"/>
      <c r="Q7937" s="3"/>
    </row>
    <row r="7938" spans="1:17" ht="15" x14ac:dyDescent="0.25">
      <c r="A7938" s="3">
        <f>7931</f>
        <v>7931</v>
      </c>
      <c r="B7938" s="3" t="s">
        <v>7940</v>
      </c>
      <c r="C7938" s="3" t="s">
        <v>9</v>
      </c>
      <c r="D7938" s="3" t="s">
        <v>9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/>
      <c r="P7938" s="3"/>
      <c r="Q7938" s="3"/>
    </row>
    <row r="7939" spans="1:17" ht="15" x14ac:dyDescent="0.25">
      <c r="A7939" s="3">
        <f>7932</f>
        <v>7932</v>
      </c>
      <c r="B7939" s="3" t="s">
        <v>7941</v>
      </c>
      <c r="C7939" s="3" t="s">
        <v>9</v>
      </c>
      <c r="D7939" s="3" t="s">
        <v>9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/>
      <c r="P7939" s="3"/>
      <c r="Q7939" s="3"/>
    </row>
    <row r="7940" spans="1:17" ht="15" x14ac:dyDescent="0.25">
      <c r="A7940" s="3">
        <f>7933</f>
        <v>7933</v>
      </c>
      <c r="B7940" s="3" t="s">
        <v>7942</v>
      </c>
      <c r="C7940" s="3" t="s">
        <v>9</v>
      </c>
      <c r="D7940" s="3" t="s">
        <v>9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/>
      <c r="P7940" s="3"/>
      <c r="Q7940" s="3"/>
    </row>
    <row r="7941" spans="1:17" ht="15" x14ac:dyDescent="0.25">
      <c r="A7941" s="3">
        <f>7934</f>
        <v>7934</v>
      </c>
      <c r="B7941" s="3" t="s">
        <v>7943</v>
      </c>
      <c r="C7941" s="3" t="s">
        <v>9</v>
      </c>
      <c r="D7941" s="3" t="s">
        <v>9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/>
      <c r="P7941" s="3"/>
      <c r="Q7941" s="3"/>
    </row>
    <row r="7942" spans="1:17" ht="15" x14ac:dyDescent="0.25">
      <c r="A7942" s="3">
        <f>7935</f>
        <v>7935</v>
      </c>
      <c r="B7942" s="3" t="s">
        <v>7944</v>
      </c>
      <c r="C7942" s="3" t="s">
        <v>9</v>
      </c>
      <c r="D7942" s="3" t="s">
        <v>9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/>
      <c r="P7942" s="3"/>
      <c r="Q7942" s="3"/>
    </row>
    <row r="7943" spans="1:17" ht="15" x14ac:dyDescent="0.25">
      <c r="A7943" s="3">
        <f>7936</f>
        <v>7936</v>
      </c>
      <c r="B7943" s="3" t="s">
        <v>7945</v>
      </c>
      <c r="C7943" s="3" t="s">
        <v>9</v>
      </c>
      <c r="D7943" s="3" t="s">
        <v>9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/>
      <c r="P7943" s="3"/>
      <c r="Q7943" s="3"/>
    </row>
    <row r="7944" spans="1:17" ht="15" x14ac:dyDescent="0.25">
      <c r="A7944" s="3">
        <f>7937</f>
        <v>7937</v>
      </c>
      <c r="B7944" s="3" t="s">
        <v>7946</v>
      </c>
      <c r="C7944" s="3" t="s">
        <v>9</v>
      </c>
      <c r="D7944" s="3" t="s">
        <v>9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/>
      <c r="P7944" s="3"/>
      <c r="Q7944" s="3"/>
    </row>
    <row r="7945" spans="1:17" ht="15" x14ac:dyDescent="0.25">
      <c r="A7945" s="3">
        <f>7938</f>
        <v>7938</v>
      </c>
      <c r="B7945" s="3" t="s">
        <v>7947</v>
      </c>
      <c r="C7945" s="3" t="s">
        <v>9</v>
      </c>
      <c r="D7945" s="3" t="s">
        <v>9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/>
      <c r="P7945" s="3"/>
      <c r="Q7945" s="3"/>
    </row>
    <row r="7946" spans="1:17" ht="15" x14ac:dyDescent="0.25">
      <c r="A7946" s="3">
        <f>7939</f>
        <v>7939</v>
      </c>
      <c r="B7946" s="3" t="s">
        <v>7948</v>
      </c>
      <c r="C7946" s="3" t="s">
        <v>9</v>
      </c>
      <c r="D7946" s="3" t="s">
        <v>9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/>
      <c r="P7946" s="3"/>
      <c r="Q7946" s="3"/>
    </row>
    <row r="7947" spans="1:17" ht="15" x14ac:dyDescent="0.25">
      <c r="A7947" s="3">
        <f>7940</f>
        <v>7940</v>
      </c>
      <c r="B7947" s="3" t="s">
        <v>7949</v>
      </c>
      <c r="C7947" s="3" t="s">
        <v>9</v>
      </c>
      <c r="D7947" s="3" t="s">
        <v>9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/>
      <c r="P7947" s="3"/>
      <c r="Q7947" s="3"/>
    </row>
    <row r="7948" spans="1:17" ht="15" x14ac:dyDescent="0.25">
      <c r="A7948" s="3">
        <f>7941</f>
        <v>7941</v>
      </c>
      <c r="B7948" s="3" t="s">
        <v>7950</v>
      </c>
      <c r="C7948" s="3" t="s">
        <v>9</v>
      </c>
      <c r="D7948" s="3" t="s">
        <v>9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/>
      <c r="P7948" s="3"/>
      <c r="Q7948" s="3"/>
    </row>
    <row r="7949" spans="1:17" ht="15" x14ac:dyDescent="0.25">
      <c r="A7949" s="3">
        <f>7942</f>
        <v>7942</v>
      </c>
      <c r="B7949" s="3" t="s">
        <v>7951</v>
      </c>
      <c r="C7949" s="3" t="s">
        <v>9</v>
      </c>
      <c r="D7949" s="3" t="s">
        <v>9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/>
      <c r="P7949" s="3"/>
      <c r="Q7949" s="3"/>
    </row>
    <row r="7950" spans="1:17" ht="15" x14ac:dyDescent="0.25">
      <c r="A7950" s="3">
        <f>7943</f>
        <v>7943</v>
      </c>
      <c r="B7950" s="3" t="s">
        <v>7952</v>
      </c>
      <c r="C7950" s="3" t="s">
        <v>9</v>
      </c>
      <c r="D7950" s="3" t="s">
        <v>9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/>
      <c r="P7950" s="3"/>
      <c r="Q7950" s="3"/>
    </row>
    <row r="7951" spans="1:17" ht="15" x14ac:dyDescent="0.25">
      <c r="A7951" s="3">
        <f>7944</f>
        <v>7944</v>
      </c>
      <c r="B7951" s="3" t="s">
        <v>7953</v>
      </c>
      <c r="C7951" s="3" t="s">
        <v>9</v>
      </c>
      <c r="D7951" s="3" t="s">
        <v>9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/>
      <c r="P7951" s="3"/>
      <c r="Q7951" s="3"/>
    </row>
    <row r="7952" spans="1:17" ht="15" x14ac:dyDescent="0.25">
      <c r="A7952" s="3">
        <f>7945</f>
        <v>7945</v>
      </c>
      <c r="B7952" s="3" t="s">
        <v>7954</v>
      </c>
      <c r="C7952" s="3" t="s">
        <v>9</v>
      </c>
      <c r="D7952" s="3" t="s">
        <v>9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/>
      <c r="P7952" s="3"/>
      <c r="Q7952" s="3"/>
    </row>
    <row r="7953" spans="1:17" ht="15" x14ac:dyDescent="0.25">
      <c r="A7953" s="3">
        <f>7946</f>
        <v>7946</v>
      </c>
      <c r="B7953" s="3" t="s">
        <v>7955</v>
      </c>
      <c r="C7953" s="3" t="s">
        <v>9</v>
      </c>
      <c r="D7953" s="3" t="s">
        <v>9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/>
      <c r="P7953" s="3"/>
      <c r="Q7953" s="3"/>
    </row>
    <row r="7954" spans="1:17" ht="15" x14ac:dyDescent="0.25">
      <c r="A7954" s="3">
        <f>7947</f>
        <v>7947</v>
      </c>
      <c r="B7954" s="3" t="s">
        <v>7956</v>
      </c>
      <c r="C7954" s="3" t="s">
        <v>9</v>
      </c>
      <c r="D7954" s="3" t="s">
        <v>9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/>
      <c r="P7954" s="3"/>
      <c r="Q7954" s="3"/>
    </row>
    <row r="7955" spans="1:17" ht="15" x14ac:dyDescent="0.25">
      <c r="A7955" s="3">
        <f>7948</f>
        <v>7948</v>
      </c>
      <c r="B7955" s="3" t="s">
        <v>7957</v>
      </c>
      <c r="C7955" s="3" t="s">
        <v>9</v>
      </c>
      <c r="D7955" s="3" t="s">
        <v>9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/>
      <c r="P7955" s="3"/>
      <c r="Q7955" s="3"/>
    </row>
    <row r="7956" spans="1:17" ht="15" x14ac:dyDescent="0.25">
      <c r="A7956" s="3">
        <f>7949</f>
        <v>7949</v>
      </c>
      <c r="B7956" s="3" t="s">
        <v>7958</v>
      </c>
      <c r="C7956" s="3" t="s">
        <v>9</v>
      </c>
      <c r="D7956" s="3" t="s">
        <v>9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/>
      <c r="P7956" s="3"/>
      <c r="Q7956" s="3"/>
    </row>
    <row r="7957" spans="1:17" ht="15" x14ac:dyDescent="0.25">
      <c r="A7957" s="3">
        <f>7950</f>
        <v>7950</v>
      </c>
      <c r="B7957" s="3" t="s">
        <v>7959</v>
      </c>
      <c r="C7957" s="3" t="s">
        <v>10</v>
      </c>
      <c r="D7957" s="3" t="s">
        <v>9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/>
      <c r="P7957" s="3"/>
      <c r="Q7957" s="3"/>
    </row>
    <row r="7958" spans="1:17" ht="15" x14ac:dyDescent="0.25">
      <c r="A7958" s="3">
        <f>7951</f>
        <v>7951</v>
      </c>
      <c r="B7958" s="3" t="s">
        <v>7960</v>
      </c>
      <c r="C7958" s="3" t="s">
        <v>10</v>
      </c>
      <c r="D7958" s="3" t="s">
        <v>9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/>
      <c r="P7958" s="3"/>
      <c r="Q7958" s="3"/>
    </row>
    <row r="7959" spans="1:17" ht="15" x14ac:dyDescent="0.25">
      <c r="A7959" s="3">
        <f>7952</f>
        <v>7952</v>
      </c>
      <c r="B7959" s="3" t="s">
        <v>7961</v>
      </c>
      <c r="C7959" s="3" t="s">
        <v>10</v>
      </c>
      <c r="D7959" s="3" t="s">
        <v>9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/>
      <c r="P7959" s="3"/>
      <c r="Q7959" s="3"/>
    </row>
    <row r="7960" spans="1:17" ht="15" x14ac:dyDescent="0.25">
      <c r="A7960" s="3">
        <f>7953</f>
        <v>7953</v>
      </c>
      <c r="B7960" s="3" t="s">
        <v>7962</v>
      </c>
      <c r="C7960" s="3" t="s">
        <v>10</v>
      </c>
      <c r="D7960" s="3" t="s">
        <v>9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/>
      <c r="P7960" s="3"/>
      <c r="Q7960" s="3"/>
    </row>
    <row r="7961" spans="1:17" ht="15" x14ac:dyDescent="0.25">
      <c r="A7961" s="3">
        <f>7954</f>
        <v>7954</v>
      </c>
      <c r="B7961" s="3" t="s">
        <v>7963</v>
      </c>
      <c r="C7961" s="3" t="s">
        <v>10</v>
      </c>
      <c r="D7961" s="3" t="s">
        <v>9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/>
      <c r="P7961" s="3"/>
      <c r="Q7961" s="3"/>
    </row>
    <row r="7962" spans="1:17" ht="15" x14ac:dyDescent="0.25">
      <c r="A7962" s="3">
        <f>7955</f>
        <v>7955</v>
      </c>
      <c r="B7962" s="3" t="s">
        <v>7964</v>
      </c>
      <c r="C7962" s="3" t="s">
        <v>10</v>
      </c>
      <c r="D7962" s="3" t="s">
        <v>9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/>
      <c r="P7962" s="3"/>
      <c r="Q7962" s="3"/>
    </row>
    <row r="7963" spans="1:17" ht="15" x14ac:dyDescent="0.25">
      <c r="A7963" s="3">
        <f>7956</f>
        <v>7956</v>
      </c>
      <c r="B7963" s="3" t="s">
        <v>7965</v>
      </c>
      <c r="C7963" s="3" t="s">
        <v>10</v>
      </c>
      <c r="D7963" s="3" t="s">
        <v>9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/>
      <c r="P7963" s="3"/>
      <c r="Q7963" s="3"/>
    </row>
    <row r="7964" spans="1:17" ht="15" x14ac:dyDescent="0.25">
      <c r="A7964" s="3">
        <f>7957</f>
        <v>7957</v>
      </c>
      <c r="B7964" s="3" t="s">
        <v>7966</v>
      </c>
      <c r="C7964" s="3" t="s">
        <v>10</v>
      </c>
      <c r="D7964" s="3" t="s">
        <v>9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/>
      <c r="P7964" s="3"/>
      <c r="Q7964" s="3"/>
    </row>
    <row r="7965" spans="1:17" ht="15" x14ac:dyDescent="0.25">
      <c r="A7965" s="3">
        <f>7958</f>
        <v>7958</v>
      </c>
      <c r="B7965" s="3" t="s">
        <v>7967</v>
      </c>
      <c r="C7965" s="3" t="s">
        <v>10</v>
      </c>
      <c r="D7965" s="3" t="s">
        <v>9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/>
      <c r="P7965" s="3"/>
      <c r="Q7965" s="3"/>
    </row>
    <row r="7966" spans="1:17" ht="15" x14ac:dyDescent="0.25">
      <c r="A7966" s="3">
        <f>7959</f>
        <v>7959</v>
      </c>
      <c r="B7966" s="3" t="s">
        <v>7968</v>
      </c>
      <c r="C7966" s="3" t="s">
        <v>10</v>
      </c>
      <c r="D7966" s="3" t="s">
        <v>9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/>
      <c r="P7966" s="3"/>
      <c r="Q7966" s="3"/>
    </row>
    <row r="7967" spans="1:17" ht="15" x14ac:dyDescent="0.25">
      <c r="A7967" s="3">
        <f>7960</f>
        <v>7960</v>
      </c>
      <c r="B7967" s="3" t="s">
        <v>7969</v>
      </c>
      <c r="C7967" s="3" t="s">
        <v>10</v>
      </c>
      <c r="D7967" s="3" t="s">
        <v>9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/>
      <c r="P7967" s="3"/>
      <c r="Q7967" s="3"/>
    </row>
    <row r="7968" spans="1:17" ht="15" x14ac:dyDescent="0.25">
      <c r="A7968" s="3">
        <f>7961</f>
        <v>7961</v>
      </c>
      <c r="B7968" s="3" t="s">
        <v>7970</v>
      </c>
      <c r="C7968" s="3" t="s">
        <v>10</v>
      </c>
      <c r="D7968" s="3" t="s">
        <v>9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/>
      <c r="P7968" s="3"/>
      <c r="Q7968" s="3"/>
    </row>
    <row r="7969" spans="1:17" ht="15" x14ac:dyDescent="0.25">
      <c r="A7969" s="3">
        <f>7962</f>
        <v>7962</v>
      </c>
      <c r="B7969" s="3" t="s">
        <v>7971</v>
      </c>
      <c r="C7969" s="3" t="s">
        <v>10</v>
      </c>
      <c r="D7969" s="3" t="s">
        <v>9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/>
      <c r="P7969" s="3"/>
      <c r="Q7969" s="3"/>
    </row>
    <row r="7970" spans="1:17" ht="15" x14ac:dyDescent="0.25">
      <c r="A7970" s="3">
        <f>7963</f>
        <v>7963</v>
      </c>
      <c r="B7970" s="3" t="s">
        <v>7972</v>
      </c>
      <c r="C7970" s="3" t="s">
        <v>10</v>
      </c>
      <c r="D7970" s="3" t="s">
        <v>9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/>
      <c r="P7970" s="3"/>
      <c r="Q7970" s="3"/>
    </row>
    <row r="7971" spans="1:17" ht="15" x14ac:dyDescent="0.25">
      <c r="A7971" s="3">
        <f>7964</f>
        <v>7964</v>
      </c>
      <c r="B7971" s="3" t="s">
        <v>7973</v>
      </c>
      <c r="C7971" s="3" t="s">
        <v>10</v>
      </c>
      <c r="D7971" s="3" t="s">
        <v>9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/>
      <c r="P7971" s="3"/>
      <c r="Q7971" s="3"/>
    </row>
    <row r="7972" spans="1:17" ht="15" x14ac:dyDescent="0.25">
      <c r="A7972" s="3">
        <f>7965</f>
        <v>7965</v>
      </c>
      <c r="B7972" s="3" t="s">
        <v>7974</v>
      </c>
      <c r="C7972" s="3" t="s">
        <v>10</v>
      </c>
      <c r="D7972" s="3" t="s">
        <v>9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/>
      <c r="P7972" s="3"/>
      <c r="Q7972" s="3"/>
    </row>
    <row r="7973" spans="1:17" ht="15" x14ac:dyDescent="0.25">
      <c r="A7973" s="3">
        <f>7966</f>
        <v>7966</v>
      </c>
      <c r="B7973" s="3" t="s">
        <v>7975</v>
      </c>
      <c r="C7973" s="3" t="s">
        <v>10</v>
      </c>
      <c r="D7973" s="3" t="s">
        <v>9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/>
      <c r="P7973" s="3"/>
      <c r="Q7973" s="3"/>
    </row>
    <row r="7974" spans="1:17" ht="15" x14ac:dyDescent="0.25">
      <c r="A7974" s="3">
        <f>7967</f>
        <v>7967</v>
      </c>
      <c r="B7974" s="3" t="s">
        <v>7976</v>
      </c>
      <c r="C7974" s="3" t="s">
        <v>10</v>
      </c>
      <c r="D7974" s="3" t="s">
        <v>9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/>
      <c r="P7974" s="3"/>
      <c r="Q7974" s="3"/>
    </row>
    <row r="7975" spans="1:17" ht="15" x14ac:dyDescent="0.25">
      <c r="A7975" s="3">
        <f>7968</f>
        <v>7968</v>
      </c>
      <c r="B7975" s="3" t="s">
        <v>7977</v>
      </c>
      <c r="C7975" s="3" t="s">
        <v>10</v>
      </c>
      <c r="D7975" s="3" t="s">
        <v>9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/>
      <c r="P7975" s="3"/>
      <c r="Q7975" s="3"/>
    </row>
    <row r="7976" spans="1:17" ht="15" x14ac:dyDescent="0.25">
      <c r="A7976" s="3">
        <f>7969</f>
        <v>7969</v>
      </c>
      <c r="B7976" s="3" t="s">
        <v>7978</v>
      </c>
      <c r="C7976" s="3" t="s">
        <v>10</v>
      </c>
      <c r="D7976" s="3" t="s">
        <v>9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/>
      <c r="P7976" s="3"/>
      <c r="Q7976" s="3"/>
    </row>
    <row r="7977" spans="1:17" ht="15" x14ac:dyDescent="0.25">
      <c r="A7977" s="3">
        <f>7970</f>
        <v>7970</v>
      </c>
      <c r="B7977" s="3" t="s">
        <v>7979</v>
      </c>
      <c r="C7977" s="3" t="s">
        <v>10</v>
      </c>
      <c r="D7977" s="3" t="s">
        <v>9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/>
      <c r="P7977" s="3"/>
      <c r="Q7977" s="3"/>
    </row>
    <row r="7978" spans="1:17" ht="15" x14ac:dyDescent="0.25">
      <c r="A7978" s="3">
        <f>7971</f>
        <v>7971</v>
      </c>
      <c r="B7978" s="3" t="s">
        <v>7980</v>
      </c>
      <c r="C7978" s="3" t="s">
        <v>10</v>
      </c>
      <c r="D7978" s="3" t="s">
        <v>9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/>
      <c r="P7978" s="3"/>
      <c r="Q7978" s="3"/>
    </row>
    <row r="7979" spans="1:17" ht="15" x14ac:dyDescent="0.25">
      <c r="A7979" s="3">
        <f>7972</f>
        <v>7972</v>
      </c>
      <c r="B7979" s="3" t="s">
        <v>7981</v>
      </c>
      <c r="C7979" s="3" t="s">
        <v>10</v>
      </c>
      <c r="D7979" s="3" t="s">
        <v>9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/>
      <c r="P7979" s="3"/>
      <c r="Q7979" s="3"/>
    </row>
    <row r="7980" spans="1:17" ht="15" x14ac:dyDescent="0.25">
      <c r="A7980" s="3">
        <f>7973</f>
        <v>7973</v>
      </c>
      <c r="B7980" s="3" t="s">
        <v>7982</v>
      </c>
      <c r="C7980" s="3" t="s">
        <v>10</v>
      </c>
      <c r="D7980" s="3" t="s">
        <v>9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/>
      <c r="P7980" s="3"/>
      <c r="Q7980" s="3"/>
    </row>
    <row r="7981" spans="1:17" ht="15" x14ac:dyDescent="0.25">
      <c r="A7981" s="3">
        <f>7974</f>
        <v>7974</v>
      </c>
      <c r="B7981" s="3" t="s">
        <v>7983</v>
      </c>
      <c r="C7981" s="3" t="s">
        <v>10</v>
      </c>
      <c r="D7981" s="3" t="s">
        <v>9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/>
      <c r="P7981" s="3"/>
      <c r="Q7981" s="3"/>
    </row>
    <row r="7982" spans="1:17" ht="15" x14ac:dyDescent="0.25">
      <c r="A7982" s="3">
        <f>7975</f>
        <v>7975</v>
      </c>
      <c r="B7982" s="3" t="s">
        <v>7984</v>
      </c>
      <c r="C7982" s="3" t="s">
        <v>10</v>
      </c>
      <c r="D7982" s="3" t="s">
        <v>9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/>
      <c r="P7982" s="3"/>
      <c r="Q7982" s="3"/>
    </row>
    <row r="7983" spans="1:17" ht="15" x14ac:dyDescent="0.25">
      <c r="A7983" s="3">
        <f>7976</f>
        <v>7976</v>
      </c>
      <c r="B7983" s="3" t="s">
        <v>7985</v>
      </c>
      <c r="C7983" s="3" t="s">
        <v>9</v>
      </c>
      <c r="D7983" s="3" t="s">
        <v>9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/>
      <c r="P7983" s="3"/>
      <c r="Q7983" s="3"/>
    </row>
    <row r="7984" spans="1:17" ht="15" x14ac:dyDescent="0.25">
      <c r="A7984" s="3">
        <f>7977</f>
        <v>7977</v>
      </c>
      <c r="B7984" s="3" t="s">
        <v>7986</v>
      </c>
      <c r="C7984" s="3" t="s">
        <v>9</v>
      </c>
      <c r="D7984" s="3" t="s">
        <v>9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/>
      <c r="P7984" s="3"/>
      <c r="Q7984" s="3"/>
    </row>
    <row r="7985" spans="1:17" ht="15" x14ac:dyDescent="0.25">
      <c r="A7985" s="3">
        <f>7978</f>
        <v>7978</v>
      </c>
      <c r="B7985" s="3" t="s">
        <v>7987</v>
      </c>
      <c r="C7985" s="3" t="s">
        <v>9</v>
      </c>
      <c r="D7985" s="3" t="s">
        <v>9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/>
      <c r="P7985" s="3"/>
      <c r="Q7985" s="3"/>
    </row>
    <row r="7986" spans="1:17" ht="15" x14ac:dyDescent="0.25">
      <c r="A7986" s="3">
        <f>7979</f>
        <v>7979</v>
      </c>
      <c r="B7986" s="3" t="s">
        <v>7988</v>
      </c>
      <c r="C7986" s="3" t="s">
        <v>9</v>
      </c>
      <c r="D7986" s="3" t="s">
        <v>9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/>
      <c r="P7986" s="3"/>
      <c r="Q7986" s="3"/>
    </row>
    <row r="7987" spans="1:17" ht="15" x14ac:dyDescent="0.25">
      <c r="A7987" s="3">
        <f>7980</f>
        <v>7980</v>
      </c>
      <c r="B7987" s="3" t="s">
        <v>7989</v>
      </c>
      <c r="C7987" s="3" t="s">
        <v>9</v>
      </c>
      <c r="D7987" s="3" t="s">
        <v>9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/>
      <c r="P7987" s="3"/>
      <c r="Q7987" s="3"/>
    </row>
    <row r="7988" spans="1:17" ht="15" x14ac:dyDescent="0.25">
      <c r="A7988" s="3">
        <f>7981</f>
        <v>7981</v>
      </c>
      <c r="B7988" s="3" t="s">
        <v>7990</v>
      </c>
      <c r="C7988" s="3" t="s">
        <v>9</v>
      </c>
      <c r="D7988" s="3" t="s">
        <v>9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/>
      <c r="P7988" s="3"/>
      <c r="Q7988" s="3"/>
    </row>
    <row r="7989" spans="1:17" ht="15" x14ac:dyDescent="0.25">
      <c r="A7989" s="3">
        <f>7982</f>
        <v>7982</v>
      </c>
      <c r="B7989" s="3" t="s">
        <v>7991</v>
      </c>
      <c r="C7989" s="3" t="s">
        <v>9</v>
      </c>
      <c r="D7989" s="3" t="s">
        <v>9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/>
      <c r="P7989" s="3"/>
      <c r="Q7989" s="3"/>
    </row>
    <row r="7990" spans="1:17" ht="15" x14ac:dyDescent="0.25">
      <c r="A7990" s="3">
        <f>7983</f>
        <v>7983</v>
      </c>
      <c r="B7990" s="3" t="s">
        <v>7992</v>
      </c>
      <c r="C7990" s="3" t="s">
        <v>9</v>
      </c>
      <c r="D7990" s="3" t="s">
        <v>9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/>
      <c r="P7990" s="3"/>
      <c r="Q7990" s="3"/>
    </row>
    <row r="7991" spans="1:17" ht="15" x14ac:dyDescent="0.25">
      <c r="A7991" s="3">
        <f>7984</f>
        <v>7984</v>
      </c>
      <c r="B7991" s="3" t="s">
        <v>7993</v>
      </c>
      <c r="C7991" s="3" t="s">
        <v>9</v>
      </c>
      <c r="D7991" s="3" t="s">
        <v>9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/>
      <c r="P7991" s="3"/>
      <c r="Q7991" s="3"/>
    </row>
    <row r="7992" spans="1:17" ht="15" x14ac:dyDescent="0.25">
      <c r="A7992" s="3">
        <f>7985</f>
        <v>7985</v>
      </c>
      <c r="B7992" s="3" t="s">
        <v>7994</v>
      </c>
      <c r="C7992" s="3" t="s">
        <v>9</v>
      </c>
      <c r="D7992" s="3" t="s">
        <v>9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/>
      <c r="P7992" s="3"/>
      <c r="Q7992" s="3"/>
    </row>
    <row r="7993" spans="1:17" ht="15" x14ac:dyDescent="0.25">
      <c r="A7993" s="3">
        <f>7986</f>
        <v>7986</v>
      </c>
      <c r="B7993" s="3" t="s">
        <v>7995</v>
      </c>
      <c r="C7993" s="3" t="s">
        <v>9</v>
      </c>
      <c r="D7993" s="3" t="s">
        <v>9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/>
      <c r="P7993" s="3"/>
      <c r="Q7993" s="3"/>
    </row>
    <row r="7994" spans="1:17" ht="15" x14ac:dyDescent="0.25">
      <c r="A7994" s="3">
        <f>7987</f>
        <v>7987</v>
      </c>
      <c r="B7994" s="3" t="s">
        <v>7996</v>
      </c>
      <c r="C7994" s="3" t="s">
        <v>9</v>
      </c>
      <c r="D7994" s="3" t="s">
        <v>9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/>
      <c r="P7994" s="3"/>
      <c r="Q7994" s="3"/>
    </row>
    <row r="7995" spans="1:17" ht="15" x14ac:dyDescent="0.25">
      <c r="A7995" s="3">
        <f>7988</f>
        <v>7988</v>
      </c>
      <c r="B7995" s="3" t="s">
        <v>7997</v>
      </c>
      <c r="C7995" s="3" t="s">
        <v>9</v>
      </c>
      <c r="D7995" s="3" t="s">
        <v>9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/>
      <c r="P7995" s="3"/>
      <c r="Q7995" s="3"/>
    </row>
    <row r="7996" spans="1:17" ht="15" x14ac:dyDescent="0.25">
      <c r="A7996" s="3">
        <f>7989</f>
        <v>7989</v>
      </c>
      <c r="B7996" s="3" t="s">
        <v>7998</v>
      </c>
      <c r="C7996" s="3" t="s">
        <v>9</v>
      </c>
      <c r="D7996" s="3" t="s">
        <v>9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/>
      <c r="P7996" s="3"/>
      <c r="Q7996" s="3"/>
    </row>
    <row r="7997" spans="1:17" ht="15" x14ac:dyDescent="0.25">
      <c r="A7997" s="3">
        <f>7990</f>
        <v>7990</v>
      </c>
      <c r="B7997" s="3" t="s">
        <v>7999</v>
      </c>
      <c r="C7997" s="3" t="s">
        <v>9</v>
      </c>
      <c r="D7997" s="3" t="s">
        <v>9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/>
      <c r="P7997" s="3"/>
      <c r="Q7997" s="3"/>
    </row>
    <row r="7998" spans="1:17" ht="15" x14ac:dyDescent="0.25">
      <c r="A7998" s="3">
        <f>7991</f>
        <v>7991</v>
      </c>
      <c r="B7998" s="3" t="s">
        <v>8000</v>
      </c>
      <c r="C7998" s="3" t="s">
        <v>9</v>
      </c>
      <c r="D7998" s="3" t="s">
        <v>9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/>
      <c r="P7998" s="3"/>
      <c r="Q7998" s="3"/>
    </row>
    <row r="7999" spans="1:17" ht="15" x14ac:dyDescent="0.25">
      <c r="A7999" s="3">
        <f>7992</f>
        <v>7992</v>
      </c>
      <c r="B7999" s="3" t="s">
        <v>8001</v>
      </c>
      <c r="C7999" s="3" t="s">
        <v>9</v>
      </c>
      <c r="D7999" s="3" t="s">
        <v>9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/>
      <c r="P7999" s="3"/>
      <c r="Q7999" s="3"/>
    </row>
    <row r="8000" spans="1:17" ht="15" x14ac:dyDescent="0.25">
      <c r="A8000" s="3">
        <f>7993</f>
        <v>7993</v>
      </c>
      <c r="B8000" s="3" t="s">
        <v>8002</v>
      </c>
      <c r="C8000" s="3" t="s">
        <v>9</v>
      </c>
      <c r="D8000" s="3" t="s">
        <v>9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/>
      <c r="P8000" s="3"/>
      <c r="Q8000" s="3"/>
    </row>
    <row r="8001" spans="1:17" ht="15" x14ac:dyDescent="0.25">
      <c r="A8001" s="3">
        <f>7994</f>
        <v>7994</v>
      </c>
      <c r="B8001" s="3" t="s">
        <v>8003</v>
      </c>
      <c r="C8001" s="3" t="s">
        <v>9</v>
      </c>
      <c r="D8001" s="3" t="s">
        <v>9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/>
      <c r="P8001" s="3"/>
      <c r="Q8001" s="3"/>
    </row>
    <row r="8002" spans="1:17" ht="15" x14ac:dyDescent="0.25">
      <c r="A8002" s="3">
        <f>7995</f>
        <v>7995</v>
      </c>
      <c r="B8002" s="3" t="s">
        <v>8004</v>
      </c>
      <c r="C8002" s="3" t="s">
        <v>9</v>
      </c>
      <c r="D8002" s="3" t="s">
        <v>9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/>
      <c r="P8002" s="3"/>
      <c r="Q8002" s="3"/>
    </row>
    <row r="8003" spans="1:17" ht="15" x14ac:dyDescent="0.25">
      <c r="A8003" s="3">
        <f>7996</f>
        <v>7996</v>
      </c>
      <c r="B8003" s="3" t="s">
        <v>8005</v>
      </c>
      <c r="C8003" s="3" t="s">
        <v>9</v>
      </c>
      <c r="D8003" s="3" t="s">
        <v>9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/>
      <c r="P8003" s="3"/>
      <c r="Q8003" s="3"/>
    </row>
    <row r="8004" spans="1:17" ht="15" x14ac:dyDescent="0.25">
      <c r="A8004" s="3">
        <f>7997</f>
        <v>7997</v>
      </c>
      <c r="B8004" s="3" t="s">
        <v>8006</v>
      </c>
      <c r="C8004" s="3" t="s">
        <v>9</v>
      </c>
      <c r="D8004" s="3" t="s">
        <v>9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/>
      <c r="P8004" s="3"/>
      <c r="Q8004" s="3"/>
    </row>
    <row r="8005" spans="1:17" ht="15" x14ac:dyDescent="0.25">
      <c r="A8005" s="3">
        <f>7998</f>
        <v>7998</v>
      </c>
      <c r="B8005" s="3" t="s">
        <v>8007</v>
      </c>
      <c r="C8005" s="3" t="s">
        <v>9</v>
      </c>
      <c r="D8005" s="3" t="s">
        <v>9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/>
      <c r="P8005" s="3"/>
      <c r="Q8005" s="3"/>
    </row>
    <row r="8006" spans="1:17" ht="15" x14ac:dyDescent="0.25">
      <c r="A8006" s="3">
        <f>7999</f>
        <v>7999</v>
      </c>
      <c r="B8006" s="3" t="s">
        <v>8008</v>
      </c>
      <c r="C8006" s="3" t="s">
        <v>9</v>
      </c>
      <c r="D8006" s="3" t="s">
        <v>9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/>
      <c r="P8006" s="3"/>
      <c r="Q8006" s="3"/>
    </row>
    <row r="8007" spans="1:17" ht="15" x14ac:dyDescent="0.25">
      <c r="A8007" s="3">
        <f>8000</f>
        <v>8000</v>
      </c>
      <c r="B8007" s="3" t="s">
        <v>8009</v>
      </c>
      <c r="C8007" s="3" t="s">
        <v>9</v>
      </c>
      <c r="D8007" s="3" t="s">
        <v>9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/>
      <c r="P8007" s="3"/>
      <c r="Q8007" s="3"/>
    </row>
    <row r="8008" spans="1:17" ht="15" x14ac:dyDescent="0.25">
      <c r="A8008" s="3">
        <f>8001</f>
        <v>8001</v>
      </c>
      <c r="B8008" s="3" t="s">
        <v>8010</v>
      </c>
      <c r="C8008" s="3" t="s">
        <v>9</v>
      </c>
      <c r="D8008" s="3" t="s">
        <v>9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/>
      <c r="P8008" s="3"/>
      <c r="Q8008" s="3"/>
    </row>
    <row r="8009" spans="1:17" ht="15" x14ac:dyDescent="0.25">
      <c r="A8009" s="3">
        <f>8002</f>
        <v>8002</v>
      </c>
      <c r="B8009" s="3" t="s">
        <v>8011</v>
      </c>
      <c r="C8009" s="3" t="s">
        <v>9</v>
      </c>
      <c r="D8009" s="3" t="s">
        <v>9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/>
      <c r="P8009" s="3"/>
      <c r="Q8009" s="3"/>
    </row>
    <row r="8010" spans="1:17" ht="15" x14ac:dyDescent="0.25">
      <c r="A8010" s="3">
        <f>8003</f>
        <v>8003</v>
      </c>
      <c r="B8010" s="3" t="s">
        <v>8012</v>
      </c>
      <c r="C8010" s="3" t="s">
        <v>9</v>
      </c>
      <c r="D8010" s="3" t="s">
        <v>9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/>
      <c r="P8010" s="3"/>
      <c r="Q8010" s="3"/>
    </row>
    <row r="8011" spans="1:17" ht="15" x14ac:dyDescent="0.25">
      <c r="A8011" s="3">
        <f>8004</f>
        <v>8004</v>
      </c>
      <c r="B8011" s="3" t="s">
        <v>8013</v>
      </c>
      <c r="C8011" s="3" t="s">
        <v>9</v>
      </c>
      <c r="D8011" s="3" t="s">
        <v>9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/>
      <c r="P8011" s="3"/>
      <c r="Q8011" s="3"/>
    </row>
    <row r="8012" spans="1:17" ht="15" x14ac:dyDescent="0.25">
      <c r="A8012" s="3">
        <f>8005</f>
        <v>8005</v>
      </c>
      <c r="B8012" s="3" t="s">
        <v>8014</v>
      </c>
      <c r="C8012" s="3" t="s">
        <v>9</v>
      </c>
      <c r="D8012" s="3" t="s">
        <v>9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/>
      <c r="P8012" s="3"/>
      <c r="Q8012" s="3"/>
    </row>
    <row r="8013" spans="1:17" ht="15" x14ac:dyDescent="0.25">
      <c r="A8013" s="3">
        <f>8006</f>
        <v>8006</v>
      </c>
      <c r="B8013" s="3" t="s">
        <v>8015</v>
      </c>
      <c r="C8013" s="3" t="s">
        <v>9</v>
      </c>
      <c r="D8013" s="3" t="s">
        <v>9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/>
      <c r="P8013" s="3"/>
      <c r="Q8013" s="3"/>
    </row>
    <row r="8014" spans="1:17" ht="15" x14ac:dyDescent="0.25">
      <c r="A8014" s="3">
        <f>8007</f>
        <v>8007</v>
      </c>
      <c r="B8014" s="3" t="s">
        <v>8016</v>
      </c>
      <c r="C8014" s="3" t="s">
        <v>9</v>
      </c>
      <c r="D8014" s="3" t="s">
        <v>9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/>
      <c r="P8014" s="3"/>
      <c r="Q8014" s="3"/>
    </row>
    <row r="8015" spans="1:17" ht="15" x14ac:dyDescent="0.25">
      <c r="A8015" s="3">
        <f>8008</f>
        <v>8008</v>
      </c>
      <c r="B8015" s="3" t="s">
        <v>8017</v>
      </c>
      <c r="C8015" s="3" t="s">
        <v>9</v>
      </c>
      <c r="D8015" s="3" t="s">
        <v>9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/>
      <c r="P8015" s="3"/>
      <c r="Q8015" s="3"/>
    </row>
    <row r="8016" spans="1:17" ht="15" x14ac:dyDescent="0.25">
      <c r="A8016" s="3">
        <f>8009</f>
        <v>8009</v>
      </c>
      <c r="B8016" s="3" t="s">
        <v>8018</v>
      </c>
      <c r="C8016" s="3" t="s">
        <v>9</v>
      </c>
      <c r="D8016" s="3" t="s">
        <v>9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/>
      <c r="P8016" s="3"/>
      <c r="Q8016" s="3"/>
    </row>
    <row r="8017" spans="1:17" ht="15" x14ac:dyDescent="0.25">
      <c r="A8017" s="3">
        <f>8010</f>
        <v>8010</v>
      </c>
      <c r="B8017" s="3" t="s">
        <v>8019</v>
      </c>
      <c r="C8017" s="3" t="s">
        <v>9</v>
      </c>
      <c r="D8017" s="3" t="s">
        <v>9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/>
      <c r="P8017" s="3"/>
      <c r="Q8017" s="3"/>
    </row>
    <row r="8018" spans="1:17" ht="15" x14ac:dyDescent="0.25">
      <c r="A8018" s="3">
        <f>8011</f>
        <v>8011</v>
      </c>
      <c r="B8018" s="3" t="s">
        <v>8020</v>
      </c>
      <c r="C8018" s="3" t="s">
        <v>9</v>
      </c>
      <c r="D8018" s="3" t="s">
        <v>9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/>
      <c r="P8018" s="3"/>
      <c r="Q8018" s="3"/>
    </row>
    <row r="8019" spans="1:17" ht="15" x14ac:dyDescent="0.25">
      <c r="A8019" s="3">
        <f>8012</f>
        <v>8012</v>
      </c>
      <c r="B8019" s="3" t="s">
        <v>8021</v>
      </c>
      <c r="C8019" s="3" t="s">
        <v>9</v>
      </c>
      <c r="D8019" s="3" t="s">
        <v>9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/>
      <c r="P8019" s="3"/>
      <c r="Q8019" s="3"/>
    </row>
    <row r="8020" spans="1:17" ht="15" x14ac:dyDescent="0.25">
      <c r="A8020" s="3">
        <f>8013</f>
        <v>8013</v>
      </c>
      <c r="B8020" s="3" t="s">
        <v>8022</v>
      </c>
      <c r="C8020" s="3" t="s">
        <v>9</v>
      </c>
      <c r="D8020" s="3" t="s">
        <v>9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/>
      <c r="P8020" s="3"/>
      <c r="Q8020" s="3"/>
    </row>
    <row r="8021" spans="1:17" ht="15" x14ac:dyDescent="0.25">
      <c r="A8021" s="3">
        <f>8014</f>
        <v>8014</v>
      </c>
      <c r="B8021" s="3" t="s">
        <v>8023</v>
      </c>
      <c r="C8021" s="3" t="s">
        <v>9</v>
      </c>
      <c r="D8021" s="3" t="s">
        <v>9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/>
      <c r="P8021" s="3"/>
      <c r="Q8021" s="3"/>
    </row>
    <row r="8022" spans="1:17" ht="15" x14ac:dyDescent="0.25">
      <c r="A8022" s="3">
        <f>8015</f>
        <v>8015</v>
      </c>
      <c r="B8022" s="3" t="s">
        <v>8024</v>
      </c>
      <c r="C8022" s="3" t="s">
        <v>9</v>
      </c>
      <c r="D8022" s="3" t="s">
        <v>9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/>
      <c r="P8022" s="3"/>
      <c r="Q8022" s="3"/>
    </row>
    <row r="8023" spans="1:17" ht="15" x14ac:dyDescent="0.25">
      <c r="A8023" s="3">
        <f>8016</f>
        <v>8016</v>
      </c>
      <c r="B8023" s="3" t="s">
        <v>8025</v>
      </c>
      <c r="C8023" s="3" t="s">
        <v>9</v>
      </c>
      <c r="D8023" s="3" t="s">
        <v>9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/>
      <c r="P8023" s="3"/>
      <c r="Q8023" s="3"/>
    </row>
    <row r="8024" spans="1:17" ht="15" x14ac:dyDescent="0.25">
      <c r="A8024" s="3">
        <f>8017</f>
        <v>8017</v>
      </c>
      <c r="B8024" s="3" t="s">
        <v>8026</v>
      </c>
      <c r="C8024" s="3" t="s">
        <v>9</v>
      </c>
      <c r="D8024" s="3" t="s">
        <v>9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/>
      <c r="P8024" s="3"/>
      <c r="Q8024" s="3"/>
    </row>
    <row r="8025" spans="1:17" ht="15" x14ac:dyDescent="0.25">
      <c r="A8025" s="3">
        <f>8018</f>
        <v>8018</v>
      </c>
      <c r="B8025" s="3" t="s">
        <v>8027</v>
      </c>
      <c r="C8025" s="3" t="s">
        <v>9</v>
      </c>
      <c r="D8025" s="3" t="s">
        <v>9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/>
      <c r="P8025" s="3"/>
      <c r="Q8025" s="3"/>
    </row>
    <row r="8026" spans="1:17" ht="15" x14ac:dyDescent="0.25">
      <c r="A8026" s="3">
        <f>8019</f>
        <v>8019</v>
      </c>
      <c r="B8026" s="3" t="s">
        <v>8028</v>
      </c>
      <c r="C8026" s="3" t="s">
        <v>9</v>
      </c>
      <c r="D8026" s="3" t="s">
        <v>9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/>
      <c r="P8026" s="3"/>
      <c r="Q8026" s="3"/>
    </row>
    <row r="8027" spans="1:17" ht="15" x14ac:dyDescent="0.25">
      <c r="A8027" s="3">
        <f>8020</f>
        <v>8020</v>
      </c>
      <c r="B8027" s="3" t="s">
        <v>8029</v>
      </c>
      <c r="C8027" s="3" t="s">
        <v>9</v>
      </c>
      <c r="D8027" s="3" t="s">
        <v>9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/>
      <c r="P8027" s="3"/>
      <c r="Q8027" s="3"/>
    </row>
    <row r="8028" spans="1:17" ht="15" x14ac:dyDescent="0.25">
      <c r="A8028" s="3">
        <f>8021</f>
        <v>8021</v>
      </c>
      <c r="B8028" s="3" t="s">
        <v>8030</v>
      </c>
      <c r="C8028" s="3" t="s">
        <v>9</v>
      </c>
      <c r="D8028" s="3" t="s">
        <v>9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/>
      <c r="P8028" s="3"/>
      <c r="Q8028" s="3"/>
    </row>
    <row r="8029" spans="1:17" ht="15" x14ac:dyDescent="0.25">
      <c r="A8029" s="3">
        <f>8022</f>
        <v>8022</v>
      </c>
      <c r="B8029" s="3" t="s">
        <v>8031</v>
      </c>
      <c r="C8029" s="3" t="s">
        <v>9</v>
      </c>
      <c r="D8029" s="3" t="s">
        <v>9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/>
      <c r="P8029" s="3"/>
      <c r="Q8029" s="3"/>
    </row>
    <row r="8030" spans="1:17" ht="15" x14ac:dyDescent="0.25">
      <c r="A8030" s="3">
        <f>8023</f>
        <v>8023</v>
      </c>
      <c r="B8030" s="3" t="s">
        <v>8032</v>
      </c>
      <c r="C8030" s="3" t="s">
        <v>9</v>
      </c>
      <c r="D8030" s="3" t="s">
        <v>9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/>
      <c r="P8030" s="3"/>
      <c r="Q8030" s="3"/>
    </row>
    <row r="8031" spans="1:17" ht="15" x14ac:dyDescent="0.25">
      <c r="A8031" s="3">
        <f>8024</f>
        <v>8024</v>
      </c>
      <c r="B8031" s="3" t="s">
        <v>8033</v>
      </c>
      <c r="C8031" s="3" t="s">
        <v>9</v>
      </c>
      <c r="D8031" s="3" t="s">
        <v>9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/>
      <c r="P8031" s="3"/>
      <c r="Q8031" s="3"/>
    </row>
    <row r="8032" spans="1:17" ht="15" x14ac:dyDescent="0.25">
      <c r="A8032" s="3">
        <f>8025</f>
        <v>8025</v>
      </c>
      <c r="B8032" s="3" t="s">
        <v>8034</v>
      </c>
      <c r="C8032" s="3" t="s">
        <v>9</v>
      </c>
      <c r="D8032" s="3" t="s">
        <v>9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/>
      <c r="P8032" s="3"/>
      <c r="Q8032" s="3"/>
    </row>
    <row r="8033" spans="1:17" ht="15" x14ac:dyDescent="0.25">
      <c r="A8033" s="3">
        <f>8026</f>
        <v>8026</v>
      </c>
      <c r="B8033" s="3" t="s">
        <v>8035</v>
      </c>
      <c r="C8033" s="3" t="s">
        <v>9</v>
      </c>
      <c r="D8033" s="3" t="s">
        <v>9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/>
      <c r="P8033" s="3"/>
      <c r="Q8033" s="3"/>
    </row>
    <row r="8034" spans="1:17" ht="15" x14ac:dyDescent="0.25">
      <c r="A8034" s="3">
        <f>8027</f>
        <v>8027</v>
      </c>
      <c r="B8034" s="3" t="s">
        <v>8036</v>
      </c>
      <c r="C8034" s="3" t="s">
        <v>9</v>
      </c>
      <c r="D8034" s="3" t="s">
        <v>9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/>
      <c r="P8034" s="3"/>
      <c r="Q8034" s="3"/>
    </row>
    <row r="8035" spans="1:17" ht="15" x14ac:dyDescent="0.25">
      <c r="A8035" s="3">
        <f>8028</f>
        <v>8028</v>
      </c>
      <c r="B8035" s="3" t="s">
        <v>8037</v>
      </c>
      <c r="C8035" s="3" t="s">
        <v>9</v>
      </c>
      <c r="D8035" s="3" t="s">
        <v>9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/>
      <c r="P8035" s="3"/>
      <c r="Q8035" s="3"/>
    </row>
    <row r="8036" spans="1:17" ht="15" x14ac:dyDescent="0.25">
      <c r="A8036" s="3">
        <f>8029</f>
        <v>8029</v>
      </c>
      <c r="B8036" s="3" t="s">
        <v>8038</v>
      </c>
      <c r="C8036" s="3" t="s">
        <v>9</v>
      </c>
      <c r="D8036" s="3" t="s">
        <v>9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/>
      <c r="P8036" s="3"/>
      <c r="Q8036" s="3"/>
    </row>
    <row r="8037" spans="1:17" ht="15" x14ac:dyDescent="0.25">
      <c r="A8037" s="3">
        <f>8030</f>
        <v>8030</v>
      </c>
      <c r="B8037" s="3" t="s">
        <v>8039</v>
      </c>
      <c r="C8037" s="3" t="s">
        <v>9</v>
      </c>
      <c r="D8037" s="3" t="s">
        <v>9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/>
      <c r="P8037" s="3"/>
      <c r="Q8037" s="3"/>
    </row>
    <row r="8038" spans="1:17" ht="15" x14ac:dyDescent="0.25">
      <c r="A8038" s="3">
        <f>8031</f>
        <v>8031</v>
      </c>
      <c r="B8038" s="3" t="s">
        <v>8040</v>
      </c>
      <c r="C8038" s="3" t="s">
        <v>9</v>
      </c>
      <c r="D8038" s="3" t="s">
        <v>9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/>
      <c r="P8038" s="3"/>
      <c r="Q8038" s="3"/>
    </row>
    <row r="8039" spans="1:17" ht="15" x14ac:dyDescent="0.25">
      <c r="A8039" s="3">
        <f>8032</f>
        <v>8032</v>
      </c>
      <c r="B8039" s="3" t="s">
        <v>8041</v>
      </c>
      <c r="C8039" s="3" t="s">
        <v>9</v>
      </c>
      <c r="D8039" s="3" t="s">
        <v>9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/>
      <c r="P8039" s="3"/>
      <c r="Q8039" s="3"/>
    </row>
    <row r="8040" spans="1:17" ht="15" x14ac:dyDescent="0.25">
      <c r="A8040" s="3">
        <f>8033</f>
        <v>8033</v>
      </c>
      <c r="B8040" s="3" t="s">
        <v>8042</v>
      </c>
      <c r="C8040" s="3" t="s">
        <v>9</v>
      </c>
      <c r="D8040" s="3" t="s">
        <v>9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/>
      <c r="P8040" s="3"/>
      <c r="Q8040" s="3"/>
    </row>
    <row r="8041" spans="1:17" ht="15" x14ac:dyDescent="0.25">
      <c r="A8041" s="3">
        <f>8034</f>
        <v>8034</v>
      </c>
      <c r="B8041" s="3" t="s">
        <v>8043</v>
      </c>
      <c r="C8041" s="3" t="s">
        <v>9</v>
      </c>
      <c r="D8041" s="3" t="s">
        <v>9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/>
      <c r="P8041" s="3"/>
      <c r="Q8041" s="3"/>
    </row>
    <row r="8042" spans="1:17" ht="15" x14ac:dyDescent="0.25">
      <c r="A8042" s="3">
        <f>8035</f>
        <v>8035</v>
      </c>
      <c r="B8042" s="3" t="s">
        <v>8044</v>
      </c>
      <c r="C8042" s="3" t="s">
        <v>9</v>
      </c>
      <c r="D8042" s="3" t="s">
        <v>10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/>
      <c r="P8042" s="3"/>
      <c r="Q8042" s="3"/>
    </row>
    <row r="8043" spans="1:17" ht="15" x14ac:dyDescent="0.25">
      <c r="A8043" s="3">
        <f>8036</f>
        <v>8036</v>
      </c>
      <c r="B8043" s="3" t="s">
        <v>8045</v>
      </c>
      <c r="C8043" s="3" t="s">
        <v>9</v>
      </c>
      <c r="D8043" s="3" t="s">
        <v>10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/>
      <c r="P8043" s="3"/>
      <c r="Q8043" s="3"/>
    </row>
    <row r="8044" spans="1:17" ht="15" x14ac:dyDescent="0.25">
      <c r="A8044" s="3">
        <f>8037</f>
        <v>8037</v>
      </c>
      <c r="B8044" s="3" t="s">
        <v>8046</v>
      </c>
      <c r="C8044" s="3" t="s">
        <v>9</v>
      </c>
      <c r="D8044" s="3" t="s">
        <v>10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/>
      <c r="P8044" s="3"/>
      <c r="Q8044" s="3"/>
    </row>
    <row r="8045" spans="1:17" ht="15" x14ac:dyDescent="0.25">
      <c r="A8045" s="3">
        <f>8038</f>
        <v>8038</v>
      </c>
      <c r="B8045" s="3" t="s">
        <v>8047</v>
      </c>
      <c r="C8045" s="3" t="s">
        <v>9</v>
      </c>
      <c r="D8045" s="3" t="s">
        <v>10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/>
      <c r="P8045" s="3"/>
      <c r="Q8045" s="3"/>
    </row>
    <row r="8046" spans="1:17" ht="15" x14ac:dyDescent="0.25">
      <c r="A8046" s="3">
        <f>8039</f>
        <v>8039</v>
      </c>
      <c r="B8046" s="3" t="s">
        <v>8048</v>
      </c>
      <c r="C8046" s="3" t="s">
        <v>9</v>
      </c>
      <c r="D8046" s="3" t="s">
        <v>10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/>
      <c r="P8046" s="3"/>
      <c r="Q8046" s="3"/>
    </row>
    <row r="8047" spans="1:17" ht="15" x14ac:dyDescent="0.25">
      <c r="A8047" s="3">
        <f>8040</f>
        <v>8040</v>
      </c>
      <c r="B8047" s="3" t="s">
        <v>8049</v>
      </c>
      <c r="C8047" s="3" t="s">
        <v>9</v>
      </c>
      <c r="D8047" s="3" t="s">
        <v>10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/>
      <c r="P8047" s="3"/>
      <c r="Q8047" s="3"/>
    </row>
    <row r="8048" spans="1:17" ht="15" x14ac:dyDescent="0.25">
      <c r="A8048" s="3">
        <f>8041</f>
        <v>8041</v>
      </c>
      <c r="B8048" s="3" t="s">
        <v>8050</v>
      </c>
      <c r="C8048" s="3" t="s">
        <v>9</v>
      </c>
      <c r="D8048" s="3" t="s">
        <v>10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/>
      <c r="P8048" s="3"/>
      <c r="Q8048" s="3"/>
    </row>
    <row r="8049" spans="1:17" ht="15" x14ac:dyDescent="0.25">
      <c r="A8049" s="3">
        <f>8042</f>
        <v>8042</v>
      </c>
      <c r="B8049" s="3" t="s">
        <v>8051</v>
      </c>
      <c r="C8049" s="3" t="s">
        <v>9</v>
      </c>
      <c r="D8049" s="3" t="s">
        <v>10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/>
      <c r="P8049" s="3"/>
      <c r="Q8049" s="3"/>
    </row>
    <row r="8050" spans="1:17" ht="15" x14ac:dyDescent="0.25">
      <c r="A8050" s="3">
        <f>8043</f>
        <v>8043</v>
      </c>
      <c r="B8050" s="3" t="s">
        <v>8052</v>
      </c>
      <c r="C8050" s="3" t="s">
        <v>9</v>
      </c>
      <c r="D8050" s="3" t="s">
        <v>10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/>
      <c r="P8050" s="3"/>
      <c r="Q8050" s="3"/>
    </row>
    <row r="8051" spans="1:17" ht="15" x14ac:dyDescent="0.25">
      <c r="A8051" s="3">
        <f>8044</f>
        <v>8044</v>
      </c>
      <c r="B8051" s="3" t="s">
        <v>8053</v>
      </c>
      <c r="C8051" s="3" t="s">
        <v>9</v>
      </c>
      <c r="D8051" s="3" t="s">
        <v>10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/>
      <c r="P8051" s="3"/>
      <c r="Q8051" s="3"/>
    </row>
    <row r="8052" spans="1:17" ht="15" x14ac:dyDescent="0.25">
      <c r="A8052" s="3">
        <f>8045</f>
        <v>8045</v>
      </c>
      <c r="B8052" s="3" t="s">
        <v>8054</v>
      </c>
      <c r="C8052" s="3" t="s">
        <v>9</v>
      </c>
      <c r="D8052" s="3" t="s">
        <v>10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/>
      <c r="P8052" s="3"/>
      <c r="Q8052" s="3"/>
    </row>
    <row r="8053" spans="1:17" ht="15" x14ac:dyDescent="0.25">
      <c r="A8053" s="3">
        <f>8046</f>
        <v>8046</v>
      </c>
      <c r="B8053" s="3" t="s">
        <v>8055</v>
      </c>
      <c r="C8053" s="3" t="s">
        <v>9</v>
      </c>
      <c r="D8053" s="3" t="s">
        <v>10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/>
      <c r="P8053" s="3"/>
      <c r="Q8053" s="3"/>
    </row>
    <row r="8054" spans="1:17" ht="15" x14ac:dyDescent="0.25">
      <c r="A8054" s="3">
        <f>8047</f>
        <v>8047</v>
      </c>
      <c r="B8054" s="3" t="s">
        <v>8056</v>
      </c>
      <c r="C8054" s="3" t="s">
        <v>9</v>
      </c>
      <c r="D8054" s="3" t="s">
        <v>10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/>
      <c r="P8054" s="3"/>
      <c r="Q8054" s="3"/>
    </row>
    <row r="8055" spans="1:17" ht="15" x14ac:dyDescent="0.25">
      <c r="A8055" s="3">
        <f>8048</f>
        <v>8048</v>
      </c>
      <c r="B8055" s="3" t="s">
        <v>8057</v>
      </c>
      <c r="C8055" s="3" t="s">
        <v>9</v>
      </c>
      <c r="D8055" s="3" t="s">
        <v>10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/>
      <c r="P8055" s="3"/>
      <c r="Q8055" s="3"/>
    </row>
    <row r="8056" spans="1:17" ht="15" x14ac:dyDescent="0.25">
      <c r="A8056" s="3">
        <f>8049</f>
        <v>8049</v>
      </c>
      <c r="B8056" s="3" t="s">
        <v>8058</v>
      </c>
      <c r="C8056" s="3" t="s">
        <v>9</v>
      </c>
      <c r="D8056" s="3" t="s">
        <v>10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/>
      <c r="P8056" s="3"/>
      <c r="Q8056" s="3"/>
    </row>
    <row r="8057" spans="1:17" ht="15" x14ac:dyDescent="0.25">
      <c r="A8057" s="3">
        <f>8050</f>
        <v>8050</v>
      </c>
      <c r="B8057" s="3" t="s">
        <v>8059</v>
      </c>
      <c r="C8057" s="3" t="s">
        <v>9</v>
      </c>
      <c r="D8057" s="3" t="s">
        <v>10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/>
      <c r="P8057" s="3"/>
      <c r="Q8057" s="3"/>
    </row>
    <row r="8058" spans="1:17" ht="15" x14ac:dyDescent="0.25">
      <c r="A8058" s="3">
        <f>8051</f>
        <v>8051</v>
      </c>
      <c r="B8058" s="3" t="s">
        <v>8060</v>
      </c>
      <c r="C8058" s="3" t="s">
        <v>9</v>
      </c>
      <c r="D8058" s="3" t="s">
        <v>10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/>
      <c r="P8058" s="3"/>
      <c r="Q8058" s="3"/>
    </row>
    <row r="8059" spans="1:17" ht="15" x14ac:dyDescent="0.25">
      <c r="A8059" s="3">
        <f>8052</f>
        <v>8052</v>
      </c>
      <c r="B8059" s="3" t="s">
        <v>8061</v>
      </c>
      <c r="C8059" s="3" t="s">
        <v>9</v>
      </c>
      <c r="D8059" s="3" t="s">
        <v>10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/>
      <c r="P8059" s="3"/>
      <c r="Q8059" s="3"/>
    </row>
    <row r="8060" spans="1:17" ht="15" x14ac:dyDescent="0.25">
      <c r="A8060" s="3">
        <f>8053</f>
        <v>8053</v>
      </c>
      <c r="B8060" s="3" t="s">
        <v>8062</v>
      </c>
      <c r="C8060" s="3" t="s">
        <v>9</v>
      </c>
      <c r="D8060" s="3" t="s">
        <v>10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/>
      <c r="P8060" s="3"/>
      <c r="Q8060" s="3"/>
    </row>
    <row r="8061" spans="1:17" ht="15" x14ac:dyDescent="0.25">
      <c r="A8061" s="3">
        <f>8054</f>
        <v>8054</v>
      </c>
      <c r="B8061" s="3" t="s">
        <v>8063</v>
      </c>
      <c r="C8061" s="3" t="s">
        <v>9</v>
      </c>
      <c r="D8061" s="3" t="s">
        <v>10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/>
      <c r="P8061" s="3"/>
      <c r="Q8061" s="3"/>
    </row>
    <row r="8062" spans="1:17" ht="15" x14ac:dyDescent="0.25">
      <c r="A8062" s="3">
        <f>8055</f>
        <v>8055</v>
      </c>
      <c r="B8062" s="3" t="s">
        <v>8064</v>
      </c>
      <c r="C8062" s="3" t="s">
        <v>9</v>
      </c>
      <c r="D8062" s="3" t="s">
        <v>10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/>
      <c r="P8062" s="3"/>
      <c r="Q8062" s="3"/>
    </row>
    <row r="8063" spans="1:17" ht="15" x14ac:dyDescent="0.25">
      <c r="A8063" s="3">
        <f>8056</f>
        <v>8056</v>
      </c>
      <c r="B8063" s="3" t="s">
        <v>8065</v>
      </c>
      <c r="C8063" s="3" t="s">
        <v>9</v>
      </c>
      <c r="D8063" s="3" t="s">
        <v>10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/>
      <c r="P8063" s="3"/>
      <c r="Q8063" s="3"/>
    </row>
    <row r="8064" spans="1:17" ht="15" x14ac:dyDescent="0.25">
      <c r="A8064" s="3">
        <f>8057</f>
        <v>8057</v>
      </c>
      <c r="B8064" s="3" t="s">
        <v>8066</v>
      </c>
      <c r="C8064" s="3" t="s">
        <v>9</v>
      </c>
      <c r="D8064" s="3" t="s">
        <v>10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/>
      <c r="P8064" s="3"/>
      <c r="Q8064" s="3"/>
    </row>
    <row r="8065" spans="1:17" ht="15" x14ac:dyDescent="0.25">
      <c r="A8065" s="3">
        <f>8058</f>
        <v>8058</v>
      </c>
      <c r="B8065" s="3" t="s">
        <v>8067</v>
      </c>
      <c r="C8065" s="3" t="s">
        <v>9</v>
      </c>
      <c r="D8065" s="3" t="s">
        <v>10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/>
      <c r="P8065" s="3"/>
      <c r="Q8065" s="3"/>
    </row>
    <row r="8066" spans="1:17" ht="15" x14ac:dyDescent="0.25">
      <c r="A8066" s="3">
        <f>8059</f>
        <v>8059</v>
      </c>
      <c r="B8066" s="3" t="s">
        <v>8068</v>
      </c>
      <c r="C8066" s="3" t="s">
        <v>9</v>
      </c>
      <c r="D8066" s="3" t="s">
        <v>10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/>
      <c r="P8066" s="3"/>
      <c r="Q8066" s="3"/>
    </row>
    <row r="8067" spans="1:17" ht="15" x14ac:dyDescent="0.25">
      <c r="A8067" s="3">
        <f>8060</f>
        <v>8060</v>
      </c>
      <c r="B8067" s="3" t="s">
        <v>8069</v>
      </c>
      <c r="C8067" s="3" t="s">
        <v>9</v>
      </c>
      <c r="D8067" s="3" t="s">
        <v>10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/>
      <c r="P8067" s="3"/>
      <c r="Q8067" s="3"/>
    </row>
    <row r="8068" spans="1:17" ht="15" x14ac:dyDescent="0.25">
      <c r="A8068" s="3">
        <f>8061</f>
        <v>8061</v>
      </c>
      <c r="B8068" s="3" t="s">
        <v>8070</v>
      </c>
      <c r="C8068" s="3" t="s">
        <v>9</v>
      </c>
      <c r="D8068" s="3" t="s">
        <v>10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/>
      <c r="P8068" s="3"/>
      <c r="Q8068" s="3"/>
    </row>
    <row r="8069" spans="1:17" ht="15" x14ac:dyDescent="0.25">
      <c r="A8069" s="3">
        <f>8062</f>
        <v>8062</v>
      </c>
      <c r="B8069" s="3" t="s">
        <v>8071</v>
      </c>
      <c r="C8069" s="3" t="s">
        <v>9</v>
      </c>
      <c r="D8069" s="3" t="s">
        <v>10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/>
      <c r="P8069" s="3"/>
      <c r="Q8069" s="3"/>
    </row>
    <row r="8070" spans="1:17" ht="15" x14ac:dyDescent="0.25">
      <c r="A8070" s="3">
        <f>8063</f>
        <v>8063</v>
      </c>
      <c r="B8070" s="3" t="s">
        <v>8072</v>
      </c>
      <c r="C8070" s="3" t="s">
        <v>9</v>
      </c>
      <c r="D8070" s="3" t="s">
        <v>10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/>
      <c r="P8070" s="3"/>
      <c r="Q8070" s="3"/>
    </row>
    <row r="8071" spans="1:17" ht="15" x14ac:dyDescent="0.25">
      <c r="A8071" s="3">
        <f>8064</f>
        <v>8064</v>
      </c>
      <c r="B8071" s="3" t="s">
        <v>8073</v>
      </c>
      <c r="C8071" s="3" t="s">
        <v>9</v>
      </c>
      <c r="D8071" s="3" t="s">
        <v>10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/>
      <c r="P8071" s="3"/>
      <c r="Q8071" s="3"/>
    </row>
    <row r="8072" spans="1:17" ht="15" x14ac:dyDescent="0.25">
      <c r="A8072" s="3">
        <f>8065</f>
        <v>8065</v>
      </c>
      <c r="B8072" s="3" t="s">
        <v>8074</v>
      </c>
      <c r="C8072" s="3" t="s">
        <v>9</v>
      </c>
      <c r="D8072" s="3" t="s">
        <v>10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/>
      <c r="P8072" s="3"/>
      <c r="Q8072" s="3"/>
    </row>
    <row r="8073" spans="1:17" ht="15" x14ac:dyDescent="0.25">
      <c r="A8073" s="3">
        <f>8066</f>
        <v>8066</v>
      </c>
      <c r="B8073" s="3" t="s">
        <v>8075</v>
      </c>
      <c r="C8073" s="3" t="s">
        <v>9</v>
      </c>
      <c r="D8073" s="3" t="s">
        <v>10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/>
      <c r="P8073" s="3"/>
      <c r="Q8073" s="3"/>
    </row>
    <row r="8074" spans="1:17" ht="15" x14ac:dyDescent="0.25">
      <c r="A8074" s="3">
        <f>8067</f>
        <v>8067</v>
      </c>
      <c r="B8074" s="3" t="s">
        <v>8076</v>
      </c>
      <c r="C8074" s="3" t="s">
        <v>9</v>
      </c>
      <c r="D8074" s="3" t="s">
        <v>10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/>
      <c r="P8074" s="3"/>
      <c r="Q8074" s="3"/>
    </row>
    <row r="8075" spans="1:17" ht="15" x14ac:dyDescent="0.25">
      <c r="A8075" s="3">
        <f>8068</f>
        <v>8068</v>
      </c>
      <c r="B8075" s="3" t="s">
        <v>8077</v>
      </c>
      <c r="C8075" s="3" t="s">
        <v>9</v>
      </c>
      <c r="D8075" s="3" t="s">
        <v>10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/>
      <c r="P8075" s="3"/>
      <c r="Q8075" s="3"/>
    </row>
    <row r="8076" spans="1:17" ht="15" x14ac:dyDescent="0.25">
      <c r="A8076" s="3">
        <f>8069</f>
        <v>8069</v>
      </c>
      <c r="B8076" s="3" t="s">
        <v>8078</v>
      </c>
      <c r="C8076" s="3" t="s">
        <v>9</v>
      </c>
      <c r="D8076" s="3" t="s">
        <v>10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/>
      <c r="P8076" s="3"/>
      <c r="Q8076" s="3"/>
    </row>
    <row r="8077" spans="1:17" ht="15" x14ac:dyDescent="0.25">
      <c r="A8077" s="3">
        <f>8070</f>
        <v>8070</v>
      </c>
      <c r="B8077" s="3" t="s">
        <v>8079</v>
      </c>
      <c r="C8077" s="3" t="s">
        <v>9</v>
      </c>
      <c r="D8077" s="3" t="s">
        <v>10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/>
      <c r="P8077" s="3"/>
      <c r="Q8077" s="3"/>
    </row>
    <row r="8078" spans="1:17" ht="15" x14ac:dyDescent="0.25">
      <c r="A8078" s="3">
        <f>8071</f>
        <v>8071</v>
      </c>
      <c r="B8078" s="3" t="s">
        <v>8080</v>
      </c>
      <c r="C8078" s="3" t="s">
        <v>9</v>
      </c>
      <c r="D8078" s="3" t="s">
        <v>10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/>
      <c r="P8078" s="3"/>
      <c r="Q8078" s="3"/>
    </row>
    <row r="8079" spans="1:17" ht="15" x14ac:dyDescent="0.25">
      <c r="A8079" s="3">
        <f>8072</f>
        <v>8072</v>
      </c>
      <c r="B8079" s="3" t="s">
        <v>8081</v>
      </c>
      <c r="C8079" s="3" t="s">
        <v>9</v>
      </c>
      <c r="D8079" s="3" t="s">
        <v>10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/>
      <c r="P8079" s="3"/>
      <c r="Q8079" s="3"/>
    </row>
    <row r="8080" spans="1:17" ht="15" x14ac:dyDescent="0.25">
      <c r="A8080" s="3">
        <f>8073</f>
        <v>8073</v>
      </c>
      <c r="B8080" s="3" t="s">
        <v>8082</v>
      </c>
      <c r="C8080" s="3" t="s">
        <v>9</v>
      </c>
      <c r="D8080" s="3" t="s">
        <v>10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/>
      <c r="P8080" s="3"/>
      <c r="Q8080" s="3"/>
    </row>
    <row r="8081" spans="1:17" ht="15" x14ac:dyDescent="0.25">
      <c r="A8081" s="3">
        <f>8074</f>
        <v>8074</v>
      </c>
      <c r="B8081" s="3" t="s">
        <v>8083</v>
      </c>
      <c r="C8081" s="3" t="s">
        <v>9</v>
      </c>
      <c r="D8081" s="3" t="s">
        <v>10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/>
      <c r="P8081" s="3"/>
      <c r="Q8081" s="3"/>
    </row>
    <row r="8082" spans="1:17" ht="15" x14ac:dyDescent="0.25">
      <c r="A8082" s="3">
        <f>8075</f>
        <v>8075</v>
      </c>
      <c r="B8082" s="3" t="s">
        <v>8084</v>
      </c>
      <c r="C8082" s="3" t="s">
        <v>9</v>
      </c>
      <c r="D8082" s="3" t="s">
        <v>10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/>
      <c r="P8082" s="3"/>
      <c r="Q8082" s="3"/>
    </row>
    <row r="8083" spans="1:17" ht="15" x14ac:dyDescent="0.25">
      <c r="A8083" s="3">
        <f>8076</f>
        <v>8076</v>
      </c>
      <c r="B8083" s="3" t="s">
        <v>8085</v>
      </c>
      <c r="C8083" s="3" t="s">
        <v>9</v>
      </c>
      <c r="D8083" s="3" t="s">
        <v>10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/>
      <c r="P8083" s="3"/>
      <c r="Q8083" s="3"/>
    </row>
    <row r="8084" spans="1:17" ht="15" x14ac:dyDescent="0.25">
      <c r="A8084" s="3">
        <f>8077</f>
        <v>8077</v>
      </c>
      <c r="B8084" s="3" t="s">
        <v>8086</v>
      </c>
      <c r="C8084" s="3" t="s">
        <v>9</v>
      </c>
      <c r="D8084" s="3" t="s">
        <v>10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/>
      <c r="P8084" s="3"/>
      <c r="Q8084" s="3"/>
    </row>
    <row r="8085" spans="1:17" ht="15" x14ac:dyDescent="0.25">
      <c r="A8085" s="3">
        <f>8078</f>
        <v>8078</v>
      </c>
      <c r="B8085" s="3" t="s">
        <v>8087</v>
      </c>
      <c r="C8085" s="3" t="s">
        <v>9</v>
      </c>
      <c r="D8085" s="3" t="s">
        <v>10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/>
      <c r="P8085" s="3"/>
      <c r="Q8085" s="3"/>
    </row>
    <row r="8086" spans="1:17" ht="15" x14ac:dyDescent="0.25">
      <c r="A8086" s="3">
        <f>8079</f>
        <v>8079</v>
      </c>
      <c r="B8086" s="3" t="s">
        <v>8088</v>
      </c>
      <c r="C8086" s="3" t="s">
        <v>9</v>
      </c>
      <c r="D8086" s="3" t="s">
        <v>10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/>
      <c r="P8086" s="3"/>
      <c r="Q8086" s="3"/>
    </row>
    <row r="8087" spans="1:17" ht="15" x14ac:dyDescent="0.25">
      <c r="A8087" s="3">
        <f>8080</f>
        <v>8080</v>
      </c>
      <c r="B8087" s="3" t="s">
        <v>8089</v>
      </c>
      <c r="C8087" s="3" t="s">
        <v>9</v>
      </c>
      <c r="D8087" s="3" t="s">
        <v>10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/>
      <c r="P8087" s="3"/>
      <c r="Q8087" s="3"/>
    </row>
    <row r="8088" spans="1:17" ht="15" x14ac:dyDescent="0.25">
      <c r="A8088" s="3">
        <f>8081</f>
        <v>8081</v>
      </c>
      <c r="B8088" s="3" t="s">
        <v>8090</v>
      </c>
      <c r="C8088" s="3" t="s">
        <v>9</v>
      </c>
      <c r="D8088" s="3" t="s">
        <v>10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/>
      <c r="P8088" s="3"/>
      <c r="Q8088" s="3"/>
    </row>
    <row r="8089" spans="1:17" ht="15" x14ac:dyDescent="0.25">
      <c r="A8089" s="3">
        <f>8082</f>
        <v>8082</v>
      </c>
      <c r="B8089" s="3" t="s">
        <v>8091</v>
      </c>
      <c r="C8089" s="3" t="s">
        <v>9</v>
      </c>
      <c r="D8089" s="3" t="s">
        <v>10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/>
      <c r="P8089" s="3"/>
      <c r="Q8089" s="3"/>
    </row>
    <row r="8090" spans="1:17" ht="15" x14ac:dyDescent="0.25">
      <c r="A8090" s="3">
        <f>8083</f>
        <v>8083</v>
      </c>
      <c r="B8090" s="3" t="s">
        <v>8092</v>
      </c>
      <c r="C8090" s="3" t="s">
        <v>9</v>
      </c>
      <c r="D8090" s="3" t="s">
        <v>10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/>
      <c r="P8090" s="3"/>
      <c r="Q8090" s="3"/>
    </row>
    <row r="8091" spans="1:17" ht="15" x14ac:dyDescent="0.25">
      <c r="A8091" s="3">
        <f>8084</f>
        <v>8084</v>
      </c>
      <c r="B8091" s="3" t="s">
        <v>8093</v>
      </c>
      <c r="C8091" s="3" t="s">
        <v>9</v>
      </c>
      <c r="D8091" s="3" t="s">
        <v>10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/>
      <c r="P8091" s="3"/>
      <c r="Q8091" s="3"/>
    </row>
    <row r="8092" spans="1:17" ht="15" x14ac:dyDescent="0.25">
      <c r="A8092" s="3">
        <f>8085</f>
        <v>8085</v>
      </c>
      <c r="B8092" s="3" t="s">
        <v>8094</v>
      </c>
      <c r="C8092" s="3" t="s">
        <v>9</v>
      </c>
      <c r="D8092" s="3" t="s">
        <v>10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/>
      <c r="P8092" s="3"/>
      <c r="Q8092" s="3"/>
    </row>
    <row r="8093" spans="1:17" ht="15" x14ac:dyDescent="0.25">
      <c r="A8093" s="3">
        <f>8086</f>
        <v>8086</v>
      </c>
      <c r="B8093" s="3" t="s">
        <v>8095</v>
      </c>
      <c r="C8093" s="3" t="s">
        <v>9</v>
      </c>
      <c r="D8093" s="3" t="s">
        <v>10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/>
      <c r="P8093" s="3"/>
      <c r="Q8093" s="3"/>
    </row>
    <row r="8094" spans="1:17" ht="15" x14ac:dyDescent="0.25">
      <c r="A8094" s="3">
        <f>8087</f>
        <v>8087</v>
      </c>
      <c r="B8094" s="3" t="s">
        <v>8096</v>
      </c>
      <c r="C8094" s="3" t="s">
        <v>9</v>
      </c>
      <c r="D8094" s="3" t="s">
        <v>10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/>
      <c r="P8094" s="3"/>
      <c r="Q8094" s="3"/>
    </row>
    <row r="8095" spans="1:17" ht="15" x14ac:dyDescent="0.25">
      <c r="A8095" s="3">
        <f>8088</f>
        <v>8088</v>
      </c>
      <c r="B8095" s="3" t="s">
        <v>8097</v>
      </c>
      <c r="C8095" s="3" t="s">
        <v>9</v>
      </c>
      <c r="D8095" s="3" t="s">
        <v>10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/>
      <c r="P8095" s="3"/>
      <c r="Q8095" s="3"/>
    </row>
    <row r="8096" spans="1:17" ht="15" x14ac:dyDescent="0.25">
      <c r="A8096" s="3">
        <f>8089</f>
        <v>8089</v>
      </c>
      <c r="B8096" s="3" t="s">
        <v>8098</v>
      </c>
      <c r="C8096" s="3" t="s">
        <v>9</v>
      </c>
      <c r="D8096" s="3" t="s">
        <v>10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/>
      <c r="P8096" s="3"/>
      <c r="Q8096" s="3"/>
    </row>
    <row r="8097" spans="1:17" ht="15" x14ac:dyDescent="0.25">
      <c r="A8097" s="3">
        <f>8090</f>
        <v>8090</v>
      </c>
      <c r="B8097" s="3" t="s">
        <v>8099</v>
      </c>
      <c r="C8097" s="3" t="s">
        <v>9</v>
      </c>
      <c r="D8097" s="3" t="s">
        <v>10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/>
      <c r="P8097" s="3"/>
      <c r="Q8097" s="3"/>
    </row>
    <row r="8098" spans="1:17" ht="15" x14ac:dyDescent="0.25">
      <c r="A8098" s="3">
        <f>8091</f>
        <v>8091</v>
      </c>
      <c r="B8098" s="3" t="s">
        <v>8100</v>
      </c>
      <c r="C8098" s="3" t="s">
        <v>9</v>
      </c>
      <c r="D8098" s="3" t="s">
        <v>10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/>
      <c r="P8098" s="3"/>
      <c r="Q8098" s="3"/>
    </row>
    <row r="8099" spans="1:17" ht="15" x14ac:dyDescent="0.25">
      <c r="A8099" s="3">
        <f>8092</f>
        <v>8092</v>
      </c>
      <c r="B8099" s="3" t="s">
        <v>8101</v>
      </c>
      <c r="C8099" s="3" t="s">
        <v>9</v>
      </c>
      <c r="D8099" s="3" t="s">
        <v>10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/>
      <c r="P8099" s="3"/>
      <c r="Q8099" s="3"/>
    </row>
    <row r="8100" spans="1:17" ht="15" x14ac:dyDescent="0.25">
      <c r="A8100" s="3">
        <f>8093</f>
        <v>8093</v>
      </c>
      <c r="B8100" s="3" t="s">
        <v>8102</v>
      </c>
      <c r="C8100" s="3" t="s">
        <v>9</v>
      </c>
      <c r="D8100" s="3" t="s">
        <v>10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/>
      <c r="P8100" s="3"/>
      <c r="Q8100" s="3"/>
    </row>
    <row r="8101" spans="1:17" ht="15" x14ac:dyDescent="0.25">
      <c r="A8101" s="3">
        <f>8094</f>
        <v>8094</v>
      </c>
      <c r="B8101" s="3" t="s">
        <v>8103</v>
      </c>
      <c r="C8101" s="3" t="s">
        <v>9</v>
      </c>
      <c r="D8101" s="3" t="s">
        <v>10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/>
      <c r="P8101" s="3"/>
      <c r="Q8101" s="3"/>
    </row>
    <row r="8102" spans="1:17" ht="15" x14ac:dyDescent="0.25">
      <c r="A8102" s="3">
        <f>8095</f>
        <v>8095</v>
      </c>
      <c r="B8102" s="3" t="s">
        <v>8104</v>
      </c>
      <c r="C8102" s="3" t="s">
        <v>9</v>
      </c>
      <c r="D8102" s="3" t="s">
        <v>10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/>
      <c r="P8102" s="3"/>
      <c r="Q8102" s="3"/>
    </row>
    <row r="8103" spans="1:17" ht="15" x14ac:dyDescent="0.25">
      <c r="A8103" s="3">
        <f>8096</f>
        <v>8096</v>
      </c>
      <c r="B8103" s="3" t="s">
        <v>8105</v>
      </c>
      <c r="C8103" s="3" t="s">
        <v>9</v>
      </c>
      <c r="D8103" s="3" t="s">
        <v>10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/>
      <c r="P8103" s="3"/>
      <c r="Q8103" s="3"/>
    </row>
    <row r="8104" spans="1:17" ht="15" x14ac:dyDescent="0.25">
      <c r="A8104" s="3">
        <f>8097</f>
        <v>8097</v>
      </c>
      <c r="B8104" s="3" t="s">
        <v>8106</v>
      </c>
      <c r="C8104" s="3" t="s">
        <v>9</v>
      </c>
      <c r="D8104" s="3" t="s">
        <v>10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/>
      <c r="P8104" s="3"/>
      <c r="Q8104" s="3"/>
    </row>
    <row r="8105" spans="1:17" ht="15" x14ac:dyDescent="0.25">
      <c r="A8105" s="3">
        <f>8098</f>
        <v>8098</v>
      </c>
      <c r="B8105" s="3" t="s">
        <v>8107</v>
      </c>
      <c r="C8105" s="3" t="s">
        <v>9</v>
      </c>
      <c r="D8105" s="3" t="s">
        <v>10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/>
      <c r="P8105" s="3"/>
      <c r="Q8105" s="3"/>
    </row>
    <row r="8106" spans="1:17" ht="15" x14ac:dyDescent="0.25">
      <c r="A8106" s="3">
        <f>8099</f>
        <v>8099</v>
      </c>
      <c r="B8106" s="3" t="s">
        <v>8108</v>
      </c>
      <c r="C8106" s="3" t="s">
        <v>9</v>
      </c>
      <c r="D8106" s="3" t="s">
        <v>10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/>
      <c r="P8106" s="3"/>
      <c r="Q8106" s="3"/>
    </row>
    <row r="8107" spans="1:17" ht="15" x14ac:dyDescent="0.25">
      <c r="A8107" s="3">
        <f>8100</f>
        <v>8100</v>
      </c>
      <c r="B8107" s="3" t="s">
        <v>8109</v>
      </c>
      <c r="C8107" s="3" t="s">
        <v>9</v>
      </c>
      <c r="D8107" s="3" t="s">
        <v>10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/>
      <c r="P8107" s="3"/>
      <c r="Q8107" s="3"/>
    </row>
    <row r="8108" spans="1:17" ht="15" x14ac:dyDescent="0.25">
      <c r="A8108" s="3">
        <f>8101</f>
        <v>8101</v>
      </c>
      <c r="B8108" s="3" t="s">
        <v>8110</v>
      </c>
      <c r="C8108" s="3" t="s">
        <v>9</v>
      </c>
      <c r="D8108" s="3" t="s">
        <v>10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/>
      <c r="P8108" s="3"/>
      <c r="Q8108" s="3"/>
    </row>
    <row r="8109" spans="1:17" ht="15" x14ac:dyDescent="0.25">
      <c r="A8109" s="3">
        <f>8102</f>
        <v>8102</v>
      </c>
      <c r="B8109" s="3" t="s">
        <v>8111</v>
      </c>
      <c r="C8109" s="3" t="s">
        <v>9</v>
      </c>
      <c r="D8109" s="3" t="s">
        <v>10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/>
      <c r="P8109" s="3"/>
      <c r="Q8109" s="3"/>
    </row>
    <row r="8110" spans="1:17" ht="15" x14ac:dyDescent="0.25">
      <c r="A8110" s="3">
        <f>8103</f>
        <v>8103</v>
      </c>
      <c r="B8110" s="3" t="s">
        <v>8112</v>
      </c>
      <c r="C8110" s="3" t="s">
        <v>9</v>
      </c>
      <c r="D8110" s="3" t="s">
        <v>10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/>
      <c r="P8110" s="3"/>
      <c r="Q8110" s="3"/>
    </row>
    <row r="8111" spans="1:17" ht="15" x14ac:dyDescent="0.25">
      <c r="A8111" s="3">
        <f>8104</f>
        <v>8104</v>
      </c>
      <c r="B8111" s="3" t="s">
        <v>8113</v>
      </c>
      <c r="C8111" s="3" t="s">
        <v>9</v>
      </c>
      <c r="D8111" s="3" t="s">
        <v>10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/>
      <c r="P8111" s="3"/>
      <c r="Q8111" s="3"/>
    </row>
    <row r="8112" spans="1:17" ht="15" x14ac:dyDescent="0.25">
      <c r="A8112" s="3">
        <f>8105</f>
        <v>8105</v>
      </c>
      <c r="B8112" s="3" t="s">
        <v>8114</v>
      </c>
      <c r="C8112" s="3" t="s">
        <v>9</v>
      </c>
      <c r="D8112" s="3" t="s">
        <v>10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/>
      <c r="P8112" s="3"/>
      <c r="Q8112" s="3"/>
    </row>
    <row r="8113" spans="1:17" ht="15" x14ac:dyDescent="0.25">
      <c r="A8113" s="3">
        <f>8106</f>
        <v>8106</v>
      </c>
      <c r="B8113" s="3" t="s">
        <v>8115</v>
      </c>
      <c r="C8113" s="3" t="s">
        <v>9</v>
      </c>
      <c r="D8113" s="3" t="s">
        <v>10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/>
      <c r="P8113" s="3"/>
      <c r="Q8113" s="3"/>
    </row>
    <row r="8114" spans="1:17" ht="15" x14ac:dyDescent="0.25">
      <c r="A8114" s="3">
        <f>8107</f>
        <v>8107</v>
      </c>
      <c r="B8114" s="3" t="s">
        <v>8116</v>
      </c>
      <c r="C8114" s="3" t="s">
        <v>9</v>
      </c>
      <c r="D8114" s="3" t="s">
        <v>10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/>
      <c r="P8114" s="3"/>
      <c r="Q8114" s="3"/>
    </row>
    <row r="8115" spans="1:17" ht="15" x14ac:dyDescent="0.25">
      <c r="A8115" s="3">
        <f>8108</f>
        <v>8108</v>
      </c>
      <c r="B8115" s="3" t="s">
        <v>8117</v>
      </c>
      <c r="C8115" s="3" t="s">
        <v>9</v>
      </c>
      <c r="D8115" s="3" t="s">
        <v>10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/>
      <c r="P8115" s="3"/>
      <c r="Q8115" s="3"/>
    </row>
    <row r="8116" spans="1:17" ht="15" x14ac:dyDescent="0.25">
      <c r="A8116" s="3">
        <f>8109</f>
        <v>8109</v>
      </c>
      <c r="B8116" s="3" t="s">
        <v>8118</v>
      </c>
      <c r="C8116" s="3" t="s">
        <v>9</v>
      </c>
      <c r="D8116" s="3" t="s">
        <v>10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/>
      <c r="P8116" s="3"/>
      <c r="Q8116" s="3"/>
    </row>
    <row r="8117" spans="1:17" ht="15" x14ac:dyDescent="0.25">
      <c r="A8117" s="3">
        <f>8110</f>
        <v>8110</v>
      </c>
      <c r="B8117" s="3" t="s">
        <v>8119</v>
      </c>
      <c r="C8117" s="3" t="s">
        <v>9</v>
      </c>
      <c r="D8117" s="3" t="s">
        <v>10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/>
      <c r="P8117" s="3"/>
      <c r="Q8117" s="3"/>
    </row>
    <row r="8118" spans="1:17" ht="15" x14ac:dyDescent="0.25">
      <c r="A8118" s="3">
        <f>8111</f>
        <v>8111</v>
      </c>
      <c r="B8118" s="3" t="s">
        <v>8120</v>
      </c>
      <c r="C8118" s="3" t="s">
        <v>9</v>
      </c>
      <c r="D8118" s="3" t="s">
        <v>10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/>
      <c r="P8118" s="3"/>
      <c r="Q8118" s="3"/>
    </row>
    <row r="8119" spans="1:17" ht="15" x14ac:dyDescent="0.25">
      <c r="A8119" s="3">
        <f>8112</f>
        <v>8112</v>
      </c>
      <c r="B8119" s="3" t="s">
        <v>8121</v>
      </c>
      <c r="C8119" s="3" t="s">
        <v>9</v>
      </c>
      <c r="D8119" s="3" t="s">
        <v>10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/>
      <c r="P8119" s="3"/>
      <c r="Q8119" s="3"/>
    </row>
    <row r="8120" spans="1:17" ht="15" x14ac:dyDescent="0.25">
      <c r="A8120" s="3">
        <f>8113</f>
        <v>8113</v>
      </c>
      <c r="B8120" s="3" t="s">
        <v>8122</v>
      </c>
      <c r="C8120" s="3" t="s">
        <v>9</v>
      </c>
      <c r="D8120" s="3" t="s">
        <v>10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/>
      <c r="P8120" s="3"/>
      <c r="Q8120" s="3"/>
    </row>
    <row r="8121" spans="1:17" ht="15" x14ac:dyDescent="0.25">
      <c r="A8121" s="3">
        <f>8114</f>
        <v>8114</v>
      </c>
      <c r="B8121" s="3" t="s">
        <v>8123</v>
      </c>
      <c r="C8121" s="3" t="s">
        <v>9</v>
      </c>
      <c r="D8121" s="3" t="s">
        <v>10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/>
      <c r="P8121" s="3"/>
      <c r="Q8121" s="3"/>
    </row>
    <row r="8122" spans="1:17" ht="15" x14ac:dyDescent="0.25">
      <c r="A8122" s="3">
        <f>8115</f>
        <v>8115</v>
      </c>
      <c r="B8122" s="3" t="s">
        <v>8124</v>
      </c>
      <c r="C8122" s="3" t="s">
        <v>9</v>
      </c>
      <c r="D8122" s="3" t="s">
        <v>9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/>
      <c r="P8122" s="3"/>
      <c r="Q8122" s="3"/>
    </row>
    <row r="8123" spans="1:17" ht="15" x14ac:dyDescent="0.25">
      <c r="A8123" s="3">
        <f>8116</f>
        <v>8116</v>
      </c>
      <c r="B8123" s="3" t="s">
        <v>8125</v>
      </c>
      <c r="C8123" s="3" t="s">
        <v>9</v>
      </c>
      <c r="D8123" s="3" t="s">
        <v>9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/>
      <c r="P8123" s="3"/>
      <c r="Q8123" s="3"/>
    </row>
    <row r="8124" spans="1:17" ht="15" x14ac:dyDescent="0.25">
      <c r="A8124" s="3">
        <f>8117</f>
        <v>8117</v>
      </c>
      <c r="B8124" s="3" t="s">
        <v>8126</v>
      </c>
      <c r="C8124" s="3" t="s">
        <v>9</v>
      </c>
      <c r="D8124" s="3" t="s">
        <v>9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/>
      <c r="P8124" s="3"/>
      <c r="Q8124" s="3"/>
    </row>
    <row r="8125" spans="1:17" ht="15" x14ac:dyDescent="0.25">
      <c r="A8125" s="3">
        <f>8118</f>
        <v>8118</v>
      </c>
      <c r="B8125" s="3" t="s">
        <v>8127</v>
      </c>
      <c r="C8125" s="3" t="s">
        <v>9</v>
      </c>
      <c r="D8125" s="3" t="s">
        <v>9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/>
      <c r="P8125" s="3"/>
      <c r="Q8125" s="3"/>
    </row>
    <row r="8126" spans="1:17" ht="15" x14ac:dyDescent="0.25">
      <c r="A8126" s="3">
        <f>8119</f>
        <v>8119</v>
      </c>
      <c r="B8126" s="3" t="s">
        <v>8128</v>
      </c>
      <c r="C8126" s="3" t="s">
        <v>9</v>
      </c>
      <c r="D8126" s="3" t="s">
        <v>9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/>
      <c r="P8126" s="3"/>
      <c r="Q8126" s="3"/>
    </row>
    <row r="8127" spans="1:17" ht="15" x14ac:dyDescent="0.25">
      <c r="A8127" s="3">
        <f>8120</f>
        <v>8120</v>
      </c>
      <c r="B8127" s="3" t="s">
        <v>8129</v>
      </c>
      <c r="C8127" s="3" t="s">
        <v>9</v>
      </c>
      <c r="D8127" s="3" t="s">
        <v>9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/>
      <c r="P8127" s="3"/>
      <c r="Q8127" s="3"/>
    </row>
    <row r="8128" spans="1:17" ht="15" x14ac:dyDescent="0.25">
      <c r="A8128" s="3">
        <f>8121</f>
        <v>8121</v>
      </c>
      <c r="B8128" s="3" t="s">
        <v>8130</v>
      </c>
      <c r="C8128" s="3" t="s">
        <v>9</v>
      </c>
      <c r="D8128" s="3" t="s">
        <v>9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/>
      <c r="P8128" s="3"/>
      <c r="Q8128" s="3"/>
    </row>
    <row r="8129" spans="1:17" ht="15" x14ac:dyDescent="0.25">
      <c r="A8129" s="3">
        <f>8122</f>
        <v>8122</v>
      </c>
      <c r="B8129" s="3" t="s">
        <v>8131</v>
      </c>
      <c r="C8129" s="3" t="s">
        <v>9</v>
      </c>
      <c r="D8129" s="3" t="s">
        <v>9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/>
      <c r="P8129" s="3"/>
      <c r="Q8129" s="3"/>
    </row>
    <row r="8130" spans="1:17" ht="15" x14ac:dyDescent="0.25">
      <c r="A8130" s="3">
        <f>8123</f>
        <v>8123</v>
      </c>
      <c r="B8130" s="3" t="s">
        <v>8132</v>
      </c>
      <c r="C8130" s="3" t="s">
        <v>9</v>
      </c>
      <c r="D8130" s="3" t="s">
        <v>9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/>
      <c r="P8130" s="3"/>
      <c r="Q8130" s="3"/>
    </row>
    <row r="8131" spans="1:17" ht="15" x14ac:dyDescent="0.25">
      <c r="A8131" s="3">
        <f>8124</f>
        <v>8124</v>
      </c>
      <c r="B8131" s="3" t="s">
        <v>8133</v>
      </c>
      <c r="C8131" s="3" t="s">
        <v>9</v>
      </c>
      <c r="D8131" s="3" t="s">
        <v>9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/>
      <c r="P8131" s="3"/>
      <c r="Q8131" s="3"/>
    </row>
    <row r="8132" spans="1:17" ht="15" x14ac:dyDescent="0.25">
      <c r="A8132" s="3">
        <f>8125</f>
        <v>8125</v>
      </c>
      <c r="B8132" s="3" t="s">
        <v>8134</v>
      </c>
      <c r="C8132" s="3" t="s">
        <v>9</v>
      </c>
      <c r="D8132" s="3" t="s">
        <v>9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/>
      <c r="P8132" s="3"/>
      <c r="Q8132" s="3"/>
    </row>
    <row r="8133" spans="1:17" ht="15" x14ac:dyDescent="0.25">
      <c r="A8133" s="3">
        <f>8126</f>
        <v>8126</v>
      </c>
      <c r="B8133" s="3" t="s">
        <v>8135</v>
      </c>
      <c r="C8133" s="3" t="s">
        <v>9</v>
      </c>
      <c r="D8133" s="3" t="s">
        <v>9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/>
      <c r="P8133" s="3"/>
      <c r="Q8133" s="3"/>
    </row>
    <row r="8134" spans="1:17" ht="15" x14ac:dyDescent="0.25">
      <c r="A8134" s="3">
        <f>8127</f>
        <v>8127</v>
      </c>
      <c r="B8134" s="3" t="s">
        <v>8136</v>
      </c>
      <c r="C8134" s="3" t="s">
        <v>9</v>
      </c>
      <c r="D8134" s="3" t="s">
        <v>9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/>
      <c r="P8134" s="3"/>
      <c r="Q8134" s="3"/>
    </row>
    <row r="8135" spans="1:17" ht="15" x14ac:dyDescent="0.25">
      <c r="A8135" s="3">
        <f>8128</f>
        <v>8128</v>
      </c>
      <c r="B8135" s="3" t="s">
        <v>8137</v>
      </c>
      <c r="C8135" s="3" t="s">
        <v>9</v>
      </c>
      <c r="D8135" s="3" t="s">
        <v>9</v>
      </c>
      <c r="E8135" s="3">
        <v>22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/>
      <c r="P8135" s="3"/>
      <c r="Q8135" s="3"/>
    </row>
    <row r="8136" spans="1:17" ht="15" x14ac:dyDescent="0.25">
      <c r="A8136" s="3">
        <f>8129</f>
        <v>8129</v>
      </c>
      <c r="B8136" s="3" t="s">
        <v>8138</v>
      </c>
      <c r="C8136" s="3" t="s">
        <v>9</v>
      </c>
      <c r="D8136" s="3" t="s">
        <v>9</v>
      </c>
      <c r="E8136" s="3">
        <v>22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/>
      <c r="P8136" s="3"/>
      <c r="Q8136" s="3"/>
    </row>
    <row r="8137" spans="1:17" ht="15" x14ac:dyDescent="0.25">
      <c r="A8137" s="3">
        <f>8130</f>
        <v>8130</v>
      </c>
      <c r="B8137" s="3" t="s">
        <v>8139</v>
      </c>
      <c r="C8137" s="3" t="s">
        <v>9</v>
      </c>
      <c r="D8137" s="3" t="s">
        <v>9</v>
      </c>
      <c r="E8137" s="3">
        <v>22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/>
      <c r="P8137" s="3"/>
      <c r="Q8137" s="3"/>
    </row>
    <row r="8138" spans="1:17" ht="15" x14ac:dyDescent="0.25">
      <c r="A8138" s="3">
        <f>8131</f>
        <v>8131</v>
      </c>
      <c r="B8138" s="3" t="s">
        <v>8140</v>
      </c>
      <c r="C8138" s="3" t="s">
        <v>9</v>
      </c>
      <c r="D8138" s="3" t="s">
        <v>9</v>
      </c>
      <c r="E8138" s="3">
        <v>22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/>
      <c r="P8138" s="3"/>
      <c r="Q8138" s="3"/>
    </row>
    <row r="8139" spans="1:17" ht="15" x14ac:dyDescent="0.25">
      <c r="A8139" s="3">
        <f>8132</f>
        <v>8132</v>
      </c>
      <c r="B8139" s="3" t="s">
        <v>8141</v>
      </c>
      <c r="C8139" s="3" t="s">
        <v>9</v>
      </c>
      <c r="D8139" s="3" t="s">
        <v>9</v>
      </c>
      <c r="E8139" s="3">
        <v>22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/>
      <c r="P8139" s="3"/>
      <c r="Q8139" s="3"/>
    </row>
    <row r="8140" spans="1:17" ht="15" x14ac:dyDescent="0.25">
      <c r="A8140" s="3">
        <f>8133</f>
        <v>8133</v>
      </c>
      <c r="B8140" s="3" t="s">
        <v>8142</v>
      </c>
      <c r="C8140" s="3" t="s">
        <v>9</v>
      </c>
      <c r="D8140" s="3" t="s">
        <v>9</v>
      </c>
      <c r="E8140" s="3">
        <v>22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/>
      <c r="P8140" s="3"/>
      <c r="Q8140" s="3"/>
    </row>
    <row r="8141" spans="1:17" ht="15" x14ac:dyDescent="0.25">
      <c r="A8141" s="3">
        <f>8134</f>
        <v>8134</v>
      </c>
      <c r="B8141" s="3" t="s">
        <v>8143</v>
      </c>
      <c r="C8141" s="3" t="s">
        <v>9</v>
      </c>
      <c r="D8141" s="3" t="s">
        <v>9</v>
      </c>
      <c r="E8141" s="3">
        <v>22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/>
      <c r="P8141" s="3"/>
      <c r="Q8141" s="3"/>
    </row>
    <row r="8142" spans="1:17" ht="15" x14ac:dyDescent="0.25">
      <c r="A8142" s="3">
        <f>8135</f>
        <v>8135</v>
      </c>
      <c r="B8142" s="3" t="s">
        <v>8144</v>
      </c>
      <c r="C8142" s="3" t="s">
        <v>9</v>
      </c>
      <c r="D8142" s="3" t="s">
        <v>9</v>
      </c>
      <c r="E8142" s="3">
        <v>22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/>
      <c r="P8142" s="3"/>
      <c r="Q8142" s="3"/>
    </row>
    <row r="8143" spans="1:17" ht="15" x14ac:dyDescent="0.25">
      <c r="A8143" s="3">
        <f>8136</f>
        <v>8136</v>
      </c>
      <c r="B8143" s="3" t="s">
        <v>8145</v>
      </c>
      <c r="C8143" s="3" t="s">
        <v>9</v>
      </c>
      <c r="D8143" s="3" t="s">
        <v>9</v>
      </c>
      <c r="E8143" s="3">
        <v>22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/>
      <c r="P8143" s="3"/>
      <c r="Q8143" s="3"/>
    </row>
    <row r="8144" spans="1:17" ht="15" x14ac:dyDescent="0.25">
      <c r="A8144" s="3">
        <f>8137</f>
        <v>8137</v>
      </c>
      <c r="B8144" s="3" t="s">
        <v>8146</v>
      </c>
      <c r="C8144" s="3" t="s">
        <v>9</v>
      </c>
      <c r="D8144" s="3" t="s">
        <v>9</v>
      </c>
      <c r="E8144" s="3">
        <v>22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/>
      <c r="P8144" s="3"/>
      <c r="Q8144" s="3"/>
    </row>
    <row r="8145" spans="1:17" ht="15" x14ac:dyDescent="0.25">
      <c r="A8145" s="3">
        <f>8138</f>
        <v>8138</v>
      </c>
      <c r="B8145" s="3" t="s">
        <v>8147</v>
      </c>
      <c r="C8145" s="3" t="s">
        <v>9</v>
      </c>
      <c r="D8145" s="3" t="s">
        <v>9</v>
      </c>
      <c r="E8145" s="3">
        <v>22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/>
      <c r="P8145" s="3"/>
      <c r="Q8145" s="3"/>
    </row>
    <row r="8146" spans="1:17" ht="15" x14ac:dyDescent="0.25">
      <c r="A8146" s="3">
        <f>8139</f>
        <v>8139</v>
      </c>
      <c r="B8146" s="3" t="s">
        <v>8148</v>
      </c>
      <c r="C8146" s="3" t="s">
        <v>9</v>
      </c>
      <c r="D8146" s="3" t="s">
        <v>9</v>
      </c>
      <c r="E8146" s="3">
        <v>22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/>
      <c r="P8146" s="3"/>
      <c r="Q8146" s="3"/>
    </row>
    <row r="8147" spans="1:17" ht="15" x14ac:dyDescent="0.25">
      <c r="A8147" s="3">
        <f>8140</f>
        <v>8140</v>
      </c>
      <c r="B8147" s="3" t="s">
        <v>8149</v>
      </c>
      <c r="C8147" s="3" t="s">
        <v>9</v>
      </c>
      <c r="D8147" s="3" t="s">
        <v>9</v>
      </c>
      <c r="E8147" s="3">
        <v>22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/>
      <c r="P8147" s="3"/>
      <c r="Q8147" s="3"/>
    </row>
    <row r="8148" spans="1:17" ht="15" x14ac:dyDescent="0.25">
      <c r="A8148" s="3">
        <f>8141</f>
        <v>8141</v>
      </c>
      <c r="B8148" s="3" t="s">
        <v>8150</v>
      </c>
      <c r="C8148" s="3" t="s">
        <v>9</v>
      </c>
      <c r="D8148" s="3" t="s">
        <v>9</v>
      </c>
      <c r="E8148" s="3">
        <v>22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/>
      <c r="P8148" s="3"/>
      <c r="Q8148" s="3"/>
    </row>
    <row r="8149" spans="1:17" ht="15" x14ac:dyDescent="0.25">
      <c r="A8149" s="3">
        <f>8142</f>
        <v>8142</v>
      </c>
      <c r="B8149" s="3" t="s">
        <v>8151</v>
      </c>
      <c r="C8149" s="3" t="s">
        <v>9</v>
      </c>
      <c r="D8149" s="3" t="s">
        <v>9</v>
      </c>
      <c r="E8149" s="3">
        <v>22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/>
      <c r="P8149" s="3"/>
      <c r="Q8149" s="3"/>
    </row>
    <row r="8150" spans="1:17" ht="15" x14ac:dyDescent="0.25">
      <c r="A8150" s="3">
        <f>8143</f>
        <v>8143</v>
      </c>
      <c r="B8150" s="3" t="s">
        <v>8152</v>
      </c>
      <c r="C8150" s="3" t="s">
        <v>9</v>
      </c>
      <c r="D8150" s="3" t="s">
        <v>9</v>
      </c>
      <c r="E8150" s="3">
        <v>22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/>
      <c r="P8150" s="3"/>
      <c r="Q8150" s="3"/>
    </row>
    <row r="8151" spans="1:17" ht="15" x14ac:dyDescent="0.25">
      <c r="A8151" s="3">
        <f>8144</f>
        <v>8144</v>
      </c>
      <c r="B8151" s="3" t="s">
        <v>8153</v>
      </c>
      <c r="C8151" s="3" t="s">
        <v>9</v>
      </c>
      <c r="D8151" s="3" t="s">
        <v>9</v>
      </c>
      <c r="E8151" s="3">
        <v>22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/>
      <c r="P8151" s="3"/>
      <c r="Q8151" s="3"/>
    </row>
    <row r="8152" spans="1:17" ht="15" x14ac:dyDescent="0.25">
      <c r="A8152" s="3">
        <f>8145</f>
        <v>8145</v>
      </c>
      <c r="B8152" s="3" t="s">
        <v>8154</v>
      </c>
      <c r="C8152" s="3" t="s">
        <v>9</v>
      </c>
      <c r="D8152" s="3" t="s">
        <v>9</v>
      </c>
      <c r="E8152" s="3">
        <v>22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/>
      <c r="P8152" s="3"/>
      <c r="Q8152" s="3"/>
    </row>
    <row r="8153" spans="1:17" ht="15" x14ac:dyDescent="0.25">
      <c r="A8153" s="3">
        <f>8146</f>
        <v>8146</v>
      </c>
      <c r="B8153" s="3" t="s">
        <v>8155</v>
      </c>
      <c r="C8153" s="3" t="s">
        <v>9</v>
      </c>
      <c r="D8153" s="3" t="s">
        <v>9</v>
      </c>
      <c r="E8153" s="3">
        <v>22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/>
      <c r="P8153" s="3"/>
      <c r="Q8153" s="3"/>
    </row>
    <row r="8154" spans="1:17" ht="15" x14ac:dyDescent="0.25">
      <c r="A8154" s="3">
        <f>8147</f>
        <v>8147</v>
      </c>
      <c r="B8154" s="3" t="s">
        <v>8156</v>
      </c>
      <c r="C8154" s="3" t="s">
        <v>9</v>
      </c>
      <c r="D8154" s="3" t="s">
        <v>9</v>
      </c>
      <c r="E8154" s="3">
        <v>22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/>
      <c r="P8154" s="3"/>
      <c r="Q8154" s="3"/>
    </row>
    <row r="8155" spans="1:17" ht="15" x14ac:dyDescent="0.25">
      <c r="A8155" s="3">
        <f>8148</f>
        <v>8148</v>
      </c>
      <c r="B8155" s="3" t="s">
        <v>8157</v>
      </c>
      <c r="C8155" s="3" t="s">
        <v>9</v>
      </c>
      <c r="D8155" s="3" t="s">
        <v>9</v>
      </c>
      <c r="E8155" s="3">
        <v>22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/>
      <c r="P8155" s="3"/>
      <c r="Q8155" s="3"/>
    </row>
    <row r="8156" spans="1:17" ht="15" x14ac:dyDescent="0.25">
      <c r="A8156" s="3">
        <f>8149</f>
        <v>8149</v>
      </c>
      <c r="B8156" s="3" t="s">
        <v>8158</v>
      </c>
      <c r="C8156" s="3" t="s">
        <v>9</v>
      </c>
      <c r="D8156" s="3" t="s">
        <v>9</v>
      </c>
      <c r="E8156" s="3">
        <v>22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/>
      <c r="P8156" s="3"/>
      <c r="Q8156" s="3"/>
    </row>
    <row r="8157" spans="1:17" ht="15" x14ac:dyDescent="0.25">
      <c r="A8157" s="3">
        <f>8150</f>
        <v>8150</v>
      </c>
      <c r="B8157" s="3" t="s">
        <v>8159</v>
      </c>
      <c r="C8157" s="3" t="s">
        <v>9</v>
      </c>
      <c r="D8157" s="3" t="s">
        <v>9</v>
      </c>
      <c r="E8157" s="3">
        <v>22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/>
      <c r="P8157" s="3"/>
      <c r="Q8157" s="3"/>
    </row>
    <row r="8158" spans="1:17" ht="15" x14ac:dyDescent="0.25">
      <c r="A8158" s="3">
        <f>8151</f>
        <v>8151</v>
      </c>
      <c r="B8158" s="3" t="s">
        <v>8160</v>
      </c>
      <c r="C8158" s="3" t="s">
        <v>9</v>
      </c>
      <c r="D8158" s="3" t="s">
        <v>9</v>
      </c>
      <c r="E8158" s="3">
        <v>22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/>
      <c r="P8158" s="3"/>
      <c r="Q8158" s="3"/>
    </row>
    <row r="8159" spans="1:17" ht="15" x14ac:dyDescent="0.25">
      <c r="A8159" s="3">
        <f>8152</f>
        <v>8152</v>
      </c>
      <c r="B8159" s="3" t="s">
        <v>8161</v>
      </c>
      <c r="C8159" s="3" t="s">
        <v>9</v>
      </c>
      <c r="D8159" s="3" t="s">
        <v>9</v>
      </c>
      <c r="E8159" s="3">
        <v>22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/>
      <c r="P8159" s="3"/>
      <c r="Q8159" s="3"/>
    </row>
    <row r="8160" spans="1:17" ht="15" x14ac:dyDescent="0.25">
      <c r="A8160" s="3">
        <f>8153</f>
        <v>8153</v>
      </c>
      <c r="B8160" s="3" t="s">
        <v>8162</v>
      </c>
      <c r="C8160" s="3" t="s">
        <v>9</v>
      </c>
      <c r="D8160" s="3" t="s">
        <v>9</v>
      </c>
      <c r="E8160" s="3">
        <v>22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/>
      <c r="P8160" s="3"/>
      <c r="Q8160" s="3"/>
    </row>
    <row r="8161" spans="1:17" ht="15" x14ac:dyDescent="0.25">
      <c r="A8161" s="3">
        <f>8154</f>
        <v>8154</v>
      </c>
      <c r="B8161" s="3" t="s">
        <v>8163</v>
      </c>
      <c r="C8161" s="3" t="s">
        <v>9</v>
      </c>
      <c r="D8161" s="3" t="s">
        <v>9</v>
      </c>
      <c r="E8161" s="3">
        <v>22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/>
      <c r="P8161" s="3"/>
      <c r="Q8161" s="3"/>
    </row>
    <row r="8162" spans="1:17" ht="15" x14ac:dyDescent="0.25">
      <c r="A8162" s="3">
        <f>8155</f>
        <v>8155</v>
      </c>
      <c r="B8162" s="3" t="s">
        <v>8164</v>
      </c>
      <c r="C8162" s="3" t="s">
        <v>9</v>
      </c>
      <c r="D8162" s="3" t="s">
        <v>9</v>
      </c>
      <c r="E8162" s="3">
        <v>22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/>
      <c r="P8162" s="3"/>
      <c r="Q8162" s="3"/>
    </row>
    <row r="8163" spans="1:17" ht="15" x14ac:dyDescent="0.25">
      <c r="A8163" s="3">
        <f>8156</f>
        <v>8156</v>
      </c>
      <c r="B8163" s="3" t="s">
        <v>8165</v>
      </c>
      <c r="C8163" s="3" t="s">
        <v>9</v>
      </c>
      <c r="D8163" s="3" t="s">
        <v>9</v>
      </c>
      <c r="E8163" s="3">
        <v>22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/>
      <c r="P8163" s="3"/>
      <c r="Q8163" s="3"/>
    </row>
    <row r="8164" spans="1:17" ht="15" x14ac:dyDescent="0.25">
      <c r="A8164" s="3">
        <f>8157</f>
        <v>8157</v>
      </c>
      <c r="B8164" s="3" t="s">
        <v>8166</v>
      </c>
      <c r="C8164" s="3" t="s">
        <v>9</v>
      </c>
      <c r="D8164" s="3" t="s">
        <v>9</v>
      </c>
      <c r="E8164" s="3">
        <v>22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/>
      <c r="P8164" s="3"/>
      <c r="Q8164" s="3"/>
    </row>
    <row r="8165" spans="1:17" ht="15" x14ac:dyDescent="0.25">
      <c r="A8165" s="3">
        <f>8158</f>
        <v>8158</v>
      </c>
      <c r="B8165" s="3" t="s">
        <v>8167</v>
      </c>
      <c r="C8165" s="3" t="s">
        <v>9</v>
      </c>
      <c r="D8165" s="3" t="s">
        <v>9</v>
      </c>
      <c r="E8165" s="3">
        <v>22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/>
      <c r="P8165" s="3"/>
      <c r="Q8165" s="3"/>
    </row>
    <row r="8166" spans="1:17" ht="15" x14ac:dyDescent="0.25">
      <c r="A8166" s="3">
        <f>8159</f>
        <v>8159</v>
      </c>
      <c r="B8166" s="3" t="s">
        <v>8168</v>
      </c>
      <c r="C8166" s="3" t="s">
        <v>9</v>
      </c>
      <c r="D8166" s="3" t="s">
        <v>9</v>
      </c>
      <c r="E8166" s="3">
        <v>22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/>
      <c r="P8166" s="3"/>
      <c r="Q8166" s="3"/>
    </row>
    <row r="8167" spans="1:17" ht="15" x14ac:dyDescent="0.25">
      <c r="A8167" s="3">
        <f>8160</f>
        <v>8160</v>
      </c>
      <c r="B8167" s="3" t="s">
        <v>8169</v>
      </c>
      <c r="C8167" s="3" t="s">
        <v>9</v>
      </c>
      <c r="D8167" s="3" t="s">
        <v>9</v>
      </c>
      <c r="E8167" s="3">
        <v>22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/>
      <c r="P8167" s="3"/>
      <c r="Q8167" s="3"/>
    </row>
    <row r="8168" spans="1:17" ht="15" x14ac:dyDescent="0.25">
      <c r="A8168" s="3">
        <f>8161</f>
        <v>8161</v>
      </c>
      <c r="B8168" s="3" t="s">
        <v>8170</v>
      </c>
      <c r="C8168" s="3" t="s">
        <v>9</v>
      </c>
      <c r="D8168" s="3" t="s">
        <v>9</v>
      </c>
      <c r="E8168" s="3">
        <v>22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/>
      <c r="P8168" s="3"/>
      <c r="Q8168" s="3"/>
    </row>
    <row r="8169" spans="1:17" ht="15" x14ac:dyDescent="0.25">
      <c r="A8169" s="3">
        <f>8162</f>
        <v>8162</v>
      </c>
      <c r="B8169" s="3" t="s">
        <v>8171</v>
      </c>
      <c r="C8169" s="3" t="s">
        <v>9</v>
      </c>
      <c r="D8169" s="3" t="s">
        <v>9</v>
      </c>
      <c r="E8169" s="3">
        <v>22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/>
      <c r="P8169" s="3"/>
      <c r="Q8169" s="3"/>
    </row>
    <row r="8170" spans="1:17" ht="15" x14ac:dyDescent="0.25">
      <c r="A8170" s="3">
        <f>8163</f>
        <v>8163</v>
      </c>
      <c r="B8170" s="3" t="s">
        <v>8172</v>
      </c>
      <c r="C8170" s="3" t="s">
        <v>9</v>
      </c>
      <c r="D8170" s="3" t="s">
        <v>9</v>
      </c>
      <c r="E8170" s="3">
        <v>22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/>
      <c r="P8170" s="3"/>
      <c r="Q8170" s="3"/>
    </row>
    <row r="8171" spans="1:17" ht="15" x14ac:dyDescent="0.25">
      <c r="A8171" s="3">
        <f>8164</f>
        <v>8164</v>
      </c>
      <c r="B8171" s="3" t="s">
        <v>8173</v>
      </c>
      <c r="C8171" s="3" t="s">
        <v>9</v>
      </c>
      <c r="D8171" s="3" t="s">
        <v>9</v>
      </c>
      <c r="E8171" s="3">
        <v>22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/>
      <c r="P8171" s="3"/>
      <c r="Q8171" s="3"/>
    </row>
    <row r="8172" spans="1:17" ht="15" x14ac:dyDescent="0.25">
      <c r="A8172" s="3">
        <f>8165</f>
        <v>8165</v>
      </c>
      <c r="B8172" s="3" t="s">
        <v>8174</v>
      </c>
      <c r="C8172" s="3" t="s">
        <v>9</v>
      </c>
      <c r="D8172" s="3" t="s">
        <v>9</v>
      </c>
      <c r="E8172" s="3">
        <v>22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/>
      <c r="P8172" s="3"/>
      <c r="Q8172" s="3"/>
    </row>
    <row r="8173" spans="1:17" ht="15" x14ac:dyDescent="0.25">
      <c r="A8173" s="3">
        <f>8166</f>
        <v>8166</v>
      </c>
      <c r="B8173" s="3" t="s">
        <v>8175</v>
      </c>
      <c r="C8173" s="3" t="s">
        <v>9</v>
      </c>
      <c r="D8173" s="3" t="s">
        <v>9</v>
      </c>
      <c r="E8173" s="3">
        <v>22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/>
      <c r="P8173" s="3"/>
      <c r="Q8173" s="3"/>
    </row>
    <row r="8174" spans="1:17" ht="15" x14ac:dyDescent="0.25">
      <c r="A8174" s="3">
        <f>8167</f>
        <v>8167</v>
      </c>
      <c r="B8174" s="3" t="s">
        <v>8176</v>
      </c>
      <c r="C8174" s="3" t="s">
        <v>9</v>
      </c>
      <c r="D8174" s="3" t="s">
        <v>9</v>
      </c>
      <c r="E8174" s="3">
        <v>22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/>
      <c r="P8174" s="3"/>
      <c r="Q8174" s="3"/>
    </row>
    <row r="8175" spans="1:17" ht="15" x14ac:dyDescent="0.25">
      <c r="A8175" s="3">
        <f>8168</f>
        <v>8168</v>
      </c>
      <c r="B8175" s="3" t="s">
        <v>8177</v>
      </c>
      <c r="C8175" s="3" t="s">
        <v>9</v>
      </c>
      <c r="D8175" s="3" t="s">
        <v>9</v>
      </c>
      <c r="E8175" s="3">
        <v>22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/>
      <c r="P8175" s="3"/>
      <c r="Q8175" s="3"/>
    </row>
    <row r="8176" spans="1:17" ht="15" x14ac:dyDescent="0.25">
      <c r="A8176" s="3">
        <f>8169</f>
        <v>8169</v>
      </c>
      <c r="B8176" s="3" t="s">
        <v>8178</v>
      </c>
      <c r="C8176" s="3" t="s">
        <v>9</v>
      </c>
      <c r="D8176" s="3" t="s">
        <v>9</v>
      </c>
      <c r="E8176" s="3">
        <v>22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/>
      <c r="P8176" s="3"/>
      <c r="Q8176" s="3"/>
    </row>
    <row r="8177" spans="1:17" ht="15" x14ac:dyDescent="0.25">
      <c r="A8177" s="3">
        <f>8170</f>
        <v>8170</v>
      </c>
      <c r="B8177" s="3" t="s">
        <v>8179</v>
      </c>
      <c r="C8177" s="3" t="s">
        <v>9</v>
      </c>
      <c r="D8177" s="3" t="s">
        <v>9</v>
      </c>
      <c r="E8177" s="3">
        <v>22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/>
      <c r="P8177" s="3"/>
      <c r="Q8177" s="3"/>
    </row>
    <row r="8178" spans="1:17" ht="15" x14ac:dyDescent="0.25">
      <c r="A8178" s="3">
        <f>8171</f>
        <v>8171</v>
      </c>
      <c r="B8178" s="3" t="s">
        <v>8180</v>
      </c>
      <c r="C8178" s="3" t="s">
        <v>9</v>
      </c>
      <c r="D8178" s="3" t="s">
        <v>9</v>
      </c>
      <c r="E8178" s="3">
        <v>22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/>
      <c r="P8178" s="3"/>
      <c r="Q8178" s="3"/>
    </row>
    <row r="8179" spans="1:17" ht="15" x14ac:dyDescent="0.25">
      <c r="A8179" s="3">
        <f>8172</f>
        <v>8172</v>
      </c>
      <c r="B8179" s="3" t="s">
        <v>8181</v>
      </c>
      <c r="C8179" s="3" t="s">
        <v>9</v>
      </c>
      <c r="D8179" s="3" t="s">
        <v>9</v>
      </c>
      <c r="E8179" s="3">
        <v>22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/>
      <c r="P8179" s="3"/>
      <c r="Q8179" s="3"/>
    </row>
    <row r="8180" spans="1:17" ht="15" x14ac:dyDescent="0.25">
      <c r="A8180" s="3">
        <f>8173</f>
        <v>8173</v>
      </c>
      <c r="B8180" s="3" t="s">
        <v>8182</v>
      </c>
      <c r="C8180" s="3" t="s">
        <v>9</v>
      </c>
      <c r="D8180" s="3" t="s">
        <v>9</v>
      </c>
      <c r="E8180" s="3">
        <v>22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/>
      <c r="P8180" s="3"/>
      <c r="Q8180" s="3"/>
    </row>
    <row r="8181" spans="1:17" ht="15" x14ac:dyDescent="0.25">
      <c r="A8181" s="3">
        <f>8174</f>
        <v>8174</v>
      </c>
      <c r="B8181" s="3" t="s">
        <v>8183</v>
      </c>
      <c r="C8181" s="3" t="s">
        <v>9</v>
      </c>
      <c r="D8181" s="3" t="s">
        <v>9</v>
      </c>
      <c r="E8181" s="3">
        <v>22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/>
      <c r="P8181" s="3"/>
      <c r="Q8181" s="3"/>
    </row>
    <row r="8182" spans="1:17" ht="15" x14ac:dyDescent="0.25">
      <c r="A8182" s="3">
        <f>8175</f>
        <v>8175</v>
      </c>
      <c r="B8182" s="3" t="s">
        <v>8184</v>
      </c>
      <c r="C8182" s="3" t="s">
        <v>9</v>
      </c>
      <c r="D8182" s="3" t="s">
        <v>9</v>
      </c>
      <c r="E8182" s="3">
        <v>22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/>
      <c r="P8182" s="3"/>
      <c r="Q8182" s="3"/>
    </row>
    <row r="8183" spans="1:17" ht="15" x14ac:dyDescent="0.25">
      <c r="A8183" s="3">
        <f>8176</f>
        <v>8176</v>
      </c>
      <c r="B8183" s="3" t="s">
        <v>8185</v>
      </c>
      <c r="C8183" s="3" t="s">
        <v>9</v>
      </c>
      <c r="D8183" s="3" t="s">
        <v>9</v>
      </c>
      <c r="E8183" s="3">
        <v>22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/>
      <c r="P8183" s="3"/>
      <c r="Q8183" s="3"/>
    </row>
    <row r="8184" spans="1:17" ht="15" x14ac:dyDescent="0.25">
      <c r="A8184" s="3">
        <f>8177</f>
        <v>8177</v>
      </c>
      <c r="B8184" s="3" t="s">
        <v>8186</v>
      </c>
      <c r="C8184" s="3" t="s">
        <v>9</v>
      </c>
      <c r="D8184" s="3" t="s">
        <v>9</v>
      </c>
      <c r="E8184" s="3">
        <v>22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/>
      <c r="P8184" s="3"/>
      <c r="Q8184" s="3"/>
    </row>
    <row r="8185" spans="1:17" ht="15" x14ac:dyDescent="0.25">
      <c r="A8185" s="3">
        <f>8178</f>
        <v>8178</v>
      </c>
      <c r="B8185" s="3" t="s">
        <v>8187</v>
      </c>
      <c r="C8185" s="3" t="s">
        <v>9</v>
      </c>
      <c r="D8185" s="3" t="s">
        <v>9</v>
      </c>
      <c r="E8185" s="3">
        <v>22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/>
      <c r="P8185" s="3"/>
      <c r="Q8185" s="3"/>
    </row>
    <row r="8186" spans="1:17" ht="15" x14ac:dyDescent="0.25">
      <c r="A8186" s="3">
        <f>8179</f>
        <v>8179</v>
      </c>
      <c r="B8186" s="3" t="s">
        <v>8188</v>
      </c>
      <c r="C8186" s="3" t="s">
        <v>9</v>
      </c>
      <c r="D8186" s="3" t="s">
        <v>9</v>
      </c>
      <c r="E8186" s="3">
        <v>22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/>
      <c r="P8186" s="3"/>
      <c r="Q8186" s="3"/>
    </row>
    <row r="8187" spans="1:17" ht="15" x14ac:dyDescent="0.25">
      <c r="A8187" s="3">
        <f>8180</f>
        <v>8180</v>
      </c>
      <c r="B8187" s="3" t="s">
        <v>8189</v>
      </c>
      <c r="C8187" s="3" t="s">
        <v>9</v>
      </c>
      <c r="D8187" s="3" t="s">
        <v>9</v>
      </c>
      <c r="E8187" s="3">
        <v>22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/>
      <c r="P8187" s="3"/>
      <c r="Q8187" s="3"/>
    </row>
    <row r="8188" spans="1:17" ht="15" x14ac:dyDescent="0.25">
      <c r="A8188" s="3">
        <f>8181</f>
        <v>8181</v>
      </c>
      <c r="B8188" s="3" t="s">
        <v>8190</v>
      </c>
      <c r="C8188" s="3" t="s">
        <v>9</v>
      </c>
      <c r="D8188" s="3" t="s">
        <v>9</v>
      </c>
      <c r="E8188" s="3">
        <v>22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/>
      <c r="P8188" s="3"/>
      <c r="Q8188" s="3"/>
    </row>
    <row r="8189" spans="1:17" ht="15" x14ac:dyDescent="0.25">
      <c r="A8189" s="3">
        <f>8182</f>
        <v>8182</v>
      </c>
      <c r="B8189" s="3" t="s">
        <v>8191</v>
      </c>
      <c r="C8189" s="3" t="s">
        <v>9</v>
      </c>
      <c r="D8189" s="3" t="s">
        <v>9</v>
      </c>
      <c r="E8189" s="3">
        <v>22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/>
      <c r="P8189" s="3"/>
      <c r="Q8189" s="3"/>
    </row>
    <row r="8190" spans="1:17" ht="15" x14ac:dyDescent="0.25">
      <c r="A8190" s="3">
        <f>8183</f>
        <v>8183</v>
      </c>
      <c r="B8190" s="3" t="s">
        <v>8192</v>
      </c>
      <c r="C8190" s="3" t="s">
        <v>9</v>
      </c>
      <c r="D8190" s="3" t="s">
        <v>9</v>
      </c>
      <c r="E8190" s="3">
        <v>22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/>
      <c r="P8190" s="3"/>
      <c r="Q8190" s="3"/>
    </row>
    <row r="8191" spans="1:17" ht="15" x14ac:dyDescent="0.25">
      <c r="A8191" s="3">
        <f>8184</f>
        <v>8184</v>
      </c>
      <c r="B8191" s="3" t="s">
        <v>8193</v>
      </c>
      <c r="C8191" s="3" t="s">
        <v>9</v>
      </c>
      <c r="D8191" s="3" t="s">
        <v>9</v>
      </c>
      <c r="E8191" s="3">
        <v>22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/>
      <c r="P8191" s="3"/>
      <c r="Q8191" s="3"/>
    </row>
    <row r="8192" spans="1:17" ht="15" x14ac:dyDescent="0.25">
      <c r="A8192" s="3">
        <f>8185</f>
        <v>8185</v>
      </c>
      <c r="B8192" s="3" t="s">
        <v>8194</v>
      </c>
      <c r="C8192" s="3" t="s">
        <v>9</v>
      </c>
      <c r="D8192" s="3" t="s">
        <v>9</v>
      </c>
      <c r="E8192" s="3">
        <v>22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/>
      <c r="P8192" s="3"/>
      <c r="Q8192" s="3"/>
    </row>
    <row r="8193" spans="1:17" ht="15" x14ac:dyDescent="0.25">
      <c r="A8193" s="3">
        <f>8186</f>
        <v>8186</v>
      </c>
      <c r="B8193" s="3" t="s">
        <v>8195</v>
      </c>
      <c r="C8193" s="3" t="s">
        <v>9</v>
      </c>
      <c r="D8193" s="3" t="s">
        <v>9</v>
      </c>
      <c r="E8193" s="3">
        <v>22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/>
      <c r="P8193" s="3"/>
      <c r="Q8193" s="3"/>
    </row>
    <row r="8194" spans="1:17" ht="15" x14ac:dyDescent="0.25">
      <c r="A8194" s="3">
        <f>8187</f>
        <v>8187</v>
      </c>
      <c r="B8194" s="3" t="s">
        <v>8196</v>
      </c>
      <c r="C8194" s="3" t="s">
        <v>9</v>
      </c>
      <c r="D8194" s="3" t="s">
        <v>9</v>
      </c>
      <c r="E8194" s="3">
        <v>22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/>
      <c r="P8194" s="3"/>
      <c r="Q8194" s="3"/>
    </row>
    <row r="8195" spans="1:17" ht="15" x14ac:dyDescent="0.25">
      <c r="A8195" s="3">
        <f>8188</f>
        <v>8188</v>
      </c>
      <c r="B8195" s="3" t="s">
        <v>8197</v>
      </c>
      <c r="C8195" s="3" t="s">
        <v>9</v>
      </c>
      <c r="D8195" s="3" t="s">
        <v>9</v>
      </c>
      <c r="E8195" s="3">
        <v>22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/>
      <c r="P8195" s="3"/>
      <c r="Q8195" s="3"/>
    </row>
    <row r="8196" spans="1:17" ht="15" x14ac:dyDescent="0.25">
      <c r="A8196" s="3">
        <f>8189</f>
        <v>8189</v>
      </c>
      <c r="B8196" s="3" t="s">
        <v>8198</v>
      </c>
      <c r="C8196" s="3" t="s">
        <v>9</v>
      </c>
      <c r="D8196" s="3" t="s">
        <v>9</v>
      </c>
      <c r="E8196" s="3">
        <v>22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/>
      <c r="P8196" s="3"/>
      <c r="Q8196" s="3"/>
    </row>
    <row r="8197" spans="1:17" ht="15" x14ac:dyDescent="0.25">
      <c r="A8197" s="3">
        <f>8190</f>
        <v>8190</v>
      </c>
      <c r="B8197" s="3" t="s">
        <v>8199</v>
      </c>
      <c r="C8197" s="3" t="s">
        <v>9</v>
      </c>
      <c r="D8197" s="3" t="s">
        <v>9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/>
      <c r="P8197" s="3"/>
      <c r="Q8197" s="3"/>
    </row>
    <row r="8198" spans="1:17" ht="15" x14ac:dyDescent="0.25">
      <c r="A8198" s="3">
        <f>8191</f>
        <v>8191</v>
      </c>
      <c r="B8198" s="3" t="s">
        <v>8200</v>
      </c>
      <c r="C8198" s="3" t="s">
        <v>9</v>
      </c>
      <c r="D8198" s="3" t="s">
        <v>9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/>
      <c r="P8198" s="3"/>
      <c r="Q8198" s="3"/>
    </row>
    <row r="8199" spans="1:17" ht="15" x14ac:dyDescent="0.25">
      <c r="A8199" s="3">
        <f>8192</f>
        <v>8192</v>
      </c>
      <c r="B8199" s="3" t="s">
        <v>8201</v>
      </c>
      <c r="C8199" s="3" t="s">
        <v>9</v>
      </c>
      <c r="D8199" s="3" t="s">
        <v>9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/>
      <c r="P8199" s="3"/>
      <c r="Q8199" s="3"/>
    </row>
    <row r="8200" spans="1:17" ht="15" x14ac:dyDescent="0.25">
      <c r="A8200" s="3">
        <f>8193</f>
        <v>8193</v>
      </c>
      <c r="B8200" s="3" t="s">
        <v>8202</v>
      </c>
      <c r="C8200" s="3" t="s">
        <v>9</v>
      </c>
      <c r="D8200" s="3" t="s">
        <v>9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/>
      <c r="P8200" s="3"/>
      <c r="Q8200" s="3"/>
    </row>
    <row r="8201" spans="1:17" ht="15" x14ac:dyDescent="0.25">
      <c r="A8201" s="3">
        <f>8194</f>
        <v>8194</v>
      </c>
      <c r="B8201" s="3" t="s">
        <v>8203</v>
      </c>
      <c r="C8201" s="3" t="s">
        <v>9</v>
      </c>
      <c r="D8201" s="3" t="s">
        <v>9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/>
      <c r="P8201" s="3"/>
      <c r="Q8201" s="3"/>
    </row>
    <row r="8202" spans="1:17" ht="15" x14ac:dyDescent="0.25">
      <c r="A8202" s="3">
        <f>8195</f>
        <v>8195</v>
      </c>
      <c r="B8202" s="3" t="s">
        <v>8204</v>
      </c>
      <c r="C8202" s="3" t="s">
        <v>9</v>
      </c>
      <c r="D8202" s="3" t="s">
        <v>9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/>
      <c r="P8202" s="3"/>
      <c r="Q8202" s="3"/>
    </row>
    <row r="8203" spans="1:17" ht="15" x14ac:dyDescent="0.25">
      <c r="A8203" s="3">
        <f>8196</f>
        <v>8196</v>
      </c>
      <c r="B8203" s="3" t="s">
        <v>8205</v>
      </c>
      <c r="C8203" s="3" t="s">
        <v>9</v>
      </c>
      <c r="D8203" s="3" t="s">
        <v>9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/>
      <c r="P8203" s="3"/>
      <c r="Q8203" s="3"/>
    </row>
    <row r="8204" spans="1:17" ht="15" x14ac:dyDescent="0.25">
      <c r="A8204" s="3">
        <f>8197</f>
        <v>8197</v>
      </c>
      <c r="B8204" s="3" t="s">
        <v>8206</v>
      </c>
      <c r="C8204" s="3" t="s">
        <v>9</v>
      </c>
      <c r="D8204" s="3" t="s">
        <v>9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/>
      <c r="P8204" s="3"/>
      <c r="Q8204" s="3"/>
    </row>
    <row r="8205" spans="1:17" ht="15" x14ac:dyDescent="0.25">
      <c r="A8205" s="3">
        <f>8198</f>
        <v>8198</v>
      </c>
      <c r="B8205" s="3" t="s">
        <v>8207</v>
      </c>
      <c r="C8205" s="3" t="s">
        <v>9</v>
      </c>
      <c r="D8205" s="3" t="s">
        <v>9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/>
      <c r="P8205" s="3"/>
      <c r="Q8205" s="3"/>
    </row>
    <row r="8206" spans="1:17" ht="15" x14ac:dyDescent="0.25">
      <c r="A8206" s="3">
        <f>8199</f>
        <v>8199</v>
      </c>
      <c r="B8206" s="3" t="s">
        <v>8208</v>
      </c>
      <c r="C8206" s="3" t="s">
        <v>9</v>
      </c>
      <c r="D8206" s="3" t="s">
        <v>9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/>
      <c r="P8206" s="3"/>
      <c r="Q8206" s="3"/>
    </row>
    <row r="8207" spans="1:17" ht="15" x14ac:dyDescent="0.25">
      <c r="A8207" s="3">
        <f>8200</f>
        <v>8200</v>
      </c>
      <c r="B8207" s="3" t="s">
        <v>8209</v>
      </c>
      <c r="C8207" s="3" t="s">
        <v>9</v>
      </c>
      <c r="D8207" s="3" t="s">
        <v>9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/>
      <c r="P8207" s="3"/>
      <c r="Q8207" s="3"/>
    </row>
    <row r="8208" spans="1:17" ht="15" x14ac:dyDescent="0.25">
      <c r="A8208" s="3">
        <f>8201</f>
        <v>8201</v>
      </c>
      <c r="B8208" s="3" t="s">
        <v>8210</v>
      </c>
      <c r="C8208" s="3" t="s">
        <v>9</v>
      </c>
      <c r="D8208" s="3" t="s">
        <v>9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/>
      <c r="P8208" s="3"/>
      <c r="Q8208" s="3"/>
    </row>
    <row r="8209" spans="1:17" ht="15" x14ac:dyDescent="0.25">
      <c r="A8209" s="3">
        <f>8202</f>
        <v>8202</v>
      </c>
      <c r="B8209" s="3" t="s">
        <v>8211</v>
      </c>
      <c r="C8209" s="3" t="s">
        <v>9</v>
      </c>
      <c r="D8209" s="3" t="s">
        <v>9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/>
      <c r="P8209" s="3"/>
      <c r="Q8209" s="3"/>
    </row>
    <row r="8210" spans="1:17" ht="15" x14ac:dyDescent="0.25">
      <c r="A8210" s="3">
        <f>8203</f>
        <v>8203</v>
      </c>
      <c r="B8210" s="3" t="s">
        <v>8212</v>
      </c>
      <c r="C8210" s="3" t="s">
        <v>9</v>
      </c>
      <c r="D8210" s="3" t="s">
        <v>9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/>
      <c r="P8210" s="3"/>
      <c r="Q8210" s="3"/>
    </row>
    <row r="8211" spans="1:17" ht="15" x14ac:dyDescent="0.25">
      <c r="A8211" s="3">
        <f>8204</f>
        <v>8204</v>
      </c>
      <c r="B8211" s="3" t="s">
        <v>8213</v>
      </c>
      <c r="C8211" s="3" t="s">
        <v>9</v>
      </c>
      <c r="D8211" s="3" t="s">
        <v>9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/>
      <c r="P8211" s="3"/>
      <c r="Q8211" s="3"/>
    </row>
    <row r="8212" spans="1:17" ht="15" x14ac:dyDescent="0.25">
      <c r="A8212" s="3">
        <f>8205</f>
        <v>8205</v>
      </c>
      <c r="B8212" s="3" t="s">
        <v>8214</v>
      </c>
      <c r="C8212" s="3" t="s">
        <v>9</v>
      </c>
      <c r="D8212" s="3" t="s">
        <v>9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/>
      <c r="P8212" s="3"/>
      <c r="Q8212" s="3"/>
    </row>
    <row r="8213" spans="1:17" ht="15" x14ac:dyDescent="0.25">
      <c r="A8213" s="3">
        <f>8206</f>
        <v>8206</v>
      </c>
      <c r="B8213" s="3" t="s">
        <v>8215</v>
      </c>
      <c r="C8213" s="3" t="s">
        <v>9</v>
      </c>
      <c r="D8213" s="3" t="s">
        <v>9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/>
      <c r="P8213" s="3"/>
      <c r="Q8213" s="3"/>
    </row>
    <row r="8214" spans="1:17" ht="15" x14ac:dyDescent="0.25">
      <c r="A8214" s="3">
        <f>8207</f>
        <v>8207</v>
      </c>
      <c r="B8214" s="3" t="s">
        <v>8216</v>
      </c>
      <c r="C8214" s="3" t="s">
        <v>9</v>
      </c>
      <c r="D8214" s="3" t="s">
        <v>9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/>
      <c r="P8214" s="3"/>
      <c r="Q8214" s="3"/>
    </row>
    <row r="8215" spans="1:17" ht="15" x14ac:dyDescent="0.25">
      <c r="A8215" s="3">
        <f>8208</f>
        <v>8208</v>
      </c>
      <c r="B8215" s="3" t="s">
        <v>8217</v>
      </c>
      <c r="C8215" s="3" t="s">
        <v>9</v>
      </c>
      <c r="D8215" s="3" t="s">
        <v>9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/>
      <c r="P8215" s="3"/>
      <c r="Q8215" s="3"/>
    </row>
    <row r="8216" spans="1:17" ht="15" x14ac:dyDescent="0.25">
      <c r="A8216" s="3">
        <f>8209</f>
        <v>8209</v>
      </c>
      <c r="B8216" s="3" t="s">
        <v>8218</v>
      </c>
      <c r="C8216" s="3" t="s">
        <v>9</v>
      </c>
      <c r="D8216" s="3" t="s">
        <v>9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/>
      <c r="P8216" s="3"/>
      <c r="Q8216" s="3"/>
    </row>
    <row r="8217" spans="1:17" ht="15" x14ac:dyDescent="0.25">
      <c r="A8217" s="3">
        <f>8210</f>
        <v>8210</v>
      </c>
      <c r="B8217" s="3" t="s">
        <v>8219</v>
      </c>
      <c r="C8217" s="3" t="s">
        <v>9</v>
      </c>
      <c r="D8217" s="3" t="s">
        <v>9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/>
      <c r="P8217" s="3"/>
      <c r="Q8217" s="3"/>
    </row>
    <row r="8218" spans="1:17" ht="15" x14ac:dyDescent="0.25">
      <c r="A8218" s="3">
        <f>8211</f>
        <v>8211</v>
      </c>
      <c r="B8218" s="3" t="s">
        <v>8220</v>
      </c>
      <c r="C8218" s="3" t="s">
        <v>9</v>
      </c>
      <c r="D8218" s="3" t="s">
        <v>9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/>
      <c r="P8218" s="3"/>
      <c r="Q8218" s="3"/>
    </row>
    <row r="8219" spans="1:17" ht="15" x14ac:dyDescent="0.25">
      <c r="A8219" s="3">
        <f>8212</f>
        <v>8212</v>
      </c>
      <c r="B8219" s="3" t="s">
        <v>8221</v>
      </c>
      <c r="C8219" s="3" t="s">
        <v>9</v>
      </c>
      <c r="D8219" s="3" t="s">
        <v>9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/>
      <c r="P8219" s="3"/>
      <c r="Q8219" s="3"/>
    </row>
    <row r="8220" spans="1:17" ht="15" x14ac:dyDescent="0.25">
      <c r="A8220" s="3">
        <f>8213</f>
        <v>8213</v>
      </c>
      <c r="B8220" s="3" t="s">
        <v>8222</v>
      </c>
      <c r="C8220" s="3" t="s">
        <v>9</v>
      </c>
      <c r="D8220" s="3" t="s">
        <v>9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/>
      <c r="P8220" s="3"/>
      <c r="Q8220" s="3"/>
    </row>
    <row r="8221" spans="1:17" ht="15" x14ac:dyDescent="0.25">
      <c r="A8221" s="3">
        <f>8214</f>
        <v>8214</v>
      </c>
      <c r="B8221" s="3" t="s">
        <v>8223</v>
      </c>
      <c r="C8221" s="3" t="s">
        <v>9</v>
      </c>
      <c r="D8221" s="3" t="s">
        <v>9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/>
      <c r="P8221" s="3"/>
      <c r="Q8221" s="3"/>
    </row>
    <row r="8222" spans="1:17" ht="15" x14ac:dyDescent="0.25">
      <c r="A8222" s="3">
        <f>8215</f>
        <v>8215</v>
      </c>
      <c r="B8222" s="3" t="s">
        <v>8224</v>
      </c>
      <c r="C8222" s="3" t="s">
        <v>9</v>
      </c>
      <c r="D8222" s="3" t="s">
        <v>9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/>
      <c r="P8222" s="3"/>
      <c r="Q8222" s="3"/>
    </row>
    <row r="8223" spans="1:17" ht="15" x14ac:dyDescent="0.25">
      <c r="A8223" s="3">
        <f>8216</f>
        <v>8216</v>
      </c>
      <c r="B8223" s="3" t="s">
        <v>8225</v>
      </c>
      <c r="C8223" s="3" t="s">
        <v>9</v>
      </c>
      <c r="D8223" s="3" t="s">
        <v>9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/>
      <c r="P8223" s="3"/>
      <c r="Q8223" s="3"/>
    </row>
    <row r="8224" spans="1:17" ht="15" x14ac:dyDescent="0.25">
      <c r="A8224" s="3">
        <f>8217</f>
        <v>8217</v>
      </c>
      <c r="B8224" s="3" t="s">
        <v>8226</v>
      </c>
      <c r="C8224" s="3" t="s">
        <v>9</v>
      </c>
      <c r="D8224" s="3" t="s">
        <v>9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/>
      <c r="P8224" s="3"/>
      <c r="Q8224" s="3"/>
    </row>
    <row r="8225" spans="1:17" ht="15" x14ac:dyDescent="0.25">
      <c r="A8225" s="3">
        <f>8218</f>
        <v>8218</v>
      </c>
      <c r="B8225" s="3" t="s">
        <v>8227</v>
      </c>
      <c r="C8225" s="3" t="s">
        <v>9</v>
      </c>
      <c r="D8225" s="3" t="s">
        <v>9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/>
      <c r="P8225" s="3"/>
      <c r="Q8225" s="3"/>
    </row>
    <row r="8226" spans="1:17" ht="15" x14ac:dyDescent="0.25">
      <c r="A8226" s="3">
        <f>8219</f>
        <v>8219</v>
      </c>
      <c r="B8226" s="3" t="s">
        <v>8228</v>
      </c>
      <c r="C8226" s="3" t="s">
        <v>9</v>
      </c>
      <c r="D8226" s="3" t="s">
        <v>9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/>
      <c r="P8226" s="3"/>
      <c r="Q8226" s="3"/>
    </row>
    <row r="8227" spans="1:17" ht="15" x14ac:dyDescent="0.25">
      <c r="A8227" s="3">
        <f>8220</f>
        <v>8220</v>
      </c>
      <c r="B8227" s="3" t="s">
        <v>8229</v>
      </c>
      <c r="C8227" s="3" t="s">
        <v>9</v>
      </c>
      <c r="D8227" s="3" t="s">
        <v>9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/>
      <c r="P8227" s="3"/>
      <c r="Q8227" s="3"/>
    </row>
    <row r="8228" spans="1:17" ht="15" x14ac:dyDescent="0.25">
      <c r="A8228" s="3">
        <f>8221</f>
        <v>8221</v>
      </c>
      <c r="B8228" s="3" t="s">
        <v>8230</v>
      </c>
      <c r="C8228" s="3" t="s">
        <v>9</v>
      </c>
      <c r="D8228" s="3" t="s">
        <v>9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/>
      <c r="P8228" s="3"/>
      <c r="Q8228" s="3"/>
    </row>
    <row r="8229" spans="1:17" ht="15" x14ac:dyDescent="0.25">
      <c r="A8229" s="3">
        <f>8222</f>
        <v>8222</v>
      </c>
      <c r="B8229" s="3" t="s">
        <v>8231</v>
      </c>
      <c r="C8229" s="3" t="s">
        <v>9</v>
      </c>
      <c r="D8229" s="3" t="s">
        <v>9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/>
      <c r="P8229" s="3"/>
      <c r="Q8229" s="3"/>
    </row>
    <row r="8230" spans="1:17" ht="15" x14ac:dyDescent="0.25">
      <c r="A8230" s="3">
        <f>8223</f>
        <v>8223</v>
      </c>
      <c r="B8230" s="3" t="s">
        <v>8232</v>
      </c>
      <c r="C8230" s="3" t="s">
        <v>9</v>
      </c>
      <c r="D8230" s="3" t="s">
        <v>9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/>
      <c r="P8230" s="3"/>
      <c r="Q8230" s="3"/>
    </row>
    <row r="8231" spans="1:17" ht="15" x14ac:dyDescent="0.25">
      <c r="A8231" s="3">
        <f>8224</f>
        <v>8224</v>
      </c>
      <c r="B8231" s="3" t="s">
        <v>8233</v>
      </c>
      <c r="C8231" s="3" t="s">
        <v>9</v>
      </c>
      <c r="D8231" s="3" t="s">
        <v>9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/>
      <c r="P8231" s="3"/>
      <c r="Q8231" s="3"/>
    </row>
    <row r="8232" spans="1:17" ht="15" x14ac:dyDescent="0.25">
      <c r="A8232" s="3">
        <f>8225</f>
        <v>8225</v>
      </c>
      <c r="B8232" s="3" t="s">
        <v>8234</v>
      </c>
      <c r="C8232" s="3" t="s">
        <v>9</v>
      </c>
      <c r="D8232" s="3" t="s">
        <v>9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/>
      <c r="P8232" s="3"/>
      <c r="Q8232" s="3"/>
    </row>
    <row r="8233" spans="1:17" ht="15" x14ac:dyDescent="0.25">
      <c r="A8233" s="3">
        <f>8226</f>
        <v>8226</v>
      </c>
      <c r="B8233" s="3" t="s">
        <v>8235</v>
      </c>
      <c r="C8233" s="3" t="s">
        <v>9</v>
      </c>
      <c r="D8233" s="3" t="s">
        <v>9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/>
      <c r="P8233" s="3"/>
      <c r="Q8233" s="3"/>
    </row>
    <row r="8234" spans="1:17" ht="15" x14ac:dyDescent="0.25">
      <c r="A8234" s="3">
        <f>8227</f>
        <v>8227</v>
      </c>
      <c r="B8234" s="3" t="s">
        <v>8236</v>
      </c>
      <c r="C8234" s="3" t="s">
        <v>9</v>
      </c>
      <c r="D8234" s="3" t="s">
        <v>9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/>
      <c r="P8234" s="3"/>
      <c r="Q8234" s="3"/>
    </row>
    <row r="8235" spans="1:17" ht="15" x14ac:dyDescent="0.25">
      <c r="A8235" s="3">
        <f>8228</f>
        <v>8228</v>
      </c>
      <c r="B8235" s="3" t="s">
        <v>8237</v>
      </c>
      <c r="C8235" s="3" t="s">
        <v>9</v>
      </c>
      <c r="D8235" s="3" t="s">
        <v>9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/>
      <c r="P8235" s="3"/>
      <c r="Q8235" s="3"/>
    </row>
    <row r="8236" spans="1:17" ht="15" x14ac:dyDescent="0.25">
      <c r="A8236" s="3">
        <f>8229</f>
        <v>8229</v>
      </c>
      <c r="B8236" s="3" t="s">
        <v>8238</v>
      </c>
      <c r="C8236" s="3" t="s">
        <v>9</v>
      </c>
      <c r="D8236" s="3" t="s">
        <v>9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/>
      <c r="P8236" s="3"/>
      <c r="Q8236" s="3"/>
    </row>
    <row r="8237" spans="1:17" ht="15" x14ac:dyDescent="0.25">
      <c r="A8237" s="3">
        <f>8230</f>
        <v>8230</v>
      </c>
      <c r="B8237" s="3" t="s">
        <v>8239</v>
      </c>
      <c r="C8237" s="3" t="s">
        <v>9</v>
      </c>
      <c r="D8237" s="3" t="s">
        <v>9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/>
      <c r="P8237" s="3"/>
      <c r="Q8237" s="3"/>
    </row>
    <row r="8238" spans="1:17" ht="15" x14ac:dyDescent="0.25">
      <c r="A8238" s="3">
        <f>8231</f>
        <v>8231</v>
      </c>
      <c r="B8238" s="3" t="s">
        <v>8240</v>
      </c>
      <c r="C8238" s="3" t="s">
        <v>9</v>
      </c>
      <c r="D8238" s="3" t="s">
        <v>9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/>
      <c r="P8238" s="3"/>
      <c r="Q8238" s="3"/>
    </row>
    <row r="8239" spans="1:17" ht="15" x14ac:dyDescent="0.25">
      <c r="A8239" s="3">
        <f>8232</f>
        <v>8232</v>
      </c>
      <c r="B8239" s="3" t="s">
        <v>8241</v>
      </c>
      <c r="C8239" s="3" t="s">
        <v>9</v>
      </c>
      <c r="D8239" s="3" t="s">
        <v>9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/>
      <c r="P8239" s="3"/>
      <c r="Q8239" s="3"/>
    </row>
    <row r="8240" spans="1:17" ht="15" x14ac:dyDescent="0.25">
      <c r="A8240" s="3">
        <f>8233</f>
        <v>8233</v>
      </c>
      <c r="B8240" s="3" t="s">
        <v>8242</v>
      </c>
      <c r="C8240" s="3" t="s">
        <v>9</v>
      </c>
      <c r="D8240" s="3" t="s">
        <v>9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/>
      <c r="P8240" s="3"/>
      <c r="Q8240" s="3"/>
    </row>
    <row r="8241" spans="1:17" ht="15" x14ac:dyDescent="0.25">
      <c r="A8241" s="3">
        <f>8234</f>
        <v>8234</v>
      </c>
      <c r="B8241" s="3" t="s">
        <v>8243</v>
      </c>
      <c r="C8241" s="3" t="s">
        <v>9</v>
      </c>
      <c r="D8241" s="3" t="s">
        <v>9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/>
      <c r="P8241" s="3"/>
      <c r="Q8241" s="3"/>
    </row>
    <row r="8242" spans="1:17" ht="15" x14ac:dyDescent="0.25">
      <c r="A8242" s="3">
        <f>8235</f>
        <v>8235</v>
      </c>
      <c r="B8242" s="3" t="s">
        <v>8244</v>
      </c>
      <c r="C8242" s="3" t="s">
        <v>9</v>
      </c>
      <c r="D8242" s="3" t="s">
        <v>9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/>
      <c r="P8242" s="3"/>
      <c r="Q8242" s="3"/>
    </row>
    <row r="8243" spans="1:17" ht="15" x14ac:dyDescent="0.25">
      <c r="A8243" s="3">
        <f>8236</f>
        <v>8236</v>
      </c>
      <c r="B8243" s="3" t="s">
        <v>8245</v>
      </c>
      <c r="C8243" s="3" t="s">
        <v>9</v>
      </c>
      <c r="D8243" s="3" t="s">
        <v>9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/>
      <c r="P8243" s="3"/>
      <c r="Q8243" s="3"/>
    </row>
    <row r="8244" spans="1:17" ht="15" x14ac:dyDescent="0.25">
      <c r="A8244" s="3">
        <f>8237</f>
        <v>8237</v>
      </c>
      <c r="B8244" s="3" t="s">
        <v>8246</v>
      </c>
      <c r="C8244" s="3" t="s">
        <v>9</v>
      </c>
      <c r="D8244" s="3" t="s">
        <v>9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/>
      <c r="P8244" s="3"/>
      <c r="Q8244" s="3"/>
    </row>
    <row r="8245" spans="1:17" ht="15" x14ac:dyDescent="0.25">
      <c r="A8245" s="3">
        <f>8238</f>
        <v>8238</v>
      </c>
      <c r="B8245" s="3" t="s">
        <v>8247</v>
      </c>
      <c r="C8245" s="3" t="s">
        <v>9</v>
      </c>
      <c r="D8245" s="3" t="s">
        <v>9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/>
      <c r="P8245" s="3"/>
      <c r="Q8245" s="3"/>
    </row>
    <row r="8246" spans="1:17" ht="15" x14ac:dyDescent="0.25">
      <c r="A8246" s="3">
        <f>8239</f>
        <v>8239</v>
      </c>
      <c r="B8246" s="3" t="s">
        <v>8248</v>
      </c>
      <c r="C8246" s="3" t="s">
        <v>9</v>
      </c>
      <c r="D8246" s="3" t="s">
        <v>9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/>
      <c r="P8246" s="3"/>
      <c r="Q8246" s="3"/>
    </row>
    <row r="8247" spans="1:17" ht="15" x14ac:dyDescent="0.25">
      <c r="A8247" s="3">
        <f>8240</f>
        <v>8240</v>
      </c>
      <c r="B8247" s="3" t="s">
        <v>8249</v>
      </c>
      <c r="C8247" s="3" t="s">
        <v>9</v>
      </c>
      <c r="D8247" s="3" t="s">
        <v>9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/>
      <c r="P8247" s="3"/>
      <c r="Q8247" s="3"/>
    </row>
    <row r="8248" spans="1:17" ht="15" x14ac:dyDescent="0.25">
      <c r="A8248" s="3">
        <f>8241</f>
        <v>8241</v>
      </c>
      <c r="B8248" s="3" t="s">
        <v>8250</v>
      </c>
      <c r="C8248" s="3" t="s">
        <v>9</v>
      </c>
      <c r="D8248" s="3" t="s">
        <v>9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/>
      <c r="P8248" s="3"/>
      <c r="Q8248" s="3"/>
    </row>
    <row r="8249" spans="1:17" ht="15" x14ac:dyDescent="0.25">
      <c r="A8249" s="3">
        <f>8242</f>
        <v>8242</v>
      </c>
      <c r="B8249" s="3" t="s">
        <v>8251</v>
      </c>
      <c r="C8249" s="3" t="s">
        <v>9</v>
      </c>
      <c r="D8249" s="3" t="s">
        <v>9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/>
      <c r="P8249" s="3"/>
      <c r="Q8249" s="3"/>
    </row>
    <row r="8250" spans="1:17" ht="15" x14ac:dyDescent="0.25">
      <c r="A8250" s="3">
        <f>8243</f>
        <v>8243</v>
      </c>
      <c r="B8250" s="3" t="s">
        <v>8252</v>
      </c>
      <c r="C8250" s="3" t="s">
        <v>9</v>
      </c>
      <c r="D8250" s="3" t="s">
        <v>9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/>
      <c r="P8250" s="3"/>
      <c r="Q8250" s="3"/>
    </row>
    <row r="8251" spans="1:17" ht="15" x14ac:dyDescent="0.25">
      <c r="A8251" s="3">
        <f>8244</f>
        <v>8244</v>
      </c>
      <c r="B8251" s="3" t="s">
        <v>8253</v>
      </c>
      <c r="C8251" s="3" t="s">
        <v>9</v>
      </c>
      <c r="D8251" s="3" t="s">
        <v>9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/>
      <c r="P8251" s="3"/>
      <c r="Q8251" s="3"/>
    </row>
    <row r="8252" spans="1:17" ht="15" x14ac:dyDescent="0.25">
      <c r="A8252" s="3">
        <f>8245</f>
        <v>8245</v>
      </c>
      <c r="B8252" s="3" t="s">
        <v>8254</v>
      </c>
      <c r="C8252" s="3" t="s">
        <v>9</v>
      </c>
      <c r="D8252" s="3" t="s">
        <v>9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/>
      <c r="P8252" s="3"/>
      <c r="Q8252" s="3"/>
    </row>
    <row r="8253" spans="1:17" ht="15" x14ac:dyDescent="0.25">
      <c r="A8253" s="3">
        <f>8246</f>
        <v>8246</v>
      </c>
      <c r="B8253" s="3" t="s">
        <v>8255</v>
      </c>
      <c r="C8253" s="3" t="s">
        <v>9</v>
      </c>
      <c r="D8253" s="3" t="s">
        <v>9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/>
      <c r="P8253" s="3"/>
      <c r="Q8253" s="3"/>
    </row>
    <row r="8254" spans="1:17" ht="15" x14ac:dyDescent="0.25">
      <c r="A8254" s="3">
        <f>8247</f>
        <v>8247</v>
      </c>
      <c r="B8254" s="3" t="s">
        <v>8256</v>
      </c>
      <c r="C8254" s="3" t="s">
        <v>9</v>
      </c>
      <c r="D8254" s="3" t="s">
        <v>9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/>
      <c r="P8254" s="3"/>
      <c r="Q8254" s="3"/>
    </row>
    <row r="8255" spans="1:17" ht="15" x14ac:dyDescent="0.25">
      <c r="A8255" s="3">
        <f>8248</f>
        <v>8248</v>
      </c>
      <c r="B8255" s="3" t="s">
        <v>8257</v>
      </c>
      <c r="C8255" s="3" t="s">
        <v>9</v>
      </c>
      <c r="D8255" s="3" t="s">
        <v>9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/>
      <c r="P8255" s="3"/>
      <c r="Q8255" s="3"/>
    </row>
    <row r="8256" spans="1:17" ht="15" x14ac:dyDescent="0.25">
      <c r="A8256" s="3">
        <f>8249</f>
        <v>8249</v>
      </c>
      <c r="B8256" s="3" t="s">
        <v>8258</v>
      </c>
      <c r="C8256" s="3" t="s">
        <v>9</v>
      </c>
      <c r="D8256" s="3" t="s">
        <v>9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/>
      <c r="P8256" s="3"/>
      <c r="Q8256" s="3"/>
    </row>
    <row r="8257" spans="1:17" ht="15" x14ac:dyDescent="0.25">
      <c r="A8257" s="3">
        <f>8250</f>
        <v>8250</v>
      </c>
      <c r="B8257" s="3" t="s">
        <v>8259</v>
      </c>
      <c r="C8257" s="3" t="s">
        <v>9</v>
      </c>
      <c r="D8257" s="3" t="s">
        <v>9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/>
      <c r="P8257" s="3"/>
      <c r="Q8257" s="3"/>
    </row>
    <row r="8258" spans="1:17" ht="15" x14ac:dyDescent="0.25">
      <c r="A8258" s="3">
        <f>8251</f>
        <v>8251</v>
      </c>
      <c r="B8258" s="3" t="s">
        <v>8260</v>
      </c>
      <c r="C8258" s="3" t="s">
        <v>9</v>
      </c>
      <c r="D8258" s="3" t="s">
        <v>9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/>
      <c r="P8258" s="3"/>
      <c r="Q8258" s="3"/>
    </row>
    <row r="8259" spans="1:17" ht="15" x14ac:dyDescent="0.25">
      <c r="A8259" s="3">
        <f>8252</f>
        <v>8252</v>
      </c>
      <c r="B8259" s="3" t="s">
        <v>8261</v>
      </c>
      <c r="C8259" s="3" t="s">
        <v>9</v>
      </c>
      <c r="D8259" s="3" t="s">
        <v>9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/>
      <c r="P8259" s="3"/>
      <c r="Q8259" s="3"/>
    </row>
    <row r="8260" spans="1:17" ht="15" x14ac:dyDescent="0.25">
      <c r="A8260" s="3">
        <f>8253</f>
        <v>8253</v>
      </c>
      <c r="B8260" s="3" t="s">
        <v>8262</v>
      </c>
      <c r="C8260" s="3" t="s">
        <v>9</v>
      </c>
      <c r="D8260" s="3" t="s">
        <v>9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/>
      <c r="P8260" s="3"/>
      <c r="Q8260" s="3"/>
    </row>
    <row r="8261" spans="1:17" ht="15" x14ac:dyDescent="0.25">
      <c r="A8261" s="3">
        <f>8254</f>
        <v>8254</v>
      </c>
      <c r="B8261" s="3" t="s">
        <v>8263</v>
      </c>
      <c r="C8261" s="3" t="s">
        <v>9</v>
      </c>
      <c r="D8261" s="3" t="s">
        <v>9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/>
      <c r="P8261" s="3"/>
      <c r="Q8261" s="3"/>
    </row>
    <row r="8262" spans="1:17" ht="15" x14ac:dyDescent="0.25">
      <c r="A8262" s="3">
        <f>8255</f>
        <v>8255</v>
      </c>
      <c r="B8262" s="3" t="s">
        <v>8264</v>
      </c>
      <c r="C8262" s="3" t="s">
        <v>9</v>
      </c>
      <c r="D8262" s="3" t="s">
        <v>9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/>
      <c r="P8262" s="3"/>
      <c r="Q8262" s="3"/>
    </row>
    <row r="8263" spans="1:17" ht="15" x14ac:dyDescent="0.25">
      <c r="A8263" s="3">
        <f>8256</f>
        <v>8256</v>
      </c>
      <c r="B8263" s="3" t="s">
        <v>8265</v>
      </c>
      <c r="C8263" s="3" t="s">
        <v>9</v>
      </c>
      <c r="D8263" s="3" t="s">
        <v>9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/>
      <c r="P8263" s="3"/>
      <c r="Q8263" s="3"/>
    </row>
    <row r="8264" spans="1:17" ht="15" x14ac:dyDescent="0.25">
      <c r="A8264" s="3">
        <f>8257</f>
        <v>8257</v>
      </c>
      <c r="B8264" s="3" t="s">
        <v>8266</v>
      </c>
      <c r="C8264" s="3" t="s">
        <v>9</v>
      </c>
      <c r="D8264" s="3" t="s">
        <v>9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/>
      <c r="P8264" s="3"/>
      <c r="Q8264" s="3"/>
    </row>
    <row r="8265" spans="1:17" ht="15" x14ac:dyDescent="0.25">
      <c r="A8265" s="3">
        <f>8258</f>
        <v>8258</v>
      </c>
      <c r="B8265" s="3" t="s">
        <v>8267</v>
      </c>
      <c r="C8265" s="3" t="s">
        <v>9</v>
      </c>
      <c r="D8265" s="3" t="s">
        <v>9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/>
      <c r="P8265" s="3"/>
      <c r="Q8265" s="3"/>
    </row>
    <row r="8266" spans="1:17" ht="15" x14ac:dyDescent="0.25">
      <c r="A8266" s="3">
        <f>8259</f>
        <v>8259</v>
      </c>
      <c r="B8266" s="3" t="s">
        <v>8268</v>
      </c>
      <c r="C8266" s="3" t="s">
        <v>9</v>
      </c>
      <c r="D8266" s="3" t="s">
        <v>9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/>
      <c r="P8266" s="3"/>
      <c r="Q8266" s="3"/>
    </row>
    <row r="8267" spans="1:17" ht="15" x14ac:dyDescent="0.25">
      <c r="A8267" s="3">
        <f>8260</f>
        <v>8260</v>
      </c>
      <c r="B8267" s="3" t="s">
        <v>8269</v>
      </c>
      <c r="C8267" s="3" t="s">
        <v>9</v>
      </c>
      <c r="D8267" s="3" t="s">
        <v>9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/>
      <c r="P8267" s="3"/>
      <c r="Q8267" s="3"/>
    </row>
    <row r="8268" spans="1:17" ht="15" x14ac:dyDescent="0.25">
      <c r="A8268" s="3">
        <f>8261</f>
        <v>8261</v>
      </c>
      <c r="B8268" s="3" t="s">
        <v>8270</v>
      </c>
      <c r="C8268" s="3" t="s">
        <v>9</v>
      </c>
      <c r="D8268" s="3" t="s">
        <v>9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/>
      <c r="P8268" s="3"/>
      <c r="Q8268" s="3"/>
    </row>
    <row r="8269" spans="1:17" ht="15" x14ac:dyDescent="0.25">
      <c r="A8269" s="3">
        <f>8262</f>
        <v>8262</v>
      </c>
      <c r="B8269" s="3" t="s">
        <v>8271</v>
      </c>
      <c r="C8269" s="3" t="s">
        <v>9</v>
      </c>
      <c r="D8269" s="3" t="s">
        <v>9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/>
      <c r="P8269" s="3"/>
      <c r="Q8269" s="3"/>
    </row>
    <row r="8270" spans="1:17" ht="15" x14ac:dyDescent="0.25">
      <c r="A8270" s="3">
        <f>8263</f>
        <v>8263</v>
      </c>
      <c r="B8270" s="3" t="s">
        <v>8272</v>
      </c>
      <c r="C8270" s="3" t="s">
        <v>9</v>
      </c>
      <c r="D8270" s="3" t="s">
        <v>9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/>
      <c r="P8270" s="3"/>
      <c r="Q8270" s="3"/>
    </row>
    <row r="8271" spans="1:17" ht="15" x14ac:dyDescent="0.25">
      <c r="A8271" s="3">
        <f>8264</f>
        <v>8264</v>
      </c>
      <c r="B8271" s="3" t="s">
        <v>8273</v>
      </c>
      <c r="C8271" s="3" t="s">
        <v>9</v>
      </c>
      <c r="D8271" s="3" t="s">
        <v>9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/>
      <c r="P8271" s="3"/>
      <c r="Q8271" s="3"/>
    </row>
    <row r="8272" spans="1:17" ht="15" x14ac:dyDescent="0.25">
      <c r="A8272" s="3">
        <f>8265</f>
        <v>8265</v>
      </c>
      <c r="B8272" s="3" t="s">
        <v>8274</v>
      </c>
      <c r="C8272" s="3" t="s">
        <v>9</v>
      </c>
      <c r="D8272" s="3" t="s">
        <v>9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/>
      <c r="P8272" s="3"/>
      <c r="Q8272" s="3"/>
    </row>
    <row r="8273" spans="1:17" ht="15" x14ac:dyDescent="0.25">
      <c r="A8273" s="3">
        <f>8266</f>
        <v>8266</v>
      </c>
      <c r="B8273" s="3" t="s">
        <v>8275</v>
      </c>
      <c r="C8273" s="3" t="s">
        <v>9</v>
      </c>
      <c r="D8273" s="3" t="s">
        <v>9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/>
      <c r="P8273" s="3"/>
      <c r="Q8273" s="3"/>
    </row>
    <row r="8274" spans="1:17" ht="15" x14ac:dyDescent="0.25">
      <c r="A8274" s="3">
        <f>8267</f>
        <v>8267</v>
      </c>
      <c r="B8274" s="3" t="s">
        <v>8276</v>
      </c>
      <c r="C8274" s="3" t="s">
        <v>9</v>
      </c>
      <c r="D8274" s="3" t="s">
        <v>9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/>
      <c r="P8274" s="3"/>
      <c r="Q8274" s="3"/>
    </row>
    <row r="8275" spans="1:17" ht="15" x14ac:dyDescent="0.25">
      <c r="A8275" s="3">
        <f>8268</f>
        <v>8268</v>
      </c>
      <c r="B8275" s="3" t="s">
        <v>8277</v>
      </c>
      <c r="C8275" s="3" t="s">
        <v>9</v>
      </c>
      <c r="D8275" s="3" t="s">
        <v>9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/>
      <c r="P8275" s="3"/>
      <c r="Q8275" s="3"/>
    </row>
    <row r="8276" spans="1:17" ht="15" x14ac:dyDescent="0.25">
      <c r="A8276" s="3">
        <f>8269</f>
        <v>8269</v>
      </c>
      <c r="B8276" s="3" t="s">
        <v>8278</v>
      </c>
      <c r="C8276" s="3" t="s">
        <v>9</v>
      </c>
      <c r="D8276" s="3" t="s">
        <v>9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/>
      <c r="P8276" s="3"/>
      <c r="Q8276" s="3"/>
    </row>
    <row r="8277" spans="1:17" ht="15" x14ac:dyDescent="0.25">
      <c r="A8277" s="3">
        <f>8270</f>
        <v>8270</v>
      </c>
      <c r="B8277" s="3" t="s">
        <v>8279</v>
      </c>
      <c r="C8277" s="3" t="s">
        <v>9</v>
      </c>
      <c r="D8277" s="3" t="s">
        <v>9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/>
      <c r="P8277" s="3"/>
      <c r="Q8277" s="3"/>
    </row>
    <row r="8278" spans="1:17" ht="15" x14ac:dyDescent="0.25">
      <c r="A8278" s="3">
        <f>8271</f>
        <v>8271</v>
      </c>
      <c r="B8278" s="3" t="s">
        <v>8280</v>
      </c>
      <c r="C8278" s="3" t="s">
        <v>9</v>
      </c>
      <c r="D8278" s="3" t="s">
        <v>9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/>
      <c r="P8278" s="3"/>
      <c r="Q8278" s="3"/>
    </row>
    <row r="8279" spans="1:17" ht="15" x14ac:dyDescent="0.25">
      <c r="A8279" s="3">
        <f>8272</f>
        <v>8272</v>
      </c>
      <c r="B8279" s="3" t="s">
        <v>8281</v>
      </c>
      <c r="C8279" s="3" t="s">
        <v>9</v>
      </c>
      <c r="D8279" s="3" t="s">
        <v>9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/>
      <c r="P8279" s="3"/>
      <c r="Q8279" s="3"/>
    </row>
    <row r="8280" spans="1:17" ht="15" x14ac:dyDescent="0.25">
      <c r="A8280" s="3">
        <f>8273</f>
        <v>8273</v>
      </c>
      <c r="B8280" s="3" t="s">
        <v>8282</v>
      </c>
      <c r="C8280" s="3" t="s">
        <v>9</v>
      </c>
      <c r="D8280" s="3" t="s">
        <v>9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/>
      <c r="P8280" s="3"/>
      <c r="Q8280" s="3"/>
    </row>
    <row r="8281" spans="1:17" ht="15" x14ac:dyDescent="0.25">
      <c r="A8281" s="3">
        <f>8274</f>
        <v>8274</v>
      </c>
      <c r="B8281" s="3" t="s">
        <v>8283</v>
      </c>
      <c r="C8281" s="3" t="s">
        <v>9</v>
      </c>
      <c r="D8281" s="3" t="s">
        <v>9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/>
      <c r="P8281" s="3"/>
      <c r="Q8281" s="3"/>
    </row>
    <row r="8282" spans="1:17" ht="15" x14ac:dyDescent="0.25">
      <c r="A8282" s="3">
        <f>8275</f>
        <v>8275</v>
      </c>
      <c r="B8282" s="3" t="s">
        <v>8284</v>
      </c>
      <c r="C8282" s="3" t="s">
        <v>9</v>
      </c>
      <c r="D8282" s="3" t="s">
        <v>9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/>
      <c r="P8282" s="3"/>
      <c r="Q8282" s="3"/>
    </row>
    <row r="8283" spans="1:17" ht="15" x14ac:dyDescent="0.25">
      <c r="A8283" s="3">
        <f>8276</f>
        <v>8276</v>
      </c>
      <c r="B8283" s="3" t="s">
        <v>8285</v>
      </c>
      <c r="C8283" s="3" t="s">
        <v>9</v>
      </c>
      <c r="D8283" s="3" t="s">
        <v>9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/>
      <c r="P8283" s="3"/>
      <c r="Q8283" s="3"/>
    </row>
    <row r="8284" spans="1:17" ht="15" x14ac:dyDescent="0.25">
      <c r="A8284" s="3">
        <f>8277</f>
        <v>8277</v>
      </c>
      <c r="B8284" s="3" t="s">
        <v>8286</v>
      </c>
      <c r="C8284" s="3" t="s">
        <v>9</v>
      </c>
      <c r="D8284" s="3" t="s">
        <v>9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/>
      <c r="P8284" s="3"/>
      <c r="Q8284" s="3"/>
    </row>
    <row r="8285" spans="1:17" ht="15" x14ac:dyDescent="0.25">
      <c r="A8285" s="3">
        <f>8278</f>
        <v>8278</v>
      </c>
      <c r="B8285" s="3" t="s">
        <v>8287</v>
      </c>
      <c r="C8285" s="3" t="s">
        <v>9</v>
      </c>
      <c r="D8285" s="3" t="s">
        <v>9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/>
      <c r="P8285" s="3"/>
      <c r="Q8285" s="3"/>
    </row>
    <row r="8286" spans="1:17" ht="15" x14ac:dyDescent="0.25">
      <c r="A8286" s="3">
        <f>8279</f>
        <v>8279</v>
      </c>
      <c r="B8286" s="3" t="s">
        <v>8288</v>
      </c>
      <c r="C8286" s="3" t="s">
        <v>9</v>
      </c>
      <c r="D8286" s="3" t="s">
        <v>9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/>
      <c r="P8286" s="3"/>
      <c r="Q8286" s="3"/>
    </row>
    <row r="8287" spans="1:17" ht="15" x14ac:dyDescent="0.25">
      <c r="A8287" s="3">
        <f>8280</f>
        <v>8280</v>
      </c>
      <c r="B8287" s="3" t="s">
        <v>8289</v>
      </c>
      <c r="C8287" s="3" t="s">
        <v>9</v>
      </c>
      <c r="D8287" s="3" t="s">
        <v>9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/>
      <c r="P8287" s="3"/>
      <c r="Q8287" s="3"/>
    </row>
    <row r="8288" spans="1:17" ht="15" x14ac:dyDescent="0.25">
      <c r="A8288" s="3">
        <f>8281</f>
        <v>8281</v>
      </c>
      <c r="B8288" s="3" t="s">
        <v>8290</v>
      </c>
      <c r="C8288" s="3" t="s">
        <v>9</v>
      </c>
      <c r="D8288" s="3" t="s">
        <v>9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/>
      <c r="P8288" s="3"/>
      <c r="Q8288" s="3"/>
    </row>
    <row r="8289" spans="1:17" ht="15" x14ac:dyDescent="0.25">
      <c r="A8289" s="3">
        <f>8282</f>
        <v>8282</v>
      </c>
      <c r="B8289" s="3" t="s">
        <v>8291</v>
      </c>
      <c r="C8289" s="3" t="s">
        <v>9</v>
      </c>
      <c r="D8289" s="3" t="s">
        <v>9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/>
      <c r="P8289" s="3"/>
      <c r="Q8289" s="3"/>
    </row>
    <row r="8290" spans="1:17" ht="15" x14ac:dyDescent="0.25">
      <c r="A8290" s="3">
        <f>8283</f>
        <v>8283</v>
      </c>
      <c r="B8290" s="3" t="s">
        <v>8292</v>
      </c>
      <c r="C8290" s="3" t="s">
        <v>10</v>
      </c>
      <c r="D8290" s="3" t="s">
        <v>9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/>
      <c r="P8290" s="3"/>
      <c r="Q8290" s="3"/>
    </row>
    <row r="8291" spans="1:17" ht="15" x14ac:dyDescent="0.25">
      <c r="A8291" s="3">
        <f>8284</f>
        <v>8284</v>
      </c>
      <c r="B8291" s="3" t="s">
        <v>8293</v>
      </c>
      <c r="C8291" s="3" t="s">
        <v>10</v>
      </c>
      <c r="D8291" s="3" t="s">
        <v>9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/>
      <c r="P8291" s="3"/>
      <c r="Q8291" s="3"/>
    </row>
    <row r="8292" spans="1:17" ht="15" x14ac:dyDescent="0.25">
      <c r="A8292" s="3">
        <f>8285</f>
        <v>8285</v>
      </c>
      <c r="B8292" s="3" t="s">
        <v>8294</v>
      </c>
      <c r="C8292" s="3" t="s">
        <v>10</v>
      </c>
      <c r="D8292" s="3" t="s">
        <v>9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/>
      <c r="P8292" s="3"/>
      <c r="Q8292" s="3"/>
    </row>
    <row r="8293" spans="1:17" ht="15" x14ac:dyDescent="0.25">
      <c r="A8293" s="3">
        <f>8286</f>
        <v>8286</v>
      </c>
      <c r="B8293" s="3" t="s">
        <v>8295</v>
      </c>
      <c r="C8293" s="3" t="s">
        <v>10</v>
      </c>
      <c r="D8293" s="3" t="s">
        <v>9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/>
      <c r="P8293" s="3"/>
      <c r="Q8293" s="3"/>
    </row>
    <row r="8294" spans="1:17" ht="15" x14ac:dyDescent="0.25">
      <c r="A8294" s="3">
        <f>8287</f>
        <v>8287</v>
      </c>
      <c r="B8294" s="3" t="s">
        <v>8296</v>
      </c>
      <c r="C8294" s="3" t="s">
        <v>10</v>
      </c>
      <c r="D8294" s="3" t="s">
        <v>9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/>
      <c r="P8294" s="3"/>
      <c r="Q8294" s="3"/>
    </row>
    <row r="8295" spans="1:17" ht="15" x14ac:dyDescent="0.25">
      <c r="A8295" s="3">
        <f>8288</f>
        <v>8288</v>
      </c>
      <c r="B8295" s="3" t="s">
        <v>8297</v>
      </c>
      <c r="C8295" s="3" t="s">
        <v>10</v>
      </c>
      <c r="D8295" s="3" t="s">
        <v>9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/>
      <c r="P8295" s="3"/>
      <c r="Q8295" s="3"/>
    </row>
    <row r="8296" spans="1:17" ht="15" x14ac:dyDescent="0.25">
      <c r="A8296" s="3">
        <f>8289</f>
        <v>8289</v>
      </c>
      <c r="B8296" s="3" t="s">
        <v>8298</v>
      </c>
      <c r="C8296" s="3" t="s">
        <v>10</v>
      </c>
      <c r="D8296" s="3" t="s">
        <v>9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/>
      <c r="P8296" s="3"/>
      <c r="Q8296" s="3"/>
    </row>
    <row r="8297" spans="1:17" ht="15" x14ac:dyDescent="0.25">
      <c r="A8297" s="3">
        <f>8290</f>
        <v>8290</v>
      </c>
      <c r="B8297" s="3" t="s">
        <v>8299</v>
      </c>
      <c r="C8297" s="3" t="s">
        <v>10</v>
      </c>
      <c r="D8297" s="3" t="s">
        <v>9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/>
      <c r="P8297" s="3"/>
      <c r="Q8297" s="3"/>
    </row>
    <row r="8298" spans="1:17" ht="15" x14ac:dyDescent="0.25">
      <c r="A8298" s="3">
        <f>8291</f>
        <v>8291</v>
      </c>
      <c r="B8298" s="3" t="s">
        <v>8300</v>
      </c>
      <c r="C8298" s="3" t="s">
        <v>10</v>
      </c>
      <c r="D8298" s="3" t="s">
        <v>9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/>
      <c r="P8298" s="3"/>
      <c r="Q8298" s="3"/>
    </row>
    <row r="8299" spans="1:17" ht="15" x14ac:dyDescent="0.25">
      <c r="A8299" s="3">
        <f>8292</f>
        <v>8292</v>
      </c>
      <c r="B8299" s="3" t="s">
        <v>8301</v>
      </c>
      <c r="C8299" s="3" t="s">
        <v>10</v>
      </c>
      <c r="D8299" s="3" t="s">
        <v>9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/>
      <c r="P8299" s="3"/>
      <c r="Q8299" s="3"/>
    </row>
    <row r="8300" spans="1:17" ht="15" x14ac:dyDescent="0.25">
      <c r="A8300" s="3">
        <f>8293</f>
        <v>8293</v>
      </c>
      <c r="B8300" s="3" t="s">
        <v>8302</v>
      </c>
      <c r="C8300" s="3" t="s">
        <v>10</v>
      </c>
      <c r="D8300" s="3" t="s">
        <v>9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/>
      <c r="P8300" s="3"/>
      <c r="Q8300" s="3"/>
    </row>
    <row r="8301" spans="1:17" ht="15" x14ac:dyDescent="0.25">
      <c r="A8301" s="3">
        <f>8294</f>
        <v>8294</v>
      </c>
      <c r="B8301" s="3" t="s">
        <v>8303</v>
      </c>
      <c r="C8301" s="3" t="s">
        <v>10</v>
      </c>
      <c r="D8301" s="3" t="s">
        <v>9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/>
      <c r="P8301" s="3"/>
      <c r="Q8301" s="3"/>
    </row>
    <row r="8302" spans="1:17" ht="15" x14ac:dyDescent="0.25">
      <c r="A8302" s="3">
        <f>8295</f>
        <v>8295</v>
      </c>
      <c r="B8302" s="3" t="s">
        <v>8304</v>
      </c>
      <c r="C8302" s="3" t="s">
        <v>10</v>
      </c>
      <c r="D8302" s="3" t="s">
        <v>9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/>
      <c r="P8302" s="3"/>
      <c r="Q8302" s="3"/>
    </row>
    <row r="8303" spans="1:17" ht="15" x14ac:dyDescent="0.25">
      <c r="A8303" s="3">
        <f>8296</f>
        <v>8296</v>
      </c>
      <c r="B8303" s="3" t="s">
        <v>8305</v>
      </c>
      <c r="C8303" s="3" t="s">
        <v>10</v>
      </c>
      <c r="D8303" s="3" t="s">
        <v>9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/>
      <c r="P8303" s="3"/>
      <c r="Q8303" s="3"/>
    </row>
    <row r="8304" spans="1:17" ht="15" x14ac:dyDescent="0.25">
      <c r="A8304" s="3">
        <f>8297</f>
        <v>8297</v>
      </c>
      <c r="B8304" s="3" t="s">
        <v>8306</v>
      </c>
      <c r="C8304" s="3" t="s">
        <v>10</v>
      </c>
      <c r="D8304" s="3" t="s">
        <v>9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/>
      <c r="P8304" s="3"/>
      <c r="Q8304" s="3"/>
    </row>
    <row r="8305" spans="1:17" ht="15" x14ac:dyDescent="0.25">
      <c r="A8305" s="3">
        <f>8298</f>
        <v>8298</v>
      </c>
      <c r="B8305" s="3" t="s">
        <v>8307</v>
      </c>
      <c r="C8305" s="3" t="s">
        <v>10</v>
      </c>
      <c r="D8305" s="3" t="s">
        <v>9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/>
      <c r="P8305" s="3"/>
      <c r="Q8305" s="3"/>
    </row>
    <row r="8306" spans="1:17" ht="15" x14ac:dyDescent="0.25">
      <c r="A8306" s="3">
        <f>8299</f>
        <v>8299</v>
      </c>
      <c r="B8306" s="3" t="s">
        <v>8308</v>
      </c>
      <c r="C8306" s="3" t="s">
        <v>10</v>
      </c>
      <c r="D8306" s="3" t="s">
        <v>9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/>
      <c r="P8306" s="3"/>
      <c r="Q8306" s="3"/>
    </row>
    <row r="8307" spans="1:17" ht="15" x14ac:dyDescent="0.25">
      <c r="A8307" s="3">
        <f>8300</f>
        <v>8300</v>
      </c>
      <c r="B8307" s="3" t="s">
        <v>8309</v>
      </c>
      <c r="C8307" s="3" t="s">
        <v>10</v>
      </c>
      <c r="D8307" s="3" t="s">
        <v>9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/>
      <c r="P8307" s="3"/>
      <c r="Q8307" s="3"/>
    </row>
    <row r="8308" spans="1:17" ht="15" x14ac:dyDescent="0.25">
      <c r="A8308" s="3">
        <f>8301</f>
        <v>8301</v>
      </c>
      <c r="B8308" s="3" t="s">
        <v>8310</v>
      </c>
      <c r="C8308" s="3" t="s">
        <v>10</v>
      </c>
      <c r="D8308" s="3" t="s">
        <v>9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/>
      <c r="P8308" s="3"/>
      <c r="Q8308" s="3"/>
    </row>
    <row r="8309" spans="1:17" ht="15" x14ac:dyDescent="0.25">
      <c r="A8309" s="3">
        <f>8302</f>
        <v>8302</v>
      </c>
      <c r="B8309" s="3" t="s">
        <v>8311</v>
      </c>
      <c r="C8309" s="3" t="s">
        <v>10</v>
      </c>
      <c r="D8309" s="3" t="s">
        <v>9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/>
      <c r="P8309" s="3"/>
      <c r="Q8309" s="3"/>
    </row>
    <row r="8310" spans="1:17" ht="15" x14ac:dyDescent="0.25">
      <c r="A8310" s="3">
        <f>8303</f>
        <v>8303</v>
      </c>
      <c r="B8310" s="3" t="s">
        <v>8312</v>
      </c>
      <c r="C8310" s="3" t="s">
        <v>10</v>
      </c>
      <c r="D8310" s="3" t="s">
        <v>9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/>
      <c r="P8310" s="3"/>
      <c r="Q8310" s="3"/>
    </row>
    <row r="8311" spans="1:17" ht="15" x14ac:dyDescent="0.25">
      <c r="A8311" s="3">
        <f>8304</f>
        <v>8304</v>
      </c>
      <c r="B8311" s="3" t="s">
        <v>8313</v>
      </c>
      <c r="C8311" s="3" t="s">
        <v>10</v>
      </c>
      <c r="D8311" s="3" t="s">
        <v>9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/>
      <c r="P8311" s="3"/>
      <c r="Q8311" s="3"/>
    </row>
    <row r="8312" spans="1:17" ht="15" x14ac:dyDescent="0.25">
      <c r="A8312" s="3">
        <f>8305</f>
        <v>8305</v>
      </c>
      <c r="B8312" s="3" t="s">
        <v>8314</v>
      </c>
      <c r="C8312" s="3" t="s">
        <v>10</v>
      </c>
      <c r="D8312" s="3" t="s">
        <v>9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/>
      <c r="P8312" s="3"/>
      <c r="Q8312" s="3"/>
    </row>
    <row r="8313" spans="1:17" ht="15" x14ac:dyDescent="0.25">
      <c r="A8313" s="3">
        <f>8306</f>
        <v>8306</v>
      </c>
      <c r="B8313" s="3" t="s">
        <v>8315</v>
      </c>
      <c r="C8313" s="3" t="s">
        <v>10</v>
      </c>
      <c r="D8313" s="3" t="s">
        <v>9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/>
      <c r="P8313" s="3"/>
      <c r="Q8313" s="3"/>
    </row>
    <row r="8314" spans="1:17" ht="15" x14ac:dyDescent="0.25">
      <c r="A8314" s="3">
        <f>8307</f>
        <v>8307</v>
      </c>
      <c r="B8314" s="3" t="s">
        <v>8316</v>
      </c>
      <c r="C8314" s="3" t="s">
        <v>10</v>
      </c>
      <c r="D8314" s="3" t="s">
        <v>9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/>
      <c r="P8314" s="3"/>
      <c r="Q8314" s="3"/>
    </row>
    <row r="8315" spans="1:17" ht="15" x14ac:dyDescent="0.25">
      <c r="A8315" s="3">
        <f>8308</f>
        <v>8308</v>
      </c>
      <c r="B8315" s="3" t="s">
        <v>8317</v>
      </c>
      <c r="C8315" s="3" t="s">
        <v>10</v>
      </c>
      <c r="D8315" s="3" t="s">
        <v>9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/>
      <c r="P8315" s="3"/>
      <c r="Q8315" s="3"/>
    </row>
    <row r="8316" spans="1:17" ht="15" x14ac:dyDescent="0.25">
      <c r="A8316" s="3">
        <f>8309</f>
        <v>8309</v>
      </c>
      <c r="B8316" s="3" t="s">
        <v>8318</v>
      </c>
      <c r="C8316" s="3" t="s">
        <v>10</v>
      </c>
      <c r="D8316" s="3" t="s">
        <v>9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/>
      <c r="P8316" s="3"/>
      <c r="Q8316" s="3"/>
    </row>
    <row r="8317" spans="1:17" ht="15" x14ac:dyDescent="0.25">
      <c r="A8317" s="3">
        <f>8310</f>
        <v>8310</v>
      </c>
      <c r="B8317" s="3" t="s">
        <v>8319</v>
      </c>
      <c r="C8317" s="3" t="s">
        <v>10</v>
      </c>
      <c r="D8317" s="3" t="s">
        <v>9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/>
      <c r="P8317" s="3"/>
      <c r="Q8317" s="3"/>
    </row>
    <row r="8318" spans="1:17" ht="15" x14ac:dyDescent="0.25">
      <c r="A8318" s="3">
        <f>8311</f>
        <v>8311</v>
      </c>
      <c r="B8318" s="3" t="s">
        <v>8320</v>
      </c>
      <c r="C8318" s="3" t="s">
        <v>10</v>
      </c>
      <c r="D8318" s="3" t="s">
        <v>9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/>
      <c r="P8318" s="3"/>
      <c r="Q8318" s="3"/>
    </row>
    <row r="8319" spans="1:17" ht="15" x14ac:dyDescent="0.25">
      <c r="A8319" s="3">
        <f>8312</f>
        <v>8312</v>
      </c>
      <c r="B8319" s="3" t="s">
        <v>8321</v>
      </c>
      <c r="C8319" s="3" t="s">
        <v>10</v>
      </c>
      <c r="D8319" s="3" t="s">
        <v>9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/>
      <c r="P8319" s="3"/>
      <c r="Q8319" s="3"/>
    </row>
    <row r="8320" spans="1:17" ht="15" x14ac:dyDescent="0.25">
      <c r="A8320" s="3">
        <f>8313</f>
        <v>8313</v>
      </c>
      <c r="B8320" s="3" t="s">
        <v>8322</v>
      </c>
      <c r="C8320" s="3" t="s">
        <v>10</v>
      </c>
      <c r="D8320" s="3" t="s">
        <v>9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/>
      <c r="P8320" s="3"/>
      <c r="Q8320" s="3"/>
    </row>
    <row r="8321" spans="1:17" ht="15" x14ac:dyDescent="0.25">
      <c r="A8321" s="3">
        <f>8314</f>
        <v>8314</v>
      </c>
      <c r="B8321" s="3" t="s">
        <v>8323</v>
      </c>
      <c r="C8321" s="3" t="s">
        <v>10</v>
      </c>
      <c r="D8321" s="3" t="s">
        <v>9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/>
      <c r="P8321" s="3"/>
      <c r="Q8321" s="3"/>
    </row>
    <row r="8322" spans="1:17" ht="15" x14ac:dyDescent="0.25">
      <c r="A8322" s="3">
        <f>8315</f>
        <v>8315</v>
      </c>
      <c r="B8322" s="3" t="s">
        <v>8324</v>
      </c>
      <c r="C8322" s="3" t="s">
        <v>9</v>
      </c>
      <c r="D8322" s="3" t="s">
        <v>10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/>
      <c r="P8322" s="3"/>
      <c r="Q8322" s="3"/>
    </row>
    <row r="8323" spans="1:17" ht="15" x14ac:dyDescent="0.25">
      <c r="A8323" s="3">
        <f>8316</f>
        <v>8316</v>
      </c>
      <c r="B8323" s="3" t="s">
        <v>8325</v>
      </c>
      <c r="C8323" s="3" t="s">
        <v>9</v>
      </c>
      <c r="D8323" s="3" t="s">
        <v>10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/>
      <c r="P8323" s="3"/>
      <c r="Q8323" s="3"/>
    </row>
    <row r="8324" spans="1:17" ht="15" x14ac:dyDescent="0.25">
      <c r="A8324" s="3">
        <f>8317</f>
        <v>8317</v>
      </c>
      <c r="B8324" s="3" t="s">
        <v>8326</v>
      </c>
      <c r="C8324" s="3" t="s">
        <v>9</v>
      </c>
      <c r="D8324" s="3" t="s">
        <v>10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/>
      <c r="P8324" s="3"/>
      <c r="Q8324" s="3"/>
    </row>
    <row r="8325" spans="1:17" ht="15" x14ac:dyDescent="0.25">
      <c r="A8325" s="3">
        <f>8318</f>
        <v>8318</v>
      </c>
      <c r="B8325" s="3" t="s">
        <v>8327</v>
      </c>
      <c r="C8325" s="3" t="s">
        <v>9</v>
      </c>
      <c r="D8325" s="3" t="s">
        <v>10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/>
      <c r="P8325" s="3"/>
      <c r="Q8325" s="3"/>
    </row>
    <row r="8326" spans="1:17" ht="15" x14ac:dyDescent="0.25">
      <c r="A8326" s="3">
        <f>8319</f>
        <v>8319</v>
      </c>
      <c r="B8326" s="3" t="s">
        <v>8328</v>
      </c>
      <c r="C8326" s="3" t="s">
        <v>9</v>
      </c>
      <c r="D8326" s="3" t="s">
        <v>10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/>
      <c r="P8326" s="3"/>
      <c r="Q8326" s="3"/>
    </row>
    <row r="8327" spans="1:17" ht="15" x14ac:dyDescent="0.25">
      <c r="A8327" s="3">
        <f>8320</f>
        <v>8320</v>
      </c>
      <c r="B8327" s="3" t="s">
        <v>8329</v>
      </c>
      <c r="C8327" s="3" t="s">
        <v>9</v>
      </c>
      <c r="D8327" s="3" t="s">
        <v>10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/>
      <c r="P8327" s="3"/>
      <c r="Q8327" s="3"/>
    </row>
    <row r="8328" spans="1:17" ht="15" x14ac:dyDescent="0.25">
      <c r="A8328" s="3">
        <f>8321</f>
        <v>8321</v>
      </c>
      <c r="B8328" s="3" t="s">
        <v>8330</v>
      </c>
      <c r="C8328" s="3" t="s">
        <v>9</v>
      </c>
      <c r="D8328" s="3" t="s">
        <v>10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/>
      <c r="P8328" s="3"/>
      <c r="Q8328" s="3"/>
    </row>
    <row r="8329" spans="1:17" ht="15" x14ac:dyDescent="0.25">
      <c r="A8329" s="3">
        <f>8322</f>
        <v>8322</v>
      </c>
      <c r="B8329" s="3" t="s">
        <v>8331</v>
      </c>
      <c r="C8329" s="3" t="s">
        <v>9</v>
      </c>
      <c r="D8329" s="3" t="s">
        <v>10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/>
      <c r="P8329" s="3"/>
      <c r="Q8329" s="3"/>
    </row>
    <row r="8330" spans="1:17" ht="15" x14ac:dyDescent="0.25">
      <c r="A8330" s="3">
        <f>8323</f>
        <v>8323</v>
      </c>
      <c r="B8330" s="3" t="s">
        <v>8332</v>
      </c>
      <c r="C8330" s="3" t="s">
        <v>9</v>
      </c>
      <c r="D8330" s="3" t="s">
        <v>10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/>
      <c r="P8330" s="3"/>
      <c r="Q8330" s="3"/>
    </row>
    <row r="8331" spans="1:17" ht="15" x14ac:dyDescent="0.25">
      <c r="A8331" s="3">
        <f>8324</f>
        <v>8324</v>
      </c>
      <c r="B8331" s="3" t="s">
        <v>8333</v>
      </c>
      <c r="C8331" s="3" t="s">
        <v>9</v>
      </c>
      <c r="D8331" s="3" t="s">
        <v>10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/>
      <c r="P8331" s="3"/>
      <c r="Q8331" s="3"/>
    </row>
    <row r="8332" spans="1:17" ht="15" x14ac:dyDescent="0.25">
      <c r="A8332" s="3">
        <f>8325</f>
        <v>8325</v>
      </c>
      <c r="B8332" s="3" t="s">
        <v>8334</v>
      </c>
      <c r="C8332" s="3" t="s">
        <v>9</v>
      </c>
      <c r="D8332" s="3" t="s">
        <v>10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/>
      <c r="P8332" s="3"/>
      <c r="Q8332" s="3"/>
    </row>
    <row r="8333" spans="1:17" ht="15" x14ac:dyDescent="0.25">
      <c r="A8333" s="3">
        <f>8326</f>
        <v>8326</v>
      </c>
      <c r="B8333" s="3" t="s">
        <v>8335</v>
      </c>
      <c r="C8333" s="3" t="s">
        <v>10</v>
      </c>
      <c r="D8333" s="3" t="s">
        <v>9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/>
      <c r="P8333" s="3"/>
      <c r="Q8333" s="3"/>
    </row>
    <row r="8334" spans="1:17" ht="15" x14ac:dyDescent="0.25">
      <c r="A8334" s="3">
        <f>8327</f>
        <v>8327</v>
      </c>
      <c r="B8334" s="3" t="s">
        <v>8336</v>
      </c>
      <c r="C8334" s="3" t="s">
        <v>10</v>
      </c>
      <c r="D8334" s="3" t="s">
        <v>9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/>
      <c r="P8334" s="3"/>
      <c r="Q8334" s="3"/>
    </row>
    <row r="8335" spans="1:17" ht="15" x14ac:dyDescent="0.25">
      <c r="A8335" s="3">
        <f>8328</f>
        <v>8328</v>
      </c>
      <c r="B8335" s="3" t="s">
        <v>8337</v>
      </c>
      <c r="C8335" s="3" t="s">
        <v>10</v>
      </c>
      <c r="D8335" s="3" t="s">
        <v>9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/>
      <c r="P8335" s="3"/>
      <c r="Q8335" s="3"/>
    </row>
    <row r="8336" spans="1:17" ht="15" x14ac:dyDescent="0.25">
      <c r="A8336" s="3">
        <f>8329</f>
        <v>8329</v>
      </c>
      <c r="B8336" s="3" t="s">
        <v>8338</v>
      </c>
      <c r="C8336" s="3" t="s">
        <v>10</v>
      </c>
      <c r="D8336" s="3" t="s">
        <v>9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/>
      <c r="P8336" s="3"/>
      <c r="Q8336" s="3"/>
    </row>
    <row r="8337" spans="1:17" ht="15" x14ac:dyDescent="0.25">
      <c r="A8337" s="3">
        <f>8330</f>
        <v>8330</v>
      </c>
      <c r="B8337" s="3" t="s">
        <v>8339</v>
      </c>
      <c r="C8337" s="3" t="s">
        <v>10</v>
      </c>
      <c r="D8337" s="3" t="s">
        <v>9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/>
      <c r="P8337" s="3"/>
      <c r="Q8337" s="3"/>
    </row>
    <row r="8338" spans="1:17" ht="15" x14ac:dyDescent="0.25">
      <c r="A8338" s="3">
        <f>8331</f>
        <v>8331</v>
      </c>
      <c r="B8338" s="3" t="s">
        <v>8340</v>
      </c>
      <c r="C8338" s="3" t="s">
        <v>10</v>
      </c>
      <c r="D8338" s="3" t="s">
        <v>9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/>
      <c r="P8338" s="3"/>
      <c r="Q8338" s="3"/>
    </row>
    <row r="8339" spans="1:17" ht="15" x14ac:dyDescent="0.25">
      <c r="A8339" s="3">
        <f>8332</f>
        <v>8332</v>
      </c>
      <c r="B8339" s="3" t="s">
        <v>8341</v>
      </c>
      <c r="C8339" s="3" t="s">
        <v>10</v>
      </c>
      <c r="D8339" s="3" t="s">
        <v>9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/>
      <c r="P8339" s="3"/>
      <c r="Q8339" s="3"/>
    </row>
    <row r="8340" spans="1:17" ht="15" x14ac:dyDescent="0.25">
      <c r="A8340" s="3">
        <f>8333</f>
        <v>8333</v>
      </c>
      <c r="B8340" s="3" t="s">
        <v>8342</v>
      </c>
      <c r="C8340" s="3" t="s">
        <v>10</v>
      </c>
      <c r="D8340" s="3" t="s">
        <v>9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/>
      <c r="P8340" s="3"/>
      <c r="Q8340" s="3"/>
    </row>
    <row r="8341" spans="1:17" ht="15" x14ac:dyDescent="0.25">
      <c r="A8341" s="3">
        <f>8334</f>
        <v>8334</v>
      </c>
      <c r="B8341" s="3" t="s">
        <v>8343</v>
      </c>
      <c r="C8341" s="3" t="s">
        <v>10</v>
      </c>
      <c r="D8341" s="3" t="s">
        <v>9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/>
      <c r="P8341" s="3"/>
      <c r="Q8341" s="3"/>
    </row>
    <row r="8342" spans="1:17" ht="15" x14ac:dyDescent="0.25">
      <c r="A8342" s="3">
        <f>8335</f>
        <v>8335</v>
      </c>
      <c r="B8342" s="3" t="s">
        <v>8344</v>
      </c>
      <c r="C8342" s="3" t="s">
        <v>10</v>
      </c>
      <c r="D8342" s="3" t="s">
        <v>9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/>
      <c r="P8342" s="3"/>
      <c r="Q8342" s="3"/>
    </row>
    <row r="8343" spans="1:17" ht="15" x14ac:dyDescent="0.25">
      <c r="A8343" s="3">
        <f>8336</f>
        <v>8336</v>
      </c>
      <c r="B8343" s="3" t="s">
        <v>8345</v>
      </c>
      <c r="C8343" s="3" t="s">
        <v>10</v>
      </c>
      <c r="D8343" s="3" t="s">
        <v>9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/>
      <c r="P8343" s="3"/>
      <c r="Q8343" s="3"/>
    </row>
    <row r="8344" spans="1:17" ht="15" x14ac:dyDescent="0.25">
      <c r="A8344" s="3">
        <f>8337</f>
        <v>8337</v>
      </c>
      <c r="B8344" s="3" t="s">
        <v>8346</v>
      </c>
      <c r="C8344" s="3" t="s">
        <v>10</v>
      </c>
      <c r="D8344" s="3" t="s">
        <v>9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/>
      <c r="P8344" s="3"/>
      <c r="Q8344" s="3"/>
    </row>
    <row r="8345" spans="1:17" ht="15" x14ac:dyDescent="0.25">
      <c r="A8345" s="3">
        <f>8338</f>
        <v>8338</v>
      </c>
      <c r="B8345" s="3" t="s">
        <v>8347</v>
      </c>
      <c r="C8345" s="3" t="s">
        <v>10</v>
      </c>
      <c r="D8345" s="3" t="s">
        <v>9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/>
      <c r="P8345" s="3"/>
      <c r="Q8345" s="3"/>
    </row>
    <row r="8346" spans="1:17" ht="15" x14ac:dyDescent="0.25">
      <c r="A8346" s="3">
        <f>8339</f>
        <v>8339</v>
      </c>
      <c r="B8346" s="3" t="s">
        <v>8348</v>
      </c>
      <c r="C8346" s="3" t="s">
        <v>10</v>
      </c>
      <c r="D8346" s="3" t="s">
        <v>9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/>
      <c r="P8346" s="3"/>
      <c r="Q8346" s="3"/>
    </row>
    <row r="8347" spans="1:17" ht="15" x14ac:dyDescent="0.25">
      <c r="A8347" s="3">
        <f>8340</f>
        <v>8340</v>
      </c>
      <c r="B8347" s="3" t="s">
        <v>8349</v>
      </c>
      <c r="C8347" s="3" t="s">
        <v>10</v>
      </c>
      <c r="D8347" s="3" t="s">
        <v>9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/>
      <c r="P8347" s="3"/>
      <c r="Q8347" s="3"/>
    </row>
    <row r="8348" spans="1:17" ht="15" x14ac:dyDescent="0.25">
      <c r="A8348" s="3">
        <f>8341</f>
        <v>8341</v>
      </c>
      <c r="B8348" s="3" t="s">
        <v>8350</v>
      </c>
      <c r="C8348" s="3" t="s">
        <v>10</v>
      </c>
      <c r="D8348" s="3" t="s">
        <v>9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/>
      <c r="P8348" s="3"/>
      <c r="Q8348" s="3"/>
    </row>
    <row r="8349" spans="1:17" ht="15" x14ac:dyDescent="0.25">
      <c r="A8349" s="3">
        <f>8342</f>
        <v>8342</v>
      </c>
      <c r="B8349" s="3" t="s">
        <v>8351</v>
      </c>
      <c r="C8349" s="3" t="s">
        <v>10</v>
      </c>
      <c r="D8349" s="3" t="s">
        <v>9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/>
      <c r="P8349" s="3"/>
      <c r="Q8349" s="3"/>
    </row>
    <row r="8350" spans="1:17" ht="15" x14ac:dyDescent="0.25">
      <c r="A8350" s="3">
        <f>8343</f>
        <v>8343</v>
      </c>
      <c r="B8350" s="3" t="s">
        <v>8352</v>
      </c>
      <c r="C8350" s="3" t="s">
        <v>10</v>
      </c>
      <c r="D8350" s="3" t="s">
        <v>9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/>
      <c r="P8350" s="3"/>
      <c r="Q8350" s="3"/>
    </row>
    <row r="8351" spans="1:17" ht="15" x14ac:dyDescent="0.25">
      <c r="A8351" s="3">
        <f>8344</f>
        <v>8344</v>
      </c>
      <c r="B8351" s="3" t="s">
        <v>8353</v>
      </c>
      <c r="C8351" s="3" t="s">
        <v>10</v>
      </c>
      <c r="D8351" s="3" t="s">
        <v>9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/>
      <c r="P8351" s="3"/>
      <c r="Q8351" s="3"/>
    </row>
    <row r="8352" spans="1:17" ht="15" x14ac:dyDescent="0.25">
      <c r="A8352" s="3">
        <f>8345</f>
        <v>8345</v>
      </c>
      <c r="B8352" s="3" t="s">
        <v>8354</v>
      </c>
      <c r="C8352" s="3" t="s">
        <v>10</v>
      </c>
      <c r="D8352" s="3" t="s">
        <v>9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/>
      <c r="P8352" s="3"/>
      <c r="Q8352" s="3"/>
    </row>
    <row r="8353" spans="1:17" ht="15" x14ac:dyDescent="0.25">
      <c r="A8353" s="3">
        <f>8346</f>
        <v>8346</v>
      </c>
      <c r="B8353" s="3" t="s">
        <v>8355</v>
      </c>
      <c r="C8353" s="3" t="s">
        <v>10</v>
      </c>
      <c r="D8353" s="3" t="s">
        <v>9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/>
      <c r="P8353" s="3"/>
      <c r="Q8353" s="3"/>
    </row>
    <row r="8354" spans="1:17" ht="15" x14ac:dyDescent="0.25">
      <c r="A8354" s="3">
        <f>8347</f>
        <v>8347</v>
      </c>
      <c r="B8354" s="3" t="s">
        <v>8356</v>
      </c>
      <c r="C8354" s="3" t="s">
        <v>10</v>
      </c>
      <c r="D8354" s="3" t="s">
        <v>9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/>
      <c r="P8354" s="3"/>
      <c r="Q8354" s="3"/>
    </row>
    <row r="8355" spans="1:17" ht="15" x14ac:dyDescent="0.25">
      <c r="A8355" s="3">
        <f>8348</f>
        <v>8348</v>
      </c>
      <c r="B8355" s="3" t="s">
        <v>8357</v>
      </c>
      <c r="C8355" s="3" t="s">
        <v>10</v>
      </c>
      <c r="D8355" s="3" t="s">
        <v>9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/>
      <c r="P8355" s="3"/>
      <c r="Q8355" s="3"/>
    </row>
    <row r="8356" spans="1:17" ht="15" x14ac:dyDescent="0.25">
      <c r="A8356" s="3">
        <f>8349</f>
        <v>8349</v>
      </c>
      <c r="B8356" s="3" t="s">
        <v>8358</v>
      </c>
      <c r="C8356" s="3" t="s">
        <v>10</v>
      </c>
      <c r="D8356" s="3" t="s">
        <v>9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/>
      <c r="P8356" s="3"/>
      <c r="Q8356" s="3"/>
    </row>
    <row r="8357" spans="1:17" ht="15" x14ac:dyDescent="0.25">
      <c r="A8357" s="3">
        <f>8350</f>
        <v>8350</v>
      </c>
      <c r="B8357" s="3" t="s">
        <v>8359</v>
      </c>
      <c r="C8357" s="3" t="s">
        <v>10</v>
      </c>
      <c r="D8357" s="3" t="s">
        <v>9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/>
      <c r="P8357" s="3"/>
      <c r="Q8357" s="3"/>
    </row>
    <row r="8358" spans="1:17" ht="15" x14ac:dyDescent="0.25">
      <c r="A8358" s="3">
        <f>8351</f>
        <v>8351</v>
      </c>
      <c r="B8358" s="3" t="s">
        <v>8360</v>
      </c>
      <c r="C8358" s="3" t="s">
        <v>10</v>
      </c>
      <c r="D8358" s="3" t="s">
        <v>9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/>
      <c r="P8358" s="3"/>
      <c r="Q8358" s="3"/>
    </row>
    <row r="8359" spans="1:17" ht="15" x14ac:dyDescent="0.25">
      <c r="A8359" s="3">
        <f>8352</f>
        <v>8352</v>
      </c>
      <c r="B8359" s="3" t="s">
        <v>8361</v>
      </c>
      <c r="C8359" s="3" t="s">
        <v>10</v>
      </c>
      <c r="D8359" s="3" t="s">
        <v>9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/>
      <c r="P8359" s="3"/>
      <c r="Q8359" s="3"/>
    </row>
    <row r="8360" spans="1:17" ht="15" x14ac:dyDescent="0.25">
      <c r="A8360" s="3">
        <f>8353</f>
        <v>8353</v>
      </c>
      <c r="B8360" s="3" t="s">
        <v>8362</v>
      </c>
      <c r="C8360" s="3" t="s">
        <v>10</v>
      </c>
      <c r="D8360" s="3" t="s">
        <v>9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/>
      <c r="P8360" s="3"/>
      <c r="Q8360" s="3"/>
    </row>
    <row r="8361" spans="1:17" ht="15" x14ac:dyDescent="0.25">
      <c r="A8361" s="3">
        <f>8354</f>
        <v>8354</v>
      </c>
      <c r="B8361" s="3" t="s">
        <v>8363</v>
      </c>
      <c r="C8361" s="3" t="s">
        <v>10</v>
      </c>
      <c r="D8361" s="3" t="s">
        <v>9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/>
      <c r="P8361" s="3"/>
      <c r="Q8361" s="3"/>
    </row>
    <row r="8362" spans="1:17" ht="15" x14ac:dyDescent="0.25">
      <c r="A8362" s="3">
        <f>8355</f>
        <v>8355</v>
      </c>
      <c r="B8362" s="3" t="s">
        <v>8364</v>
      </c>
      <c r="C8362" s="3" t="s">
        <v>10</v>
      </c>
      <c r="D8362" s="3" t="s">
        <v>9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/>
      <c r="P8362" s="3"/>
      <c r="Q8362" s="3"/>
    </row>
    <row r="8363" spans="1:17" ht="15" x14ac:dyDescent="0.25">
      <c r="A8363" s="3">
        <f>8356</f>
        <v>8356</v>
      </c>
      <c r="B8363" s="3" t="s">
        <v>8365</v>
      </c>
      <c r="C8363" s="3" t="s">
        <v>10</v>
      </c>
      <c r="D8363" s="3" t="s">
        <v>9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/>
      <c r="P8363" s="3"/>
      <c r="Q8363" s="3"/>
    </row>
    <row r="8364" spans="1:17" ht="15" x14ac:dyDescent="0.25">
      <c r="A8364" s="3">
        <f>8357</f>
        <v>8357</v>
      </c>
      <c r="B8364" s="3" t="s">
        <v>8366</v>
      </c>
      <c r="C8364" s="3" t="s">
        <v>10</v>
      </c>
      <c r="D8364" s="3" t="s">
        <v>9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/>
      <c r="P8364" s="3"/>
      <c r="Q8364" s="3"/>
    </row>
    <row r="8365" spans="1:17" ht="15" x14ac:dyDescent="0.25">
      <c r="A8365" s="3">
        <f>8358</f>
        <v>8358</v>
      </c>
      <c r="B8365" s="3" t="s">
        <v>8367</v>
      </c>
      <c r="C8365" s="3" t="s">
        <v>10</v>
      </c>
      <c r="D8365" s="3" t="s">
        <v>9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/>
      <c r="P8365" s="3"/>
      <c r="Q8365" s="3"/>
    </row>
    <row r="8366" spans="1:17" ht="15" x14ac:dyDescent="0.25">
      <c r="A8366" s="3">
        <f>8359</f>
        <v>8359</v>
      </c>
      <c r="B8366" s="3" t="s">
        <v>8368</v>
      </c>
      <c r="C8366" s="3" t="s">
        <v>10</v>
      </c>
      <c r="D8366" s="3" t="s">
        <v>9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/>
      <c r="P8366" s="3"/>
      <c r="Q8366" s="3"/>
    </row>
    <row r="8367" spans="1:17" ht="15" x14ac:dyDescent="0.25">
      <c r="A8367" s="3">
        <f>8360</f>
        <v>8360</v>
      </c>
      <c r="B8367" s="3" t="s">
        <v>8369</v>
      </c>
      <c r="C8367" s="3" t="s">
        <v>10</v>
      </c>
      <c r="D8367" s="3" t="s">
        <v>9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/>
      <c r="P8367" s="3"/>
      <c r="Q8367" s="3"/>
    </row>
    <row r="8368" spans="1:17" ht="15" x14ac:dyDescent="0.25">
      <c r="A8368" s="3">
        <f>8361</f>
        <v>8361</v>
      </c>
      <c r="B8368" s="3" t="s">
        <v>8370</v>
      </c>
      <c r="C8368" s="3" t="s">
        <v>10</v>
      </c>
      <c r="D8368" s="3" t="s">
        <v>9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/>
      <c r="P8368" s="3"/>
      <c r="Q8368" s="3"/>
    </row>
    <row r="8369" spans="1:17" ht="15" x14ac:dyDescent="0.25">
      <c r="A8369" s="3">
        <f>8362</f>
        <v>8362</v>
      </c>
      <c r="B8369" s="3" t="s">
        <v>8371</v>
      </c>
      <c r="C8369" s="3" t="s">
        <v>10</v>
      </c>
      <c r="D8369" s="3" t="s">
        <v>9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/>
      <c r="P8369" s="3"/>
      <c r="Q8369" s="3"/>
    </row>
    <row r="8370" spans="1:17" ht="15" x14ac:dyDescent="0.25">
      <c r="A8370" s="3">
        <f>8363</f>
        <v>8363</v>
      </c>
      <c r="B8370" s="3" t="s">
        <v>8372</v>
      </c>
      <c r="C8370" s="3" t="s">
        <v>10</v>
      </c>
      <c r="D8370" s="3" t="s">
        <v>9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/>
      <c r="P8370" s="3"/>
      <c r="Q8370" s="3"/>
    </row>
    <row r="8371" spans="1:17" ht="15" x14ac:dyDescent="0.25">
      <c r="A8371" s="3">
        <f>8364</f>
        <v>8364</v>
      </c>
      <c r="B8371" s="3" t="s">
        <v>8373</v>
      </c>
      <c r="C8371" s="3" t="s">
        <v>10</v>
      </c>
      <c r="D8371" s="3" t="s">
        <v>9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/>
      <c r="P8371" s="3"/>
      <c r="Q8371" s="3"/>
    </row>
    <row r="8372" spans="1:17" ht="15" x14ac:dyDescent="0.25">
      <c r="A8372" s="3">
        <f>8365</f>
        <v>8365</v>
      </c>
      <c r="B8372" s="3" t="s">
        <v>8374</v>
      </c>
      <c r="C8372" s="3" t="s">
        <v>10</v>
      </c>
      <c r="D8372" s="3" t="s">
        <v>9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/>
      <c r="P8372" s="3"/>
      <c r="Q8372" s="3"/>
    </row>
    <row r="8373" spans="1:17" ht="15" x14ac:dyDescent="0.25">
      <c r="A8373" s="3">
        <f>8366</f>
        <v>8366</v>
      </c>
      <c r="B8373" s="3" t="s">
        <v>8375</v>
      </c>
      <c r="C8373" s="3" t="s">
        <v>10</v>
      </c>
      <c r="D8373" s="3" t="s">
        <v>9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/>
      <c r="P8373" s="3"/>
      <c r="Q8373" s="3"/>
    </row>
    <row r="8374" spans="1:17" ht="15" x14ac:dyDescent="0.25">
      <c r="A8374" s="3">
        <f>8367</f>
        <v>8367</v>
      </c>
      <c r="B8374" s="3" t="s">
        <v>8376</v>
      </c>
      <c r="C8374" s="3" t="s">
        <v>10</v>
      </c>
      <c r="D8374" s="3" t="s">
        <v>9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/>
      <c r="P8374" s="3"/>
      <c r="Q8374" s="3"/>
    </row>
    <row r="8375" spans="1:17" ht="15" x14ac:dyDescent="0.25">
      <c r="A8375" s="3">
        <f>8368</f>
        <v>8368</v>
      </c>
      <c r="B8375" s="3" t="s">
        <v>8377</v>
      </c>
      <c r="C8375" s="3" t="s">
        <v>10</v>
      </c>
      <c r="D8375" s="3" t="s">
        <v>9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/>
      <c r="P8375" s="3"/>
      <c r="Q8375" s="3"/>
    </row>
    <row r="8376" spans="1:17" ht="15" x14ac:dyDescent="0.25">
      <c r="A8376" s="3">
        <f>8369</f>
        <v>8369</v>
      </c>
      <c r="B8376" s="3" t="s">
        <v>8378</v>
      </c>
      <c r="C8376" s="3" t="s">
        <v>10</v>
      </c>
      <c r="D8376" s="3" t="s">
        <v>9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/>
      <c r="P8376" s="3"/>
      <c r="Q8376" s="3"/>
    </row>
    <row r="8377" spans="1:17" ht="15" x14ac:dyDescent="0.25">
      <c r="A8377" s="3">
        <f>8370</f>
        <v>8370</v>
      </c>
      <c r="B8377" s="3" t="s">
        <v>8379</v>
      </c>
      <c r="C8377" s="3" t="s">
        <v>10</v>
      </c>
      <c r="D8377" s="3" t="s">
        <v>9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/>
      <c r="P8377" s="3"/>
      <c r="Q8377" s="3"/>
    </row>
    <row r="8378" spans="1:17" ht="15" x14ac:dyDescent="0.25">
      <c r="A8378" s="3">
        <f>8371</f>
        <v>8371</v>
      </c>
      <c r="B8378" s="3" t="s">
        <v>8380</v>
      </c>
      <c r="C8378" s="3" t="s">
        <v>10</v>
      </c>
      <c r="D8378" s="3" t="s">
        <v>9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/>
      <c r="P8378" s="3"/>
      <c r="Q8378" s="3"/>
    </row>
    <row r="8379" spans="1:17" ht="15" x14ac:dyDescent="0.25">
      <c r="A8379" s="3">
        <f>8372</f>
        <v>8372</v>
      </c>
      <c r="B8379" s="3" t="s">
        <v>8381</v>
      </c>
      <c r="C8379" s="3" t="s">
        <v>10</v>
      </c>
      <c r="D8379" s="3" t="s">
        <v>9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/>
      <c r="P8379" s="3"/>
      <c r="Q8379" s="3"/>
    </row>
    <row r="8380" spans="1:17" ht="15" x14ac:dyDescent="0.25">
      <c r="A8380" s="3">
        <f>8373</f>
        <v>8373</v>
      </c>
      <c r="B8380" s="3" t="s">
        <v>8382</v>
      </c>
      <c r="C8380" s="3" t="s">
        <v>10</v>
      </c>
      <c r="D8380" s="3" t="s">
        <v>9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/>
      <c r="P8380" s="3"/>
      <c r="Q8380" s="3"/>
    </row>
    <row r="8381" spans="1:17" ht="15" x14ac:dyDescent="0.25">
      <c r="A8381" s="3">
        <f>8374</f>
        <v>8374</v>
      </c>
      <c r="B8381" s="3" t="s">
        <v>8383</v>
      </c>
      <c r="C8381" s="3" t="s">
        <v>10</v>
      </c>
      <c r="D8381" s="3" t="s">
        <v>9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/>
      <c r="P8381" s="3"/>
      <c r="Q8381" s="3"/>
    </row>
    <row r="8382" spans="1:17" ht="15" x14ac:dyDescent="0.25">
      <c r="A8382" s="3">
        <f>8375</f>
        <v>8375</v>
      </c>
      <c r="B8382" s="3" t="s">
        <v>8384</v>
      </c>
      <c r="C8382" s="3" t="s">
        <v>10</v>
      </c>
      <c r="D8382" s="3" t="s">
        <v>9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/>
      <c r="P8382" s="3"/>
      <c r="Q8382" s="3"/>
    </row>
    <row r="8383" spans="1:17" ht="15" x14ac:dyDescent="0.25">
      <c r="A8383" s="3">
        <f>8376</f>
        <v>8376</v>
      </c>
      <c r="B8383" s="3" t="s">
        <v>8385</v>
      </c>
      <c r="C8383" s="3" t="s">
        <v>10</v>
      </c>
      <c r="D8383" s="3" t="s">
        <v>9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/>
      <c r="P8383" s="3"/>
      <c r="Q8383" s="3"/>
    </row>
    <row r="8384" spans="1:17" ht="15" x14ac:dyDescent="0.25">
      <c r="A8384" s="3">
        <f>8377</f>
        <v>8377</v>
      </c>
      <c r="B8384" s="3" t="s">
        <v>8386</v>
      </c>
      <c r="C8384" s="3" t="s">
        <v>10</v>
      </c>
      <c r="D8384" s="3" t="s">
        <v>9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/>
      <c r="P8384" s="3"/>
      <c r="Q8384" s="3"/>
    </row>
    <row r="8385" spans="1:17" ht="15" x14ac:dyDescent="0.25">
      <c r="A8385" s="3">
        <f>8378</f>
        <v>8378</v>
      </c>
      <c r="B8385" s="3" t="s">
        <v>8387</v>
      </c>
      <c r="C8385" s="3" t="s">
        <v>10</v>
      </c>
      <c r="D8385" s="3" t="s">
        <v>9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/>
      <c r="P8385" s="3"/>
      <c r="Q8385" s="3"/>
    </row>
    <row r="8386" spans="1:17" ht="15" x14ac:dyDescent="0.25">
      <c r="A8386" s="3">
        <f>8379</f>
        <v>8379</v>
      </c>
      <c r="B8386" s="3" t="s">
        <v>8388</v>
      </c>
      <c r="C8386" s="3" t="s">
        <v>10</v>
      </c>
      <c r="D8386" s="3" t="s">
        <v>9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/>
      <c r="P8386" s="3"/>
      <c r="Q8386" s="3"/>
    </row>
    <row r="8387" spans="1:17" ht="15" x14ac:dyDescent="0.25">
      <c r="A8387" s="3">
        <f>8380</f>
        <v>8380</v>
      </c>
      <c r="B8387" s="3" t="s">
        <v>8389</v>
      </c>
      <c r="C8387" s="3" t="s">
        <v>10</v>
      </c>
      <c r="D8387" s="3" t="s">
        <v>9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/>
      <c r="P8387" s="3"/>
      <c r="Q8387" s="3"/>
    </row>
    <row r="8388" spans="1:17" ht="15" x14ac:dyDescent="0.25">
      <c r="A8388" s="3">
        <f>8381</f>
        <v>8381</v>
      </c>
      <c r="B8388" s="3" t="s">
        <v>8390</v>
      </c>
      <c r="C8388" s="3" t="s">
        <v>10</v>
      </c>
      <c r="D8388" s="3" t="s">
        <v>9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/>
      <c r="P8388" s="3"/>
      <c r="Q8388" s="3"/>
    </row>
    <row r="8389" spans="1:17" ht="15" x14ac:dyDescent="0.25">
      <c r="A8389" s="3">
        <f>8382</f>
        <v>8382</v>
      </c>
      <c r="B8389" s="3" t="s">
        <v>8391</v>
      </c>
      <c r="C8389" s="3" t="s">
        <v>10</v>
      </c>
      <c r="D8389" s="3" t="s">
        <v>9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/>
      <c r="P8389" s="3"/>
      <c r="Q8389" s="3"/>
    </row>
    <row r="8390" spans="1:17" ht="15" x14ac:dyDescent="0.25">
      <c r="A8390" s="3">
        <f>8383</f>
        <v>8383</v>
      </c>
      <c r="B8390" s="3" t="s">
        <v>8392</v>
      </c>
      <c r="C8390" s="3" t="s">
        <v>10</v>
      </c>
      <c r="D8390" s="3" t="s">
        <v>9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/>
      <c r="P8390" s="3"/>
      <c r="Q8390" s="3"/>
    </row>
    <row r="8391" spans="1:17" ht="15" x14ac:dyDescent="0.25">
      <c r="A8391" s="3">
        <f>8384</f>
        <v>8384</v>
      </c>
      <c r="B8391" s="3" t="s">
        <v>8393</v>
      </c>
      <c r="C8391" s="3" t="s">
        <v>10</v>
      </c>
      <c r="D8391" s="3" t="s">
        <v>9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/>
      <c r="P8391" s="3"/>
      <c r="Q8391" s="3"/>
    </row>
    <row r="8392" spans="1:17" ht="15" x14ac:dyDescent="0.25">
      <c r="A8392" s="3">
        <f>8385</f>
        <v>8385</v>
      </c>
      <c r="B8392" s="3" t="s">
        <v>8394</v>
      </c>
      <c r="C8392" s="3" t="s">
        <v>10</v>
      </c>
      <c r="D8392" s="3" t="s">
        <v>9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/>
      <c r="P8392" s="3"/>
      <c r="Q8392" s="3"/>
    </row>
    <row r="8393" spans="1:17" ht="15" x14ac:dyDescent="0.25">
      <c r="A8393" s="3">
        <f>8386</f>
        <v>8386</v>
      </c>
      <c r="B8393" s="3" t="s">
        <v>8395</v>
      </c>
      <c r="C8393" s="3" t="s">
        <v>10</v>
      </c>
      <c r="D8393" s="3" t="s">
        <v>9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/>
      <c r="P8393" s="3"/>
      <c r="Q8393" s="3"/>
    </row>
    <row r="8394" spans="1:17" ht="15" x14ac:dyDescent="0.25">
      <c r="A8394" s="3">
        <f>8387</f>
        <v>8387</v>
      </c>
      <c r="B8394" s="3" t="s">
        <v>8396</v>
      </c>
      <c r="C8394" s="3" t="s">
        <v>10</v>
      </c>
      <c r="D8394" s="3" t="s">
        <v>9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/>
      <c r="P8394" s="3"/>
      <c r="Q8394" s="3"/>
    </row>
    <row r="8395" spans="1:17" ht="15" x14ac:dyDescent="0.25">
      <c r="A8395" s="3">
        <f>8388</f>
        <v>8388</v>
      </c>
      <c r="B8395" s="3" t="s">
        <v>8397</v>
      </c>
      <c r="C8395" s="3" t="s">
        <v>10</v>
      </c>
      <c r="D8395" s="3" t="s">
        <v>9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/>
      <c r="P8395" s="3"/>
      <c r="Q8395" s="3"/>
    </row>
    <row r="8396" spans="1:17" ht="15" x14ac:dyDescent="0.25">
      <c r="A8396" s="3">
        <f>8389</f>
        <v>8389</v>
      </c>
      <c r="B8396" s="3" t="s">
        <v>8398</v>
      </c>
      <c r="C8396" s="3" t="s">
        <v>10</v>
      </c>
      <c r="D8396" s="3" t="s">
        <v>9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/>
      <c r="P8396" s="3"/>
      <c r="Q8396" s="3"/>
    </row>
    <row r="8397" spans="1:17" ht="15" x14ac:dyDescent="0.25">
      <c r="A8397" s="3">
        <f>8390</f>
        <v>8390</v>
      </c>
      <c r="B8397" s="3" t="s">
        <v>8399</v>
      </c>
      <c r="C8397" s="3" t="s">
        <v>10</v>
      </c>
      <c r="D8397" s="3" t="s">
        <v>9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/>
      <c r="P8397" s="3"/>
      <c r="Q8397" s="3"/>
    </row>
    <row r="8398" spans="1:17" ht="15" x14ac:dyDescent="0.25">
      <c r="A8398" s="3">
        <f>8391</f>
        <v>8391</v>
      </c>
      <c r="B8398" s="3" t="s">
        <v>8400</v>
      </c>
      <c r="C8398" s="3" t="s">
        <v>10</v>
      </c>
      <c r="D8398" s="3" t="s">
        <v>9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/>
      <c r="P8398" s="3"/>
      <c r="Q8398" s="3"/>
    </row>
    <row r="8399" spans="1:17" ht="15" x14ac:dyDescent="0.25">
      <c r="A8399" s="3">
        <f>8392</f>
        <v>8392</v>
      </c>
      <c r="B8399" s="3" t="s">
        <v>8401</v>
      </c>
      <c r="C8399" s="3" t="s">
        <v>10</v>
      </c>
      <c r="D8399" s="3" t="s">
        <v>9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/>
      <c r="P8399" s="3"/>
      <c r="Q8399" s="3"/>
    </row>
    <row r="8400" spans="1:17" ht="15" x14ac:dyDescent="0.25">
      <c r="A8400" s="3">
        <f>8393</f>
        <v>8393</v>
      </c>
      <c r="B8400" s="3" t="s">
        <v>8402</v>
      </c>
      <c r="C8400" s="3" t="s">
        <v>10</v>
      </c>
      <c r="D8400" s="3" t="s">
        <v>9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/>
      <c r="P8400" s="3"/>
      <c r="Q8400" s="3"/>
    </row>
    <row r="8401" spans="1:17" ht="15" x14ac:dyDescent="0.25">
      <c r="A8401" s="3">
        <f>8394</f>
        <v>8394</v>
      </c>
      <c r="B8401" s="3" t="s">
        <v>8403</v>
      </c>
      <c r="C8401" s="3" t="s">
        <v>10</v>
      </c>
      <c r="D8401" s="3" t="s">
        <v>9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/>
      <c r="P8401" s="3"/>
      <c r="Q8401" s="3"/>
    </row>
    <row r="8402" spans="1:17" ht="15" x14ac:dyDescent="0.25">
      <c r="A8402" s="3">
        <f>8395</f>
        <v>8395</v>
      </c>
      <c r="B8402" s="3" t="s">
        <v>8404</v>
      </c>
      <c r="C8402" s="3" t="s">
        <v>10</v>
      </c>
      <c r="D8402" s="3" t="s">
        <v>9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/>
      <c r="P8402" s="3"/>
      <c r="Q8402" s="3"/>
    </row>
    <row r="8403" spans="1:17" ht="15" x14ac:dyDescent="0.25">
      <c r="A8403" s="3">
        <f>8396</f>
        <v>8396</v>
      </c>
      <c r="B8403" s="3" t="s">
        <v>8405</v>
      </c>
      <c r="C8403" s="3" t="s">
        <v>10</v>
      </c>
      <c r="D8403" s="3" t="s">
        <v>9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/>
      <c r="P8403" s="3"/>
      <c r="Q8403" s="3"/>
    </row>
    <row r="8404" spans="1:17" ht="15" x14ac:dyDescent="0.25">
      <c r="A8404" s="3">
        <f>8397</f>
        <v>8397</v>
      </c>
      <c r="B8404" s="3" t="s">
        <v>8406</v>
      </c>
      <c r="C8404" s="3" t="s">
        <v>10</v>
      </c>
      <c r="D8404" s="3" t="s">
        <v>9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/>
      <c r="P8404" s="3"/>
      <c r="Q8404" s="3"/>
    </row>
    <row r="8405" spans="1:17" ht="15" x14ac:dyDescent="0.25">
      <c r="A8405" s="3">
        <f>8398</f>
        <v>8398</v>
      </c>
      <c r="B8405" s="3" t="s">
        <v>8407</v>
      </c>
      <c r="C8405" s="3" t="s">
        <v>10</v>
      </c>
      <c r="D8405" s="3" t="s">
        <v>9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/>
      <c r="P8405" s="3"/>
      <c r="Q8405" s="3"/>
    </row>
    <row r="8406" spans="1:17" ht="15" x14ac:dyDescent="0.25">
      <c r="A8406" s="3">
        <f>8399</f>
        <v>8399</v>
      </c>
      <c r="B8406" s="3" t="s">
        <v>8408</v>
      </c>
      <c r="C8406" s="3" t="s">
        <v>10</v>
      </c>
      <c r="D8406" s="3" t="s">
        <v>9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/>
      <c r="P8406" s="3"/>
      <c r="Q8406" s="3"/>
    </row>
    <row r="8407" spans="1:17" ht="15" x14ac:dyDescent="0.25">
      <c r="A8407" s="3">
        <f>8400</f>
        <v>8400</v>
      </c>
      <c r="B8407" s="3" t="s">
        <v>8409</v>
      </c>
      <c r="C8407" s="3" t="s">
        <v>10</v>
      </c>
      <c r="D8407" s="3" t="s">
        <v>9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/>
      <c r="P8407" s="3"/>
      <c r="Q8407" s="3"/>
    </row>
    <row r="8408" spans="1:17" ht="15" x14ac:dyDescent="0.25">
      <c r="A8408" s="3">
        <f>8401</f>
        <v>8401</v>
      </c>
      <c r="B8408" s="3" t="s">
        <v>8410</v>
      </c>
      <c r="C8408" s="3" t="s">
        <v>10</v>
      </c>
      <c r="D8408" s="3" t="s">
        <v>9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/>
      <c r="P8408" s="3"/>
      <c r="Q8408" s="3"/>
    </row>
    <row r="8409" spans="1:17" ht="15" x14ac:dyDescent="0.25">
      <c r="A8409" s="3">
        <f>8402</f>
        <v>8402</v>
      </c>
      <c r="B8409" s="3" t="s">
        <v>8411</v>
      </c>
      <c r="C8409" s="3" t="s">
        <v>10</v>
      </c>
      <c r="D8409" s="3" t="s">
        <v>9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/>
      <c r="P8409" s="3"/>
      <c r="Q8409" s="3"/>
    </row>
    <row r="8410" spans="1:17" ht="15" x14ac:dyDescent="0.25">
      <c r="A8410" s="3">
        <f>8403</f>
        <v>8403</v>
      </c>
      <c r="B8410" s="3" t="s">
        <v>8412</v>
      </c>
      <c r="C8410" s="3" t="s">
        <v>10</v>
      </c>
      <c r="D8410" s="3" t="s">
        <v>9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/>
      <c r="P8410" s="3"/>
      <c r="Q8410" s="3"/>
    </row>
    <row r="8411" spans="1:17" ht="15" x14ac:dyDescent="0.25">
      <c r="A8411" s="3">
        <f>8404</f>
        <v>8404</v>
      </c>
      <c r="B8411" s="3" t="s">
        <v>8413</v>
      </c>
      <c r="C8411" s="3" t="s">
        <v>10</v>
      </c>
      <c r="D8411" s="3" t="s">
        <v>9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/>
      <c r="P8411" s="3"/>
      <c r="Q8411" s="3"/>
    </row>
    <row r="8412" spans="1:17" ht="15" x14ac:dyDescent="0.25">
      <c r="A8412" s="3">
        <f>8405</f>
        <v>8405</v>
      </c>
      <c r="B8412" s="3" t="s">
        <v>8414</v>
      </c>
      <c r="C8412" s="3" t="s">
        <v>10</v>
      </c>
      <c r="D8412" s="3" t="s">
        <v>9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/>
      <c r="P8412" s="3"/>
      <c r="Q8412" s="3"/>
    </row>
    <row r="8413" spans="1:17" ht="15" x14ac:dyDescent="0.25">
      <c r="A8413" s="3">
        <f>8406</f>
        <v>8406</v>
      </c>
      <c r="B8413" s="3" t="s">
        <v>8415</v>
      </c>
      <c r="C8413" s="3" t="s">
        <v>10</v>
      </c>
      <c r="D8413" s="3" t="s">
        <v>9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/>
      <c r="P8413" s="3"/>
      <c r="Q8413" s="3"/>
    </row>
    <row r="8414" spans="1:17" ht="15" x14ac:dyDescent="0.25">
      <c r="A8414" s="3">
        <f>8407</f>
        <v>8407</v>
      </c>
      <c r="B8414" s="3" t="s">
        <v>8416</v>
      </c>
      <c r="C8414" s="3" t="s">
        <v>10</v>
      </c>
      <c r="D8414" s="3" t="s">
        <v>9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/>
      <c r="P8414" s="3"/>
      <c r="Q8414" s="3"/>
    </row>
    <row r="8415" spans="1:17" ht="15" x14ac:dyDescent="0.25">
      <c r="A8415" s="3">
        <f>8408</f>
        <v>8408</v>
      </c>
      <c r="B8415" s="3" t="s">
        <v>8417</v>
      </c>
      <c r="C8415" s="3" t="s">
        <v>10</v>
      </c>
      <c r="D8415" s="3" t="s">
        <v>9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/>
      <c r="P8415" s="3"/>
      <c r="Q8415" s="3"/>
    </row>
    <row r="8416" spans="1:17" ht="15" x14ac:dyDescent="0.25">
      <c r="A8416" s="3">
        <f>8409</f>
        <v>8409</v>
      </c>
      <c r="B8416" s="3" t="s">
        <v>8418</v>
      </c>
      <c r="C8416" s="3" t="s">
        <v>10</v>
      </c>
      <c r="D8416" s="3" t="s">
        <v>9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/>
      <c r="P8416" s="3"/>
      <c r="Q8416" s="3"/>
    </row>
    <row r="8417" spans="1:17" ht="15" x14ac:dyDescent="0.25">
      <c r="A8417" s="3">
        <f>8410</f>
        <v>8410</v>
      </c>
      <c r="B8417" s="3" t="s">
        <v>8419</v>
      </c>
      <c r="C8417" s="3" t="s">
        <v>10</v>
      </c>
      <c r="D8417" s="3" t="s">
        <v>9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/>
      <c r="P8417" s="3"/>
      <c r="Q8417" s="3"/>
    </row>
    <row r="8418" spans="1:17" ht="15" x14ac:dyDescent="0.25">
      <c r="A8418" s="3">
        <f>8411</f>
        <v>8411</v>
      </c>
      <c r="B8418" s="3" t="s">
        <v>8420</v>
      </c>
      <c r="C8418" s="3" t="s">
        <v>10</v>
      </c>
      <c r="D8418" s="3" t="s">
        <v>9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/>
      <c r="P8418" s="3"/>
      <c r="Q8418" s="3"/>
    </row>
    <row r="8419" spans="1:17" ht="15" x14ac:dyDescent="0.25">
      <c r="A8419" s="3">
        <f>8412</f>
        <v>8412</v>
      </c>
      <c r="B8419" s="3" t="s">
        <v>8421</v>
      </c>
      <c r="C8419" s="3" t="s">
        <v>10</v>
      </c>
      <c r="D8419" s="3" t="s">
        <v>9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/>
      <c r="P8419" s="3"/>
      <c r="Q8419" s="3"/>
    </row>
    <row r="8420" spans="1:17" ht="15" x14ac:dyDescent="0.25">
      <c r="A8420" s="3">
        <f>8413</f>
        <v>8413</v>
      </c>
      <c r="B8420" s="3" t="s">
        <v>8422</v>
      </c>
      <c r="C8420" s="3" t="s">
        <v>10</v>
      </c>
      <c r="D8420" s="3" t="s">
        <v>9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/>
      <c r="P8420" s="3"/>
      <c r="Q8420" s="3"/>
    </row>
    <row r="8421" spans="1:17" ht="15" x14ac:dyDescent="0.25">
      <c r="A8421" s="3">
        <f>8414</f>
        <v>8414</v>
      </c>
      <c r="B8421" s="3" t="s">
        <v>8423</v>
      </c>
      <c r="C8421" s="3" t="s">
        <v>10</v>
      </c>
      <c r="D8421" s="3" t="s">
        <v>9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/>
      <c r="P8421" s="3"/>
      <c r="Q8421" s="3"/>
    </row>
    <row r="8422" spans="1:17" ht="15" x14ac:dyDescent="0.25">
      <c r="A8422" s="3">
        <f>8415</f>
        <v>8415</v>
      </c>
      <c r="B8422" s="3" t="s">
        <v>8424</v>
      </c>
      <c r="C8422" s="3" t="s">
        <v>10</v>
      </c>
      <c r="D8422" s="3" t="s">
        <v>9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/>
      <c r="P8422" s="3"/>
      <c r="Q8422" s="3"/>
    </row>
    <row r="8423" spans="1:17" ht="15" x14ac:dyDescent="0.25">
      <c r="A8423" s="3">
        <f>8416</f>
        <v>8416</v>
      </c>
      <c r="B8423" s="3" t="s">
        <v>8425</v>
      </c>
      <c r="C8423" s="3" t="s">
        <v>10</v>
      </c>
      <c r="D8423" s="3" t="s">
        <v>9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/>
      <c r="P8423" s="3"/>
      <c r="Q8423" s="3"/>
    </row>
    <row r="8424" spans="1:17" ht="15" x14ac:dyDescent="0.25">
      <c r="A8424" s="3">
        <f>8417</f>
        <v>8417</v>
      </c>
      <c r="B8424" s="3" t="s">
        <v>8426</v>
      </c>
      <c r="C8424" s="3" t="s">
        <v>10</v>
      </c>
      <c r="D8424" s="3" t="s">
        <v>9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/>
      <c r="P8424" s="3"/>
      <c r="Q8424" s="3"/>
    </row>
    <row r="8425" spans="1:17" ht="15" x14ac:dyDescent="0.25">
      <c r="A8425" s="3">
        <f>8418</f>
        <v>8418</v>
      </c>
      <c r="B8425" s="3" t="s">
        <v>8427</v>
      </c>
      <c r="C8425" s="3" t="s">
        <v>10</v>
      </c>
      <c r="D8425" s="3" t="s">
        <v>9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/>
      <c r="P8425" s="3"/>
      <c r="Q8425" s="3"/>
    </row>
    <row r="8426" spans="1:17" ht="15" x14ac:dyDescent="0.25">
      <c r="A8426" s="3">
        <f>8419</f>
        <v>8419</v>
      </c>
      <c r="B8426" s="3" t="s">
        <v>8428</v>
      </c>
      <c r="C8426" s="3" t="s">
        <v>10</v>
      </c>
      <c r="D8426" s="3" t="s">
        <v>9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/>
      <c r="P8426" s="3"/>
      <c r="Q8426" s="3"/>
    </row>
    <row r="8427" spans="1:17" ht="15" x14ac:dyDescent="0.25">
      <c r="A8427" s="3">
        <f>8420</f>
        <v>8420</v>
      </c>
      <c r="B8427" s="3" t="s">
        <v>8429</v>
      </c>
      <c r="C8427" s="3" t="s">
        <v>10</v>
      </c>
      <c r="D8427" s="3" t="s">
        <v>9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/>
      <c r="P8427" s="3"/>
      <c r="Q8427" s="3"/>
    </row>
    <row r="8428" spans="1:17" ht="15" x14ac:dyDescent="0.25">
      <c r="A8428" s="3">
        <f>8421</f>
        <v>8421</v>
      </c>
      <c r="B8428" s="3" t="s">
        <v>8430</v>
      </c>
      <c r="C8428" s="3" t="s">
        <v>10</v>
      </c>
      <c r="D8428" s="3" t="s">
        <v>9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/>
      <c r="P8428" s="3"/>
      <c r="Q8428" s="3"/>
    </row>
    <row r="8429" spans="1:17" ht="15" x14ac:dyDescent="0.25">
      <c r="A8429" s="3">
        <f>8422</f>
        <v>8422</v>
      </c>
      <c r="B8429" s="3" t="s">
        <v>8431</v>
      </c>
      <c r="C8429" s="3" t="s">
        <v>10</v>
      </c>
      <c r="D8429" s="3" t="s">
        <v>9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/>
      <c r="P8429" s="3"/>
      <c r="Q8429" s="3"/>
    </row>
    <row r="8430" spans="1:17" ht="15" x14ac:dyDescent="0.25">
      <c r="A8430" s="3">
        <f>8423</f>
        <v>8423</v>
      </c>
      <c r="B8430" s="3" t="s">
        <v>8432</v>
      </c>
      <c r="C8430" s="3" t="s">
        <v>10</v>
      </c>
      <c r="D8430" s="3" t="s">
        <v>9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/>
      <c r="P8430" s="3"/>
      <c r="Q8430" s="3"/>
    </row>
    <row r="8431" spans="1:17" ht="15" x14ac:dyDescent="0.25">
      <c r="A8431" s="3">
        <f>8424</f>
        <v>8424</v>
      </c>
      <c r="B8431" s="3" t="s">
        <v>8433</v>
      </c>
      <c r="C8431" s="3" t="s">
        <v>10</v>
      </c>
      <c r="D8431" s="3" t="s">
        <v>9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/>
      <c r="P8431" s="3"/>
      <c r="Q8431" s="3"/>
    </row>
    <row r="8432" spans="1:17" ht="15" x14ac:dyDescent="0.25">
      <c r="A8432" s="3">
        <f>8425</f>
        <v>8425</v>
      </c>
      <c r="B8432" s="3" t="s">
        <v>8434</v>
      </c>
      <c r="C8432" s="3" t="s">
        <v>10</v>
      </c>
      <c r="D8432" s="3" t="s">
        <v>9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/>
      <c r="P8432" s="3"/>
      <c r="Q8432" s="3"/>
    </row>
    <row r="8433" spans="1:17" ht="15" x14ac:dyDescent="0.25">
      <c r="A8433" s="3">
        <f>8426</f>
        <v>8426</v>
      </c>
      <c r="B8433" s="3" t="s">
        <v>8435</v>
      </c>
      <c r="C8433" s="3" t="s">
        <v>10</v>
      </c>
      <c r="D8433" s="3" t="s">
        <v>9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/>
      <c r="P8433" s="3"/>
      <c r="Q8433" s="3"/>
    </row>
    <row r="8434" spans="1:17" ht="15" x14ac:dyDescent="0.25">
      <c r="A8434" s="3">
        <f>8427</f>
        <v>8427</v>
      </c>
      <c r="B8434" s="3" t="s">
        <v>8436</v>
      </c>
      <c r="C8434" s="3" t="s">
        <v>10</v>
      </c>
      <c r="D8434" s="3" t="s">
        <v>9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/>
      <c r="P8434" s="3"/>
      <c r="Q8434" s="3"/>
    </row>
    <row r="8435" spans="1:17" ht="15" x14ac:dyDescent="0.25">
      <c r="A8435" s="3">
        <f>8428</f>
        <v>8428</v>
      </c>
      <c r="B8435" s="3" t="s">
        <v>8437</v>
      </c>
      <c r="C8435" s="3" t="s">
        <v>10</v>
      </c>
      <c r="D8435" s="3" t="s">
        <v>9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/>
      <c r="P8435" s="3"/>
      <c r="Q8435" s="3"/>
    </row>
    <row r="8436" spans="1:17" ht="15" x14ac:dyDescent="0.25">
      <c r="A8436" s="3">
        <f>8429</f>
        <v>8429</v>
      </c>
      <c r="B8436" s="3" t="s">
        <v>8438</v>
      </c>
      <c r="C8436" s="3" t="s">
        <v>10</v>
      </c>
      <c r="D8436" s="3" t="s">
        <v>9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/>
      <c r="P8436" s="3"/>
      <c r="Q8436" s="3"/>
    </row>
    <row r="8437" spans="1:17" ht="15" x14ac:dyDescent="0.25">
      <c r="A8437" s="3">
        <f>8430</f>
        <v>8430</v>
      </c>
      <c r="B8437" s="3" t="s">
        <v>8439</v>
      </c>
      <c r="C8437" s="3" t="s">
        <v>10</v>
      </c>
      <c r="D8437" s="3" t="s">
        <v>9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/>
      <c r="P8437" s="3"/>
      <c r="Q8437" s="3"/>
    </row>
    <row r="8438" spans="1:17" ht="15" x14ac:dyDescent="0.25">
      <c r="A8438" s="3">
        <f>8431</f>
        <v>8431</v>
      </c>
      <c r="B8438" s="3" t="s">
        <v>8440</v>
      </c>
      <c r="C8438" s="3" t="s">
        <v>10</v>
      </c>
      <c r="D8438" s="3" t="s">
        <v>9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/>
      <c r="P8438" s="3"/>
      <c r="Q8438" s="3"/>
    </row>
    <row r="8439" spans="1:17" ht="15" x14ac:dyDescent="0.25">
      <c r="A8439" s="3">
        <f>8432</f>
        <v>8432</v>
      </c>
      <c r="B8439" s="3" t="s">
        <v>8441</v>
      </c>
      <c r="C8439" s="3" t="s">
        <v>10</v>
      </c>
      <c r="D8439" s="3" t="s">
        <v>9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/>
      <c r="P8439" s="3"/>
      <c r="Q8439" s="3"/>
    </row>
    <row r="8440" spans="1:17" ht="15" x14ac:dyDescent="0.25">
      <c r="A8440" s="3">
        <f>8433</f>
        <v>8433</v>
      </c>
      <c r="B8440" s="3" t="s">
        <v>8442</v>
      </c>
      <c r="C8440" s="3" t="s">
        <v>10</v>
      </c>
      <c r="D8440" s="3" t="s">
        <v>9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/>
      <c r="P8440" s="3"/>
      <c r="Q8440" s="3"/>
    </row>
    <row r="8441" spans="1:17" ht="15" x14ac:dyDescent="0.25">
      <c r="A8441" s="3">
        <f>8434</f>
        <v>8434</v>
      </c>
      <c r="B8441" s="3" t="s">
        <v>8443</v>
      </c>
      <c r="C8441" s="3" t="s">
        <v>10</v>
      </c>
      <c r="D8441" s="3" t="s">
        <v>9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/>
      <c r="P8441" s="3"/>
      <c r="Q8441" s="3"/>
    </row>
    <row r="8442" spans="1:17" ht="15" x14ac:dyDescent="0.25">
      <c r="A8442" s="3">
        <f>8435</f>
        <v>8435</v>
      </c>
      <c r="B8442" s="3" t="s">
        <v>8444</v>
      </c>
      <c r="C8442" s="3" t="s">
        <v>10</v>
      </c>
      <c r="D8442" s="3" t="s">
        <v>9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/>
      <c r="P8442" s="3"/>
      <c r="Q8442" s="3"/>
    </row>
    <row r="8443" spans="1:17" ht="15" x14ac:dyDescent="0.25">
      <c r="A8443" s="3">
        <f>8436</f>
        <v>8436</v>
      </c>
      <c r="B8443" s="3" t="s">
        <v>8445</v>
      </c>
      <c r="C8443" s="3" t="s">
        <v>10</v>
      </c>
      <c r="D8443" s="3" t="s">
        <v>9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/>
      <c r="P8443" s="3"/>
      <c r="Q8443" s="3"/>
    </row>
    <row r="8444" spans="1:17" ht="15" x14ac:dyDescent="0.25">
      <c r="A8444" s="3">
        <f>8437</f>
        <v>8437</v>
      </c>
      <c r="B8444" s="3" t="s">
        <v>8446</v>
      </c>
      <c r="C8444" s="3" t="s">
        <v>10</v>
      </c>
      <c r="D8444" s="3" t="s">
        <v>9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/>
      <c r="P8444" s="3"/>
      <c r="Q8444" s="3"/>
    </row>
    <row r="8445" spans="1:17" ht="15" x14ac:dyDescent="0.25">
      <c r="A8445" s="3">
        <f>8438</f>
        <v>8438</v>
      </c>
      <c r="B8445" s="3" t="s">
        <v>8447</v>
      </c>
      <c r="C8445" s="3" t="s">
        <v>10</v>
      </c>
      <c r="D8445" s="3" t="s">
        <v>9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/>
      <c r="P8445" s="3"/>
      <c r="Q8445" s="3"/>
    </row>
    <row r="8446" spans="1:17" ht="15" x14ac:dyDescent="0.25">
      <c r="A8446" s="3">
        <f>8439</f>
        <v>8439</v>
      </c>
      <c r="B8446" s="3" t="s">
        <v>8448</v>
      </c>
      <c r="C8446" s="3" t="s">
        <v>10</v>
      </c>
      <c r="D8446" s="3" t="s">
        <v>9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/>
      <c r="P8446" s="3"/>
      <c r="Q8446" s="3"/>
    </row>
    <row r="8447" spans="1:17" ht="15" x14ac:dyDescent="0.25">
      <c r="A8447" s="3">
        <f>8440</f>
        <v>8440</v>
      </c>
      <c r="B8447" s="3" t="s">
        <v>8449</v>
      </c>
      <c r="C8447" s="3" t="s">
        <v>10</v>
      </c>
      <c r="D8447" s="3" t="s">
        <v>9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/>
      <c r="P8447" s="3"/>
      <c r="Q8447" s="3"/>
    </row>
    <row r="8448" spans="1:17" ht="15" x14ac:dyDescent="0.25">
      <c r="A8448" s="3">
        <f>8441</f>
        <v>8441</v>
      </c>
      <c r="B8448" s="3" t="s">
        <v>8450</v>
      </c>
      <c r="C8448" s="3" t="s">
        <v>10</v>
      </c>
      <c r="D8448" s="3" t="s">
        <v>9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/>
      <c r="P8448" s="3"/>
      <c r="Q8448" s="3"/>
    </row>
    <row r="8449" spans="1:17" ht="15" x14ac:dyDescent="0.25">
      <c r="A8449" s="3">
        <f>8442</f>
        <v>8442</v>
      </c>
      <c r="B8449" s="3" t="s">
        <v>8451</v>
      </c>
      <c r="C8449" s="3" t="s">
        <v>10</v>
      </c>
      <c r="D8449" s="3" t="s">
        <v>9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/>
      <c r="P8449" s="3"/>
      <c r="Q8449" s="3"/>
    </row>
    <row r="8450" spans="1:17" ht="15" x14ac:dyDescent="0.25">
      <c r="A8450" s="3">
        <f>8443</f>
        <v>8443</v>
      </c>
      <c r="B8450" s="3" t="s">
        <v>8452</v>
      </c>
      <c r="C8450" s="3" t="s">
        <v>10</v>
      </c>
      <c r="D8450" s="3" t="s">
        <v>9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/>
      <c r="P8450" s="3"/>
      <c r="Q8450" s="3"/>
    </row>
    <row r="8451" spans="1:17" ht="15" x14ac:dyDescent="0.25">
      <c r="A8451" s="3">
        <f>8444</f>
        <v>8444</v>
      </c>
      <c r="B8451" s="3" t="s">
        <v>8453</v>
      </c>
      <c r="C8451" s="3" t="s">
        <v>10</v>
      </c>
      <c r="D8451" s="3" t="s">
        <v>9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/>
      <c r="P8451" s="3"/>
      <c r="Q8451" s="3"/>
    </row>
    <row r="8452" spans="1:17" ht="15" x14ac:dyDescent="0.25">
      <c r="A8452" s="3">
        <f>8445</f>
        <v>8445</v>
      </c>
      <c r="B8452" s="3" t="s">
        <v>8454</v>
      </c>
      <c r="C8452" s="3" t="s">
        <v>10</v>
      </c>
      <c r="D8452" s="3" t="s">
        <v>9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/>
      <c r="P8452" s="3"/>
      <c r="Q8452" s="3"/>
    </row>
    <row r="8453" spans="1:17" ht="15" x14ac:dyDescent="0.25">
      <c r="A8453" s="3">
        <f>8446</f>
        <v>8446</v>
      </c>
      <c r="B8453" s="3" t="s">
        <v>8455</v>
      </c>
      <c r="C8453" s="3" t="s">
        <v>10</v>
      </c>
      <c r="D8453" s="3" t="s">
        <v>9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/>
      <c r="P8453" s="3"/>
      <c r="Q8453" s="3"/>
    </row>
    <row r="8454" spans="1:17" ht="15" x14ac:dyDescent="0.25">
      <c r="A8454" s="3">
        <f>8447</f>
        <v>8447</v>
      </c>
      <c r="B8454" s="3" t="s">
        <v>8456</v>
      </c>
      <c r="C8454" s="3" t="s">
        <v>10</v>
      </c>
      <c r="D8454" s="3" t="s">
        <v>9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/>
      <c r="P8454" s="3"/>
      <c r="Q8454" s="3"/>
    </row>
    <row r="8455" spans="1:17" ht="15" x14ac:dyDescent="0.25">
      <c r="A8455" s="3">
        <f>8448</f>
        <v>8448</v>
      </c>
      <c r="B8455" s="3" t="s">
        <v>8457</v>
      </c>
      <c r="C8455" s="3" t="s">
        <v>10</v>
      </c>
      <c r="D8455" s="3" t="s">
        <v>9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/>
      <c r="P8455" s="3"/>
      <c r="Q8455" s="3"/>
    </row>
    <row r="8456" spans="1:17" ht="15" x14ac:dyDescent="0.25">
      <c r="A8456" s="3">
        <f>8449</f>
        <v>8449</v>
      </c>
      <c r="B8456" s="3" t="s">
        <v>8458</v>
      </c>
      <c r="C8456" s="3" t="s">
        <v>10</v>
      </c>
      <c r="D8456" s="3" t="s">
        <v>9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/>
      <c r="P8456" s="3"/>
      <c r="Q8456" s="3"/>
    </row>
    <row r="8457" spans="1:17" ht="15" x14ac:dyDescent="0.25">
      <c r="A8457" s="3">
        <f>8450</f>
        <v>8450</v>
      </c>
      <c r="B8457" s="3" t="s">
        <v>8459</v>
      </c>
      <c r="C8457" s="3" t="s">
        <v>10</v>
      </c>
      <c r="D8457" s="3" t="s">
        <v>9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/>
      <c r="P8457" s="3"/>
      <c r="Q8457" s="3"/>
    </row>
    <row r="8458" spans="1:17" ht="15" x14ac:dyDescent="0.25">
      <c r="A8458" s="3">
        <f>8451</f>
        <v>8451</v>
      </c>
      <c r="B8458" s="3" t="s">
        <v>8460</v>
      </c>
      <c r="C8458" s="3" t="s">
        <v>10</v>
      </c>
      <c r="D8458" s="3" t="s">
        <v>9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/>
      <c r="P8458" s="3"/>
      <c r="Q8458" s="3"/>
    </row>
    <row r="8459" spans="1:17" ht="15" x14ac:dyDescent="0.25">
      <c r="A8459" s="3">
        <f>8452</f>
        <v>8452</v>
      </c>
      <c r="B8459" s="3" t="s">
        <v>8461</v>
      </c>
      <c r="C8459" s="3" t="s">
        <v>10</v>
      </c>
      <c r="D8459" s="3" t="s">
        <v>9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/>
      <c r="P8459" s="3"/>
      <c r="Q8459" s="3"/>
    </row>
    <row r="8460" spans="1:17" ht="15" x14ac:dyDescent="0.25">
      <c r="A8460" s="3">
        <f>8453</f>
        <v>8453</v>
      </c>
      <c r="B8460" s="3" t="s">
        <v>8462</v>
      </c>
      <c r="C8460" s="3" t="s">
        <v>10</v>
      </c>
      <c r="D8460" s="3" t="s">
        <v>9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/>
      <c r="P8460" s="3"/>
      <c r="Q8460" s="3"/>
    </row>
    <row r="8461" spans="1:17" ht="15" x14ac:dyDescent="0.25">
      <c r="A8461" s="3">
        <f>8454</f>
        <v>8454</v>
      </c>
      <c r="B8461" s="3" t="s">
        <v>8463</v>
      </c>
      <c r="C8461" s="3" t="s">
        <v>10</v>
      </c>
      <c r="D8461" s="3" t="s">
        <v>9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/>
      <c r="P8461" s="3"/>
      <c r="Q8461" s="3"/>
    </row>
    <row r="8462" spans="1:17" ht="15" x14ac:dyDescent="0.25">
      <c r="A8462" s="3">
        <f>8455</f>
        <v>8455</v>
      </c>
      <c r="B8462" s="3" t="s">
        <v>8464</v>
      </c>
      <c r="C8462" s="3" t="s">
        <v>10</v>
      </c>
      <c r="D8462" s="3" t="s">
        <v>9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/>
      <c r="P8462" s="3"/>
      <c r="Q8462" s="3"/>
    </row>
    <row r="8463" spans="1:17" ht="15" x14ac:dyDescent="0.25">
      <c r="A8463" s="3">
        <f>8456</f>
        <v>8456</v>
      </c>
      <c r="B8463" s="3" t="s">
        <v>8465</v>
      </c>
      <c r="C8463" s="3" t="s">
        <v>10</v>
      </c>
      <c r="D8463" s="3" t="s">
        <v>9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/>
      <c r="P8463" s="3"/>
      <c r="Q8463" s="3"/>
    </row>
    <row r="8464" spans="1:17" ht="15" x14ac:dyDescent="0.25">
      <c r="A8464" s="3">
        <f>8457</f>
        <v>8457</v>
      </c>
      <c r="B8464" s="3" t="s">
        <v>8466</v>
      </c>
      <c r="C8464" s="3" t="s">
        <v>10</v>
      </c>
      <c r="D8464" s="3" t="s">
        <v>9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/>
      <c r="P8464" s="3"/>
      <c r="Q8464" s="3"/>
    </row>
    <row r="8465" spans="1:17" ht="15" x14ac:dyDescent="0.25">
      <c r="A8465" s="3">
        <f>8458</f>
        <v>8458</v>
      </c>
      <c r="B8465" s="3" t="s">
        <v>8467</v>
      </c>
      <c r="C8465" s="3" t="s">
        <v>10</v>
      </c>
      <c r="D8465" s="3" t="s">
        <v>9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/>
      <c r="P8465" s="3"/>
      <c r="Q8465" s="3"/>
    </row>
    <row r="8466" spans="1:17" ht="15" x14ac:dyDescent="0.25">
      <c r="A8466" s="3">
        <f>8459</f>
        <v>8459</v>
      </c>
      <c r="B8466" s="3" t="s">
        <v>8468</v>
      </c>
      <c r="C8466" s="3" t="s">
        <v>10</v>
      </c>
      <c r="D8466" s="3" t="s">
        <v>9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/>
      <c r="P8466" s="3"/>
      <c r="Q8466" s="3"/>
    </row>
    <row r="8467" spans="1:17" ht="15" x14ac:dyDescent="0.25">
      <c r="A8467" s="3">
        <f>8460</f>
        <v>8460</v>
      </c>
      <c r="B8467" s="3" t="s">
        <v>8469</v>
      </c>
      <c r="C8467" s="3" t="s">
        <v>10</v>
      </c>
      <c r="D8467" s="3" t="s">
        <v>9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/>
      <c r="P8467" s="3"/>
      <c r="Q8467" s="3"/>
    </row>
    <row r="8468" spans="1:17" ht="15" x14ac:dyDescent="0.25">
      <c r="A8468" s="3">
        <f>8461</f>
        <v>8461</v>
      </c>
      <c r="B8468" s="3" t="s">
        <v>8470</v>
      </c>
      <c r="C8468" s="3" t="s">
        <v>10</v>
      </c>
      <c r="D8468" s="3" t="s">
        <v>9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/>
      <c r="P8468" s="3"/>
      <c r="Q8468" s="3"/>
    </row>
    <row r="8469" spans="1:17" ht="15" x14ac:dyDescent="0.25">
      <c r="A8469" s="3">
        <f>8462</f>
        <v>8462</v>
      </c>
      <c r="B8469" s="3" t="s">
        <v>8471</v>
      </c>
      <c r="C8469" s="3" t="s">
        <v>10</v>
      </c>
      <c r="D8469" s="3" t="s">
        <v>9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/>
      <c r="P8469" s="3"/>
      <c r="Q8469" s="3"/>
    </row>
    <row r="8470" spans="1:17" ht="15" x14ac:dyDescent="0.25">
      <c r="A8470" s="3">
        <f>8463</f>
        <v>8463</v>
      </c>
      <c r="B8470" s="3" t="s">
        <v>8472</v>
      </c>
      <c r="C8470" s="3" t="s">
        <v>10</v>
      </c>
      <c r="D8470" s="3" t="s">
        <v>9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/>
      <c r="P8470" s="3"/>
      <c r="Q8470" s="3"/>
    </row>
    <row r="8471" spans="1:17" ht="15" x14ac:dyDescent="0.25">
      <c r="A8471" s="3">
        <f>8464</f>
        <v>8464</v>
      </c>
      <c r="B8471" s="3" t="s">
        <v>8473</v>
      </c>
      <c r="C8471" s="3" t="s">
        <v>10</v>
      </c>
      <c r="D8471" s="3" t="s">
        <v>9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/>
      <c r="P8471" s="3"/>
      <c r="Q8471" s="3"/>
    </row>
    <row r="8472" spans="1:17" ht="15" x14ac:dyDescent="0.25">
      <c r="A8472" s="3">
        <f>8465</f>
        <v>8465</v>
      </c>
      <c r="B8472" s="3" t="s">
        <v>8474</v>
      </c>
      <c r="C8472" s="3" t="s">
        <v>10</v>
      </c>
      <c r="D8472" s="3" t="s">
        <v>9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/>
      <c r="P8472" s="3"/>
      <c r="Q8472" s="3"/>
    </row>
    <row r="8473" spans="1:17" ht="15" x14ac:dyDescent="0.25">
      <c r="A8473" s="3">
        <f>8466</f>
        <v>8466</v>
      </c>
      <c r="B8473" s="3" t="s">
        <v>8475</v>
      </c>
      <c r="C8473" s="3" t="s">
        <v>10</v>
      </c>
      <c r="D8473" s="3" t="s">
        <v>9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/>
      <c r="P8473" s="3"/>
      <c r="Q8473" s="3"/>
    </row>
    <row r="8474" spans="1:17" ht="15" x14ac:dyDescent="0.25">
      <c r="A8474" s="3">
        <f>8467</f>
        <v>8467</v>
      </c>
      <c r="B8474" s="3" t="s">
        <v>8476</v>
      </c>
      <c r="C8474" s="3" t="s">
        <v>10</v>
      </c>
      <c r="D8474" s="3" t="s">
        <v>9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/>
      <c r="P8474" s="3"/>
      <c r="Q8474" s="3"/>
    </row>
    <row r="8475" spans="1:17" ht="15" x14ac:dyDescent="0.25">
      <c r="A8475" s="3">
        <f>8468</f>
        <v>8468</v>
      </c>
      <c r="B8475" s="3" t="s">
        <v>8477</v>
      </c>
      <c r="C8475" s="3" t="s">
        <v>10</v>
      </c>
      <c r="D8475" s="3" t="s">
        <v>9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/>
      <c r="P8475" s="3"/>
      <c r="Q8475" s="3"/>
    </row>
    <row r="8476" spans="1:17" ht="15" x14ac:dyDescent="0.25">
      <c r="A8476" s="3">
        <f>8469</f>
        <v>8469</v>
      </c>
      <c r="B8476" s="3" t="s">
        <v>8478</v>
      </c>
      <c r="C8476" s="3" t="s">
        <v>10</v>
      </c>
      <c r="D8476" s="3" t="s">
        <v>9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/>
      <c r="P8476" s="3"/>
      <c r="Q8476" s="3"/>
    </row>
    <row r="8477" spans="1:17" ht="15" x14ac:dyDescent="0.25">
      <c r="A8477" s="3">
        <f>8470</f>
        <v>8470</v>
      </c>
      <c r="B8477" s="3" t="s">
        <v>8479</v>
      </c>
      <c r="C8477" s="3" t="s">
        <v>10</v>
      </c>
      <c r="D8477" s="3" t="s">
        <v>9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/>
      <c r="P8477" s="3"/>
      <c r="Q8477" s="3"/>
    </row>
    <row r="8478" spans="1:17" ht="15" x14ac:dyDescent="0.25">
      <c r="A8478" s="3">
        <f>8471</f>
        <v>8471</v>
      </c>
      <c r="B8478" s="3" t="s">
        <v>8480</v>
      </c>
      <c r="C8478" s="3" t="s">
        <v>10</v>
      </c>
      <c r="D8478" s="3" t="s">
        <v>9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/>
      <c r="P8478" s="3"/>
      <c r="Q8478" s="3"/>
    </row>
    <row r="8479" spans="1:17" ht="15" x14ac:dyDescent="0.25">
      <c r="A8479" s="3">
        <f>8472</f>
        <v>8472</v>
      </c>
      <c r="B8479" s="3" t="s">
        <v>8481</v>
      </c>
      <c r="C8479" s="3" t="s">
        <v>10</v>
      </c>
      <c r="D8479" s="3" t="s">
        <v>9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/>
      <c r="P8479" s="3"/>
      <c r="Q8479" s="3"/>
    </row>
    <row r="8480" spans="1:17" ht="15" x14ac:dyDescent="0.25">
      <c r="A8480" s="3">
        <f>8473</f>
        <v>8473</v>
      </c>
      <c r="B8480" s="3" t="s">
        <v>8482</v>
      </c>
      <c r="C8480" s="3" t="s">
        <v>10</v>
      </c>
      <c r="D8480" s="3" t="s">
        <v>9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/>
      <c r="P8480" s="3"/>
      <c r="Q8480" s="3"/>
    </row>
    <row r="8481" spans="1:17" ht="15" x14ac:dyDescent="0.25">
      <c r="A8481" s="3">
        <f>8474</f>
        <v>8474</v>
      </c>
      <c r="B8481" s="3" t="s">
        <v>8483</v>
      </c>
      <c r="C8481" s="3" t="s">
        <v>10</v>
      </c>
      <c r="D8481" s="3" t="s">
        <v>9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/>
      <c r="P8481" s="3"/>
      <c r="Q8481" s="3"/>
    </row>
    <row r="8482" spans="1:17" ht="15" x14ac:dyDescent="0.25">
      <c r="A8482" s="3">
        <f>8475</f>
        <v>8475</v>
      </c>
      <c r="B8482" s="3" t="s">
        <v>8484</v>
      </c>
      <c r="C8482" s="3" t="s">
        <v>10</v>
      </c>
      <c r="D8482" s="3" t="s">
        <v>9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/>
      <c r="P8482" s="3"/>
      <c r="Q8482" s="3"/>
    </row>
    <row r="8483" spans="1:17" ht="15" x14ac:dyDescent="0.25">
      <c r="A8483" s="3">
        <f>8476</f>
        <v>8476</v>
      </c>
      <c r="B8483" s="3" t="s">
        <v>8485</v>
      </c>
      <c r="C8483" s="3" t="s">
        <v>10</v>
      </c>
      <c r="D8483" s="3" t="s">
        <v>9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/>
      <c r="P8483" s="3"/>
      <c r="Q8483" s="3"/>
    </row>
    <row r="8484" spans="1:17" ht="15" x14ac:dyDescent="0.25">
      <c r="A8484" s="3">
        <f>8477</f>
        <v>8477</v>
      </c>
      <c r="B8484" s="3" t="s">
        <v>8486</v>
      </c>
      <c r="C8484" s="3" t="s">
        <v>10</v>
      </c>
      <c r="D8484" s="3" t="s">
        <v>9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/>
      <c r="P8484" s="3"/>
      <c r="Q8484" s="3"/>
    </row>
    <row r="8485" spans="1:17" ht="15" x14ac:dyDescent="0.25">
      <c r="A8485" s="3">
        <f>8478</f>
        <v>8478</v>
      </c>
      <c r="B8485" s="3" t="s">
        <v>8487</v>
      </c>
      <c r="C8485" s="3" t="s">
        <v>10</v>
      </c>
      <c r="D8485" s="3" t="s">
        <v>9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/>
      <c r="P8485" s="3"/>
      <c r="Q8485" s="3"/>
    </row>
    <row r="8486" spans="1:17" ht="15" x14ac:dyDescent="0.25">
      <c r="A8486" s="3">
        <f>8479</f>
        <v>8479</v>
      </c>
      <c r="B8486" s="3" t="s">
        <v>8488</v>
      </c>
      <c r="C8486" s="3" t="s">
        <v>10</v>
      </c>
      <c r="D8486" s="3" t="s">
        <v>9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/>
      <c r="P8486" s="3"/>
      <c r="Q8486" s="3"/>
    </row>
    <row r="8487" spans="1:17" ht="15" x14ac:dyDescent="0.25">
      <c r="A8487" s="3">
        <f>8480</f>
        <v>8480</v>
      </c>
      <c r="B8487" s="3" t="s">
        <v>8489</v>
      </c>
      <c r="C8487" s="3" t="s">
        <v>10</v>
      </c>
      <c r="D8487" s="3" t="s">
        <v>9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/>
      <c r="P8487" s="3"/>
      <c r="Q8487" s="3"/>
    </row>
    <row r="8488" spans="1:17" ht="15" x14ac:dyDescent="0.25">
      <c r="A8488" s="3">
        <f>8481</f>
        <v>8481</v>
      </c>
      <c r="B8488" s="3" t="s">
        <v>8490</v>
      </c>
      <c r="C8488" s="3" t="s">
        <v>10</v>
      </c>
      <c r="D8488" s="3" t="s">
        <v>9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/>
      <c r="P8488" s="3"/>
      <c r="Q8488" s="3"/>
    </row>
    <row r="8489" spans="1:17" ht="15" x14ac:dyDescent="0.25">
      <c r="A8489" s="3">
        <f>8482</f>
        <v>8482</v>
      </c>
      <c r="B8489" s="3" t="s">
        <v>8491</v>
      </c>
      <c r="C8489" s="3" t="s">
        <v>10</v>
      </c>
      <c r="D8489" s="3" t="s">
        <v>9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/>
      <c r="P8489" s="3"/>
      <c r="Q8489" s="3"/>
    </row>
    <row r="8490" spans="1:17" ht="15" x14ac:dyDescent="0.25">
      <c r="A8490" s="3">
        <f>8483</f>
        <v>8483</v>
      </c>
      <c r="B8490" s="3" t="s">
        <v>8492</v>
      </c>
      <c r="C8490" s="3" t="s">
        <v>10</v>
      </c>
      <c r="D8490" s="3" t="s">
        <v>9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/>
      <c r="P8490" s="3"/>
      <c r="Q8490" s="3"/>
    </row>
    <row r="8491" spans="1:17" ht="15" x14ac:dyDescent="0.25">
      <c r="A8491" s="3">
        <f>8484</f>
        <v>8484</v>
      </c>
      <c r="B8491" s="3" t="s">
        <v>8493</v>
      </c>
      <c r="C8491" s="3" t="s">
        <v>10</v>
      </c>
      <c r="D8491" s="3" t="s">
        <v>9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/>
      <c r="P8491" s="3"/>
      <c r="Q8491" s="3"/>
    </row>
    <row r="8492" spans="1:17" ht="15" x14ac:dyDescent="0.25">
      <c r="A8492" s="3">
        <f>8485</f>
        <v>8485</v>
      </c>
      <c r="B8492" s="3" t="s">
        <v>8494</v>
      </c>
      <c r="C8492" s="3" t="s">
        <v>10</v>
      </c>
      <c r="D8492" s="3" t="s">
        <v>9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/>
      <c r="P8492" s="3"/>
      <c r="Q8492" s="3"/>
    </row>
    <row r="8493" spans="1:17" ht="15" x14ac:dyDescent="0.25">
      <c r="A8493" s="3">
        <f>8486</f>
        <v>8486</v>
      </c>
      <c r="B8493" s="3" t="s">
        <v>8495</v>
      </c>
      <c r="C8493" s="3" t="s">
        <v>10</v>
      </c>
      <c r="D8493" s="3" t="s">
        <v>9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/>
      <c r="P8493" s="3"/>
      <c r="Q8493" s="3"/>
    </row>
    <row r="8494" spans="1:17" ht="15" x14ac:dyDescent="0.25">
      <c r="A8494" s="3">
        <f>8487</f>
        <v>8487</v>
      </c>
      <c r="B8494" s="3" t="s">
        <v>8496</v>
      </c>
      <c r="C8494" s="3" t="s">
        <v>10</v>
      </c>
      <c r="D8494" s="3" t="s">
        <v>9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/>
      <c r="P8494" s="3"/>
      <c r="Q8494" s="3"/>
    </row>
    <row r="8495" spans="1:17" ht="15" x14ac:dyDescent="0.25">
      <c r="A8495" s="3">
        <f>8488</f>
        <v>8488</v>
      </c>
      <c r="B8495" s="3" t="s">
        <v>8497</v>
      </c>
      <c r="C8495" s="3" t="s">
        <v>10</v>
      </c>
      <c r="D8495" s="3" t="s">
        <v>9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/>
      <c r="P8495" s="3"/>
      <c r="Q8495" s="3"/>
    </row>
    <row r="8496" spans="1:17" ht="15" x14ac:dyDescent="0.25">
      <c r="A8496" s="3">
        <f>8489</f>
        <v>8489</v>
      </c>
      <c r="B8496" s="3" t="s">
        <v>8498</v>
      </c>
      <c r="C8496" s="3" t="s">
        <v>10</v>
      </c>
      <c r="D8496" s="3" t="s">
        <v>9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/>
      <c r="P8496" s="3"/>
      <c r="Q8496" s="3"/>
    </row>
    <row r="8497" spans="1:17" ht="15" x14ac:dyDescent="0.25">
      <c r="A8497" s="3">
        <f>8490</f>
        <v>8490</v>
      </c>
      <c r="B8497" s="3" t="s">
        <v>8499</v>
      </c>
      <c r="C8497" s="3" t="s">
        <v>10</v>
      </c>
      <c r="D8497" s="3" t="s">
        <v>9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/>
      <c r="P8497" s="3"/>
      <c r="Q8497" s="3"/>
    </row>
    <row r="8498" spans="1:17" ht="15" x14ac:dyDescent="0.25">
      <c r="A8498" s="3">
        <f>8491</f>
        <v>8491</v>
      </c>
      <c r="B8498" s="3" t="s">
        <v>8500</v>
      </c>
      <c r="C8498" s="3" t="s">
        <v>10</v>
      </c>
      <c r="D8498" s="3" t="s">
        <v>9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/>
      <c r="P8498" s="3"/>
      <c r="Q8498" s="3"/>
    </row>
    <row r="8499" spans="1:17" ht="15" x14ac:dyDescent="0.25">
      <c r="A8499" s="3">
        <f>8492</f>
        <v>8492</v>
      </c>
      <c r="B8499" s="3" t="s">
        <v>8501</v>
      </c>
      <c r="C8499" s="3" t="s">
        <v>10</v>
      </c>
      <c r="D8499" s="3" t="s">
        <v>9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/>
      <c r="P8499" s="3"/>
      <c r="Q8499" s="3"/>
    </row>
    <row r="8500" spans="1:17" ht="15" x14ac:dyDescent="0.25">
      <c r="A8500" s="3">
        <f>8493</f>
        <v>8493</v>
      </c>
      <c r="B8500" s="3" t="s">
        <v>8502</v>
      </c>
      <c r="C8500" s="3" t="s">
        <v>10</v>
      </c>
      <c r="D8500" s="3" t="s">
        <v>9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/>
      <c r="P8500" s="3"/>
      <c r="Q8500" s="3"/>
    </row>
    <row r="8501" spans="1:17" ht="15" x14ac:dyDescent="0.25">
      <c r="A8501" s="3">
        <f>8494</f>
        <v>8494</v>
      </c>
      <c r="B8501" s="3" t="s">
        <v>8503</v>
      </c>
      <c r="C8501" s="3" t="s">
        <v>10</v>
      </c>
      <c r="D8501" s="3" t="s">
        <v>9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/>
      <c r="P8501" s="3"/>
      <c r="Q8501" s="3"/>
    </row>
    <row r="8502" spans="1:17" ht="15" x14ac:dyDescent="0.25">
      <c r="A8502" s="3">
        <f>8495</f>
        <v>8495</v>
      </c>
      <c r="B8502" s="3" t="s">
        <v>8504</v>
      </c>
      <c r="C8502" s="3" t="s">
        <v>10</v>
      </c>
      <c r="D8502" s="3" t="s">
        <v>9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/>
      <c r="P8502" s="3"/>
      <c r="Q8502" s="3"/>
    </row>
    <row r="8503" spans="1:17" ht="15" x14ac:dyDescent="0.25">
      <c r="A8503" s="3">
        <f>8496</f>
        <v>8496</v>
      </c>
      <c r="B8503" s="3" t="s">
        <v>8505</v>
      </c>
      <c r="C8503" s="3" t="s">
        <v>10</v>
      </c>
      <c r="D8503" s="3" t="s">
        <v>9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/>
      <c r="P8503" s="3"/>
      <c r="Q8503" s="3"/>
    </row>
    <row r="8504" spans="1:17" ht="15" x14ac:dyDescent="0.25">
      <c r="A8504" s="3">
        <f>8497</f>
        <v>8497</v>
      </c>
      <c r="B8504" s="3" t="s">
        <v>8506</v>
      </c>
      <c r="C8504" s="3" t="s">
        <v>10</v>
      </c>
      <c r="D8504" s="3" t="s">
        <v>9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/>
      <c r="P8504" s="3"/>
      <c r="Q8504" s="3"/>
    </row>
    <row r="8505" spans="1:17" ht="15" x14ac:dyDescent="0.25">
      <c r="A8505" s="3">
        <f>8498</f>
        <v>8498</v>
      </c>
      <c r="B8505" s="3" t="s">
        <v>8507</v>
      </c>
      <c r="C8505" s="3" t="s">
        <v>10</v>
      </c>
      <c r="D8505" s="3" t="s">
        <v>9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/>
      <c r="P8505" s="3"/>
      <c r="Q8505" s="3"/>
    </row>
    <row r="8506" spans="1:17" ht="15" x14ac:dyDescent="0.25">
      <c r="A8506" s="3">
        <f>8499</f>
        <v>8499</v>
      </c>
      <c r="B8506" s="3" t="s">
        <v>8508</v>
      </c>
      <c r="C8506" s="3" t="s">
        <v>10</v>
      </c>
      <c r="D8506" s="3" t="s">
        <v>9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/>
      <c r="P8506" s="3"/>
      <c r="Q8506" s="3"/>
    </row>
    <row r="8507" spans="1:17" ht="15" x14ac:dyDescent="0.25">
      <c r="A8507" s="3">
        <f>8500</f>
        <v>8500</v>
      </c>
      <c r="B8507" s="3" t="s">
        <v>8509</v>
      </c>
      <c r="C8507" s="3" t="s">
        <v>10</v>
      </c>
      <c r="D8507" s="3" t="s">
        <v>9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/>
      <c r="P8507" s="3"/>
      <c r="Q8507" s="3"/>
    </row>
    <row r="8508" spans="1:17" ht="15" x14ac:dyDescent="0.25">
      <c r="A8508" s="3">
        <f>8501</f>
        <v>8501</v>
      </c>
      <c r="B8508" s="3" t="s">
        <v>8510</v>
      </c>
      <c r="C8508" s="3" t="s">
        <v>10</v>
      </c>
      <c r="D8508" s="3" t="s">
        <v>9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/>
      <c r="P8508" s="3"/>
      <c r="Q8508" s="3"/>
    </row>
    <row r="8509" spans="1:17" ht="15" x14ac:dyDescent="0.25">
      <c r="A8509" s="3">
        <f>8502</f>
        <v>8502</v>
      </c>
      <c r="B8509" s="3" t="s">
        <v>8511</v>
      </c>
      <c r="C8509" s="3" t="s">
        <v>10</v>
      </c>
      <c r="D8509" s="3" t="s">
        <v>9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/>
      <c r="P8509" s="3"/>
      <c r="Q8509" s="3"/>
    </row>
    <row r="8510" spans="1:17" ht="15" x14ac:dyDescent="0.25">
      <c r="A8510" s="3">
        <f>8503</f>
        <v>8503</v>
      </c>
      <c r="B8510" s="3" t="s">
        <v>8512</v>
      </c>
      <c r="C8510" s="3" t="s">
        <v>10</v>
      </c>
      <c r="D8510" s="3" t="s">
        <v>9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/>
      <c r="P8510" s="3"/>
      <c r="Q8510" s="3"/>
    </row>
    <row r="8511" spans="1:17" ht="15" x14ac:dyDescent="0.25">
      <c r="A8511" s="3">
        <f>8504</f>
        <v>8504</v>
      </c>
      <c r="B8511" s="3" t="s">
        <v>8513</v>
      </c>
      <c r="C8511" s="3" t="s">
        <v>10</v>
      </c>
      <c r="D8511" s="3" t="s">
        <v>9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/>
      <c r="P8511" s="3"/>
      <c r="Q8511" s="3"/>
    </row>
    <row r="8512" spans="1:17" ht="15" x14ac:dyDescent="0.25">
      <c r="A8512" s="3">
        <f>8505</f>
        <v>8505</v>
      </c>
      <c r="B8512" s="3" t="s">
        <v>8514</v>
      </c>
      <c r="C8512" s="3" t="s">
        <v>10</v>
      </c>
      <c r="D8512" s="3" t="s">
        <v>9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/>
      <c r="P8512" s="3"/>
      <c r="Q8512" s="3"/>
    </row>
    <row r="8513" spans="1:17" ht="15" x14ac:dyDescent="0.25">
      <c r="A8513" s="3">
        <f>8506</f>
        <v>8506</v>
      </c>
      <c r="B8513" s="3" t="s">
        <v>8515</v>
      </c>
      <c r="C8513" s="3" t="s">
        <v>10</v>
      </c>
      <c r="D8513" s="3" t="s">
        <v>9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/>
      <c r="P8513" s="3"/>
      <c r="Q8513" s="3"/>
    </row>
    <row r="8514" spans="1:17" ht="15" x14ac:dyDescent="0.25">
      <c r="A8514" s="3">
        <f>8507</f>
        <v>8507</v>
      </c>
      <c r="B8514" s="3" t="s">
        <v>8516</v>
      </c>
      <c r="C8514" s="3" t="s">
        <v>10</v>
      </c>
      <c r="D8514" s="3" t="s">
        <v>9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/>
      <c r="P8514" s="3"/>
      <c r="Q8514" s="3"/>
    </row>
    <row r="8515" spans="1:17" ht="15" x14ac:dyDescent="0.25">
      <c r="A8515" s="3">
        <f>8508</f>
        <v>8508</v>
      </c>
      <c r="B8515" s="3" t="s">
        <v>8517</v>
      </c>
      <c r="C8515" s="3" t="s">
        <v>10</v>
      </c>
      <c r="D8515" s="3" t="s">
        <v>9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/>
      <c r="P8515" s="3"/>
      <c r="Q8515" s="3"/>
    </row>
    <row r="8516" spans="1:17" ht="15" x14ac:dyDescent="0.25">
      <c r="A8516" s="3">
        <f>8509</f>
        <v>8509</v>
      </c>
      <c r="B8516" s="3" t="s">
        <v>8518</v>
      </c>
      <c r="C8516" s="3" t="s">
        <v>10</v>
      </c>
      <c r="D8516" s="3" t="s">
        <v>9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/>
      <c r="P8516" s="3"/>
      <c r="Q8516" s="3"/>
    </row>
    <row r="8517" spans="1:17" ht="15" x14ac:dyDescent="0.25">
      <c r="A8517" s="3">
        <f>8510</f>
        <v>8510</v>
      </c>
      <c r="B8517" s="3" t="s">
        <v>8519</v>
      </c>
      <c r="C8517" s="3" t="s">
        <v>10</v>
      </c>
      <c r="D8517" s="3" t="s">
        <v>9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/>
      <c r="P8517" s="3"/>
      <c r="Q8517" s="3"/>
    </row>
    <row r="8518" spans="1:17" ht="15" x14ac:dyDescent="0.25">
      <c r="A8518" s="3">
        <f>8511</f>
        <v>8511</v>
      </c>
      <c r="B8518" s="3" t="s">
        <v>8520</v>
      </c>
      <c r="C8518" s="3" t="s">
        <v>10</v>
      </c>
      <c r="D8518" s="3" t="s">
        <v>9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/>
      <c r="P8518" s="3"/>
      <c r="Q8518" s="3"/>
    </row>
    <row r="8519" spans="1:17" ht="15" x14ac:dyDescent="0.25">
      <c r="A8519" s="3">
        <f>8512</f>
        <v>8512</v>
      </c>
      <c r="B8519" s="3" t="s">
        <v>8521</v>
      </c>
      <c r="C8519" s="3" t="s">
        <v>10</v>
      </c>
      <c r="D8519" s="3" t="s">
        <v>9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/>
      <c r="P8519" s="3"/>
      <c r="Q8519" s="3"/>
    </row>
    <row r="8520" spans="1:17" ht="15" x14ac:dyDescent="0.25">
      <c r="A8520" s="3">
        <f>8513</f>
        <v>8513</v>
      </c>
      <c r="B8520" s="3" t="s">
        <v>8522</v>
      </c>
      <c r="C8520" s="3" t="s">
        <v>10</v>
      </c>
      <c r="D8520" s="3" t="s">
        <v>9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/>
      <c r="P8520" s="3"/>
      <c r="Q8520" s="3"/>
    </row>
    <row r="8521" spans="1:17" ht="15" x14ac:dyDescent="0.25">
      <c r="A8521" s="3">
        <f>8514</f>
        <v>8514</v>
      </c>
      <c r="B8521" s="3" t="s">
        <v>8523</v>
      </c>
      <c r="C8521" s="3" t="s">
        <v>10</v>
      </c>
      <c r="D8521" s="3" t="s">
        <v>9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/>
      <c r="P8521" s="3"/>
      <c r="Q8521" s="3"/>
    </row>
    <row r="8522" spans="1:17" ht="15" x14ac:dyDescent="0.25">
      <c r="A8522" s="3">
        <f>8515</f>
        <v>8515</v>
      </c>
      <c r="B8522" s="3" t="s">
        <v>8524</v>
      </c>
      <c r="C8522" s="3" t="s">
        <v>10</v>
      </c>
      <c r="D8522" s="3" t="s">
        <v>9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/>
      <c r="P8522" s="3"/>
      <c r="Q8522" s="3"/>
    </row>
    <row r="8523" spans="1:17" ht="15" x14ac:dyDescent="0.25">
      <c r="A8523" s="3">
        <f>8516</f>
        <v>8516</v>
      </c>
      <c r="B8523" s="3" t="s">
        <v>8525</v>
      </c>
      <c r="C8523" s="3" t="s">
        <v>10</v>
      </c>
      <c r="D8523" s="3" t="s">
        <v>9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/>
      <c r="P8523" s="3"/>
      <c r="Q8523" s="3"/>
    </row>
    <row r="8524" spans="1:17" ht="15" x14ac:dyDescent="0.25">
      <c r="A8524" s="3">
        <f>8517</f>
        <v>8517</v>
      </c>
      <c r="B8524" s="3" t="s">
        <v>8526</v>
      </c>
      <c r="C8524" s="3" t="s">
        <v>10</v>
      </c>
      <c r="D8524" s="3" t="s">
        <v>9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/>
      <c r="P8524" s="3"/>
      <c r="Q8524" s="3"/>
    </row>
    <row r="8525" spans="1:17" ht="15" x14ac:dyDescent="0.25">
      <c r="A8525" s="3">
        <f>8518</f>
        <v>8518</v>
      </c>
      <c r="B8525" s="3" t="s">
        <v>8527</v>
      </c>
      <c r="C8525" s="3" t="s">
        <v>10</v>
      </c>
      <c r="D8525" s="3" t="s">
        <v>9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/>
      <c r="P8525" s="3"/>
      <c r="Q8525" s="3"/>
    </row>
    <row r="8526" spans="1:17" ht="15" x14ac:dyDescent="0.25">
      <c r="A8526" s="3">
        <f>8519</f>
        <v>8519</v>
      </c>
      <c r="B8526" s="3" t="s">
        <v>8528</v>
      </c>
      <c r="C8526" s="3" t="s">
        <v>10</v>
      </c>
      <c r="D8526" s="3" t="s">
        <v>9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/>
      <c r="P8526" s="3"/>
      <c r="Q8526" s="3"/>
    </row>
    <row r="8527" spans="1:17" ht="15" x14ac:dyDescent="0.25">
      <c r="A8527" s="3">
        <f>8520</f>
        <v>8520</v>
      </c>
      <c r="B8527" s="3" t="s">
        <v>8529</v>
      </c>
      <c r="C8527" s="3" t="s">
        <v>10</v>
      </c>
      <c r="D8527" s="3" t="s">
        <v>9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/>
      <c r="P8527" s="3"/>
      <c r="Q8527" s="3"/>
    </row>
    <row r="8528" spans="1:17" ht="15" x14ac:dyDescent="0.25">
      <c r="A8528" s="3">
        <f>8521</f>
        <v>8521</v>
      </c>
      <c r="B8528" s="3" t="s">
        <v>8530</v>
      </c>
      <c r="C8528" s="3" t="s">
        <v>10</v>
      </c>
      <c r="D8528" s="3" t="s">
        <v>9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/>
      <c r="P8528" s="3"/>
      <c r="Q8528" s="3"/>
    </row>
    <row r="8529" spans="1:17" ht="15" x14ac:dyDescent="0.25">
      <c r="A8529" s="3">
        <f>8522</f>
        <v>8522</v>
      </c>
      <c r="B8529" s="3" t="s">
        <v>8531</v>
      </c>
      <c r="C8529" s="3" t="s">
        <v>10</v>
      </c>
      <c r="D8529" s="3" t="s">
        <v>9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/>
      <c r="P8529" s="3"/>
      <c r="Q8529" s="3"/>
    </row>
    <row r="8530" spans="1:17" ht="15" x14ac:dyDescent="0.25">
      <c r="A8530" s="3">
        <f>8523</f>
        <v>8523</v>
      </c>
      <c r="B8530" s="3" t="s">
        <v>8532</v>
      </c>
      <c r="C8530" s="3" t="s">
        <v>10</v>
      </c>
      <c r="D8530" s="3" t="s">
        <v>9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/>
      <c r="P8530" s="3"/>
      <c r="Q8530" s="3"/>
    </row>
    <row r="8531" spans="1:17" ht="15" x14ac:dyDescent="0.25">
      <c r="A8531" s="3">
        <f>8524</f>
        <v>8524</v>
      </c>
      <c r="B8531" s="3" t="s">
        <v>8533</v>
      </c>
      <c r="C8531" s="3" t="s">
        <v>10</v>
      </c>
      <c r="D8531" s="3" t="s">
        <v>9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/>
      <c r="P8531" s="3"/>
      <c r="Q8531" s="3"/>
    </row>
    <row r="8532" spans="1:17" ht="15" x14ac:dyDescent="0.25">
      <c r="A8532" s="3">
        <f>8525</f>
        <v>8525</v>
      </c>
      <c r="B8532" s="3" t="s">
        <v>8534</v>
      </c>
      <c r="C8532" s="3" t="s">
        <v>10</v>
      </c>
      <c r="D8532" s="3" t="s">
        <v>9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/>
      <c r="P8532" s="3"/>
      <c r="Q8532" s="3"/>
    </row>
    <row r="8533" spans="1:17" ht="15" x14ac:dyDescent="0.25">
      <c r="A8533" s="3">
        <f>8526</f>
        <v>8526</v>
      </c>
      <c r="B8533" s="3" t="s">
        <v>8535</v>
      </c>
      <c r="C8533" s="3" t="s">
        <v>10</v>
      </c>
      <c r="D8533" s="3" t="s">
        <v>9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/>
      <c r="P8533" s="3"/>
      <c r="Q8533" s="3"/>
    </row>
    <row r="8534" spans="1:17" ht="15" x14ac:dyDescent="0.25">
      <c r="A8534" s="3">
        <f>8527</f>
        <v>8527</v>
      </c>
      <c r="B8534" s="3" t="s">
        <v>8536</v>
      </c>
      <c r="C8534" s="3" t="s">
        <v>10</v>
      </c>
      <c r="D8534" s="3" t="s">
        <v>9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/>
      <c r="P8534" s="3"/>
      <c r="Q8534" s="3"/>
    </row>
    <row r="8535" spans="1:17" ht="15" x14ac:dyDescent="0.25">
      <c r="A8535" s="3">
        <f>8528</f>
        <v>8528</v>
      </c>
      <c r="B8535" s="3" t="s">
        <v>8537</v>
      </c>
      <c r="C8535" s="3" t="s">
        <v>10</v>
      </c>
      <c r="D8535" s="3" t="s">
        <v>9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/>
      <c r="P8535" s="3"/>
      <c r="Q8535" s="3"/>
    </row>
    <row r="8536" spans="1:17" ht="15" x14ac:dyDescent="0.25">
      <c r="A8536" s="3">
        <f>8529</f>
        <v>8529</v>
      </c>
      <c r="B8536" s="3" t="s">
        <v>8538</v>
      </c>
      <c r="C8536" s="3" t="s">
        <v>10</v>
      </c>
      <c r="D8536" s="3" t="s">
        <v>9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/>
      <c r="P8536" s="3"/>
      <c r="Q8536" s="3"/>
    </row>
    <row r="8537" spans="1:17" ht="15" x14ac:dyDescent="0.25">
      <c r="A8537" s="3">
        <f>8530</f>
        <v>8530</v>
      </c>
      <c r="B8537" s="3" t="s">
        <v>8539</v>
      </c>
      <c r="C8537" s="3" t="s">
        <v>10</v>
      </c>
      <c r="D8537" s="3" t="s">
        <v>9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/>
      <c r="P8537" s="3"/>
      <c r="Q8537" s="3"/>
    </row>
    <row r="8538" spans="1:17" ht="15" x14ac:dyDescent="0.25">
      <c r="A8538" s="3">
        <f>8531</f>
        <v>8531</v>
      </c>
      <c r="B8538" s="3" t="s">
        <v>8540</v>
      </c>
      <c r="C8538" s="3" t="s">
        <v>10</v>
      </c>
      <c r="D8538" s="3" t="s">
        <v>9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/>
      <c r="P8538" s="3"/>
      <c r="Q8538" s="3"/>
    </row>
    <row r="8539" spans="1:17" ht="15" x14ac:dyDescent="0.25">
      <c r="A8539" s="3">
        <f>8532</f>
        <v>8532</v>
      </c>
      <c r="B8539" s="3" t="s">
        <v>8541</v>
      </c>
      <c r="C8539" s="3" t="s">
        <v>10</v>
      </c>
      <c r="D8539" s="3" t="s">
        <v>9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/>
      <c r="P8539" s="3"/>
      <c r="Q8539" s="3"/>
    </row>
    <row r="8540" spans="1:17" ht="15" x14ac:dyDescent="0.25">
      <c r="A8540" s="3">
        <f>8533</f>
        <v>8533</v>
      </c>
      <c r="B8540" s="3" t="s">
        <v>8542</v>
      </c>
      <c r="C8540" s="3" t="s">
        <v>10</v>
      </c>
      <c r="D8540" s="3" t="s">
        <v>9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/>
      <c r="P8540" s="3"/>
      <c r="Q8540" s="3"/>
    </row>
    <row r="8541" spans="1:17" ht="15" x14ac:dyDescent="0.25">
      <c r="A8541" s="3">
        <f>8534</f>
        <v>8534</v>
      </c>
      <c r="B8541" s="3" t="s">
        <v>8543</v>
      </c>
      <c r="C8541" s="3" t="s">
        <v>10</v>
      </c>
      <c r="D8541" s="3" t="s">
        <v>9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/>
      <c r="P8541" s="3"/>
      <c r="Q8541" s="3"/>
    </row>
    <row r="8542" spans="1:17" ht="15" x14ac:dyDescent="0.25">
      <c r="A8542" s="3">
        <f>8535</f>
        <v>8535</v>
      </c>
      <c r="B8542" s="3" t="s">
        <v>8544</v>
      </c>
      <c r="C8542" s="3" t="s">
        <v>10</v>
      </c>
      <c r="D8542" s="3" t="s">
        <v>9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/>
      <c r="P8542" s="3"/>
      <c r="Q8542" s="3"/>
    </row>
    <row r="8543" spans="1:17" ht="15" x14ac:dyDescent="0.25">
      <c r="A8543" s="3">
        <f>8536</f>
        <v>8536</v>
      </c>
      <c r="B8543" s="3" t="s">
        <v>8545</v>
      </c>
      <c r="C8543" s="3" t="s">
        <v>10</v>
      </c>
      <c r="D8543" s="3" t="s">
        <v>9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/>
      <c r="P8543" s="3"/>
      <c r="Q8543" s="3"/>
    </row>
    <row r="8544" spans="1:17" ht="15" x14ac:dyDescent="0.25">
      <c r="A8544" s="3">
        <f>8537</f>
        <v>8537</v>
      </c>
      <c r="B8544" s="3" t="s">
        <v>8546</v>
      </c>
      <c r="C8544" s="3" t="s">
        <v>10</v>
      </c>
      <c r="D8544" s="3" t="s">
        <v>9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/>
      <c r="P8544" s="3"/>
      <c r="Q8544" s="3"/>
    </row>
    <row r="8545" spans="1:17" ht="15" x14ac:dyDescent="0.25">
      <c r="A8545" s="3">
        <f>8538</f>
        <v>8538</v>
      </c>
      <c r="B8545" s="3" t="s">
        <v>8547</v>
      </c>
      <c r="C8545" s="3" t="s">
        <v>10</v>
      </c>
      <c r="D8545" s="3" t="s">
        <v>9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/>
      <c r="P8545" s="3"/>
      <c r="Q8545" s="3"/>
    </row>
    <row r="8546" spans="1:17" ht="15" x14ac:dyDescent="0.25">
      <c r="A8546" s="3">
        <f>8539</f>
        <v>8539</v>
      </c>
      <c r="B8546" s="3" t="s">
        <v>8548</v>
      </c>
      <c r="C8546" s="3" t="s">
        <v>10</v>
      </c>
      <c r="D8546" s="3" t="s">
        <v>9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/>
      <c r="P8546" s="3"/>
      <c r="Q8546" s="3"/>
    </row>
    <row r="8547" spans="1:17" ht="15" x14ac:dyDescent="0.25">
      <c r="A8547" s="3">
        <f>8540</f>
        <v>8540</v>
      </c>
      <c r="B8547" s="3" t="s">
        <v>8549</v>
      </c>
      <c r="C8547" s="3" t="s">
        <v>10</v>
      </c>
      <c r="D8547" s="3" t="s">
        <v>9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/>
      <c r="P8547" s="3"/>
      <c r="Q8547" s="3"/>
    </row>
    <row r="8548" spans="1:17" ht="15" x14ac:dyDescent="0.25">
      <c r="A8548" s="3">
        <f>8541</f>
        <v>8541</v>
      </c>
      <c r="B8548" s="3" t="s">
        <v>8550</v>
      </c>
      <c r="C8548" s="3" t="s">
        <v>10</v>
      </c>
      <c r="D8548" s="3" t="s">
        <v>9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/>
      <c r="P8548" s="3"/>
      <c r="Q8548" s="3"/>
    </row>
    <row r="8549" spans="1:17" ht="15" x14ac:dyDescent="0.25">
      <c r="A8549" s="3">
        <f>8542</f>
        <v>8542</v>
      </c>
      <c r="B8549" s="3" t="s">
        <v>8551</v>
      </c>
      <c r="C8549" s="3" t="s">
        <v>10</v>
      </c>
      <c r="D8549" s="3" t="s">
        <v>9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/>
      <c r="P8549" s="3"/>
      <c r="Q8549" s="3"/>
    </row>
    <row r="8550" spans="1:17" ht="15" x14ac:dyDescent="0.25">
      <c r="A8550" s="3">
        <f>8543</f>
        <v>8543</v>
      </c>
      <c r="B8550" s="3" t="s">
        <v>8552</v>
      </c>
      <c r="C8550" s="3" t="s">
        <v>10</v>
      </c>
      <c r="D8550" s="3" t="s">
        <v>9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/>
      <c r="P8550" s="3"/>
      <c r="Q8550" s="3"/>
    </row>
    <row r="8551" spans="1:17" ht="15" x14ac:dyDescent="0.25">
      <c r="A8551" s="3">
        <f>8544</f>
        <v>8544</v>
      </c>
      <c r="B8551" s="3" t="s">
        <v>8553</v>
      </c>
      <c r="C8551" s="3" t="s">
        <v>10</v>
      </c>
      <c r="D8551" s="3" t="s">
        <v>9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/>
      <c r="P8551" s="3"/>
      <c r="Q8551" s="3"/>
    </row>
    <row r="8552" spans="1:17" ht="15" x14ac:dyDescent="0.25">
      <c r="A8552" s="3">
        <f>8545</f>
        <v>8545</v>
      </c>
      <c r="B8552" s="3" t="s">
        <v>8554</v>
      </c>
      <c r="C8552" s="3" t="s">
        <v>10</v>
      </c>
      <c r="D8552" s="3" t="s">
        <v>9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/>
      <c r="P8552" s="3"/>
      <c r="Q8552" s="3"/>
    </row>
    <row r="8553" spans="1:17" ht="15" x14ac:dyDescent="0.25">
      <c r="A8553" s="3">
        <f>8546</f>
        <v>8546</v>
      </c>
      <c r="B8553" s="3" t="s">
        <v>8555</v>
      </c>
      <c r="C8553" s="3" t="s">
        <v>10</v>
      </c>
      <c r="D8553" s="3" t="s">
        <v>9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/>
      <c r="P8553" s="3"/>
      <c r="Q8553" s="3"/>
    </row>
    <row r="8554" spans="1:17" ht="15" x14ac:dyDescent="0.25">
      <c r="A8554" s="3">
        <f>8547</f>
        <v>8547</v>
      </c>
      <c r="B8554" s="3" t="s">
        <v>8556</v>
      </c>
      <c r="C8554" s="3" t="s">
        <v>10</v>
      </c>
      <c r="D8554" s="3" t="s">
        <v>9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/>
      <c r="P8554" s="3"/>
      <c r="Q8554" s="3"/>
    </row>
    <row r="8555" spans="1:17" ht="15" x14ac:dyDescent="0.25">
      <c r="A8555" s="3">
        <f>8548</f>
        <v>8548</v>
      </c>
      <c r="B8555" s="3" t="s">
        <v>8557</v>
      </c>
      <c r="C8555" s="3" t="s">
        <v>10</v>
      </c>
      <c r="D8555" s="3" t="s">
        <v>9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/>
      <c r="P8555" s="3"/>
      <c r="Q8555" s="3"/>
    </row>
    <row r="8556" spans="1:17" ht="15" x14ac:dyDescent="0.25">
      <c r="A8556" s="3">
        <f>8549</f>
        <v>8549</v>
      </c>
      <c r="B8556" s="3" t="s">
        <v>8558</v>
      </c>
      <c r="C8556" s="3" t="s">
        <v>10</v>
      </c>
      <c r="D8556" s="3" t="s">
        <v>9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/>
      <c r="P8556" s="3"/>
      <c r="Q8556" s="3"/>
    </row>
    <row r="8557" spans="1:17" ht="15" x14ac:dyDescent="0.25">
      <c r="A8557" s="3">
        <f>8550</f>
        <v>8550</v>
      </c>
      <c r="B8557" s="3" t="s">
        <v>8559</v>
      </c>
      <c r="C8557" s="3" t="s">
        <v>10</v>
      </c>
      <c r="D8557" s="3" t="s">
        <v>9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/>
      <c r="P8557" s="3"/>
      <c r="Q8557" s="3"/>
    </row>
    <row r="8558" spans="1:17" ht="15" x14ac:dyDescent="0.25">
      <c r="A8558" s="3">
        <f>8551</f>
        <v>8551</v>
      </c>
      <c r="B8558" s="3" t="s">
        <v>8560</v>
      </c>
      <c r="C8558" s="3" t="s">
        <v>10</v>
      </c>
      <c r="D8558" s="3" t="s">
        <v>9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/>
      <c r="P8558" s="3"/>
      <c r="Q8558" s="3"/>
    </row>
    <row r="8559" spans="1:17" ht="15" x14ac:dyDescent="0.25">
      <c r="A8559" s="3">
        <f>8552</f>
        <v>8552</v>
      </c>
      <c r="B8559" s="3" t="s">
        <v>8561</v>
      </c>
      <c r="C8559" s="3" t="s">
        <v>10</v>
      </c>
      <c r="D8559" s="3" t="s">
        <v>9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/>
      <c r="P8559" s="3"/>
      <c r="Q8559" s="3"/>
    </row>
    <row r="8560" spans="1:17" ht="15" x14ac:dyDescent="0.25">
      <c r="A8560" s="3">
        <f>8553</f>
        <v>8553</v>
      </c>
      <c r="B8560" s="3" t="s">
        <v>8562</v>
      </c>
      <c r="C8560" s="3" t="s">
        <v>10</v>
      </c>
      <c r="D8560" s="3" t="s">
        <v>9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/>
      <c r="P8560" s="3"/>
      <c r="Q8560" s="3"/>
    </row>
    <row r="8561" spans="1:17" ht="15" x14ac:dyDescent="0.25">
      <c r="A8561" s="3">
        <f>8554</f>
        <v>8554</v>
      </c>
      <c r="B8561" s="3" t="s">
        <v>8563</v>
      </c>
      <c r="C8561" s="3" t="s">
        <v>10</v>
      </c>
      <c r="D8561" s="3" t="s">
        <v>9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/>
      <c r="P8561" s="3"/>
      <c r="Q8561" s="3"/>
    </row>
    <row r="8562" spans="1:17" ht="15" x14ac:dyDescent="0.25">
      <c r="A8562" s="3">
        <f>8555</f>
        <v>8555</v>
      </c>
      <c r="B8562" s="3" t="s">
        <v>8564</v>
      </c>
      <c r="C8562" s="3" t="s">
        <v>10</v>
      </c>
      <c r="D8562" s="3" t="s">
        <v>9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/>
      <c r="P8562" s="3"/>
      <c r="Q8562" s="3"/>
    </row>
    <row r="8563" spans="1:17" ht="15" x14ac:dyDescent="0.25">
      <c r="A8563" s="3">
        <f>8556</f>
        <v>8556</v>
      </c>
      <c r="B8563" s="3" t="s">
        <v>8565</v>
      </c>
      <c r="C8563" s="3" t="s">
        <v>10</v>
      </c>
      <c r="D8563" s="3" t="s">
        <v>9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/>
      <c r="P8563" s="3"/>
      <c r="Q8563" s="3"/>
    </row>
    <row r="8564" spans="1:17" ht="15" x14ac:dyDescent="0.25">
      <c r="A8564" s="3">
        <f>8557</f>
        <v>8557</v>
      </c>
      <c r="B8564" s="3" t="s">
        <v>8566</v>
      </c>
      <c r="C8564" s="3" t="s">
        <v>10</v>
      </c>
      <c r="D8564" s="3" t="s">
        <v>9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/>
      <c r="P8564" s="3"/>
      <c r="Q8564" s="3"/>
    </row>
    <row r="8565" spans="1:17" ht="15" x14ac:dyDescent="0.25">
      <c r="A8565" s="3">
        <f>8558</f>
        <v>8558</v>
      </c>
      <c r="B8565" s="3" t="s">
        <v>8567</v>
      </c>
      <c r="C8565" s="3" t="s">
        <v>10</v>
      </c>
      <c r="D8565" s="3" t="s">
        <v>9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/>
      <c r="P8565" s="3"/>
      <c r="Q8565" s="3"/>
    </row>
    <row r="8566" spans="1:17" ht="15" x14ac:dyDescent="0.25">
      <c r="A8566" s="3">
        <f>8559</f>
        <v>8559</v>
      </c>
      <c r="B8566" s="3" t="s">
        <v>8568</v>
      </c>
      <c r="C8566" s="3" t="s">
        <v>10</v>
      </c>
      <c r="D8566" s="3" t="s">
        <v>9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/>
      <c r="P8566" s="3"/>
      <c r="Q8566" s="3"/>
    </row>
    <row r="8567" spans="1:17" ht="15" x14ac:dyDescent="0.25">
      <c r="A8567" s="3">
        <f>8560</f>
        <v>8560</v>
      </c>
      <c r="B8567" s="3" t="s">
        <v>8569</v>
      </c>
      <c r="C8567" s="3" t="s">
        <v>10</v>
      </c>
      <c r="D8567" s="3" t="s">
        <v>9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/>
      <c r="P8567" s="3"/>
      <c r="Q8567" s="3"/>
    </row>
    <row r="8568" spans="1:17" ht="15" x14ac:dyDescent="0.25">
      <c r="A8568" s="3">
        <f>8561</f>
        <v>8561</v>
      </c>
      <c r="B8568" s="3" t="s">
        <v>8570</v>
      </c>
      <c r="C8568" s="3" t="s">
        <v>10</v>
      </c>
      <c r="D8568" s="3" t="s">
        <v>9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/>
      <c r="P8568" s="3"/>
      <c r="Q8568" s="3"/>
    </row>
    <row r="8569" spans="1:17" ht="15" x14ac:dyDescent="0.25">
      <c r="A8569" s="3">
        <f>8562</f>
        <v>8562</v>
      </c>
      <c r="B8569" s="3" t="s">
        <v>8571</v>
      </c>
      <c r="C8569" s="3" t="s">
        <v>10</v>
      </c>
      <c r="D8569" s="3" t="s">
        <v>9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/>
      <c r="P8569" s="3"/>
      <c r="Q8569" s="3"/>
    </row>
    <row r="8570" spans="1:17" ht="15" x14ac:dyDescent="0.25">
      <c r="A8570" s="3">
        <f>8563</f>
        <v>8563</v>
      </c>
      <c r="B8570" s="3" t="s">
        <v>8572</v>
      </c>
      <c r="C8570" s="3" t="s">
        <v>10</v>
      </c>
      <c r="D8570" s="3" t="s">
        <v>9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/>
      <c r="P8570" s="3"/>
      <c r="Q8570" s="3"/>
    </row>
    <row r="8571" spans="1:17" ht="15" x14ac:dyDescent="0.25">
      <c r="A8571" s="3">
        <f>8564</f>
        <v>8564</v>
      </c>
      <c r="B8571" s="3" t="s">
        <v>8573</v>
      </c>
      <c r="C8571" s="3" t="s">
        <v>10</v>
      </c>
      <c r="D8571" s="3" t="s">
        <v>9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/>
      <c r="P8571" s="3"/>
      <c r="Q8571" s="3"/>
    </row>
    <row r="8572" spans="1:17" ht="15" x14ac:dyDescent="0.25">
      <c r="A8572" s="3">
        <f>8565</f>
        <v>8565</v>
      </c>
      <c r="B8572" s="3" t="s">
        <v>8574</v>
      </c>
      <c r="C8572" s="3" t="s">
        <v>10</v>
      </c>
      <c r="D8572" s="3" t="s">
        <v>9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/>
      <c r="P8572" s="3"/>
      <c r="Q8572" s="3"/>
    </row>
    <row r="8573" spans="1:17" ht="15" x14ac:dyDescent="0.25">
      <c r="A8573" s="3">
        <f>8566</f>
        <v>8566</v>
      </c>
      <c r="B8573" s="3" t="s">
        <v>8575</v>
      </c>
      <c r="C8573" s="3" t="s">
        <v>10</v>
      </c>
      <c r="D8573" s="3" t="s">
        <v>9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/>
      <c r="P8573" s="3"/>
      <c r="Q8573" s="3"/>
    </row>
    <row r="8574" spans="1:17" ht="15" x14ac:dyDescent="0.25">
      <c r="A8574" s="3">
        <f>8567</f>
        <v>8567</v>
      </c>
      <c r="B8574" s="3" t="s">
        <v>8576</v>
      </c>
      <c r="C8574" s="3" t="s">
        <v>10</v>
      </c>
      <c r="D8574" s="3" t="s">
        <v>9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/>
      <c r="P8574" s="3"/>
      <c r="Q8574" s="3"/>
    </row>
    <row r="8575" spans="1:17" ht="15" x14ac:dyDescent="0.25">
      <c r="A8575" s="3">
        <f>8568</f>
        <v>8568</v>
      </c>
      <c r="B8575" s="3" t="s">
        <v>8577</v>
      </c>
      <c r="C8575" s="3" t="s">
        <v>10</v>
      </c>
      <c r="D8575" s="3" t="s">
        <v>9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/>
      <c r="P8575" s="3"/>
      <c r="Q8575" s="3"/>
    </row>
    <row r="8576" spans="1:17" ht="15" x14ac:dyDescent="0.25">
      <c r="A8576" s="3">
        <f>8569</f>
        <v>8569</v>
      </c>
      <c r="B8576" s="3" t="s">
        <v>8578</v>
      </c>
      <c r="C8576" s="3" t="s">
        <v>10</v>
      </c>
      <c r="D8576" s="3" t="s">
        <v>9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/>
      <c r="P8576" s="3"/>
      <c r="Q8576" s="3"/>
    </row>
    <row r="8577" spans="1:17" ht="15" x14ac:dyDescent="0.25">
      <c r="A8577" s="3">
        <f>8570</f>
        <v>8570</v>
      </c>
      <c r="B8577" s="3" t="s">
        <v>8579</v>
      </c>
      <c r="C8577" s="3" t="s">
        <v>10</v>
      </c>
      <c r="D8577" s="3" t="s">
        <v>9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/>
      <c r="P8577" s="3"/>
      <c r="Q8577" s="3"/>
    </row>
    <row r="8578" spans="1:17" ht="15" x14ac:dyDescent="0.25">
      <c r="A8578" s="3">
        <f>8571</f>
        <v>8571</v>
      </c>
      <c r="B8578" s="3" t="s">
        <v>8580</v>
      </c>
      <c r="C8578" s="3" t="s">
        <v>10</v>
      </c>
      <c r="D8578" s="3" t="s">
        <v>9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/>
      <c r="P8578" s="3"/>
      <c r="Q8578" s="3"/>
    </row>
    <row r="8579" spans="1:17" ht="15" x14ac:dyDescent="0.25">
      <c r="A8579" s="3">
        <f>8572</f>
        <v>8572</v>
      </c>
      <c r="B8579" s="3" t="s">
        <v>8581</v>
      </c>
      <c r="C8579" s="3" t="s">
        <v>10</v>
      </c>
      <c r="D8579" s="3" t="s">
        <v>9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/>
      <c r="P8579" s="3"/>
      <c r="Q8579" s="3"/>
    </row>
    <row r="8580" spans="1:17" ht="15" x14ac:dyDescent="0.25">
      <c r="A8580" s="3">
        <f>8573</f>
        <v>8573</v>
      </c>
      <c r="B8580" s="3" t="s">
        <v>8582</v>
      </c>
      <c r="C8580" s="3" t="s">
        <v>10</v>
      </c>
      <c r="D8580" s="3" t="s">
        <v>9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/>
      <c r="P8580" s="3"/>
      <c r="Q8580" s="3"/>
    </row>
    <row r="8581" spans="1:17" ht="15" x14ac:dyDescent="0.25">
      <c r="A8581" s="3">
        <f>8574</f>
        <v>8574</v>
      </c>
      <c r="B8581" s="3" t="s">
        <v>8583</v>
      </c>
      <c r="C8581" s="3" t="s">
        <v>10</v>
      </c>
      <c r="D8581" s="3" t="s">
        <v>9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/>
      <c r="P8581" s="3"/>
      <c r="Q8581" s="3"/>
    </row>
    <row r="8582" spans="1:17" ht="15" x14ac:dyDescent="0.25">
      <c r="A8582" s="3">
        <f>8575</f>
        <v>8575</v>
      </c>
      <c r="B8582" s="3" t="s">
        <v>8584</v>
      </c>
      <c r="C8582" s="3" t="s">
        <v>10</v>
      </c>
      <c r="D8582" s="3" t="s">
        <v>9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/>
      <c r="P8582" s="3"/>
      <c r="Q8582" s="3"/>
    </row>
    <row r="8583" spans="1:17" ht="15" x14ac:dyDescent="0.25">
      <c r="A8583" s="3">
        <f>8576</f>
        <v>8576</v>
      </c>
      <c r="B8583" s="3" t="s">
        <v>8585</v>
      </c>
      <c r="C8583" s="3" t="s">
        <v>10</v>
      </c>
      <c r="D8583" s="3" t="s">
        <v>9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/>
      <c r="P8583" s="3"/>
      <c r="Q8583" s="3"/>
    </row>
    <row r="8584" spans="1:17" ht="15" x14ac:dyDescent="0.25">
      <c r="A8584" s="3">
        <f>8577</f>
        <v>8577</v>
      </c>
      <c r="B8584" s="3" t="s">
        <v>8586</v>
      </c>
      <c r="C8584" s="3" t="s">
        <v>10</v>
      </c>
      <c r="D8584" s="3" t="s">
        <v>9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/>
      <c r="P8584" s="3"/>
      <c r="Q8584" s="3"/>
    </row>
    <row r="8585" spans="1:17" ht="15" x14ac:dyDescent="0.25">
      <c r="A8585" s="3">
        <f>8578</f>
        <v>8578</v>
      </c>
      <c r="B8585" s="3" t="s">
        <v>8587</v>
      </c>
      <c r="C8585" s="3" t="s">
        <v>10</v>
      </c>
      <c r="D8585" s="3" t="s">
        <v>9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/>
      <c r="P8585" s="3"/>
      <c r="Q8585" s="3"/>
    </row>
    <row r="8586" spans="1:17" ht="15" x14ac:dyDescent="0.25">
      <c r="A8586" s="3">
        <f>8579</f>
        <v>8579</v>
      </c>
      <c r="B8586" s="3" t="s">
        <v>8588</v>
      </c>
      <c r="C8586" s="3" t="s">
        <v>10</v>
      </c>
      <c r="D8586" s="3" t="s">
        <v>9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/>
      <c r="P8586" s="3"/>
      <c r="Q8586" s="3"/>
    </row>
    <row r="8587" spans="1:17" ht="15" x14ac:dyDescent="0.25">
      <c r="A8587" s="3">
        <f>8580</f>
        <v>8580</v>
      </c>
      <c r="B8587" s="3" t="s">
        <v>8589</v>
      </c>
      <c r="C8587" s="3" t="s">
        <v>10</v>
      </c>
      <c r="D8587" s="3" t="s">
        <v>9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/>
      <c r="P8587" s="3"/>
      <c r="Q8587" s="3"/>
    </row>
    <row r="8588" spans="1:17" ht="15" x14ac:dyDescent="0.25">
      <c r="A8588" s="3">
        <f>8581</f>
        <v>8581</v>
      </c>
      <c r="B8588" s="3" t="s">
        <v>8590</v>
      </c>
      <c r="C8588" s="3" t="s">
        <v>10</v>
      </c>
      <c r="D8588" s="3" t="s">
        <v>9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/>
      <c r="P8588" s="3"/>
      <c r="Q8588" s="3"/>
    </row>
    <row r="8589" spans="1:17" ht="15" x14ac:dyDescent="0.25">
      <c r="A8589" s="3">
        <f>8582</f>
        <v>8582</v>
      </c>
      <c r="B8589" s="3" t="s">
        <v>8591</v>
      </c>
      <c r="C8589" s="3" t="s">
        <v>10</v>
      </c>
      <c r="D8589" s="3" t="s">
        <v>9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/>
      <c r="P8589" s="3"/>
      <c r="Q8589" s="3"/>
    </row>
    <row r="8590" spans="1:17" ht="15" x14ac:dyDescent="0.25">
      <c r="A8590" s="3">
        <f>8583</f>
        <v>8583</v>
      </c>
      <c r="B8590" s="3" t="s">
        <v>8592</v>
      </c>
      <c r="C8590" s="3" t="s">
        <v>10</v>
      </c>
      <c r="D8590" s="3" t="s">
        <v>9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/>
      <c r="P8590" s="3"/>
      <c r="Q8590" s="3"/>
    </row>
    <row r="8591" spans="1:17" ht="15" x14ac:dyDescent="0.25">
      <c r="A8591" s="3">
        <f>8584</f>
        <v>8584</v>
      </c>
      <c r="B8591" s="3" t="s">
        <v>8593</v>
      </c>
      <c r="C8591" s="3" t="s">
        <v>10</v>
      </c>
      <c r="D8591" s="3" t="s">
        <v>9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/>
      <c r="P8591" s="3"/>
      <c r="Q8591" s="3"/>
    </row>
    <row r="8592" spans="1:17" ht="15" x14ac:dyDescent="0.25">
      <c r="A8592" s="3">
        <f>8585</f>
        <v>8585</v>
      </c>
      <c r="B8592" s="3" t="s">
        <v>8594</v>
      </c>
      <c r="C8592" s="3" t="s">
        <v>10</v>
      </c>
      <c r="D8592" s="3" t="s">
        <v>9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/>
      <c r="P8592" s="3"/>
      <c r="Q8592" s="3"/>
    </row>
    <row r="8593" spans="1:17" ht="15" x14ac:dyDescent="0.25">
      <c r="A8593" s="3">
        <f>8586</f>
        <v>8586</v>
      </c>
      <c r="B8593" s="3" t="s">
        <v>8595</v>
      </c>
      <c r="C8593" s="3" t="s">
        <v>10</v>
      </c>
      <c r="D8593" s="3" t="s">
        <v>9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/>
      <c r="P8593" s="3"/>
      <c r="Q8593" s="3"/>
    </row>
    <row r="8594" spans="1:17" ht="15" x14ac:dyDescent="0.25">
      <c r="A8594" s="3">
        <f>8587</f>
        <v>8587</v>
      </c>
      <c r="B8594" s="3" t="s">
        <v>8596</v>
      </c>
      <c r="C8594" s="3" t="s">
        <v>10</v>
      </c>
      <c r="D8594" s="3" t="s">
        <v>9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/>
      <c r="P8594" s="3"/>
      <c r="Q8594" s="3"/>
    </row>
    <row r="8595" spans="1:17" ht="15" x14ac:dyDescent="0.25">
      <c r="A8595" s="3">
        <f>8588</f>
        <v>8588</v>
      </c>
      <c r="B8595" s="3" t="s">
        <v>8597</v>
      </c>
      <c r="C8595" s="3" t="s">
        <v>10</v>
      </c>
      <c r="D8595" s="3" t="s">
        <v>9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/>
      <c r="P8595" s="3"/>
      <c r="Q8595" s="3"/>
    </row>
    <row r="8596" spans="1:17" ht="15" x14ac:dyDescent="0.25">
      <c r="A8596" s="3">
        <f>8589</f>
        <v>8589</v>
      </c>
      <c r="B8596" s="3" t="s">
        <v>8598</v>
      </c>
      <c r="C8596" s="3" t="s">
        <v>10</v>
      </c>
      <c r="D8596" s="3" t="s">
        <v>9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/>
      <c r="P8596" s="3"/>
      <c r="Q8596" s="3"/>
    </row>
    <row r="8597" spans="1:17" ht="15" x14ac:dyDescent="0.25">
      <c r="A8597" s="3">
        <f>8590</f>
        <v>8590</v>
      </c>
      <c r="B8597" s="3" t="s">
        <v>8599</v>
      </c>
      <c r="C8597" s="3" t="s">
        <v>10</v>
      </c>
      <c r="D8597" s="3" t="s">
        <v>9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/>
      <c r="P8597" s="3"/>
      <c r="Q8597" s="3"/>
    </row>
    <row r="8598" spans="1:17" ht="15" x14ac:dyDescent="0.25">
      <c r="A8598" s="3">
        <f>8591</f>
        <v>8591</v>
      </c>
      <c r="B8598" s="3" t="s">
        <v>8600</v>
      </c>
      <c r="C8598" s="3" t="s">
        <v>10</v>
      </c>
      <c r="D8598" s="3" t="s">
        <v>9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/>
      <c r="P8598" s="3"/>
      <c r="Q8598" s="3"/>
    </row>
    <row r="8599" spans="1:17" ht="15" x14ac:dyDescent="0.25">
      <c r="A8599" s="3">
        <f>8592</f>
        <v>8592</v>
      </c>
      <c r="B8599" s="3" t="s">
        <v>8601</v>
      </c>
      <c r="C8599" s="3" t="s">
        <v>10</v>
      </c>
      <c r="D8599" s="3" t="s">
        <v>9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/>
      <c r="P8599" s="3"/>
      <c r="Q8599" s="3"/>
    </row>
    <row r="8600" spans="1:17" ht="15" x14ac:dyDescent="0.25">
      <c r="A8600" s="3">
        <f>8593</f>
        <v>8593</v>
      </c>
      <c r="B8600" s="3" t="s">
        <v>8602</v>
      </c>
      <c r="C8600" s="3" t="s">
        <v>10</v>
      </c>
      <c r="D8600" s="3" t="s">
        <v>9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/>
      <c r="P8600" s="3"/>
      <c r="Q8600" s="3"/>
    </row>
    <row r="8601" spans="1:17" ht="15" x14ac:dyDescent="0.25">
      <c r="A8601" s="3">
        <f>8594</f>
        <v>8594</v>
      </c>
      <c r="B8601" s="3" t="s">
        <v>8603</v>
      </c>
      <c r="C8601" s="3" t="s">
        <v>10</v>
      </c>
      <c r="D8601" s="3" t="s">
        <v>9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/>
      <c r="P8601" s="3"/>
      <c r="Q8601" s="3"/>
    </row>
    <row r="8602" spans="1:17" ht="15" x14ac:dyDescent="0.25">
      <c r="A8602" s="3">
        <f>8595</f>
        <v>8595</v>
      </c>
      <c r="B8602" s="3" t="s">
        <v>8604</v>
      </c>
      <c r="C8602" s="3" t="s">
        <v>10</v>
      </c>
      <c r="D8602" s="3" t="s">
        <v>9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/>
      <c r="P8602" s="3"/>
      <c r="Q8602" s="3"/>
    </row>
    <row r="8603" spans="1:17" ht="15" x14ac:dyDescent="0.25">
      <c r="A8603" s="3">
        <f>8596</f>
        <v>8596</v>
      </c>
      <c r="B8603" s="3" t="s">
        <v>8605</v>
      </c>
      <c r="C8603" s="3" t="s">
        <v>10</v>
      </c>
      <c r="D8603" s="3" t="s">
        <v>9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/>
      <c r="P8603" s="3"/>
      <c r="Q8603" s="3"/>
    </row>
    <row r="8604" spans="1:17" ht="15" x14ac:dyDescent="0.25">
      <c r="A8604" s="3">
        <f>8597</f>
        <v>8597</v>
      </c>
      <c r="B8604" s="3" t="s">
        <v>8606</v>
      </c>
      <c r="C8604" s="3" t="s">
        <v>10</v>
      </c>
      <c r="D8604" s="3" t="s">
        <v>9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/>
      <c r="P8604" s="3"/>
      <c r="Q8604" s="3"/>
    </row>
    <row r="8605" spans="1:17" ht="15" x14ac:dyDescent="0.25">
      <c r="A8605" s="3">
        <f>8598</f>
        <v>8598</v>
      </c>
      <c r="B8605" s="3" t="s">
        <v>8607</v>
      </c>
      <c r="C8605" s="3" t="s">
        <v>10</v>
      </c>
      <c r="D8605" s="3" t="s">
        <v>9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/>
      <c r="P8605" s="3"/>
      <c r="Q8605" s="3"/>
    </row>
    <row r="8606" spans="1:17" ht="15" x14ac:dyDescent="0.25">
      <c r="A8606" s="3">
        <f>8599</f>
        <v>8599</v>
      </c>
      <c r="B8606" s="3" t="s">
        <v>8608</v>
      </c>
      <c r="C8606" s="3" t="s">
        <v>10</v>
      </c>
      <c r="D8606" s="3" t="s">
        <v>9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/>
      <c r="P8606" s="3"/>
      <c r="Q8606" s="3"/>
    </row>
    <row r="8607" spans="1:17" ht="15" x14ac:dyDescent="0.25">
      <c r="A8607" s="3">
        <f>8600</f>
        <v>8600</v>
      </c>
      <c r="B8607" s="3" t="s">
        <v>8609</v>
      </c>
      <c r="C8607" s="3" t="s">
        <v>10</v>
      </c>
      <c r="D8607" s="3" t="s">
        <v>9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/>
      <c r="P8607" s="3"/>
      <c r="Q8607" s="3"/>
    </row>
    <row r="8608" spans="1:17" ht="15" x14ac:dyDescent="0.25">
      <c r="A8608" s="3">
        <f>8601</f>
        <v>8601</v>
      </c>
      <c r="B8608" s="3" t="s">
        <v>8610</v>
      </c>
      <c r="C8608" s="3" t="s">
        <v>10</v>
      </c>
      <c r="D8608" s="3" t="s">
        <v>9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/>
      <c r="P8608" s="3"/>
      <c r="Q8608" s="3"/>
    </row>
    <row r="8609" spans="1:17" ht="15" x14ac:dyDescent="0.25">
      <c r="A8609" s="3">
        <f>8602</f>
        <v>8602</v>
      </c>
      <c r="B8609" s="3" t="s">
        <v>8611</v>
      </c>
      <c r="C8609" s="3" t="s">
        <v>10</v>
      </c>
      <c r="D8609" s="3" t="s">
        <v>9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/>
      <c r="P8609" s="3"/>
      <c r="Q8609" s="3"/>
    </row>
    <row r="8610" spans="1:17" ht="15" x14ac:dyDescent="0.25">
      <c r="A8610" s="3">
        <f>8603</f>
        <v>8603</v>
      </c>
      <c r="B8610" s="3" t="s">
        <v>8612</v>
      </c>
      <c r="C8610" s="3" t="s">
        <v>10</v>
      </c>
      <c r="D8610" s="3" t="s">
        <v>9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/>
      <c r="P8610" s="3"/>
      <c r="Q8610" s="3"/>
    </row>
    <row r="8611" spans="1:17" ht="15" x14ac:dyDescent="0.25">
      <c r="A8611" s="3">
        <f>8604</f>
        <v>8604</v>
      </c>
      <c r="B8611" s="3" t="s">
        <v>8613</v>
      </c>
      <c r="C8611" s="3" t="s">
        <v>10</v>
      </c>
      <c r="D8611" s="3" t="s">
        <v>9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/>
      <c r="P8611" s="3"/>
      <c r="Q8611" s="3"/>
    </row>
    <row r="8612" spans="1:17" ht="15" x14ac:dyDescent="0.25">
      <c r="A8612" s="3">
        <f>8605</f>
        <v>8605</v>
      </c>
      <c r="B8612" s="3" t="s">
        <v>8614</v>
      </c>
      <c r="C8612" s="3" t="s">
        <v>10</v>
      </c>
      <c r="D8612" s="3" t="s">
        <v>9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/>
      <c r="P8612" s="3"/>
      <c r="Q8612" s="3"/>
    </row>
    <row r="8613" spans="1:17" ht="15" x14ac:dyDescent="0.25">
      <c r="A8613" s="3">
        <f>8606</f>
        <v>8606</v>
      </c>
      <c r="B8613" s="3" t="s">
        <v>8615</v>
      </c>
      <c r="C8613" s="3" t="s">
        <v>10</v>
      </c>
      <c r="D8613" s="3" t="s">
        <v>9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/>
      <c r="P8613" s="3"/>
      <c r="Q8613" s="3"/>
    </row>
    <row r="8614" spans="1:17" ht="15" x14ac:dyDescent="0.25">
      <c r="A8614" s="3">
        <f>8607</f>
        <v>8607</v>
      </c>
      <c r="B8614" s="3" t="s">
        <v>8616</v>
      </c>
      <c r="C8614" s="3" t="s">
        <v>10</v>
      </c>
      <c r="D8614" s="3" t="s">
        <v>9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/>
      <c r="P8614" s="3"/>
      <c r="Q8614" s="3"/>
    </row>
    <row r="8615" spans="1:17" ht="15" x14ac:dyDescent="0.25">
      <c r="A8615" s="3">
        <f>8608</f>
        <v>8608</v>
      </c>
      <c r="B8615" s="3" t="s">
        <v>8617</v>
      </c>
      <c r="C8615" s="3" t="s">
        <v>10</v>
      </c>
      <c r="D8615" s="3" t="s">
        <v>9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/>
      <c r="P8615" s="3"/>
      <c r="Q8615" s="3"/>
    </row>
    <row r="8616" spans="1:17" ht="15" x14ac:dyDescent="0.25">
      <c r="A8616" s="3">
        <f>8609</f>
        <v>8609</v>
      </c>
      <c r="B8616" s="3" t="s">
        <v>8618</v>
      </c>
      <c r="C8616" s="3" t="s">
        <v>10</v>
      </c>
      <c r="D8616" s="3" t="s">
        <v>9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/>
      <c r="P8616" s="3"/>
      <c r="Q8616" s="3"/>
    </row>
    <row r="8617" spans="1:17" ht="15" x14ac:dyDescent="0.25">
      <c r="A8617" s="3">
        <f>8610</f>
        <v>8610</v>
      </c>
      <c r="B8617" s="3" t="s">
        <v>8619</v>
      </c>
      <c r="C8617" s="3" t="s">
        <v>10</v>
      </c>
      <c r="D8617" s="3" t="s">
        <v>9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/>
      <c r="P8617" s="3"/>
      <c r="Q8617" s="3"/>
    </row>
    <row r="8618" spans="1:17" ht="15" x14ac:dyDescent="0.25">
      <c r="A8618" s="3">
        <f>8611</f>
        <v>8611</v>
      </c>
      <c r="B8618" s="3" t="s">
        <v>8620</v>
      </c>
      <c r="C8618" s="3" t="s">
        <v>10</v>
      </c>
      <c r="D8618" s="3" t="s">
        <v>9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/>
      <c r="P8618" s="3"/>
      <c r="Q8618" s="3"/>
    </row>
    <row r="8619" spans="1:17" ht="15" x14ac:dyDescent="0.25">
      <c r="A8619" s="3">
        <f>8612</f>
        <v>8612</v>
      </c>
      <c r="B8619" s="3" t="s">
        <v>8621</v>
      </c>
      <c r="C8619" s="3" t="s">
        <v>10</v>
      </c>
      <c r="D8619" s="3" t="s">
        <v>9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/>
      <c r="P8619" s="3"/>
      <c r="Q8619" s="3"/>
    </row>
    <row r="8620" spans="1:17" ht="15" x14ac:dyDescent="0.25">
      <c r="A8620" s="3">
        <f>8613</f>
        <v>8613</v>
      </c>
      <c r="B8620" s="3" t="s">
        <v>8622</v>
      </c>
      <c r="C8620" s="3" t="s">
        <v>10</v>
      </c>
      <c r="D8620" s="3" t="s">
        <v>9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/>
      <c r="P8620" s="3"/>
      <c r="Q8620" s="3"/>
    </row>
    <row r="8621" spans="1:17" ht="15" x14ac:dyDescent="0.25">
      <c r="A8621" s="3">
        <f>8614</f>
        <v>8614</v>
      </c>
      <c r="B8621" s="3" t="s">
        <v>8623</v>
      </c>
      <c r="C8621" s="3" t="s">
        <v>10</v>
      </c>
      <c r="D8621" s="3" t="s">
        <v>9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/>
      <c r="P8621" s="3"/>
      <c r="Q8621" s="3"/>
    </row>
    <row r="8622" spans="1:17" ht="15" x14ac:dyDescent="0.25">
      <c r="A8622" s="3">
        <f>8615</f>
        <v>8615</v>
      </c>
      <c r="B8622" s="3" t="s">
        <v>8624</v>
      </c>
      <c r="C8622" s="3" t="s">
        <v>10</v>
      </c>
      <c r="D8622" s="3" t="s">
        <v>9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/>
      <c r="P8622" s="3"/>
      <c r="Q8622" s="3"/>
    </row>
    <row r="8623" spans="1:17" ht="15" x14ac:dyDescent="0.25">
      <c r="A8623" s="3">
        <f>8616</f>
        <v>8616</v>
      </c>
      <c r="B8623" s="3" t="s">
        <v>8625</v>
      </c>
      <c r="C8623" s="3" t="s">
        <v>10</v>
      </c>
      <c r="D8623" s="3" t="s">
        <v>9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/>
      <c r="P8623" s="3"/>
      <c r="Q8623" s="3"/>
    </row>
    <row r="8624" spans="1:17" ht="15" x14ac:dyDescent="0.25">
      <c r="A8624" s="3">
        <f>8617</f>
        <v>8617</v>
      </c>
      <c r="B8624" s="3" t="s">
        <v>8626</v>
      </c>
      <c r="C8624" s="3" t="s">
        <v>10</v>
      </c>
      <c r="D8624" s="3" t="s">
        <v>9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/>
      <c r="P8624" s="3"/>
      <c r="Q8624" s="3"/>
    </row>
    <row r="8625" spans="1:17" ht="15" x14ac:dyDescent="0.25">
      <c r="A8625" s="3">
        <f>8618</f>
        <v>8618</v>
      </c>
      <c r="B8625" s="3" t="s">
        <v>8627</v>
      </c>
      <c r="C8625" s="3" t="s">
        <v>10</v>
      </c>
      <c r="D8625" s="3" t="s">
        <v>9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/>
      <c r="P8625" s="3"/>
      <c r="Q8625" s="3"/>
    </row>
    <row r="8626" spans="1:17" ht="15" x14ac:dyDescent="0.25">
      <c r="A8626" s="3">
        <f>8619</f>
        <v>8619</v>
      </c>
      <c r="B8626" s="3" t="s">
        <v>8628</v>
      </c>
      <c r="C8626" s="3" t="s">
        <v>10</v>
      </c>
      <c r="D8626" s="3" t="s">
        <v>9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/>
      <c r="P8626" s="3"/>
      <c r="Q8626" s="3"/>
    </row>
    <row r="8627" spans="1:17" ht="15" x14ac:dyDescent="0.25">
      <c r="A8627" s="3">
        <f>8620</f>
        <v>8620</v>
      </c>
      <c r="B8627" s="3" t="s">
        <v>8629</v>
      </c>
      <c r="C8627" s="3" t="s">
        <v>10</v>
      </c>
      <c r="D8627" s="3" t="s">
        <v>9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/>
      <c r="P8627" s="3"/>
      <c r="Q8627" s="3"/>
    </row>
    <row r="8628" spans="1:17" ht="15" x14ac:dyDescent="0.25">
      <c r="A8628" s="3">
        <f>8621</f>
        <v>8621</v>
      </c>
      <c r="B8628" s="3" t="s">
        <v>8630</v>
      </c>
      <c r="C8628" s="3" t="s">
        <v>10</v>
      </c>
      <c r="D8628" s="3" t="s">
        <v>9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/>
      <c r="P8628" s="3"/>
      <c r="Q8628" s="3"/>
    </row>
    <row r="8629" spans="1:17" ht="15" x14ac:dyDescent="0.25">
      <c r="A8629" s="3">
        <f>8622</f>
        <v>8622</v>
      </c>
      <c r="B8629" s="3" t="s">
        <v>8631</v>
      </c>
      <c r="C8629" s="3" t="s">
        <v>10</v>
      </c>
      <c r="D8629" s="3" t="s">
        <v>9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/>
      <c r="P8629" s="3"/>
      <c r="Q8629" s="3"/>
    </row>
    <row r="8630" spans="1:17" ht="15" x14ac:dyDescent="0.25">
      <c r="A8630" s="3">
        <f>8623</f>
        <v>8623</v>
      </c>
      <c r="B8630" s="3" t="s">
        <v>8632</v>
      </c>
      <c r="C8630" s="3" t="s">
        <v>10</v>
      </c>
      <c r="D8630" s="3" t="s">
        <v>9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/>
      <c r="P8630" s="3"/>
      <c r="Q8630" s="3"/>
    </row>
    <row r="8631" spans="1:17" ht="15" x14ac:dyDescent="0.25">
      <c r="A8631" s="3">
        <f>8624</f>
        <v>8624</v>
      </c>
      <c r="B8631" s="3" t="s">
        <v>8633</v>
      </c>
      <c r="C8631" s="3" t="s">
        <v>10</v>
      </c>
      <c r="D8631" s="3" t="s">
        <v>9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/>
      <c r="P8631" s="3"/>
      <c r="Q8631" s="3"/>
    </row>
    <row r="8632" spans="1:17" ht="15" x14ac:dyDescent="0.25">
      <c r="A8632" s="3">
        <f>8625</f>
        <v>8625</v>
      </c>
      <c r="B8632" s="3" t="s">
        <v>8634</v>
      </c>
      <c r="C8632" s="3" t="s">
        <v>10</v>
      </c>
      <c r="D8632" s="3" t="s">
        <v>9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/>
      <c r="P8632" s="3"/>
      <c r="Q8632" s="3"/>
    </row>
    <row r="8633" spans="1:17" ht="15" x14ac:dyDescent="0.25">
      <c r="A8633" s="3">
        <f>8626</f>
        <v>8626</v>
      </c>
      <c r="B8633" s="3" t="s">
        <v>8635</v>
      </c>
      <c r="C8633" s="3" t="s">
        <v>10</v>
      </c>
      <c r="D8633" s="3" t="s">
        <v>9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/>
      <c r="P8633" s="3"/>
      <c r="Q8633" s="3"/>
    </row>
    <row r="8634" spans="1:17" ht="15" x14ac:dyDescent="0.25">
      <c r="A8634" s="3">
        <f>8627</f>
        <v>8627</v>
      </c>
      <c r="B8634" s="3" t="s">
        <v>8636</v>
      </c>
      <c r="C8634" s="3" t="s">
        <v>10</v>
      </c>
      <c r="D8634" s="3" t="s">
        <v>9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/>
      <c r="P8634" s="3"/>
      <c r="Q8634" s="3"/>
    </row>
    <row r="8635" spans="1:17" ht="15" x14ac:dyDescent="0.25">
      <c r="A8635" s="3">
        <f>8628</f>
        <v>8628</v>
      </c>
      <c r="B8635" s="3" t="s">
        <v>8637</v>
      </c>
      <c r="C8635" s="3" t="s">
        <v>10</v>
      </c>
      <c r="D8635" s="3" t="s">
        <v>9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/>
      <c r="P8635" s="3"/>
      <c r="Q8635" s="3"/>
    </row>
    <row r="8636" spans="1:17" ht="15" x14ac:dyDescent="0.25">
      <c r="A8636" s="3">
        <f>8629</f>
        <v>8629</v>
      </c>
      <c r="B8636" s="3" t="s">
        <v>8638</v>
      </c>
      <c r="C8636" s="3" t="s">
        <v>10</v>
      </c>
      <c r="D8636" s="3" t="s">
        <v>9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/>
      <c r="P8636" s="3"/>
      <c r="Q8636" s="3"/>
    </row>
    <row r="8637" spans="1:17" ht="15" x14ac:dyDescent="0.25">
      <c r="A8637" s="3">
        <f>8630</f>
        <v>8630</v>
      </c>
      <c r="B8637" s="3" t="s">
        <v>8639</v>
      </c>
      <c r="C8637" s="3" t="s">
        <v>10</v>
      </c>
      <c r="D8637" s="3" t="s">
        <v>9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/>
      <c r="P8637" s="3"/>
      <c r="Q8637" s="3"/>
    </row>
    <row r="8638" spans="1:17" ht="15" x14ac:dyDescent="0.25">
      <c r="A8638" s="3">
        <f>8631</f>
        <v>8631</v>
      </c>
      <c r="B8638" s="3" t="s">
        <v>8640</v>
      </c>
      <c r="C8638" s="3" t="s">
        <v>10</v>
      </c>
      <c r="D8638" s="3" t="s">
        <v>9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/>
      <c r="P8638" s="3"/>
      <c r="Q8638" s="3"/>
    </row>
    <row r="8639" spans="1:17" ht="15" x14ac:dyDescent="0.25">
      <c r="A8639" s="3">
        <f>8632</f>
        <v>8632</v>
      </c>
      <c r="B8639" s="3" t="s">
        <v>8641</v>
      </c>
      <c r="C8639" s="3" t="s">
        <v>10</v>
      </c>
      <c r="D8639" s="3" t="s">
        <v>9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/>
      <c r="P8639" s="3"/>
      <c r="Q8639" s="3"/>
    </row>
    <row r="8640" spans="1:17" ht="15" x14ac:dyDescent="0.25">
      <c r="A8640" s="3">
        <f>8633</f>
        <v>8633</v>
      </c>
      <c r="B8640" s="3" t="s">
        <v>8642</v>
      </c>
      <c r="C8640" s="3" t="s">
        <v>10</v>
      </c>
      <c r="D8640" s="3" t="s">
        <v>9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/>
      <c r="P8640" s="3"/>
      <c r="Q8640" s="3"/>
    </row>
    <row r="8641" spans="1:17" ht="15" x14ac:dyDescent="0.25">
      <c r="A8641" s="3">
        <f>8634</f>
        <v>8634</v>
      </c>
      <c r="B8641" s="3" t="s">
        <v>8643</v>
      </c>
      <c r="C8641" s="3" t="s">
        <v>10</v>
      </c>
      <c r="D8641" s="3" t="s">
        <v>9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/>
      <c r="P8641" s="3"/>
      <c r="Q8641" s="3"/>
    </row>
    <row r="8642" spans="1:17" ht="15" x14ac:dyDescent="0.25">
      <c r="A8642" s="3">
        <f>8635</f>
        <v>8635</v>
      </c>
      <c r="B8642" s="3" t="s">
        <v>8644</v>
      </c>
      <c r="C8642" s="3" t="s">
        <v>10</v>
      </c>
      <c r="D8642" s="3" t="s">
        <v>9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/>
      <c r="P8642" s="3"/>
      <c r="Q8642" s="3"/>
    </row>
    <row r="8643" spans="1:17" ht="15" x14ac:dyDescent="0.25">
      <c r="A8643" s="3">
        <f>8636</f>
        <v>8636</v>
      </c>
      <c r="B8643" s="3" t="s">
        <v>8645</v>
      </c>
      <c r="C8643" s="3" t="s">
        <v>10</v>
      </c>
      <c r="D8643" s="3" t="s">
        <v>9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/>
      <c r="P8643" s="3"/>
      <c r="Q8643" s="3"/>
    </row>
    <row r="8644" spans="1:17" ht="15" x14ac:dyDescent="0.25">
      <c r="A8644" s="3">
        <f>8637</f>
        <v>8637</v>
      </c>
      <c r="B8644" s="3" t="s">
        <v>8646</v>
      </c>
      <c r="C8644" s="3" t="s">
        <v>10</v>
      </c>
      <c r="D8644" s="3" t="s">
        <v>9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/>
      <c r="P8644" s="3"/>
      <c r="Q8644" s="3"/>
    </row>
    <row r="8645" spans="1:17" ht="15" x14ac:dyDescent="0.25">
      <c r="A8645" s="3">
        <f>8638</f>
        <v>8638</v>
      </c>
      <c r="B8645" s="3" t="s">
        <v>8647</v>
      </c>
      <c r="C8645" s="3" t="s">
        <v>10</v>
      </c>
      <c r="D8645" s="3" t="s">
        <v>9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/>
      <c r="P8645" s="3"/>
      <c r="Q8645" s="3"/>
    </row>
    <row r="8646" spans="1:17" ht="15" x14ac:dyDescent="0.25">
      <c r="A8646" s="3">
        <f>8639</f>
        <v>8639</v>
      </c>
      <c r="B8646" s="3" t="s">
        <v>8648</v>
      </c>
      <c r="C8646" s="3" t="s">
        <v>10</v>
      </c>
      <c r="D8646" s="3" t="s">
        <v>9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/>
      <c r="P8646" s="3"/>
      <c r="Q8646" s="3"/>
    </row>
    <row r="8647" spans="1:17" ht="15" x14ac:dyDescent="0.25">
      <c r="A8647" s="3">
        <f>8640</f>
        <v>8640</v>
      </c>
      <c r="B8647" s="3" t="s">
        <v>8649</v>
      </c>
      <c r="C8647" s="3" t="s">
        <v>10</v>
      </c>
      <c r="D8647" s="3" t="s">
        <v>9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/>
      <c r="P8647" s="3"/>
      <c r="Q8647" s="3"/>
    </row>
    <row r="8648" spans="1:17" ht="15" x14ac:dyDescent="0.25">
      <c r="A8648" s="3">
        <f>8641</f>
        <v>8641</v>
      </c>
      <c r="B8648" s="3" t="s">
        <v>8650</v>
      </c>
      <c r="C8648" s="3" t="s">
        <v>10</v>
      </c>
      <c r="D8648" s="3" t="s">
        <v>9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/>
      <c r="P8648" s="3"/>
      <c r="Q8648" s="3"/>
    </row>
    <row r="8649" spans="1:17" ht="15" x14ac:dyDescent="0.25">
      <c r="A8649" s="3">
        <f>8642</f>
        <v>8642</v>
      </c>
      <c r="B8649" s="3" t="s">
        <v>8651</v>
      </c>
      <c r="C8649" s="3" t="s">
        <v>10</v>
      </c>
      <c r="D8649" s="3" t="s">
        <v>9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/>
      <c r="P8649" s="3"/>
      <c r="Q8649" s="3"/>
    </row>
    <row r="8650" spans="1:17" ht="15" x14ac:dyDescent="0.25">
      <c r="A8650" s="3">
        <f>8643</f>
        <v>8643</v>
      </c>
      <c r="B8650" s="3" t="s">
        <v>8652</v>
      </c>
      <c r="C8650" s="3" t="s">
        <v>10</v>
      </c>
      <c r="D8650" s="3" t="s">
        <v>9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/>
      <c r="P8650" s="3"/>
      <c r="Q8650" s="3"/>
    </row>
    <row r="8651" spans="1:17" ht="15" x14ac:dyDescent="0.25">
      <c r="A8651" s="3">
        <f>8644</f>
        <v>8644</v>
      </c>
      <c r="B8651" s="3" t="s">
        <v>8653</v>
      </c>
      <c r="C8651" s="3" t="s">
        <v>10</v>
      </c>
      <c r="D8651" s="3" t="s">
        <v>9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/>
      <c r="P8651" s="3"/>
      <c r="Q8651" s="3"/>
    </row>
    <row r="8652" spans="1:17" ht="15" x14ac:dyDescent="0.25">
      <c r="A8652" s="3">
        <f>8645</f>
        <v>8645</v>
      </c>
      <c r="B8652" s="3" t="s">
        <v>8654</v>
      </c>
      <c r="C8652" s="3" t="s">
        <v>10</v>
      </c>
      <c r="D8652" s="3" t="s">
        <v>9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/>
      <c r="P8652" s="3"/>
      <c r="Q8652" s="3"/>
    </row>
    <row r="8653" spans="1:17" ht="15" x14ac:dyDescent="0.25">
      <c r="A8653" s="3">
        <f>8646</f>
        <v>8646</v>
      </c>
      <c r="B8653" s="3" t="s">
        <v>8655</v>
      </c>
      <c r="C8653" s="3" t="s">
        <v>10</v>
      </c>
      <c r="D8653" s="3" t="s">
        <v>9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/>
      <c r="P8653" s="3"/>
      <c r="Q8653" s="3"/>
    </row>
    <row r="8654" spans="1:17" ht="15" x14ac:dyDescent="0.25">
      <c r="A8654" s="3">
        <f>8647</f>
        <v>8647</v>
      </c>
      <c r="B8654" s="3" t="s">
        <v>8656</v>
      </c>
      <c r="C8654" s="3" t="s">
        <v>10</v>
      </c>
      <c r="D8654" s="3" t="s">
        <v>9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/>
      <c r="P8654" s="3"/>
      <c r="Q8654" s="3"/>
    </row>
    <row r="8655" spans="1:17" ht="15" x14ac:dyDescent="0.25">
      <c r="A8655" s="3">
        <f>8648</f>
        <v>8648</v>
      </c>
      <c r="B8655" s="3" t="s">
        <v>8657</v>
      </c>
      <c r="C8655" s="3" t="s">
        <v>10</v>
      </c>
      <c r="D8655" s="3" t="s">
        <v>9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/>
      <c r="P8655" s="3"/>
      <c r="Q8655" s="3"/>
    </row>
    <row r="8656" spans="1:17" ht="15" x14ac:dyDescent="0.25">
      <c r="A8656" s="3">
        <f>8649</f>
        <v>8649</v>
      </c>
      <c r="B8656" s="3" t="s">
        <v>8658</v>
      </c>
      <c r="C8656" s="3" t="s">
        <v>10</v>
      </c>
      <c r="D8656" s="3" t="s">
        <v>9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/>
      <c r="P8656" s="3"/>
      <c r="Q8656" s="3"/>
    </row>
    <row r="8657" spans="1:17" ht="15" x14ac:dyDescent="0.25">
      <c r="A8657" s="3">
        <f>8650</f>
        <v>8650</v>
      </c>
      <c r="B8657" s="3" t="s">
        <v>8659</v>
      </c>
      <c r="C8657" s="3" t="s">
        <v>10</v>
      </c>
      <c r="D8657" s="3" t="s">
        <v>9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/>
      <c r="P8657" s="3"/>
      <c r="Q8657" s="3"/>
    </row>
    <row r="8658" spans="1:17" ht="15" x14ac:dyDescent="0.25">
      <c r="A8658" s="3">
        <f>8651</f>
        <v>8651</v>
      </c>
      <c r="B8658" s="3" t="s">
        <v>8660</v>
      </c>
      <c r="C8658" s="3" t="s">
        <v>10</v>
      </c>
      <c r="D8658" s="3" t="s">
        <v>9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/>
      <c r="P8658" s="3"/>
      <c r="Q8658" s="3"/>
    </row>
    <row r="8659" spans="1:17" ht="15" x14ac:dyDescent="0.25">
      <c r="A8659" s="3">
        <f>8652</f>
        <v>8652</v>
      </c>
      <c r="B8659" s="3" t="s">
        <v>8661</v>
      </c>
      <c r="C8659" s="3" t="s">
        <v>10</v>
      </c>
      <c r="D8659" s="3" t="s">
        <v>9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/>
      <c r="P8659" s="3"/>
      <c r="Q8659" s="3"/>
    </row>
    <row r="8660" spans="1:17" ht="15" x14ac:dyDescent="0.25">
      <c r="A8660" s="3">
        <f>8653</f>
        <v>8653</v>
      </c>
      <c r="B8660" s="3" t="s">
        <v>8662</v>
      </c>
      <c r="C8660" s="3" t="s">
        <v>10</v>
      </c>
      <c r="D8660" s="3" t="s">
        <v>9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/>
      <c r="P8660" s="3"/>
      <c r="Q8660" s="3"/>
    </row>
    <row r="8661" spans="1:17" ht="15" x14ac:dyDescent="0.25">
      <c r="A8661" s="3">
        <f>8654</f>
        <v>8654</v>
      </c>
      <c r="B8661" s="3" t="s">
        <v>8663</v>
      </c>
      <c r="C8661" s="3" t="s">
        <v>10</v>
      </c>
      <c r="D8661" s="3" t="s">
        <v>9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/>
      <c r="P8661" s="3"/>
      <c r="Q8661" s="3"/>
    </row>
    <row r="8662" spans="1:17" ht="15" x14ac:dyDescent="0.25">
      <c r="A8662" s="3">
        <f>8655</f>
        <v>8655</v>
      </c>
      <c r="B8662" s="3" t="s">
        <v>8664</v>
      </c>
      <c r="C8662" s="3" t="s">
        <v>10</v>
      </c>
      <c r="D8662" s="3" t="s">
        <v>9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/>
      <c r="P8662" s="3"/>
      <c r="Q8662" s="3"/>
    </row>
    <row r="8663" spans="1:17" ht="15" x14ac:dyDescent="0.25">
      <c r="A8663" s="3">
        <f>8656</f>
        <v>8656</v>
      </c>
      <c r="B8663" s="3" t="s">
        <v>8665</v>
      </c>
      <c r="C8663" s="3" t="s">
        <v>10</v>
      </c>
      <c r="D8663" s="3" t="s">
        <v>9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/>
      <c r="P8663" s="3"/>
      <c r="Q8663" s="3"/>
    </row>
    <row r="8664" spans="1:17" ht="15" x14ac:dyDescent="0.25">
      <c r="A8664" s="3">
        <f>8657</f>
        <v>8657</v>
      </c>
      <c r="B8664" s="3" t="s">
        <v>8666</v>
      </c>
      <c r="C8664" s="3" t="s">
        <v>10</v>
      </c>
      <c r="D8664" s="3" t="s">
        <v>9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/>
      <c r="P8664" s="3"/>
      <c r="Q8664" s="3"/>
    </row>
    <row r="8665" spans="1:17" ht="15" x14ac:dyDescent="0.25">
      <c r="A8665" s="3">
        <f>8658</f>
        <v>8658</v>
      </c>
      <c r="B8665" s="3" t="s">
        <v>8667</v>
      </c>
      <c r="C8665" s="3" t="s">
        <v>10</v>
      </c>
      <c r="D8665" s="3" t="s">
        <v>9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/>
      <c r="P8665" s="3"/>
      <c r="Q8665" s="3"/>
    </row>
    <row r="8666" spans="1:17" ht="15" x14ac:dyDescent="0.25">
      <c r="A8666" s="3">
        <f>8659</f>
        <v>8659</v>
      </c>
      <c r="B8666" s="3" t="s">
        <v>8668</v>
      </c>
      <c r="C8666" s="3" t="s">
        <v>10</v>
      </c>
      <c r="D8666" s="3" t="s">
        <v>9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/>
      <c r="P8666" s="3"/>
      <c r="Q8666" s="3"/>
    </row>
    <row r="8667" spans="1:17" ht="15" x14ac:dyDescent="0.25">
      <c r="A8667" s="3">
        <f>8660</f>
        <v>8660</v>
      </c>
      <c r="B8667" s="3" t="s">
        <v>8669</v>
      </c>
      <c r="C8667" s="3" t="s">
        <v>10</v>
      </c>
      <c r="D8667" s="3" t="s">
        <v>9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/>
      <c r="P8667" s="3"/>
      <c r="Q8667" s="3"/>
    </row>
    <row r="8668" spans="1:17" ht="15" x14ac:dyDescent="0.25">
      <c r="A8668" s="3">
        <f>8661</f>
        <v>8661</v>
      </c>
      <c r="B8668" s="3" t="s">
        <v>8670</v>
      </c>
      <c r="C8668" s="3" t="s">
        <v>10</v>
      </c>
      <c r="D8668" s="3" t="s">
        <v>9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/>
      <c r="P8668" s="3"/>
      <c r="Q8668" s="3"/>
    </row>
    <row r="8669" spans="1:17" ht="15" x14ac:dyDescent="0.25">
      <c r="A8669" s="3">
        <f>8662</f>
        <v>8662</v>
      </c>
      <c r="B8669" s="3" t="s">
        <v>8671</v>
      </c>
      <c r="C8669" s="3" t="s">
        <v>10</v>
      </c>
      <c r="D8669" s="3" t="s">
        <v>9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/>
      <c r="P8669" s="3"/>
      <c r="Q8669" s="3"/>
    </row>
    <row r="8670" spans="1:17" ht="15" x14ac:dyDescent="0.25">
      <c r="A8670" s="3">
        <f>8663</f>
        <v>8663</v>
      </c>
      <c r="B8670" s="3" t="s">
        <v>8672</v>
      </c>
      <c r="C8670" s="3" t="s">
        <v>10</v>
      </c>
      <c r="D8670" s="3" t="s">
        <v>9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/>
      <c r="P8670" s="3"/>
      <c r="Q8670" s="3"/>
    </row>
    <row r="8671" spans="1:17" ht="15" x14ac:dyDescent="0.25">
      <c r="A8671" s="3">
        <f>8664</f>
        <v>8664</v>
      </c>
      <c r="B8671" s="3" t="s">
        <v>8673</v>
      </c>
      <c r="C8671" s="3" t="s">
        <v>10</v>
      </c>
      <c r="D8671" s="3" t="s">
        <v>9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/>
      <c r="P8671" s="3"/>
      <c r="Q8671" s="3"/>
    </row>
    <row r="8672" spans="1:17" ht="15" x14ac:dyDescent="0.25">
      <c r="A8672" s="3">
        <f>8665</f>
        <v>8665</v>
      </c>
      <c r="B8672" s="3" t="s">
        <v>8674</v>
      </c>
      <c r="C8672" s="3" t="s">
        <v>10</v>
      </c>
      <c r="D8672" s="3" t="s">
        <v>9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/>
      <c r="P8672" s="3"/>
      <c r="Q8672" s="3"/>
    </row>
    <row r="8673" spans="1:17" ht="15" x14ac:dyDescent="0.25">
      <c r="A8673" s="3">
        <f>8666</f>
        <v>8666</v>
      </c>
      <c r="B8673" s="3" t="s">
        <v>8675</v>
      </c>
      <c r="C8673" s="3" t="s">
        <v>10</v>
      </c>
      <c r="D8673" s="3" t="s">
        <v>9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/>
      <c r="P8673" s="3"/>
      <c r="Q8673" s="3"/>
    </row>
    <row r="8674" spans="1:17" ht="15" x14ac:dyDescent="0.25">
      <c r="A8674" s="3">
        <f>8667</f>
        <v>8667</v>
      </c>
      <c r="B8674" s="3" t="s">
        <v>8676</v>
      </c>
      <c r="C8674" s="3" t="s">
        <v>10</v>
      </c>
      <c r="D8674" s="3" t="s">
        <v>9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/>
      <c r="P8674" s="3"/>
      <c r="Q8674" s="3"/>
    </row>
    <row r="8675" spans="1:17" ht="15" x14ac:dyDescent="0.25">
      <c r="A8675" s="3">
        <f>8668</f>
        <v>8668</v>
      </c>
      <c r="B8675" s="3" t="s">
        <v>8677</v>
      </c>
      <c r="C8675" s="3" t="s">
        <v>10</v>
      </c>
      <c r="D8675" s="3" t="s">
        <v>9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/>
      <c r="P8675" s="3"/>
      <c r="Q8675" s="3"/>
    </row>
    <row r="8676" spans="1:17" ht="15" x14ac:dyDescent="0.25">
      <c r="A8676" s="3">
        <f>8669</f>
        <v>8669</v>
      </c>
      <c r="B8676" s="3" t="s">
        <v>8678</v>
      </c>
      <c r="C8676" s="3" t="s">
        <v>10</v>
      </c>
      <c r="D8676" s="3" t="s">
        <v>9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/>
      <c r="P8676" s="3"/>
      <c r="Q8676" s="3"/>
    </row>
    <row r="8677" spans="1:17" ht="15" x14ac:dyDescent="0.25">
      <c r="A8677" s="3">
        <f>8670</f>
        <v>8670</v>
      </c>
      <c r="B8677" s="3" t="s">
        <v>8679</v>
      </c>
      <c r="C8677" s="3" t="s">
        <v>10</v>
      </c>
      <c r="D8677" s="3" t="s">
        <v>9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/>
      <c r="P8677" s="3"/>
      <c r="Q8677" s="3"/>
    </row>
    <row r="8678" spans="1:17" ht="15" x14ac:dyDescent="0.25">
      <c r="A8678" s="3">
        <f>8671</f>
        <v>8671</v>
      </c>
      <c r="B8678" s="3" t="s">
        <v>8680</v>
      </c>
      <c r="C8678" s="3" t="s">
        <v>10</v>
      </c>
      <c r="D8678" s="3" t="s">
        <v>9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/>
      <c r="P8678" s="3"/>
      <c r="Q8678" s="3"/>
    </row>
    <row r="8679" spans="1:17" ht="15" x14ac:dyDescent="0.25">
      <c r="A8679" s="3">
        <f>8672</f>
        <v>8672</v>
      </c>
      <c r="B8679" s="3" t="s">
        <v>8681</v>
      </c>
      <c r="C8679" s="3" t="s">
        <v>10</v>
      </c>
      <c r="D8679" s="3" t="s">
        <v>9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/>
      <c r="P8679" s="3"/>
      <c r="Q8679" s="3"/>
    </row>
    <row r="8680" spans="1:17" ht="15" x14ac:dyDescent="0.25">
      <c r="A8680" s="3">
        <f>8673</f>
        <v>8673</v>
      </c>
      <c r="B8680" s="3" t="s">
        <v>8682</v>
      </c>
      <c r="C8680" s="3" t="s">
        <v>10</v>
      </c>
      <c r="D8680" s="3" t="s">
        <v>9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/>
      <c r="P8680" s="3"/>
      <c r="Q8680" s="3"/>
    </row>
    <row r="8681" spans="1:17" ht="15" x14ac:dyDescent="0.25">
      <c r="A8681" s="3">
        <f>8674</f>
        <v>8674</v>
      </c>
      <c r="B8681" s="3" t="s">
        <v>8683</v>
      </c>
      <c r="C8681" s="3" t="s">
        <v>10</v>
      </c>
      <c r="D8681" s="3" t="s">
        <v>9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/>
      <c r="P8681" s="3"/>
      <c r="Q8681" s="3"/>
    </row>
    <row r="8682" spans="1:17" ht="15" x14ac:dyDescent="0.25">
      <c r="A8682" s="3">
        <f>8675</f>
        <v>8675</v>
      </c>
      <c r="B8682" s="3" t="s">
        <v>8684</v>
      </c>
      <c r="C8682" s="3" t="s">
        <v>10</v>
      </c>
      <c r="D8682" s="3" t="s">
        <v>9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/>
      <c r="P8682" s="3"/>
      <c r="Q8682" s="3"/>
    </row>
    <row r="8683" spans="1:17" ht="15" x14ac:dyDescent="0.25">
      <c r="A8683" s="3">
        <f>8676</f>
        <v>8676</v>
      </c>
      <c r="B8683" s="3" t="s">
        <v>8685</v>
      </c>
      <c r="C8683" s="3" t="s">
        <v>10</v>
      </c>
      <c r="D8683" s="3" t="s">
        <v>9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/>
      <c r="P8683" s="3"/>
      <c r="Q8683" s="3"/>
    </row>
    <row r="8684" spans="1:17" ht="15" x14ac:dyDescent="0.25">
      <c r="A8684" s="3">
        <f>8677</f>
        <v>8677</v>
      </c>
      <c r="B8684" s="3" t="s">
        <v>8686</v>
      </c>
      <c r="C8684" s="3" t="s">
        <v>10</v>
      </c>
      <c r="D8684" s="3" t="s">
        <v>9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/>
      <c r="P8684" s="3"/>
      <c r="Q8684" s="3"/>
    </row>
    <row r="8685" spans="1:17" ht="15" x14ac:dyDescent="0.25">
      <c r="A8685" s="3">
        <f>8678</f>
        <v>8678</v>
      </c>
      <c r="B8685" s="3" t="s">
        <v>8687</v>
      </c>
      <c r="C8685" s="3" t="s">
        <v>10</v>
      </c>
      <c r="D8685" s="3" t="s">
        <v>9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/>
      <c r="P8685" s="3"/>
      <c r="Q8685" s="3"/>
    </row>
    <row r="8686" spans="1:17" ht="15" x14ac:dyDescent="0.25">
      <c r="A8686" s="3">
        <f>8679</f>
        <v>8679</v>
      </c>
      <c r="B8686" s="3" t="s">
        <v>8688</v>
      </c>
      <c r="C8686" s="3" t="s">
        <v>10</v>
      </c>
      <c r="D8686" s="3" t="s">
        <v>9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/>
      <c r="P8686" s="3"/>
      <c r="Q8686" s="3"/>
    </row>
    <row r="8687" spans="1:17" ht="15" x14ac:dyDescent="0.25">
      <c r="A8687" s="3">
        <f>8680</f>
        <v>8680</v>
      </c>
      <c r="B8687" s="3" t="s">
        <v>8689</v>
      </c>
      <c r="C8687" s="3" t="s">
        <v>10</v>
      </c>
      <c r="D8687" s="3" t="s">
        <v>9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/>
      <c r="P8687" s="3"/>
      <c r="Q8687" s="3"/>
    </row>
    <row r="8688" spans="1:17" ht="15" x14ac:dyDescent="0.25">
      <c r="A8688" s="3">
        <f>8681</f>
        <v>8681</v>
      </c>
      <c r="B8688" s="3" t="s">
        <v>8690</v>
      </c>
      <c r="C8688" s="3" t="s">
        <v>10</v>
      </c>
      <c r="D8688" s="3" t="s">
        <v>9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/>
      <c r="P8688" s="3"/>
      <c r="Q8688" s="3"/>
    </row>
    <row r="8689" spans="1:17" ht="15" x14ac:dyDescent="0.25">
      <c r="A8689" s="3">
        <f>8682</f>
        <v>8682</v>
      </c>
      <c r="B8689" s="3" t="s">
        <v>8691</v>
      </c>
      <c r="C8689" s="3" t="s">
        <v>10</v>
      </c>
      <c r="D8689" s="3" t="s">
        <v>9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/>
      <c r="P8689" s="3"/>
      <c r="Q8689" s="3"/>
    </row>
    <row r="8690" spans="1:17" ht="15" x14ac:dyDescent="0.25">
      <c r="A8690" s="3">
        <f>8683</f>
        <v>8683</v>
      </c>
      <c r="B8690" s="3" t="s">
        <v>8692</v>
      </c>
      <c r="C8690" s="3" t="s">
        <v>10</v>
      </c>
      <c r="D8690" s="3" t="s">
        <v>9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/>
      <c r="P8690" s="3"/>
      <c r="Q8690" s="3"/>
    </row>
    <row r="8691" spans="1:17" ht="15" x14ac:dyDescent="0.25">
      <c r="A8691" s="3">
        <f>8684</f>
        <v>8684</v>
      </c>
      <c r="B8691" s="3" t="s">
        <v>8693</v>
      </c>
      <c r="C8691" s="3" t="s">
        <v>10</v>
      </c>
      <c r="D8691" s="3" t="s">
        <v>9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/>
      <c r="P8691" s="3"/>
      <c r="Q8691" s="3"/>
    </row>
    <row r="8692" spans="1:17" ht="15" x14ac:dyDescent="0.25">
      <c r="A8692" s="3">
        <f>8685</f>
        <v>8685</v>
      </c>
      <c r="B8692" s="3" t="s">
        <v>8694</v>
      </c>
      <c r="C8692" s="3" t="s">
        <v>10</v>
      </c>
      <c r="D8692" s="3" t="s">
        <v>9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/>
      <c r="P8692" s="3"/>
      <c r="Q8692" s="3"/>
    </row>
    <row r="8693" spans="1:17" ht="15" x14ac:dyDescent="0.25">
      <c r="A8693" s="3">
        <f>8686</f>
        <v>8686</v>
      </c>
      <c r="B8693" s="3" t="s">
        <v>8695</v>
      </c>
      <c r="C8693" s="3" t="s">
        <v>10</v>
      </c>
      <c r="D8693" s="3" t="s">
        <v>9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/>
      <c r="P8693" s="3"/>
      <c r="Q8693" s="3"/>
    </row>
    <row r="8694" spans="1:17" ht="15" x14ac:dyDescent="0.25">
      <c r="A8694" s="3">
        <f>8687</f>
        <v>8687</v>
      </c>
      <c r="B8694" s="3" t="s">
        <v>8696</v>
      </c>
      <c r="C8694" s="3" t="s">
        <v>10</v>
      </c>
      <c r="D8694" s="3" t="s">
        <v>9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/>
      <c r="P8694" s="3"/>
      <c r="Q8694" s="3"/>
    </row>
    <row r="8695" spans="1:17" ht="15" x14ac:dyDescent="0.25">
      <c r="A8695" s="3">
        <f>8688</f>
        <v>8688</v>
      </c>
      <c r="B8695" s="3" t="s">
        <v>8697</v>
      </c>
      <c r="C8695" s="3" t="s">
        <v>10</v>
      </c>
      <c r="D8695" s="3" t="s">
        <v>9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/>
      <c r="P8695" s="3"/>
      <c r="Q8695" s="3"/>
    </row>
    <row r="8696" spans="1:17" ht="15" x14ac:dyDescent="0.25">
      <c r="A8696" s="3">
        <f>8689</f>
        <v>8689</v>
      </c>
      <c r="B8696" s="3" t="s">
        <v>8698</v>
      </c>
      <c r="C8696" s="3" t="s">
        <v>10</v>
      </c>
      <c r="D8696" s="3" t="s">
        <v>9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/>
      <c r="P8696" s="3"/>
      <c r="Q8696" s="3"/>
    </row>
    <row r="8697" spans="1:17" ht="15" x14ac:dyDescent="0.25">
      <c r="A8697" s="3">
        <f>8690</f>
        <v>8690</v>
      </c>
      <c r="B8697" s="3" t="s">
        <v>8699</v>
      </c>
      <c r="C8697" s="3" t="s">
        <v>10</v>
      </c>
      <c r="D8697" s="3" t="s">
        <v>9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/>
      <c r="P8697" s="3"/>
      <c r="Q8697" s="3"/>
    </row>
    <row r="8698" spans="1:17" ht="15" x14ac:dyDescent="0.25">
      <c r="A8698" s="3">
        <f>8691</f>
        <v>8691</v>
      </c>
      <c r="B8698" s="3" t="s">
        <v>8700</v>
      </c>
      <c r="C8698" s="3" t="s">
        <v>9</v>
      </c>
      <c r="D8698" s="3" t="s">
        <v>10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/>
      <c r="P8698" s="3"/>
      <c r="Q8698" s="3"/>
    </row>
    <row r="8699" spans="1:17" ht="15" x14ac:dyDescent="0.25">
      <c r="A8699" s="3">
        <f>8692</f>
        <v>8692</v>
      </c>
      <c r="B8699" s="3" t="s">
        <v>8701</v>
      </c>
      <c r="C8699" s="3" t="s">
        <v>9</v>
      </c>
      <c r="D8699" s="3" t="s">
        <v>10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/>
      <c r="P8699" s="3"/>
      <c r="Q8699" s="3"/>
    </row>
    <row r="8700" spans="1:17" ht="15" x14ac:dyDescent="0.25">
      <c r="A8700" s="3">
        <f>8693</f>
        <v>8693</v>
      </c>
      <c r="B8700" s="3" t="s">
        <v>8702</v>
      </c>
      <c r="C8700" s="3" t="s">
        <v>9</v>
      </c>
      <c r="D8700" s="3" t="s">
        <v>10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/>
      <c r="P8700" s="3"/>
      <c r="Q8700" s="3"/>
    </row>
    <row r="8701" spans="1:17" ht="15" x14ac:dyDescent="0.25">
      <c r="A8701" s="3">
        <f>8694</f>
        <v>8694</v>
      </c>
      <c r="B8701" s="3" t="s">
        <v>8703</v>
      </c>
      <c r="C8701" s="3" t="s">
        <v>9</v>
      </c>
      <c r="D8701" s="3" t="s">
        <v>10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/>
      <c r="P8701" s="3"/>
      <c r="Q8701" s="3"/>
    </row>
    <row r="8702" spans="1:17" ht="15" x14ac:dyDescent="0.25">
      <c r="A8702" s="3">
        <f>8695</f>
        <v>8695</v>
      </c>
      <c r="B8702" s="3" t="s">
        <v>8704</v>
      </c>
      <c r="C8702" s="3" t="s">
        <v>9</v>
      </c>
      <c r="D8702" s="3" t="s">
        <v>10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/>
      <c r="P8702" s="3"/>
      <c r="Q8702" s="3"/>
    </row>
    <row r="8703" spans="1:17" ht="15" x14ac:dyDescent="0.25">
      <c r="A8703" s="3">
        <f>8696</f>
        <v>8696</v>
      </c>
      <c r="B8703" s="3" t="s">
        <v>8705</v>
      </c>
      <c r="C8703" s="3" t="s">
        <v>9</v>
      </c>
      <c r="D8703" s="3" t="s">
        <v>10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/>
      <c r="P8703" s="3"/>
      <c r="Q8703" s="3"/>
    </row>
    <row r="8704" spans="1:17" ht="15" x14ac:dyDescent="0.25">
      <c r="A8704" s="3">
        <f>8697</f>
        <v>8697</v>
      </c>
      <c r="B8704" s="3" t="s">
        <v>8706</v>
      </c>
      <c r="C8704" s="3" t="s">
        <v>9</v>
      </c>
      <c r="D8704" s="3" t="s">
        <v>10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/>
      <c r="P8704" s="3"/>
      <c r="Q8704" s="3"/>
    </row>
    <row r="8705" spans="1:17" ht="15" x14ac:dyDescent="0.25">
      <c r="A8705" s="3">
        <f>8698</f>
        <v>8698</v>
      </c>
      <c r="B8705" s="3" t="s">
        <v>8707</v>
      </c>
      <c r="C8705" s="3" t="s">
        <v>9</v>
      </c>
      <c r="D8705" s="3" t="s">
        <v>10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/>
      <c r="P8705" s="3"/>
      <c r="Q8705" s="3"/>
    </row>
    <row r="8706" spans="1:17" ht="15" x14ac:dyDescent="0.25">
      <c r="A8706" s="3">
        <f>8699</f>
        <v>8699</v>
      </c>
      <c r="B8706" s="3" t="s">
        <v>8708</v>
      </c>
      <c r="C8706" s="3" t="s">
        <v>9</v>
      </c>
      <c r="D8706" s="3" t="s">
        <v>10</v>
      </c>
      <c r="E8706" s="3">
        <v>22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/>
      <c r="P8706" s="3"/>
      <c r="Q8706" s="3"/>
    </row>
    <row r="8707" spans="1:17" ht="15" x14ac:dyDescent="0.25">
      <c r="A8707" s="3">
        <f>8700</f>
        <v>8700</v>
      </c>
      <c r="B8707" s="3" t="s">
        <v>8709</v>
      </c>
      <c r="C8707" s="3" t="s">
        <v>9</v>
      </c>
      <c r="D8707" s="3" t="s">
        <v>10</v>
      </c>
      <c r="E8707" s="3">
        <v>22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/>
      <c r="P8707" s="3"/>
      <c r="Q8707" s="3"/>
    </row>
    <row r="8708" spans="1:17" ht="15" x14ac:dyDescent="0.25">
      <c r="A8708" s="3">
        <f>8701</f>
        <v>8701</v>
      </c>
      <c r="B8708" s="3" t="s">
        <v>8710</v>
      </c>
      <c r="C8708" s="3" t="s">
        <v>9</v>
      </c>
      <c r="D8708" s="3" t="s">
        <v>10</v>
      </c>
      <c r="E8708" s="3">
        <v>22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/>
      <c r="P8708" s="3"/>
      <c r="Q8708" s="3"/>
    </row>
    <row r="8709" spans="1:17" ht="15" x14ac:dyDescent="0.25">
      <c r="A8709" s="3">
        <f>8702</f>
        <v>8702</v>
      </c>
      <c r="B8709" s="3" t="s">
        <v>8711</v>
      </c>
      <c r="C8709" s="3" t="s">
        <v>9</v>
      </c>
      <c r="D8709" s="3" t="s">
        <v>10</v>
      </c>
      <c r="E8709" s="3">
        <v>22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/>
      <c r="P8709" s="3"/>
      <c r="Q8709" s="3"/>
    </row>
    <row r="8710" spans="1:17" ht="15" x14ac:dyDescent="0.25">
      <c r="A8710" s="3">
        <f>8703</f>
        <v>8703</v>
      </c>
      <c r="B8710" s="3" t="s">
        <v>8712</v>
      </c>
      <c r="C8710" s="3" t="s">
        <v>9</v>
      </c>
      <c r="D8710" s="3" t="s">
        <v>10</v>
      </c>
      <c r="E8710" s="3">
        <v>22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/>
      <c r="P8710" s="3"/>
      <c r="Q8710" s="3"/>
    </row>
    <row r="8711" spans="1:17" ht="15" x14ac:dyDescent="0.25">
      <c r="A8711" s="3">
        <f>8704</f>
        <v>8704</v>
      </c>
      <c r="B8711" s="3" t="s">
        <v>8713</v>
      </c>
      <c r="C8711" s="3" t="s">
        <v>9</v>
      </c>
      <c r="D8711" s="3" t="s">
        <v>10</v>
      </c>
      <c r="E8711" s="3">
        <v>22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/>
      <c r="P8711" s="3"/>
      <c r="Q8711" s="3"/>
    </row>
    <row r="8712" spans="1:17" ht="15" x14ac:dyDescent="0.25">
      <c r="A8712" s="3">
        <f>8705</f>
        <v>8705</v>
      </c>
      <c r="B8712" s="3" t="s">
        <v>8714</v>
      </c>
      <c r="C8712" s="3" t="s">
        <v>9</v>
      </c>
      <c r="D8712" s="3" t="s">
        <v>10</v>
      </c>
      <c r="E8712" s="3">
        <v>22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/>
      <c r="P8712" s="3"/>
      <c r="Q8712" s="3"/>
    </row>
    <row r="8713" spans="1:17" ht="15" x14ac:dyDescent="0.25">
      <c r="A8713" s="3">
        <f>8706</f>
        <v>8706</v>
      </c>
      <c r="B8713" s="3" t="s">
        <v>8715</v>
      </c>
      <c r="C8713" s="3" t="s">
        <v>9</v>
      </c>
      <c r="D8713" s="3" t="s">
        <v>10</v>
      </c>
      <c r="E8713" s="3">
        <v>22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/>
      <c r="P8713" s="3"/>
      <c r="Q8713" s="3"/>
    </row>
    <row r="8714" spans="1:17" ht="15" x14ac:dyDescent="0.25">
      <c r="A8714" s="3">
        <f>8707</f>
        <v>8707</v>
      </c>
      <c r="B8714" s="3" t="s">
        <v>8716</v>
      </c>
      <c r="C8714" s="3" t="s">
        <v>9</v>
      </c>
      <c r="D8714" s="3" t="s">
        <v>10</v>
      </c>
      <c r="E8714" s="3">
        <v>22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/>
      <c r="P8714" s="3"/>
      <c r="Q8714" s="3"/>
    </row>
    <row r="8715" spans="1:17" ht="15" x14ac:dyDescent="0.25">
      <c r="A8715" s="3">
        <f>8708</f>
        <v>8708</v>
      </c>
      <c r="B8715" s="3" t="s">
        <v>8717</v>
      </c>
      <c r="C8715" s="3" t="s">
        <v>9</v>
      </c>
      <c r="D8715" s="3" t="s">
        <v>10</v>
      </c>
      <c r="E8715" s="3">
        <v>22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/>
      <c r="P8715" s="3"/>
      <c r="Q8715" s="3"/>
    </row>
    <row r="8716" spans="1:17" ht="15" x14ac:dyDescent="0.25">
      <c r="A8716" s="3">
        <f>8709</f>
        <v>8709</v>
      </c>
      <c r="B8716" s="3" t="s">
        <v>8718</v>
      </c>
      <c r="C8716" s="3" t="s">
        <v>9</v>
      </c>
      <c r="D8716" s="3" t="s">
        <v>10</v>
      </c>
      <c r="E8716" s="3">
        <v>22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/>
      <c r="P8716" s="3"/>
      <c r="Q8716" s="3"/>
    </row>
    <row r="8717" spans="1:17" ht="15" x14ac:dyDescent="0.25">
      <c r="A8717" s="3">
        <f>8710</f>
        <v>8710</v>
      </c>
      <c r="B8717" s="3" t="s">
        <v>8719</v>
      </c>
      <c r="C8717" s="3" t="s">
        <v>9</v>
      </c>
      <c r="D8717" s="3" t="s">
        <v>10</v>
      </c>
      <c r="E8717" s="3">
        <v>22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/>
      <c r="P8717" s="3"/>
      <c r="Q8717" s="3"/>
    </row>
    <row r="8718" spans="1:17" ht="15" x14ac:dyDescent="0.25">
      <c r="A8718" s="3">
        <f>8711</f>
        <v>8711</v>
      </c>
      <c r="B8718" s="3" t="s">
        <v>8720</v>
      </c>
      <c r="C8718" s="3" t="s">
        <v>9</v>
      </c>
      <c r="D8718" s="3" t="s">
        <v>10</v>
      </c>
      <c r="E8718" s="3">
        <v>22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/>
      <c r="P8718" s="3"/>
      <c r="Q8718" s="3"/>
    </row>
    <row r="8719" spans="1:17" ht="15" x14ac:dyDescent="0.25">
      <c r="A8719" s="3">
        <f>8712</f>
        <v>8712</v>
      </c>
      <c r="B8719" s="3" t="s">
        <v>8721</v>
      </c>
      <c r="C8719" s="3" t="s">
        <v>9</v>
      </c>
      <c r="D8719" s="3" t="s">
        <v>10</v>
      </c>
      <c r="E8719" s="3">
        <v>22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/>
      <c r="P8719" s="3"/>
      <c r="Q8719" s="3"/>
    </row>
    <row r="8720" spans="1:17" ht="15" x14ac:dyDescent="0.25">
      <c r="A8720" s="3">
        <f>8713</f>
        <v>8713</v>
      </c>
      <c r="B8720" s="3" t="s">
        <v>8722</v>
      </c>
      <c r="C8720" s="3" t="s">
        <v>9</v>
      </c>
      <c r="D8720" s="3" t="s">
        <v>10</v>
      </c>
      <c r="E8720" s="3">
        <v>22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/>
      <c r="P8720" s="3"/>
      <c r="Q8720" s="3"/>
    </row>
    <row r="8721" spans="1:17" ht="15" x14ac:dyDescent="0.25">
      <c r="A8721" s="3">
        <f>8714</f>
        <v>8714</v>
      </c>
      <c r="B8721" s="3" t="s">
        <v>8723</v>
      </c>
      <c r="C8721" s="3" t="s">
        <v>9</v>
      </c>
      <c r="D8721" s="3" t="s">
        <v>10</v>
      </c>
      <c r="E8721" s="3">
        <v>22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/>
      <c r="P8721" s="3"/>
      <c r="Q8721" s="3"/>
    </row>
    <row r="8722" spans="1:17" ht="15" x14ac:dyDescent="0.25">
      <c r="A8722" s="3">
        <f>8715</f>
        <v>8715</v>
      </c>
      <c r="B8722" s="3" t="s">
        <v>8724</v>
      </c>
      <c r="C8722" s="3" t="s">
        <v>9</v>
      </c>
      <c r="D8722" s="3" t="s">
        <v>10</v>
      </c>
      <c r="E8722" s="3">
        <v>22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/>
      <c r="P8722" s="3"/>
      <c r="Q8722" s="3"/>
    </row>
    <row r="8723" spans="1:17" ht="15" x14ac:dyDescent="0.25">
      <c r="A8723" s="3">
        <f>8716</f>
        <v>8716</v>
      </c>
      <c r="B8723" s="3" t="s">
        <v>8725</v>
      </c>
      <c r="C8723" s="3" t="s">
        <v>9</v>
      </c>
      <c r="D8723" s="3" t="s">
        <v>10</v>
      </c>
      <c r="E8723" s="3">
        <v>22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/>
      <c r="P8723" s="3"/>
      <c r="Q8723" s="3"/>
    </row>
    <row r="8724" spans="1:17" ht="15" x14ac:dyDescent="0.25">
      <c r="A8724" s="3">
        <f>8717</f>
        <v>8717</v>
      </c>
      <c r="B8724" s="3" t="s">
        <v>8726</v>
      </c>
      <c r="C8724" s="3" t="s">
        <v>9</v>
      </c>
      <c r="D8724" s="3" t="s">
        <v>10</v>
      </c>
      <c r="E8724" s="3">
        <v>22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/>
      <c r="P8724" s="3"/>
      <c r="Q8724" s="3"/>
    </row>
    <row r="8725" spans="1:17" ht="15" x14ac:dyDescent="0.25">
      <c r="A8725" s="3">
        <f>8718</f>
        <v>8718</v>
      </c>
      <c r="B8725" s="3" t="s">
        <v>8727</v>
      </c>
      <c r="C8725" s="3" t="s">
        <v>9</v>
      </c>
      <c r="D8725" s="3" t="s">
        <v>10</v>
      </c>
      <c r="E8725" s="3">
        <v>22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/>
      <c r="P8725" s="3"/>
      <c r="Q8725" s="3"/>
    </row>
    <row r="8726" spans="1:17" ht="15" x14ac:dyDescent="0.25">
      <c r="A8726" s="3">
        <f>8719</f>
        <v>8719</v>
      </c>
      <c r="B8726" s="3" t="s">
        <v>8728</v>
      </c>
      <c r="C8726" s="3" t="s">
        <v>9</v>
      </c>
      <c r="D8726" s="3" t="s">
        <v>9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/>
      <c r="P8726" s="3"/>
      <c r="Q8726" s="3"/>
    </row>
    <row r="8727" spans="1:17" ht="15" x14ac:dyDescent="0.25">
      <c r="A8727" s="3">
        <f>8720</f>
        <v>8720</v>
      </c>
      <c r="B8727" s="3" t="s">
        <v>8729</v>
      </c>
      <c r="C8727" s="3" t="s">
        <v>9</v>
      </c>
      <c r="D8727" s="3" t="s">
        <v>10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/>
      <c r="P8727" s="3"/>
      <c r="Q8727" s="3"/>
    </row>
    <row r="8728" spans="1:17" ht="15" x14ac:dyDescent="0.25">
      <c r="A8728" s="3">
        <f>8721</f>
        <v>8721</v>
      </c>
      <c r="B8728" s="3" t="s">
        <v>8730</v>
      </c>
      <c r="C8728" s="3" t="s">
        <v>9</v>
      </c>
      <c r="D8728" s="3" t="s">
        <v>10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/>
      <c r="P8728" s="3"/>
      <c r="Q8728" s="3"/>
    </row>
    <row r="8729" spans="1:17" ht="15" x14ac:dyDescent="0.25">
      <c r="A8729" s="3">
        <f>8722</f>
        <v>8722</v>
      </c>
      <c r="B8729" s="3" t="s">
        <v>8731</v>
      </c>
      <c r="C8729" s="3" t="s">
        <v>9</v>
      </c>
      <c r="D8729" s="3" t="s">
        <v>10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/>
      <c r="P8729" s="3"/>
      <c r="Q8729" s="3"/>
    </row>
    <row r="8730" spans="1:17" ht="15" x14ac:dyDescent="0.25">
      <c r="A8730" s="3">
        <f>8723</f>
        <v>8723</v>
      </c>
      <c r="B8730" s="3" t="s">
        <v>8732</v>
      </c>
      <c r="C8730" s="3" t="s">
        <v>9</v>
      </c>
      <c r="D8730" s="3" t="s">
        <v>10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/>
      <c r="P8730" s="3"/>
      <c r="Q8730" s="3"/>
    </row>
    <row r="8731" spans="1:17" ht="15" x14ac:dyDescent="0.25">
      <c r="A8731" s="3">
        <f>8724</f>
        <v>8724</v>
      </c>
      <c r="B8731" s="3" t="s">
        <v>8733</v>
      </c>
      <c r="C8731" s="3" t="s">
        <v>9</v>
      </c>
      <c r="D8731" s="3" t="s">
        <v>10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/>
      <c r="P8731" s="3"/>
      <c r="Q8731" s="3"/>
    </row>
    <row r="8732" spans="1:17" ht="15" x14ac:dyDescent="0.25">
      <c r="A8732" s="3">
        <f>8725</f>
        <v>8725</v>
      </c>
      <c r="B8732" s="3" t="s">
        <v>8734</v>
      </c>
      <c r="C8732" s="3" t="s">
        <v>9</v>
      </c>
      <c r="D8732" s="3" t="s">
        <v>10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/>
      <c r="P8732" s="3"/>
      <c r="Q8732" s="3"/>
    </row>
    <row r="8733" spans="1:17" ht="15" x14ac:dyDescent="0.25">
      <c r="A8733" s="3">
        <f>8726</f>
        <v>8726</v>
      </c>
      <c r="B8733" s="3" t="s">
        <v>8735</v>
      </c>
      <c r="C8733" s="3" t="s">
        <v>9</v>
      </c>
      <c r="D8733" s="3" t="s">
        <v>10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/>
      <c r="P8733" s="3"/>
      <c r="Q8733" s="3"/>
    </row>
    <row r="8734" spans="1:17" ht="15" x14ac:dyDescent="0.25">
      <c r="A8734" s="3">
        <f>8727</f>
        <v>8727</v>
      </c>
      <c r="B8734" s="3" t="s">
        <v>8736</v>
      </c>
      <c r="C8734" s="3" t="s">
        <v>9</v>
      </c>
      <c r="D8734" s="3" t="s">
        <v>10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/>
      <c r="P8734" s="3"/>
      <c r="Q8734" s="3"/>
    </row>
    <row r="8735" spans="1:17" ht="15" x14ac:dyDescent="0.25">
      <c r="A8735" s="3">
        <f>8728</f>
        <v>8728</v>
      </c>
      <c r="B8735" s="3" t="s">
        <v>8737</v>
      </c>
      <c r="C8735" s="3" t="s">
        <v>9</v>
      </c>
      <c r="D8735" s="3" t="s">
        <v>10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/>
      <c r="P8735" s="3"/>
      <c r="Q8735" s="3"/>
    </row>
    <row r="8736" spans="1:17" ht="15" x14ac:dyDescent="0.25">
      <c r="A8736" s="3">
        <f>8729</f>
        <v>8729</v>
      </c>
      <c r="B8736" s="3" t="s">
        <v>8738</v>
      </c>
      <c r="C8736" s="3" t="s">
        <v>9</v>
      </c>
      <c r="D8736" s="3" t="s">
        <v>10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/>
      <c r="P8736" s="3"/>
      <c r="Q8736" s="3"/>
    </row>
    <row r="8737" spans="1:17" ht="15" x14ac:dyDescent="0.25">
      <c r="A8737" s="3">
        <f>8730</f>
        <v>8730</v>
      </c>
      <c r="B8737" s="3" t="s">
        <v>8739</v>
      </c>
      <c r="C8737" s="3" t="s">
        <v>9</v>
      </c>
      <c r="D8737" s="3" t="s">
        <v>10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/>
      <c r="P8737" s="3"/>
      <c r="Q8737" s="3"/>
    </row>
    <row r="8738" spans="1:17" ht="15" x14ac:dyDescent="0.25">
      <c r="A8738" s="3">
        <f>8731</f>
        <v>8731</v>
      </c>
      <c r="B8738" s="3" t="s">
        <v>8740</v>
      </c>
      <c r="C8738" s="3" t="s">
        <v>9</v>
      </c>
      <c r="D8738" s="3" t="s">
        <v>10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/>
      <c r="P8738" s="3"/>
      <c r="Q8738" s="3"/>
    </row>
    <row r="8739" spans="1:17" ht="15" x14ac:dyDescent="0.25">
      <c r="A8739" s="3">
        <f>8732</f>
        <v>8732</v>
      </c>
      <c r="B8739" s="3" t="s">
        <v>8741</v>
      </c>
      <c r="C8739" s="3" t="s">
        <v>9</v>
      </c>
      <c r="D8739" s="3" t="s">
        <v>10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/>
      <c r="P8739" s="3"/>
      <c r="Q8739" s="3"/>
    </row>
    <row r="8740" spans="1:17" ht="15" x14ac:dyDescent="0.25">
      <c r="A8740" s="3">
        <f>8733</f>
        <v>8733</v>
      </c>
      <c r="B8740" s="3" t="s">
        <v>8742</v>
      </c>
      <c r="C8740" s="3" t="s">
        <v>9</v>
      </c>
      <c r="D8740" s="3" t="s">
        <v>10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/>
      <c r="P8740" s="3"/>
      <c r="Q8740" s="3"/>
    </row>
    <row r="8741" spans="1:17" ht="15" x14ac:dyDescent="0.25">
      <c r="A8741" s="3">
        <f>8734</f>
        <v>8734</v>
      </c>
      <c r="B8741" s="3" t="s">
        <v>8743</v>
      </c>
      <c r="C8741" s="3" t="s">
        <v>9</v>
      </c>
      <c r="D8741" s="3" t="s">
        <v>10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/>
      <c r="P8741" s="3"/>
      <c r="Q8741" s="3"/>
    </row>
    <row r="8742" spans="1:17" ht="15" x14ac:dyDescent="0.25">
      <c r="A8742" s="3">
        <f>8735</f>
        <v>8735</v>
      </c>
      <c r="B8742" s="3" t="s">
        <v>8744</v>
      </c>
      <c r="C8742" s="3" t="s">
        <v>9</v>
      </c>
      <c r="D8742" s="3" t="s">
        <v>10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/>
      <c r="P8742" s="3"/>
      <c r="Q8742" s="3"/>
    </row>
    <row r="8743" spans="1:17" ht="15" x14ac:dyDescent="0.25">
      <c r="A8743" s="3">
        <f>8736</f>
        <v>8736</v>
      </c>
      <c r="B8743" s="3" t="s">
        <v>8745</v>
      </c>
      <c r="C8743" s="3" t="s">
        <v>9</v>
      </c>
      <c r="D8743" s="3" t="s">
        <v>10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/>
      <c r="P8743" s="3"/>
      <c r="Q8743" s="3"/>
    </row>
    <row r="8744" spans="1:17" ht="15" x14ac:dyDescent="0.25">
      <c r="A8744" s="3">
        <f>8737</f>
        <v>8737</v>
      </c>
      <c r="B8744" s="3" t="s">
        <v>8746</v>
      </c>
      <c r="C8744" s="3" t="s">
        <v>9</v>
      </c>
      <c r="D8744" s="3" t="s">
        <v>10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/>
      <c r="P8744" s="3"/>
      <c r="Q8744" s="3"/>
    </row>
    <row r="8745" spans="1:17" ht="15" x14ac:dyDescent="0.25">
      <c r="A8745" s="3">
        <f>8738</f>
        <v>8738</v>
      </c>
      <c r="B8745" s="3" t="s">
        <v>8747</v>
      </c>
      <c r="C8745" s="3" t="s">
        <v>9</v>
      </c>
      <c r="D8745" s="3" t="s">
        <v>10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/>
      <c r="P8745" s="3"/>
      <c r="Q8745" s="3"/>
    </row>
    <row r="8746" spans="1:17" ht="15" x14ac:dyDescent="0.25">
      <c r="A8746" s="3">
        <f>8739</f>
        <v>8739</v>
      </c>
      <c r="B8746" s="3" t="s">
        <v>8748</v>
      </c>
      <c r="C8746" s="3" t="s">
        <v>9</v>
      </c>
      <c r="D8746" s="3" t="s">
        <v>10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/>
      <c r="P8746" s="3"/>
      <c r="Q8746" s="3"/>
    </row>
    <row r="8747" spans="1:17" ht="15" x14ac:dyDescent="0.25">
      <c r="A8747" s="3">
        <f>8740</f>
        <v>8740</v>
      </c>
      <c r="B8747" s="3" t="s">
        <v>8749</v>
      </c>
      <c r="C8747" s="3" t="s">
        <v>9</v>
      </c>
      <c r="D8747" s="3" t="s">
        <v>9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/>
      <c r="P8747" s="3"/>
      <c r="Q8747" s="3"/>
    </row>
    <row r="8748" spans="1:17" ht="15" x14ac:dyDescent="0.25">
      <c r="A8748" s="3">
        <f>8741</f>
        <v>8741</v>
      </c>
      <c r="B8748" s="3" t="s">
        <v>8750</v>
      </c>
      <c r="C8748" s="3" t="s">
        <v>9</v>
      </c>
      <c r="D8748" s="3" t="s">
        <v>9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/>
      <c r="P8748" s="3"/>
      <c r="Q8748" s="3"/>
    </row>
    <row r="8749" spans="1:17" ht="15" x14ac:dyDescent="0.25">
      <c r="A8749" s="3">
        <f>8742</f>
        <v>8742</v>
      </c>
      <c r="B8749" s="3" t="s">
        <v>8751</v>
      </c>
      <c r="C8749" s="3" t="s">
        <v>9</v>
      </c>
      <c r="D8749" s="3" t="s">
        <v>9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/>
      <c r="P8749" s="3"/>
      <c r="Q8749" s="3"/>
    </row>
    <row r="8750" spans="1:17" ht="15" x14ac:dyDescent="0.25">
      <c r="A8750" s="3">
        <f>8743</f>
        <v>8743</v>
      </c>
      <c r="B8750" s="3" t="s">
        <v>8752</v>
      </c>
      <c r="C8750" s="3" t="s">
        <v>9</v>
      </c>
      <c r="D8750" s="3" t="s">
        <v>9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/>
      <c r="P8750" s="3"/>
      <c r="Q8750" s="3"/>
    </row>
    <row r="8751" spans="1:17" ht="15" x14ac:dyDescent="0.25">
      <c r="A8751" s="3">
        <f>8744</f>
        <v>8744</v>
      </c>
      <c r="B8751" s="3" t="s">
        <v>8753</v>
      </c>
      <c r="C8751" s="3" t="s">
        <v>9</v>
      </c>
      <c r="D8751" s="3" t="s">
        <v>9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/>
      <c r="P8751" s="3"/>
      <c r="Q8751" s="3"/>
    </row>
    <row r="8752" spans="1:17" ht="15" x14ac:dyDescent="0.25">
      <c r="A8752" s="3">
        <f>8745</f>
        <v>8745</v>
      </c>
      <c r="B8752" s="3" t="s">
        <v>8754</v>
      </c>
      <c r="C8752" s="3" t="s">
        <v>9</v>
      </c>
      <c r="D8752" s="3" t="s">
        <v>9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/>
      <c r="P8752" s="3"/>
      <c r="Q8752" s="3"/>
    </row>
    <row r="8753" spans="1:17" ht="15" x14ac:dyDescent="0.25">
      <c r="A8753" s="3">
        <f>8746</f>
        <v>8746</v>
      </c>
      <c r="B8753" s="3" t="s">
        <v>8755</v>
      </c>
      <c r="C8753" s="3" t="s">
        <v>9</v>
      </c>
      <c r="D8753" s="3" t="s">
        <v>9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/>
      <c r="P8753" s="3"/>
      <c r="Q8753" s="3"/>
    </row>
    <row r="8754" spans="1:17" ht="15" x14ac:dyDescent="0.25">
      <c r="A8754" s="3">
        <f>8747</f>
        <v>8747</v>
      </c>
      <c r="B8754" s="3" t="s">
        <v>8756</v>
      </c>
      <c r="C8754" s="3" t="s">
        <v>9</v>
      </c>
      <c r="D8754" s="3" t="s">
        <v>9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/>
      <c r="P8754" s="3"/>
      <c r="Q8754" s="3"/>
    </row>
    <row r="8755" spans="1:17" ht="15" x14ac:dyDescent="0.25">
      <c r="A8755" s="3">
        <f>8748</f>
        <v>8748</v>
      </c>
      <c r="B8755" s="3" t="s">
        <v>8757</v>
      </c>
      <c r="C8755" s="3" t="s">
        <v>9</v>
      </c>
      <c r="D8755" s="3" t="s">
        <v>9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/>
      <c r="P8755" s="3"/>
      <c r="Q8755" s="3"/>
    </row>
    <row r="8756" spans="1:17" ht="15" x14ac:dyDescent="0.25">
      <c r="A8756" s="3">
        <f>8749</f>
        <v>8749</v>
      </c>
      <c r="B8756" s="3" t="s">
        <v>8758</v>
      </c>
      <c r="C8756" s="3" t="s">
        <v>9</v>
      </c>
      <c r="D8756" s="3" t="s">
        <v>9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/>
      <c r="P8756" s="3"/>
      <c r="Q8756" s="3"/>
    </row>
    <row r="8757" spans="1:17" ht="15" x14ac:dyDescent="0.25">
      <c r="A8757" s="3">
        <f>8750</f>
        <v>8750</v>
      </c>
      <c r="B8757" s="3" t="s">
        <v>8759</v>
      </c>
      <c r="C8757" s="3" t="s">
        <v>9</v>
      </c>
      <c r="D8757" s="3" t="s">
        <v>9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/>
      <c r="P8757" s="3"/>
      <c r="Q8757" s="3"/>
    </row>
    <row r="8758" spans="1:17" ht="15" x14ac:dyDescent="0.25">
      <c r="A8758" s="3">
        <f>8751</f>
        <v>8751</v>
      </c>
      <c r="B8758" s="3" t="s">
        <v>8760</v>
      </c>
      <c r="C8758" s="3" t="s">
        <v>9</v>
      </c>
      <c r="D8758" s="3" t="s">
        <v>9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/>
      <c r="P8758" s="3"/>
      <c r="Q8758" s="3"/>
    </row>
    <row r="8759" spans="1:17" ht="15" x14ac:dyDescent="0.25">
      <c r="A8759" s="3">
        <f>8752</f>
        <v>8752</v>
      </c>
      <c r="B8759" s="3" t="s">
        <v>8761</v>
      </c>
      <c r="C8759" s="3" t="s">
        <v>9</v>
      </c>
      <c r="D8759" s="3" t="s">
        <v>9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/>
      <c r="P8759" s="3"/>
      <c r="Q8759" s="3"/>
    </row>
    <row r="8760" spans="1:17" ht="15" x14ac:dyDescent="0.25">
      <c r="A8760" s="3">
        <f>8753</f>
        <v>8753</v>
      </c>
      <c r="B8760" s="3" t="s">
        <v>8762</v>
      </c>
      <c r="C8760" s="3" t="s">
        <v>9</v>
      </c>
      <c r="D8760" s="3" t="s">
        <v>9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/>
      <c r="P8760" s="3"/>
      <c r="Q8760" s="3"/>
    </row>
    <row r="8761" spans="1:17" ht="15" x14ac:dyDescent="0.25">
      <c r="A8761" s="3">
        <f>8754</f>
        <v>8754</v>
      </c>
      <c r="B8761" s="3" t="s">
        <v>8763</v>
      </c>
      <c r="C8761" s="3" t="s">
        <v>9</v>
      </c>
      <c r="D8761" s="3" t="s">
        <v>9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/>
      <c r="P8761" s="3"/>
      <c r="Q8761" s="3"/>
    </row>
    <row r="8762" spans="1:17" ht="15" x14ac:dyDescent="0.25">
      <c r="A8762" s="3">
        <f>8755</f>
        <v>8755</v>
      </c>
      <c r="B8762" s="3" t="s">
        <v>8764</v>
      </c>
      <c r="C8762" s="3" t="s">
        <v>9</v>
      </c>
      <c r="D8762" s="3" t="s">
        <v>9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/>
      <c r="P8762" s="3"/>
      <c r="Q8762" s="3"/>
    </row>
    <row r="8763" spans="1:17" ht="15" x14ac:dyDescent="0.25">
      <c r="A8763" s="3">
        <f>8756</f>
        <v>8756</v>
      </c>
      <c r="B8763" s="3" t="s">
        <v>8765</v>
      </c>
      <c r="C8763" s="3" t="s">
        <v>9</v>
      </c>
      <c r="D8763" s="3" t="s">
        <v>9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/>
      <c r="P8763" s="3"/>
      <c r="Q8763" s="3"/>
    </row>
    <row r="8764" spans="1:17" ht="15" x14ac:dyDescent="0.25">
      <c r="A8764" s="3">
        <f>8757</f>
        <v>8757</v>
      </c>
      <c r="B8764" s="3" t="s">
        <v>8766</v>
      </c>
      <c r="C8764" s="3" t="s">
        <v>9</v>
      </c>
      <c r="D8764" s="3" t="s">
        <v>9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/>
      <c r="P8764" s="3"/>
      <c r="Q8764" s="3"/>
    </row>
    <row r="8765" spans="1:17" ht="15" x14ac:dyDescent="0.25">
      <c r="A8765" s="3">
        <f>8758</f>
        <v>8758</v>
      </c>
      <c r="B8765" s="3" t="s">
        <v>8767</v>
      </c>
      <c r="C8765" s="3" t="s">
        <v>9</v>
      </c>
      <c r="D8765" s="3" t="s">
        <v>9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/>
      <c r="P8765" s="3"/>
      <c r="Q8765" s="3"/>
    </row>
    <row r="8766" spans="1:17" ht="15" x14ac:dyDescent="0.25">
      <c r="A8766" s="3">
        <f>8759</f>
        <v>8759</v>
      </c>
      <c r="B8766" s="3" t="s">
        <v>8768</v>
      </c>
      <c r="C8766" s="3" t="s">
        <v>9</v>
      </c>
      <c r="D8766" s="3" t="s">
        <v>9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/>
      <c r="P8766" s="3"/>
      <c r="Q8766" s="3"/>
    </row>
    <row r="8767" spans="1:17" ht="15" x14ac:dyDescent="0.25">
      <c r="A8767" s="3">
        <f>8760</f>
        <v>8760</v>
      </c>
      <c r="B8767" s="3" t="s">
        <v>8769</v>
      </c>
      <c r="C8767" s="3" t="s">
        <v>9</v>
      </c>
      <c r="D8767" s="3" t="s">
        <v>9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/>
      <c r="P8767" s="3"/>
      <c r="Q8767" s="3"/>
    </row>
    <row r="8768" spans="1:17" ht="15" x14ac:dyDescent="0.25">
      <c r="A8768" s="3">
        <f>8761</f>
        <v>8761</v>
      </c>
      <c r="B8768" s="3" t="s">
        <v>8770</v>
      </c>
      <c r="C8768" s="3" t="s">
        <v>9</v>
      </c>
      <c r="D8768" s="3" t="s">
        <v>9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/>
      <c r="P8768" s="3"/>
      <c r="Q8768" s="3"/>
    </row>
    <row r="8769" spans="1:17" ht="15" x14ac:dyDescent="0.25">
      <c r="A8769" s="3">
        <f>8762</f>
        <v>8762</v>
      </c>
      <c r="B8769" s="3" t="s">
        <v>8771</v>
      </c>
      <c r="C8769" s="3" t="s">
        <v>9</v>
      </c>
      <c r="D8769" s="3" t="s">
        <v>9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/>
      <c r="P8769" s="3"/>
      <c r="Q8769" s="3"/>
    </row>
    <row r="8770" spans="1:17" ht="15" x14ac:dyDescent="0.25">
      <c r="A8770" s="3">
        <f>8763</f>
        <v>8763</v>
      </c>
      <c r="B8770" s="3" t="s">
        <v>8772</v>
      </c>
      <c r="C8770" s="3" t="s">
        <v>9</v>
      </c>
      <c r="D8770" s="3" t="s">
        <v>9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/>
      <c r="P8770" s="3"/>
      <c r="Q8770" s="3"/>
    </row>
    <row r="8771" spans="1:17" ht="15" x14ac:dyDescent="0.25">
      <c r="A8771" s="3">
        <f>8764</f>
        <v>8764</v>
      </c>
      <c r="B8771" s="3" t="s">
        <v>8773</v>
      </c>
      <c r="C8771" s="3" t="s">
        <v>9</v>
      </c>
      <c r="D8771" s="3" t="s">
        <v>9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/>
      <c r="P8771" s="3"/>
      <c r="Q8771" s="3"/>
    </row>
    <row r="8772" spans="1:17" ht="15" x14ac:dyDescent="0.25">
      <c r="A8772" s="3">
        <f>8765</f>
        <v>8765</v>
      </c>
      <c r="B8772" s="3" t="s">
        <v>8774</v>
      </c>
      <c r="C8772" s="3" t="s">
        <v>9</v>
      </c>
      <c r="D8772" s="3" t="s">
        <v>9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/>
      <c r="P8772" s="3"/>
      <c r="Q8772" s="3"/>
    </row>
    <row r="8773" spans="1:17" ht="15" x14ac:dyDescent="0.25">
      <c r="A8773" s="3">
        <f>8766</f>
        <v>8766</v>
      </c>
      <c r="B8773" s="3" t="s">
        <v>8775</v>
      </c>
      <c r="C8773" s="3" t="s">
        <v>9</v>
      </c>
      <c r="D8773" s="3" t="s">
        <v>9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/>
      <c r="P8773" s="3"/>
      <c r="Q8773" s="3"/>
    </row>
    <row r="8774" spans="1:17" ht="15" x14ac:dyDescent="0.25">
      <c r="A8774" s="3">
        <f>8767</f>
        <v>8767</v>
      </c>
      <c r="B8774" s="3" t="s">
        <v>8776</v>
      </c>
      <c r="C8774" s="3" t="s">
        <v>9</v>
      </c>
      <c r="D8774" s="3" t="s">
        <v>9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/>
      <c r="P8774" s="3"/>
      <c r="Q8774" s="3"/>
    </row>
    <row r="8775" spans="1:17" ht="15" x14ac:dyDescent="0.25">
      <c r="A8775" s="3">
        <f>8768</f>
        <v>8768</v>
      </c>
      <c r="B8775" s="3" t="s">
        <v>8777</v>
      </c>
      <c r="C8775" s="3" t="s">
        <v>10</v>
      </c>
      <c r="D8775" s="3" t="s">
        <v>9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/>
      <c r="P8775" s="3"/>
      <c r="Q8775" s="3"/>
    </row>
    <row r="8776" spans="1:17" ht="15" x14ac:dyDescent="0.25">
      <c r="A8776" s="3">
        <f>8769</f>
        <v>8769</v>
      </c>
      <c r="B8776" s="3" t="s">
        <v>8778</v>
      </c>
      <c r="C8776" s="3" t="s">
        <v>10</v>
      </c>
      <c r="D8776" s="3" t="s">
        <v>9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/>
      <c r="P8776" s="3"/>
      <c r="Q8776" s="3"/>
    </row>
    <row r="8777" spans="1:17" ht="15" x14ac:dyDescent="0.25">
      <c r="A8777" s="3">
        <f>8770</f>
        <v>8770</v>
      </c>
      <c r="B8777" s="3" t="s">
        <v>8779</v>
      </c>
      <c r="C8777" s="3" t="s">
        <v>10</v>
      </c>
      <c r="D8777" s="3" t="s">
        <v>9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/>
      <c r="P8777" s="3"/>
      <c r="Q8777" s="3"/>
    </row>
    <row r="8778" spans="1:17" ht="15" x14ac:dyDescent="0.25">
      <c r="A8778" s="3">
        <f>8771</f>
        <v>8771</v>
      </c>
      <c r="B8778" s="3" t="s">
        <v>8780</v>
      </c>
      <c r="C8778" s="3" t="s">
        <v>10</v>
      </c>
      <c r="D8778" s="3" t="s">
        <v>9</v>
      </c>
      <c r="E8778" s="3">
        <v>0</v>
      </c>
      <c r="F8778" s="3">
        <v>0</v>
      </c>
      <c r="G8778" s="3">
        <v>1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/>
      <c r="P8778" s="3"/>
      <c r="Q8778" s="3"/>
    </row>
    <row r="8779" spans="1:17" ht="15" x14ac:dyDescent="0.25">
      <c r="A8779" s="3">
        <f>8772</f>
        <v>8772</v>
      </c>
      <c r="B8779" s="3" t="s">
        <v>8781</v>
      </c>
      <c r="C8779" s="3" t="s">
        <v>10</v>
      </c>
      <c r="D8779" s="3" t="s">
        <v>9</v>
      </c>
      <c r="E8779" s="3">
        <v>22</v>
      </c>
      <c r="F8779" s="3">
        <v>75</v>
      </c>
      <c r="G8779" s="3">
        <v>1</v>
      </c>
      <c r="H8779" s="3">
        <v>0</v>
      </c>
      <c r="I8779" s="3">
        <v>0</v>
      </c>
      <c r="J8779" s="3">
        <v>1</v>
      </c>
      <c r="K8779" s="3">
        <v>0</v>
      </c>
      <c r="L8779" s="3">
        <v>1</v>
      </c>
      <c r="M8779" s="3">
        <v>0</v>
      </c>
      <c r="N8779" s="3">
        <v>0</v>
      </c>
      <c r="O8779" s="3"/>
      <c r="P8779" s="3"/>
      <c r="Q8779" s="3"/>
    </row>
    <row r="8780" spans="1:17" ht="15" x14ac:dyDescent="0.25">
      <c r="A8780" s="3">
        <f>8773</f>
        <v>8773</v>
      </c>
      <c r="B8780" s="3" t="s">
        <v>8782</v>
      </c>
      <c r="C8780" s="3" t="s">
        <v>10</v>
      </c>
      <c r="D8780" s="3" t="s">
        <v>9</v>
      </c>
      <c r="E8780" s="3">
        <v>22</v>
      </c>
      <c r="F8780" s="3">
        <v>75</v>
      </c>
      <c r="G8780" s="3">
        <v>1</v>
      </c>
      <c r="H8780" s="3">
        <v>0</v>
      </c>
      <c r="I8780" s="3">
        <v>0</v>
      </c>
      <c r="J8780" s="3">
        <v>1</v>
      </c>
      <c r="K8780" s="3">
        <v>0</v>
      </c>
      <c r="L8780" s="3">
        <v>1</v>
      </c>
      <c r="M8780" s="3">
        <v>0</v>
      </c>
      <c r="N8780" s="3">
        <v>0</v>
      </c>
      <c r="O8780" s="3"/>
      <c r="P8780" s="3"/>
      <c r="Q8780" s="3"/>
    </row>
    <row r="8781" spans="1:17" ht="15" x14ac:dyDescent="0.25">
      <c r="A8781" s="3">
        <f>8774</f>
        <v>8774</v>
      </c>
      <c r="B8781" s="3" t="s">
        <v>8783</v>
      </c>
      <c r="C8781" s="3" t="s">
        <v>10</v>
      </c>
      <c r="D8781" s="3" t="s">
        <v>9</v>
      </c>
      <c r="E8781" s="3">
        <v>22</v>
      </c>
      <c r="F8781" s="3">
        <v>75</v>
      </c>
      <c r="G8781" s="3">
        <v>1</v>
      </c>
      <c r="H8781" s="3">
        <v>0</v>
      </c>
      <c r="I8781" s="3">
        <v>0</v>
      </c>
      <c r="J8781" s="3">
        <v>1</v>
      </c>
      <c r="K8781" s="3">
        <v>0</v>
      </c>
      <c r="L8781" s="3">
        <v>1</v>
      </c>
      <c r="M8781" s="3">
        <v>0</v>
      </c>
      <c r="N8781" s="3">
        <v>0</v>
      </c>
      <c r="O8781" s="3"/>
      <c r="P8781" s="3"/>
      <c r="Q8781" s="3"/>
    </row>
    <row r="8782" spans="1:17" ht="15" x14ac:dyDescent="0.25">
      <c r="A8782" s="3">
        <f>8775</f>
        <v>8775</v>
      </c>
      <c r="B8782" s="3" t="s">
        <v>8784</v>
      </c>
      <c r="C8782" s="3" t="s">
        <v>10</v>
      </c>
      <c r="D8782" s="3" t="s">
        <v>9</v>
      </c>
      <c r="E8782" s="3">
        <v>22</v>
      </c>
      <c r="F8782" s="3">
        <v>75</v>
      </c>
      <c r="G8782" s="3">
        <v>1</v>
      </c>
      <c r="H8782" s="3">
        <v>0</v>
      </c>
      <c r="I8782" s="3">
        <v>0</v>
      </c>
      <c r="J8782" s="3">
        <v>1</v>
      </c>
      <c r="K8782" s="3">
        <v>0</v>
      </c>
      <c r="L8782" s="3">
        <v>1</v>
      </c>
      <c r="M8782" s="3">
        <v>0</v>
      </c>
      <c r="N8782" s="3">
        <v>0</v>
      </c>
      <c r="O8782" s="3"/>
      <c r="P8782" s="3"/>
      <c r="Q8782" s="3"/>
    </row>
    <row r="8783" spans="1:17" ht="15" x14ac:dyDescent="0.25">
      <c r="A8783" s="3">
        <f>8776</f>
        <v>8776</v>
      </c>
      <c r="B8783" s="3" t="s">
        <v>8785</v>
      </c>
      <c r="C8783" s="3" t="s">
        <v>10</v>
      </c>
      <c r="D8783" s="3" t="s">
        <v>9</v>
      </c>
      <c r="E8783" s="3">
        <v>22</v>
      </c>
      <c r="F8783" s="3">
        <v>75</v>
      </c>
      <c r="G8783" s="3">
        <v>1</v>
      </c>
      <c r="H8783" s="3">
        <v>0</v>
      </c>
      <c r="I8783" s="3">
        <v>0</v>
      </c>
      <c r="J8783" s="3">
        <v>1</v>
      </c>
      <c r="K8783" s="3">
        <v>0</v>
      </c>
      <c r="L8783" s="3">
        <v>1</v>
      </c>
      <c r="M8783" s="3">
        <v>0</v>
      </c>
      <c r="N8783" s="3">
        <v>0</v>
      </c>
      <c r="O8783" s="3"/>
      <c r="P8783" s="3"/>
      <c r="Q8783" s="3"/>
    </row>
    <row r="8784" spans="1:17" ht="15" x14ac:dyDescent="0.25">
      <c r="A8784" s="3">
        <f>8777</f>
        <v>8777</v>
      </c>
      <c r="B8784" s="3" t="s">
        <v>8786</v>
      </c>
      <c r="C8784" s="3" t="s">
        <v>10</v>
      </c>
      <c r="D8784" s="3" t="s">
        <v>9</v>
      </c>
      <c r="E8784" s="3">
        <v>22</v>
      </c>
      <c r="F8784" s="3">
        <v>75</v>
      </c>
      <c r="G8784" s="3">
        <v>1</v>
      </c>
      <c r="H8784" s="3">
        <v>0</v>
      </c>
      <c r="I8784" s="3">
        <v>0</v>
      </c>
      <c r="J8784" s="3">
        <v>1</v>
      </c>
      <c r="K8784" s="3">
        <v>0</v>
      </c>
      <c r="L8784" s="3">
        <v>1</v>
      </c>
      <c r="M8784" s="3">
        <v>0</v>
      </c>
      <c r="N8784" s="3">
        <v>0</v>
      </c>
      <c r="O8784" s="3"/>
      <c r="P8784" s="3"/>
      <c r="Q8784" s="3"/>
    </row>
    <row r="8785" spans="1:17" ht="15" x14ac:dyDescent="0.25">
      <c r="A8785" s="3">
        <f>8778</f>
        <v>8778</v>
      </c>
      <c r="B8785" s="3" t="s">
        <v>8787</v>
      </c>
      <c r="C8785" s="3" t="s">
        <v>10</v>
      </c>
      <c r="D8785" s="3" t="s">
        <v>9</v>
      </c>
      <c r="E8785" s="3">
        <v>22</v>
      </c>
      <c r="F8785" s="3">
        <v>75</v>
      </c>
      <c r="G8785" s="3">
        <v>1</v>
      </c>
      <c r="H8785" s="3">
        <v>0</v>
      </c>
      <c r="I8785" s="3">
        <v>0</v>
      </c>
      <c r="J8785" s="3">
        <v>1</v>
      </c>
      <c r="K8785" s="3">
        <v>0</v>
      </c>
      <c r="L8785" s="3">
        <v>1</v>
      </c>
      <c r="M8785" s="3">
        <v>0</v>
      </c>
      <c r="N8785" s="3">
        <v>0</v>
      </c>
      <c r="O8785" s="3"/>
      <c r="P8785" s="3"/>
      <c r="Q8785" s="3"/>
    </row>
    <row r="8786" spans="1:17" ht="15" x14ac:dyDescent="0.25">
      <c r="A8786" s="3">
        <f>8779</f>
        <v>8779</v>
      </c>
      <c r="B8786" s="3" t="s">
        <v>8788</v>
      </c>
      <c r="C8786" s="3" t="s">
        <v>10</v>
      </c>
      <c r="D8786" s="3" t="s">
        <v>9</v>
      </c>
      <c r="E8786" s="3">
        <v>22</v>
      </c>
      <c r="F8786" s="3">
        <v>75</v>
      </c>
      <c r="G8786" s="3">
        <v>1</v>
      </c>
      <c r="H8786" s="3">
        <v>0</v>
      </c>
      <c r="I8786" s="3">
        <v>0</v>
      </c>
      <c r="J8786" s="3">
        <v>1</v>
      </c>
      <c r="K8786" s="3">
        <v>0</v>
      </c>
      <c r="L8786" s="3">
        <v>1</v>
      </c>
      <c r="M8786" s="3">
        <v>0</v>
      </c>
      <c r="N8786" s="3">
        <v>0</v>
      </c>
      <c r="O8786" s="3"/>
      <c r="P8786" s="3"/>
      <c r="Q8786" s="3"/>
    </row>
    <row r="8787" spans="1:17" ht="15" x14ac:dyDescent="0.25">
      <c r="A8787" s="3">
        <f>8780</f>
        <v>8780</v>
      </c>
      <c r="B8787" s="3" t="s">
        <v>8789</v>
      </c>
      <c r="C8787" s="3" t="s">
        <v>10</v>
      </c>
      <c r="D8787" s="3" t="s">
        <v>9</v>
      </c>
      <c r="E8787" s="3">
        <v>22</v>
      </c>
      <c r="F8787" s="3">
        <v>75</v>
      </c>
      <c r="G8787" s="3">
        <v>1</v>
      </c>
      <c r="H8787" s="3">
        <v>0</v>
      </c>
      <c r="I8787" s="3">
        <v>0</v>
      </c>
      <c r="J8787" s="3">
        <v>1</v>
      </c>
      <c r="K8787" s="3">
        <v>0</v>
      </c>
      <c r="L8787" s="3">
        <v>1</v>
      </c>
      <c r="M8787" s="3">
        <v>0</v>
      </c>
      <c r="N8787" s="3">
        <v>0</v>
      </c>
      <c r="O8787" s="3"/>
      <c r="P8787" s="3"/>
      <c r="Q8787" s="3"/>
    </row>
    <row r="8788" spans="1:17" ht="15" x14ac:dyDescent="0.25">
      <c r="A8788" s="3">
        <f>8781</f>
        <v>8781</v>
      </c>
      <c r="B8788" s="3" t="s">
        <v>8790</v>
      </c>
      <c r="C8788" s="3" t="s">
        <v>10</v>
      </c>
      <c r="D8788" s="3" t="s">
        <v>9</v>
      </c>
      <c r="E8788" s="3">
        <v>22</v>
      </c>
      <c r="F8788" s="3">
        <v>75</v>
      </c>
      <c r="G8788" s="3">
        <v>1</v>
      </c>
      <c r="H8788" s="3">
        <v>0</v>
      </c>
      <c r="I8788" s="3">
        <v>0</v>
      </c>
      <c r="J8788" s="3">
        <v>1</v>
      </c>
      <c r="K8788" s="3">
        <v>0</v>
      </c>
      <c r="L8788" s="3">
        <v>1</v>
      </c>
      <c r="M8788" s="3">
        <v>0</v>
      </c>
      <c r="N8788" s="3">
        <v>0</v>
      </c>
      <c r="O8788" s="3"/>
      <c r="P8788" s="3"/>
      <c r="Q8788" s="3"/>
    </row>
    <row r="8789" spans="1:17" ht="15" x14ac:dyDescent="0.25">
      <c r="A8789" s="3">
        <f>8782</f>
        <v>8782</v>
      </c>
      <c r="B8789" s="3" t="s">
        <v>8791</v>
      </c>
      <c r="C8789" s="3" t="s">
        <v>10</v>
      </c>
      <c r="D8789" s="3" t="s">
        <v>9</v>
      </c>
      <c r="E8789" s="3">
        <v>22</v>
      </c>
      <c r="F8789" s="3">
        <v>75</v>
      </c>
      <c r="G8789" s="3">
        <v>1</v>
      </c>
      <c r="H8789" s="3">
        <v>0</v>
      </c>
      <c r="I8789" s="3">
        <v>0</v>
      </c>
      <c r="J8789" s="3">
        <v>1</v>
      </c>
      <c r="K8789" s="3">
        <v>0</v>
      </c>
      <c r="L8789" s="3">
        <v>1</v>
      </c>
      <c r="M8789" s="3">
        <v>0</v>
      </c>
      <c r="N8789" s="3">
        <v>0</v>
      </c>
      <c r="O8789" s="3"/>
      <c r="P8789" s="3"/>
      <c r="Q8789" s="3"/>
    </row>
    <row r="8790" spans="1:17" ht="15" x14ac:dyDescent="0.25">
      <c r="A8790" s="3">
        <f>8783</f>
        <v>8783</v>
      </c>
      <c r="B8790" s="3" t="s">
        <v>8792</v>
      </c>
      <c r="C8790" s="3" t="s">
        <v>10</v>
      </c>
      <c r="D8790" s="3" t="s">
        <v>9</v>
      </c>
      <c r="E8790" s="3">
        <v>22</v>
      </c>
      <c r="F8790" s="3">
        <v>75</v>
      </c>
      <c r="G8790" s="3">
        <v>1</v>
      </c>
      <c r="H8790" s="3">
        <v>0</v>
      </c>
      <c r="I8790" s="3">
        <v>0</v>
      </c>
      <c r="J8790" s="3">
        <v>1</v>
      </c>
      <c r="K8790" s="3">
        <v>0</v>
      </c>
      <c r="L8790" s="3">
        <v>1</v>
      </c>
      <c r="M8790" s="3">
        <v>0</v>
      </c>
      <c r="N8790" s="3">
        <v>0</v>
      </c>
      <c r="O8790" s="3"/>
      <c r="P8790" s="3"/>
      <c r="Q8790" s="3"/>
    </row>
    <row r="8791" spans="1:17" ht="15" x14ac:dyDescent="0.25">
      <c r="A8791" s="3">
        <f>8784</f>
        <v>8784</v>
      </c>
      <c r="B8791" s="3" t="s">
        <v>8793</v>
      </c>
      <c r="C8791" s="3" t="s">
        <v>10</v>
      </c>
      <c r="D8791" s="3" t="s">
        <v>9</v>
      </c>
      <c r="E8791" s="3">
        <v>22</v>
      </c>
      <c r="F8791" s="3">
        <v>75</v>
      </c>
      <c r="G8791" s="3">
        <v>1</v>
      </c>
      <c r="H8791" s="3">
        <v>0</v>
      </c>
      <c r="I8791" s="3">
        <v>0</v>
      </c>
      <c r="J8791" s="3">
        <v>1</v>
      </c>
      <c r="K8791" s="3">
        <v>0</v>
      </c>
      <c r="L8791" s="3">
        <v>1</v>
      </c>
      <c r="M8791" s="3">
        <v>0</v>
      </c>
      <c r="N8791" s="3">
        <v>0</v>
      </c>
      <c r="O8791" s="3"/>
      <c r="P8791" s="3"/>
      <c r="Q8791" s="3"/>
    </row>
    <row r="8792" spans="1:17" ht="15" x14ac:dyDescent="0.25">
      <c r="A8792" s="3">
        <f>8785</f>
        <v>8785</v>
      </c>
      <c r="B8792" s="3" t="s">
        <v>8794</v>
      </c>
      <c r="C8792" s="3" t="s">
        <v>10</v>
      </c>
      <c r="D8792" s="3" t="s">
        <v>9</v>
      </c>
      <c r="E8792" s="3">
        <v>22</v>
      </c>
      <c r="F8792" s="3">
        <v>75</v>
      </c>
      <c r="G8792" s="3">
        <v>1</v>
      </c>
      <c r="H8792" s="3">
        <v>0</v>
      </c>
      <c r="I8792" s="3">
        <v>0</v>
      </c>
      <c r="J8792" s="3">
        <v>1</v>
      </c>
      <c r="K8792" s="3">
        <v>0</v>
      </c>
      <c r="L8792" s="3">
        <v>1</v>
      </c>
      <c r="M8792" s="3">
        <v>0</v>
      </c>
      <c r="N8792" s="3">
        <v>0</v>
      </c>
      <c r="O8792" s="3"/>
      <c r="P8792" s="3"/>
      <c r="Q8792" s="3"/>
    </row>
    <row r="8793" spans="1:17" ht="15" x14ac:dyDescent="0.25">
      <c r="A8793" s="3">
        <f>8786</f>
        <v>8786</v>
      </c>
      <c r="B8793" s="3" t="s">
        <v>8795</v>
      </c>
      <c r="C8793" s="3" t="s">
        <v>10</v>
      </c>
      <c r="D8793" s="3" t="s">
        <v>9</v>
      </c>
      <c r="E8793" s="3">
        <v>22</v>
      </c>
      <c r="F8793" s="3">
        <v>75</v>
      </c>
      <c r="G8793" s="3">
        <v>1</v>
      </c>
      <c r="H8793" s="3">
        <v>0</v>
      </c>
      <c r="I8793" s="3">
        <v>0</v>
      </c>
      <c r="J8793" s="3">
        <v>1</v>
      </c>
      <c r="K8793" s="3">
        <v>0</v>
      </c>
      <c r="L8793" s="3">
        <v>1</v>
      </c>
      <c r="M8793" s="3">
        <v>0</v>
      </c>
      <c r="N8793" s="3">
        <v>0</v>
      </c>
      <c r="O8793" s="3"/>
      <c r="P8793" s="3"/>
      <c r="Q8793" s="3"/>
    </row>
    <row r="8794" spans="1:17" ht="15" x14ac:dyDescent="0.25">
      <c r="A8794" s="3">
        <f>8787</f>
        <v>8787</v>
      </c>
      <c r="B8794" s="3" t="s">
        <v>8796</v>
      </c>
      <c r="C8794" s="3" t="s">
        <v>10</v>
      </c>
      <c r="D8794" s="3" t="s">
        <v>9</v>
      </c>
      <c r="E8794" s="3">
        <v>22</v>
      </c>
      <c r="F8794" s="3">
        <v>75</v>
      </c>
      <c r="G8794" s="3">
        <v>1</v>
      </c>
      <c r="H8794" s="3">
        <v>0</v>
      </c>
      <c r="I8794" s="3">
        <v>0</v>
      </c>
      <c r="J8794" s="3">
        <v>1</v>
      </c>
      <c r="K8794" s="3">
        <v>0</v>
      </c>
      <c r="L8794" s="3">
        <v>1</v>
      </c>
      <c r="M8794" s="3">
        <v>0</v>
      </c>
      <c r="N8794" s="3">
        <v>0</v>
      </c>
      <c r="O8794" s="3"/>
      <c r="P8794" s="3"/>
      <c r="Q8794" s="3"/>
    </row>
    <row r="8795" spans="1:17" ht="15" x14ac:dyDescent="0.25">
      <c r="A8795" s="3">
        <f>8788</f>
        <v>8788</v>
      </c>
      <c r="B8795" s="3" t="s">
        <v>8797</v>
      </c>
      <c r="C8795" s="3" t="s">
        <v>10</v>
      </c>
      <c r="D8795" s="3" t="s">
        <v>9</v>
      </c>
      <c r="E8795" s="3">
        <v>22</v>
      </c>
      <c r="F8795" s="3">
        <v>75</v>
      </c>
      <c r="G8795" s="3">
        <v>1</v>
      </c>
      <c r="H8795" s="3">
        <v>0</v>
      </c>
      <c r="I8795" s="3">
        <v>0</v>
      </c>
      <c r="J8795" s="3">
        <v>1</v>
      </c>
      <c r="K8795" s="3">
        <v>0</v>
      </c>
      <c r="L8795" s="3">
        <v>1</v>
      </c>
      <c r="M8795" s="3">
        <v>0</v>
      </c>
      <c r="N8795" s="3">
        <v>0</v>
      </c>
      <c r="O8795" s="3"/>
      <c r="P8795" s="3"/>
      <c r="Q8795" s="3"/>
    </row>
    <row r="8796" spans="1:17" ht="15" x14ac:dyDescent="0.25">
      <c r="A8796" s="3">
        <f>8789</f>
        <v>8789</v>
      </c>
      <c r="B8796" s="3" t="s">
        <v>8798</v>
      </c>
      <c r="C8796" s="3" t="s">
        <v>10</v>
      </c>
      <c r="D8796" s="3" t="s">
        <v>9</v>
      </c>
      <c r="E8796" s="3">
        <v>22</v>
      </c>
      <c r="F8796" s="3">
        <v>75</v>
      </c>
      <c r="G8796" s="3">
        <v>1</v>
      </c>
      <c r="H8796" s="3">
        <v>0</v>
      </c>
      <c r="I8796" s="3">
        <v>0</v>
      </c>
      <c r="J8796" s="3">
        <v>1</v>
      </c>
      <c r="K8796" s="3">
        <v>0</v>
      </c>
      <c r="L8796" s="3">
        <v>1</v>
      </c>
      <c r="M8796" s="3">
        <v>0</v>
      </c>
      <c r="N8796" s="3">
        <v>0</v>
      </c>
      <c r="O8796" s="3"/>
      <c r="P8796" s="3"/>
      <c r="Q8796" s="3"/>
    </row>
    <row r="8797" spans="1:17" ht="15" x14ac:dyDescent="0.25">
      <c r="A8797" s="3">
        <f>8790</f>
        <v>8790</v>
      </c>
      <c r="B8797" s="3" t="s">
        <v>8799</v>
      </c>
      <c r="C8797" s="3" t="s">
        <v>10</v>
      </c>
      <c r="D8797" s="3" t="s">
        <v>9</v>
      </c>
      <c r="E8797" s="3">
        <v>22</v>
      </c>
      <c r="F8797" s="3">
        <v>75</v>
      </c>
      <c r="G8797" s="3">
        <v>1</v>
      </c>
      <c r="H8797" s="3">
        <v>0</v>
      </c>
      <c r="I8797" s="3">
        <v>0</v>
      </c>
      <c r="J8797" s="3">
        <v>1</v>
      </c>
      <c r="K8797" s="3">
        <v>0</v>
      </c>
      <c r="L8797" s="3">
        <v>1</v>
      </c>
      <c r="M8797" s="3">
        <v>0</v>
      </c>
      <c r="N8797" s="3">
        <v>0</v>
      </c>
      <c r="O8797" s="3"/>
      <c r="P8797" s="3"/>
      <c r="Q8797" s="3"/>
    </row>
    <row r="8798" spans="1:17" ht="15" x14ac:dyDescent="0.25">
      <c r="A8798" s="3">
        <f>8791</f>
        <v>8791</v>
      </c>
      <c r="B8798" s="3" t="s">
        <v>8800</v>
      </c>
      <c r="C8798" s="3" t="s">
        <v>10</v>
      </c>
      <c r="D8798" s="3" t="s">
        <v>9</v>
      </c>
      <c r="E8798" s="3">
        <v>22</v>
      </c>
      <c r="F8798" s="3">
        <v>75</v>
      </c>
      <c r="G8798" s="3">
        <v>1</v>
      </c>
      <c r="H8798" s="3">
        <v>0</v>
      </c>
      <c r="I8798" s="3">
        <v>0</v>
      </c>
      <c r="J8798" s="3">
        <v>1</v>
      </c>
      <c r="K8798" s="3">
        <v>0</v>
      </c>
      <c r="L8798" s="3">
        <v>1</v>
      </c>
      <c r="M8798" s="3">
        <v>0</v>
      </c>
      <c r="N8798" s="3">
        <v>0</v>
      </c>
      <c r="O8798" s="3"/>
      <c r="P8798" s="3"/>
      <c r="Q8798" s="3"/>
    </row>
    <row r="8799" spans="1:17" ht="15" x14ac:dyDescent="0.25">
      <c r="A8799" s="3">
        <f>8792</f>
        <v>8792</v>
      </c>
      <c r="B8799" s="3" t="s">
        <v>8801</v>
      </c>
      <c r="C8799" s="3" t="s">
        <v>10</v>
      </c>
      <c r="D8799" s="3" t="s">
        <v>9</v>
      </c>
      <c r="E8799" s="3">
        <v>22</v>
      </c>
      <c r="F8799" s="3">
        <v>75</v>
      </c>
      <c r="G8799" s="3">
        <v>1</v>
      </c>
      <c r="H8799" s="3">
        <v>0</v>
      </c>
      <c r="I8799" s="3">
        <v>0</v>
      </c>
      <c r="J8799" s="3">
        <v>1</v>
      </c>
      <c r="K8799" s="3">
        <v>0</v>
      </c>
      <c r="L8799" s="3">
        <v>1</v>
      </c>
      <c r="M8799" s="3">
        <v>0</v>
      </c>
      <c r="N8799" s="3">
        <v>0</v>
      </c>
      <c r="O8799" s="3"/>
      <c r="P8799" s="3"/>
      <c r="Q8799" s="3"/>
    </row>
    <row r="8800" spans="1:17" ht="15" x14ac:dyDescent="0.25">
      <c r="A8800" s="3">
        <f>8793</f>
        <v>8793</v>
      </c>
      <c r="B8800" s="3" t="s">
        <v>8802</v>
      </c>
      <c r="C8800" s="3" t="s">
        <v>10</v>
      </c>
      <c r="D8800" s="3" t="s">
        <v>9</v>
      </c>
      <c r="E8800" s="3">
        <v>22</v>
      </c>
      <c r="F8800" s="3">
        <v>75</v>
      </c>
      <c r="G8800" s="3">
        <v>1</v>
      </c>
      <c r="H8800" s="3">
        <v>0</v>
      </c>
      <c r="I8800" s="3">
        <v>0</v>
      </c>
      <c r="J8800" s="3">
        <v>1</v>
      </c>
      <c r="K8800" s="3">
        <v>0</v>
      </c>
      <c r="L8800" s="3">
        <v>1</v>
      </c>
      <c r="M8800" s="3">
        <v>0</v>
      </c>
      <c r="N8800" s="3">
        <v>0</v>
      </c>
      <c r="O8800" s="3"/>
      <c r="P8800" s="3"/>
      <c r="Q8800" s="3"/>
    </row>
    <row r="8801" spans="1:17" ht="15" x14ac:dyDescent="0.25">
      <c r="A8801" s="3">
        <f>8794</f>
        <v>8794</v>
      </c>
      <c r="B8801" s="3" t="s">
        <v>8803</v>
      </c>
      <c r="C8801" s="3" t="s">
        <v>10</v>
      </c>
      <c r="D8801" s="3" t="s">
        <v>9</v>
      </c>
      <c r="E8801" s="3">
        <v>22</v>
      </c>
      <c r="F8801" s="3">
        <v>75</v>
      </c>
      <c r="G8801" s="3">
        <v>1</v>
      </c>
      <c r="H8801" s="3">
        <v>0</v>
      </c>
      <c r="I8801" s="3">
        <v>0</v>
      </c>
      <c r="J8801" s="3">
        <v>1</v>
      </c>
      <c r="K8801" s="3">
        <v>0</v>
      </c>
      <c r="L8801" s="3">
        <v>1</v>
      </c>
      <c r="M8801" s="3">
        <v>0</v>
      </c>
      <c r="N8801" s="3">
        <v>0</v>
      </c>
      <c r="O8801" s="3"/>
      <c r="P8801" s="3"/>
      <c r="Q8801" s="3"/>
    </row>
    <row r="8802" spans="1:17" ht="15" x14ac:dyDescent="0.25">
      <c r="A8802" s="3">
        <f>8795</f>
        <v>8795</v>
      </c>
      <c r="B8802" s="3" t="s">
        <v>8804</v>
      </c>
      <c r="C8802" s="3" t="s">
        <v>10</v>
      </c>
      <c r="D8802" s="3" t="s">
        <v>9</v>
      </c>
      <c r="E8802" s="3">
        <v>22</v>
      </c>
      <c r="F8802" s="3">
        <v>75</v>
      </c>
      <c r="G8802" s="3">
        <v>1</v>
      </c>
      <c r="H8802" s="3">
        <v>0</v>
      </c>
      <c r="I8802" s="3">
        <v>0</v>
      </c>
      <c r="J8802" s="3">
        <v>1</v>
      </c>
      <c r="K8802" s="3">
        <v>0</v>
      </c>
      <c r="L8802" s="3">
        <v>1</v>
      </c>
      <c r="M8802" s="3">
        <v>0</v>
      </c>
      <c r="N8802" s="3">
        <v>0</v>
      </c>
      <c r="O8802" s="3"/>
      <c r="P8802" s="3"/>
      <c r="Q8802" s="3"/>
    </row>
    <row r="8803" spans="1:17" ht="15" x14ac:dyDescent="0.25">
      <c r="A8803" s="3">
        <f>8796</f>
        <v>8796</v>
      </c>
      <c r="B8803" s="3" t="s">
        <v>8805</v>
      </c>
      <c r="C8803" s="3" t="s">
        <v>10</v>
      </c>
      <c r="D8803" s="3" t="s">
        <v>9</v>
      </c>
      <c r="E8803" s="3">
        <v>22</v>
      </c>
      <c r="F8803" s="3">
        <v>75</v>
      </c>
      <c r="G8803" s="3">
        <v>1</v>
      </c>
      <c r="H8803" s="3">
        <v>0</v>
      </c>
      <c r="I8803" s="3">
        <v>0</v>
      </c>
      <c r="J8803" s="3">
        <v>1</v>
      </c>
      <c r="K8803" s="3">
        <v>0</v>
      </c>
      <c r="L8803" s="3">
        <v>1</v>
      </c>
      <c r="M8803" s="3">
        <v>0</v>
      </c>
      <c r="N8803" s="3">
        <v>0</v>
      </c>
      <c r="O8803" s="3"/>
      <c r="P8803" s="3"/>
      <c r="Q8803" s="3"/>
    </row>
    <row r="8804" spans="1:17" ht="15" x14ac:dyDescent="0.25">
      <c r="A8804" s="3">
        <f>8797</f>
        <v>8797</v>
      </c>
      <c r="B8804" s="3" t="s">
        <v>8806</v>
      </c>
      <c r="C8804" s="3" t="s">
        <v>10</v>
      </c>
      <c r="D8804" s="3" t="s">
        <v>9</v>
      </c>
      <c r="E8804" s="3">
        <v>22</v>
      </c>
      <c r="F8804" s="3">
        <v>75</v>
      </c>
      <c r="G8804" s="3">
        <v>1</v>
      </c>
      <c r="H8804" s="3">
        <v>0</v>
      </c>
      <c r="I8804" s="3">
        <v>0</v>
      </c>
      <c r="J8804" s="3">
        <v>1</v>
      </c>
      <c r="K8804" s="3">
        <v>0</v>
      </c>
      <c r="L8804" s="3">
        <v>1</v>
      </c>
      <c r="M8804" s="3">
        <v>0</v>
      </c>
      <c r="N8804" s="3">
        <v>0</v>
      </c>
      <c r="O8804" s="3"/>
      <c r="P8804" s="3"/>
      <c r="Q8804" s="3"/>
    </row>
    <row r="8805" spans="1:17" ht="15" x14ac:dyDescent="0.25">
      <c r="A8805" s="3">
        <f>8798</f>
        <v>8798</v>
      </c>
      <c r="B8805" s="3" t="s">
        <v>8807</v>
      </c>
      <c r="C8805" s="3" t="s">
        <v>10</v>
      </c>
      <c r="D8805" s="3" t="s">
        <v>9</v>
      </c>
      <c r="E8805" s="3">
        <v>22</v>
      </c>
      <c r="F8805" s="3">
        <v>75</v>
      </c>
      <c r="G8805" s="3">
        <v>1</v>
      </c>
      <c r="H8805" s="3">
        <v>0</v>
      </c>
      <c r="I8805" s="3">
        <v>0</v>
      </c>
      <c r="J8805" s="3">
        <v>1</v>
      </c>
      <c r="K8805" s="3">
        <v>0</v>
      </c>
      <c r="L8805" s="3">
        <v>1</v>
      </c>
      <c r="M8805" s="3">
        <v>0</v>
      </c>
      <c r="N8805" s="3">
        <v>0</v>
      </c>
      <c r="O8805" s="3"/>
      <c r="P8805" s="3"/>
      <c r="Q8805" s="3"/>
    </row>
    <row r="8806" spans="1:17" ht="15" x14ac:dyDescent="0.25">
      <c r="A8806" s="3">
        <f>8799</f>
        <v>8799</v>
      </c>
      <c r="B8806" s="3" t="s">
        <v>8808</v>
      </c>
      <c r="C8806" s="3" t="s">
        <v>10</v>
      </c>
      <c r="D8806" s="3" t="s">
        <v>9</v>
      </c>
      <c r="E8806" s="3">
        <v>22</v>
      </c>
      <c r="F8806" s="3">
        <v>75</v>
      </c>
      <c r="G8806" s="3">
        <v>1</v>
      </c>
      <c r="H8806" s="3">
        <v>0</v>
      </c>
      <c r="I8806" s="3">
        <v>0</v>
      </c>
      <c r="J8806" s="3">
        <v>1</v>
      </c>
      <c r="K8806" s="3">
        <v>0</v>
      </c>
      <c r="L8806" s="3">
        <v>1</v>
      </c>
      <c r="M8806" s="3">
        <v>0</v>
      </c>
      <c r="N8806" s="3">
        <v>0</v>
      </c>
      <c r="O8806" s="3"/>
      <c r="P8806" s="3"/>
      <c r="Q8806" s="3"/>
    </row>
    <row r="8807" spans="1:17" ht="15" x14ac:dyDescent="0.25">
      <c r="A8807" s="3">
        <f>8800</f>
        <v>8800</v>
      </c>
      <c r="B8807" s="3" t="s">
        <v>8809</v>
      </c>
      <c r="C8807" s="3" t="s">
        <v>10</v>
      </c>
      <c r="D8807" s="3" t="s">
        <v>9</v>
      </c>
      <c r="E8807" s="3">
        <v>22</v>
      </c>
      <c r="F8807" s="3">
        <v>75</v>
      </c>
      <c r="G8807" s="3">
        <v>1</v>
      </c>
      <c r="H8807" s="3">
        <v>0</v>
      </c>
      <c r="I8807" s="3">
        <v>0</v>
      </c>
      <c r="J8807" s="3">
        <v>1</v>
      </c>
      <c r="K8807" s="3">
        <v>0</v>
      </c>
      <c r="L8807" s="3">
        <v>1</v>
      </c>
      <c r="M8807" s="3">
        <v>0</v>
      </c>
      <c r="N8807" s="3">
        <v>0</v>
      </c>
      <c r="O8807" s="3"/>
      <c r="P8807" s="3"/>
      <c r="Q8807" s="3"/>
    </row>
    <row r="8808" spans="1:17" ht="15" x14ac:dyDescent="0.25">
      <c r="A8808" s="3">
        <f>8801</f>
        <v>8801</v>
      </c>
      <c r="B8808" s="3" t="s">
        <v>8810</v>
      </c>
      <c r="C8808" s="3" t="s">
        <v>10</v>
      </c>
      <c r="D8808" s="3" t="s">
        <v>9</v>
      </c>
      <c r="E8808" s="3">
        <v>22</v>
      </c>
      <c r="F8808" s="3">
        <v>75</v>
      </c>
      <c r="G8808" s="3">
        <v>1</v>
      </c>
      <c r="H8808" s="3">
        <v>0</v>
      </c>
      <c r="I8808" s="3">
        <v>0</v>
      </c>
      <c r="J8808" s="3">
        <v>1</v>
      </c>
      <c r="K8808" s="3">
        <v>0</v>
      </c>
      <c r="L8808" s="3">
        <v>1</v>
      </c>
      <c r="M8808" s="3">
        <v>0</v>
      </c>
      <c r="N8808" s="3">
        <v>0</v>
      </c>
      <c r="O8808" s="3"/>
      <c r="P8808" s="3"/>
      <c r="Q8808" s="3"/>
    </row>
    <row r="8809" spans="1:17" ht="15" x14ac:dyDescent="0.25">
      <c r="A8809" s="3">
        <f>8802</f>
        <v>8802</v>
      </c>
      <c r="B8809" s="3" t="s">
        <v>8811</v>
      </c>
      <c r="C8809" s="3" t="s">
        <v>10</v>
      </c>
      <c r="D8809" s="3" t="s">
        <v>9</v>
      </c>
      <c r="E8809" s="3">
        <v>22</v>
      </c>
      <c r="F8809" s="3">
        <v>75</v>
      </c>
      <c r="G8809" s="3">
        <v>1</v>
      </c>
      <c r="H8809" s="3">
        <v>0</v>
      </c>
      <c r="I8809" s="3">
        <v>0</v>
      </c>
      <c r="J8809" s="3">
        <v>1</v>
      </c>
      <c r="K8809" s="3">
        <v>0</v>
      </c>
      <c r="L8809" s="3">
        <v>1</v>
      </c>
      <c r="M8809" s="3">
        <v>0</v>
      </c>
      <c r="N8809" s="3">
        <v>0</v>
      </c>
      <c r="O8809" s="3"/>
      <c r="P8809" s="3"/>
      <c r="Q8809" s="3"/>
    </row>
    <row r="8810" spans="1:17" ht="15" x14ac:dyDescent="0.25">
      <c r="A8810" s="3">
        <f>8803</f>
        <v>8803</v>
      </c>
      <c r="B8810" s="3" t="s">
        <v>8812</v>
      </c>
      <c r="C8810" s="3" t="s">
        <v>10</v>
      </c>
      <c r="D8810" s="3" t="s">
        <v>9</v>
      </c>
      <c r="E8810" s="3">
        <v>22</v>
      </c>
      <c r="F8810" s="3">
        <v>75</v>
      </c>
      <c r="G8810" s="3">
        <v>1</v>
      </c>
      <c r="H8810" s="3">
        <v>0</v>
      </c>
      <c r="I8810" s="3">
        <v>0</v>
      </c>
      <c r="J8810" s="3">
        <v>1</v>
      </c>
      <c r="K8810" s="3">
        <v>0</v>
      </c>
      <c r="L8810" s="3">
        <v>1</v>
      </c>
      <c r="M8810" s="3">
        <v>0</v>
      </c>
      <c r="N8810" s="3">
        <v>0</v>
      </c>
      <c r="O8810" s="3"/>
      <c r="P8810" s="3"/>
      <c r="Q8810" s="3"/>
    </row>
    <row r="8811" spans="1:17" ht="15" x14ac:dyDescent="0.25">
      <c r="A8811" s="3">
        <f>8804</f>
        <v>8804</v>
      </c>
      <c r="B8811" s="3" t="s">
        <v>8813</v>
      </c>
      <c r="C8811" s="3" t="s">
        <v>10</v>
      </c>
      <c r="D8811" s="3" t="s">
        <v>9</v>
      </c>
      <c r="E8811" s="3">
        <v>22</v>
      </c>
      <c r="F8811" s="3">
        <v>75</v>
      </c>
      <c r="G8811" s="3">
        <v>1</v>
      </c>
      <c r="H8811" s="3">
        <v>0</v>
      </c>
      <c r="I8811" s="3">
        <v>0</v>
      </c>
      <c r="J8811" s="3">
        <v>1</v>
      </c>
      <c r="K8811" s="3">
        <v>0</v>
      </c>
      <c r="L8811" s="3">
        <v>1</v>
      </c>
      <c r="M8811" s="3">
        <v>0</v>
      </c>
      <c r="N8811" s="3">
        <v>0</v>
      </c>
      <c r="O8811" s="3"/>
      <c r="P8811" s="3"/>
      <c r="Q8811" s="3"/>
    </row>
    <row r="8812" spans="1:17" ht="15" x14ac:dyDescent="0.25">
      <c r="A8812" s="3">
        <f>8805</f>
        <v>8805</v>
      </c>
      <c r="B8812" s="3" t="s">
        <v>8814</v>
      </c>
      <c r="C8812" s="3" t="s">
        <v>10</v>
      </c>
      <c r="D8812" s="3" t="s">
        <v>9</v>
      </c>
      <c r="E8812" s="3">
        <v>22</v>
      </c>
      <c r="F8812" s="3">
        <v>75</v>
      </c>
      <c r="G8812" s="3">
        <v>1</v>
      </c>
      <c r="H8812" s="3">
        <v>0</v>
      </c>
      <c r="I8812" s="3">
        <v>0</v>
      </c>
      <c r="J8812" s="3">
        <v>1</v>
      </c>
      <c r="K8812" s="3">
        <v>0</v>
      </c>
      <c r="L8812" s="3">
        <v>1</v>
      </c>
      <c r="M8812" s="3">
        <v>0</v>
      </c>
      <c r="N8812" s="3">
        <v>0</v>
      </c>
      <c r="O8812" s="3"/>
      <c r="P8812" s="3"/>
      <c r="Q8812" s="3"/>
    </row>
    <row r="8813" spans="1:17" ht="15" x14ac:dyDescent="0.25">
      <c r="A8813" s="3">
        <f>8806</f>
        <v>8806</v>
      </c>
      <c r="B8813" s="3" t="s">
        <v>8815</v>
      </c>
      <c r="C8813" s="3" t="s">
        <v>10</v>
      </c>
      <c r="D8813" s="3" t="s">
        <v>9</v>
      </c>
      <c r="E8813" s="3">
        <v>22</v>
      </c>
      <c r="F8813" s="3">
        <v>75</v>
      </c>
      <c r="G8813" s="3">
        <v>1</v>
      </c>
      <c r="H8813" s="3">
        <v>0</v>
      </c>
      <c r="I8813" s="3">
        <v>0</v>
      </c>
      <c r="J8813" s="3">
        <v>1</v>
      </c>
      <c r="K8813" s="3">
        <v>0</v>
      </c>
      <c r="L8813" s="3">
        <v>1</v>
      </c>
      <c r="M8813" s="3">
        <v>0</v>
      </c>
      <c r="N8813" s="3">
        <v>0</v>
      </c>
      <c r="O8813" s="3"/>
      <c r="P8813" s="3"/>
      <c r="Q8813" s="3"/>
    </row>
    <row r="8814" spans="1:17" ht="15" x14ac:dyDescent="0.25">
      <c r="A8814" s="3">
        <f>8807</f>
        <v>8807</v>
      </c>
      <c r="B8814" s="3" t="s">
        <v>8816</v>
      </c>
      <c r="C8814" s="3" t="s">
        <v>10</v>
      </c>
      <c r="D8814" s="3" t="s">
        <v>9</v>
      </c>
      <c r="E8814" s="3">
        <v>22</v>
      </c>
      <c r="F8814" s="3">
        <v>75</v>
      </c>
      <c r="G8814" s="3">
        <v>1</v>
      </c>
      <c r="H8814" s="3">
        <v>0</v>
      </c>
      <c r="I8814" s="3">
        <v>0</v>
      </c>
      <c r="J8814" s="3">
        <v>1</v>
      </c>
      <c r="K8814" s="3">
        <v>0</v>
      </c>
      <c r="L8814" s="3">
        <v>1</v>
      </c>
      <c r="M8814" s="3">
        <v>0</v>
      </c>
      <c r="N8814" s="3">
        <v>0</v>
      </c>
      <c r="O8814" s="3"/>
      <c r="P8814" s="3"/>
      <c r="Q8814" s="3"/>
    </row>
    <row r="8815" spans="1:17" ht="15" x14ac:dyDescent="0.25">
      <c r="A8815" s="3">
        <f>8808</f>
        <v>8808</v>
      </c>
      <c r="B8815" s="3" t="s">
        <v>8817</v>
      </c>
      <c r="C8815" s="3" t="s">
        <v>10</v>
      </c>
      <c r="D8815" s="3" t="s">
        <v>9</v>
      </c>
      <c r="E8815" s="3">
        <v>22</v>
      </c>
      <c r="F8815" s="3">
        <v>75</v>
      </c>
      <c r="G8815" s="3">
        <v>1</v>
      </c>
      <c r="H8815" s="3">
        <v>0</v>
      </c>
      <c r="I8815" s="3">
        <v>0</v>
      </c>
      <c r="J8815" s="3">
        <v>1</v>
      </c>
      <c r="K8815" s="3">
        <v>0</v>
      </c>
      <c r="L8815" s="3">
        <v>1</v>
      </c>
      <c r="M8815" s="3">
        <v>0</v>
      </c>
      <c r="N8815" s="3">
        <v>0</v>
      </c>
      <c r="O8815" s="3"/>
      <c r="P8815" s="3"/>
      <c r="Q8815" s="3"/>
    </row>
    <row r="8816" spans="1:17" ht="15" x14ac:dyDescent="0.25">
      <c r="A8816" s="3">
        <f>8809</f>
        <v>8809</v>
      </c>
      <c r="B8816" s="3" t="s">
        <v>8818</v>
      </c>
      <c r="C8816" s="3" t="s">
        <v>10</v>
      </c>
      <c r="D8816" s="3" t="s">
        <v>9</v>
      </c>
      <c r="E8816" s="3">
        <v>22</v>
      </c>
      <c r="F8816" s="3">
        <v>75</v>
      </c>
      <c r="G8816" s="3">
        <v>1</v>
      </c>
      <c r="H8816" s="3">
        <v>0</v>
      </c>
      <c r="I8816" s="3">
        <v>0</v>
      </c>
      <c r="J8816" s="3">
        <v>1</v>
      </c>
      <c r="K8816" s="3">
        <v>0</v>
      </c>
      <c r="L8816" s="3">
        <v>1</v>
      </c>
      <c r="M8816" s="3">
        <v>0</v>
      </c>
      <c r="N8816" s="3">
        <v>0</v>
      </c>
      <c r="O8816" s="3"/>
      <c r="P8816" s="3"/>
      <c r="Q8816" s="3"/>
    </row>
    <row r="8817" spans="1:17" ht="15" x14ac:dyDescent="0.25">
      <c r="A8817" s="3">
        <f>8810</f>
        <v>8810</v>
      </c>
      <c r="B8817" s="3" t="s">
        <v>8819</v>
      </c>
      <c r="C8817" s="3" t="s">
        <v>10</v>
      </c>
      <c r="D8817" s="3" t="s">
        <v>9</v>
      </c>
      <c r="E8817" s="3">
        <v>22</v>
      </c>
      <c r="F8817" s="3">
        <v>75</v>
      </c>
      <c r="G8817" s="3">
        <v>1</v>
      </c>
      <c r="H8817" s="3">
        <v>0</v>
      </c>
      <c r="I8817" s="3">
        <v>0</v>
      </c>
      <c r="J8817" s="3">
        <v>1</v>
      </c>
      <c r="K8817" s="3">
        <v>0</v>
      </c>
      <c r="L8817" s="3">
        <v>1</v>
      </c>
      <c r="M8817" s="3">
        <v>0</v>
      </c>
      <c r="N8817" s="3">
        <v>0</v>
      </c>
      <c r="O8817" s="3"/>
      <c r="P8817" s="3"/>
      <c r="Q8817" s="3"/>
    </row>
    <row r="8818" spans="1:17" ht="15" x14ac:dyDescent="0.25">
      <c r="A8818" s="3">
        <f>8811</f>
        <v>8811</v>
      </c>
      <c r="B8818" s="3" t="s">
        <v>8820</v>
      </c>
      <c r="C8818" s="3" t="s">
        <v>10</v>
      </c>
      <c r="D8818" s="3" t="s">
        <v>9</v>
      </c>
      <c r="E8818" s="3">
        <v>22</v>
      </c>
      <c r="F8818" s="3">
        <v>75</v>
      </c>
      <c r="G8818" s="3">
        <v>1</v>
      </c>
      <c r="H8818" s="3">
        <v>0</v>
      </c>
      <c r="I8818" s="3">
        <v>0</v>
      </c>
      <c r="J8818" s="3">
        <v>1</v>
      </c>
      <c r="K8818" s="3">
        <v>0</v>
      </c>
      <c r="L8818" s="3">
        <v>1</v>
      </c>
      <c r="M8818" s="3">
        <v>0</v>
      </c>
      <c r="N8818" s="3">
        <v>0</v>
      </c>
      <c r="O8818" s="3"/>
      <c r="P8818" s="3"/>
      <c r="Q8818" s="3"/>
    </row>
    <row r="8819" spans="1:17" ht="15" x14ac:dyDescent="0.25">
      <c r="A8819" s="3">
        <f>8812</f>
        <v>8812</v>
      </c>
      <c r="B8819" s="3" t="s">
        <v>8821</v>
      </c>
      <c r="C8819" s="3" t="s">
        <v>10</v>
      </c>
      <c r="D8819" s="3" t="s">
        <v>9</v>
      </c>
      <c r="E8819" s="3">
        <v>22</v>
      </c>
      <c r="F8819" s="3">
        <v>75</v>
      </c>
      <c r="G8819" s="3">
        <v>1</v>
      </c>
      <c r="H8819" s="3">
        <v>0</v>
      </c>
      <c r="I8819" s="3">
        <v>0</v>
      </c>
      <c r="J8819" s="3">
        <v>1</v>
      </c>
      <c r="K8819" s="3">
        <v>0</v>
      </c>
      <c r="L8819" s="3">
        <v>1</v>
      </c>
      <c r="M8819" s="3">
        <v>0</v>
      </c>
      <c r="N8819" s="3">
        <v>0</v>
      </c>
      <c r="O8819" s="3"/>
      <c r="P8819" s="3"/>
      <c r="Q8819" s="3"/>
    </row>
    <row r="8820" spans="1:17" ht="15" x14ac:dyDescent="0.25">
      <c r="A8820" s="3">
        <f>8813</f>
        <v>8813</v>
      </c>
      <c r="B8820" s="3" t="s">
        <v>8822</v>
      </c>
      <c r="C8820" s="3" t="s">
        <v>10</v>
      </c>
      <c r="D8820" s="3" t="s">
        <v>9</v>
      </c>
      <c r="E8820" s="3">
        <v>22</v>
      </c>
      <c r="F8820" s="3">
        <v>75</v>
      </c>
      <c r="G8820" s="3">
        <v>1</v>
      </c>
      <c r="H8820" s="3">
        <v>0</v>
      </c>
      <c r="I8820" s="3">
        <v>0</v>
      </c>
      <c r="J8820" s="3">
        <v>1</v>
      </c>
      <c r="K8820" s="3">
        <v>0</v>
      </c>
      <c r="L8820" s="3">
        <v>1</v>
      </c>
      <c r="M8820" s="3">
        <v>0</v>
      </c>
      <c r="N8820" s="3">
        <v>0</v>
      </c>
      <c r="O8820" s="3"/>
      <c r="P8820" s="3"/>
      <c r="Q8820" s="3"/>
    </row>
    <row r="8821" spans="1:17" ht="15" x14ac:dyDescent="0.25">
      <c r="A8821" s="3">
        <f>8814</f>
        <v>8814</v>
      </c>
      <c r="B8821" s="3" t="s">
        <v>8823</v>
      </c>
      <c r="C8821" s="3" t="s">
        <v>10</v>
      </c>
      <c r="D8821" s="3" t="s">
        <v>9</v>
      </c>
      <c r="E8821" s="3">
        <v>22</v>
      </c>
      <c r="F8821" s="3">
        <v>75</v>
      </c>
      <c r="G8821" s="3">
        <v>1</v>
      </c>
      <c r="H8821" s="3">
        <v>0</v>
      </c>
      <c r="I8821" s="3">
        <v>0</v>
      </c>
      <c r="J8821" s="3">
        <v>1</v>
      </c>
      <c r="K8821" s="3">
        <v>0</v>
      </c>
      <c r="L8821" s="3">
        <v>1</v>
      </c>
      <c r="M8821" s="3">
        <v>0</v>
      </c>
      <c r="N8821" s="3">
        <v>0</v>
      </c>
      <c r="O8821" s="3"/>
      <c r="P8821" s="3"/>
      <c r="Q8821" s="3"/>
    </row>
    <row r="8822" spans="1:17" ht="15" x14ac:dyDescent="0.25">
      <c r="A8822" s="3">
        <f>8815</f>
        <v>8815</v>
      </c>
      <c r="B8822" s="3" t="s">
        <v>8824</v>
      </c>
      <c r="C8822" s="3" t="s">
        <v>10</v>
      </c>
      <c r="D8822" s="3" t="s">
        <v>9</v>
      </c>
      <c r="E8822" s="3">
        <v>22</v>
      </c>
      <c r="F8822" s="3">
        <v>75</v>
      </c>
      <c r="G8822" s="3">
        <v>1</v>
      </c>
      <c r="H8822" s="3">
        <v>0</v>
      </c>
      <c r="I8822" s="3">
        <v>0</v>
      </c>
      <c r="J8822" s="3">
        <v>1</v>
      </c>
      <c r="K8822" s="3">
        <v>0</v>
      </c>
      <c r="L8822" s="3">
        <v>1</v>
      </c>
      <c r="M8822" s="3">
        <v>0</v>
      </c>
      <c r="N8822" s="3">
        <v>0</v>
      </c>
      <c r="O8822" s="3"/>
      <c r="P8822" s="3"/>
      <c r="Q8822" s="3"/>
    </row>
    <row r="8823" spans="1:17" ht="15" x14ac:dyDescent="0.25">
      <c r="A8823" s="3">
        <f>8816</f>
        <v>8816</v>
      </c>
      <c r="B8823" s="3" t="s">
        <v>8825</v>
      </c>
      <c r="C8823" s="3" t="s">
        <v>10</v>
      </c>
      <c r="D8823" s="3" t="s">
        <v>9</v>
      </c>
      <c r="E8823" s="3">
        <v>22</v>
      </c>
      <c r="F8823" s="3">
        <v>75</v>
      </c>
      <c r="G8823" s="3">
        <v>1</v>
      </c>
      <c r="H8823" s="3">
        <v>0</v>
      </c>
      <c r="I8823" s="3">
        <v>0</v>
      </c>
      <c r="J8823" s="3">
        <v>1</v>
      </c>
      <c r="K8823" s="3">
        <v>0</v>
      </c>
      <c r="L8823" s="3">
        <v>1</v>
      </c>
      <c r="M8823" s="3">
        <v>0</v>
      </c>
      <c r="N8823" s="3">
        <v>0</v>
      </c>
      <c r="O8823" s="3"/>
      <c r="P8823" s="3"/>
      <c r="Q8823" s="3"/>
    </row>
    <row r="8824" spans="1:17" ht="15" x14ac:dyDescent="0.25">
      <c r="A8824" s="3">
        <f>8817</f>
        <v>8817</v>
      </c>
      <c r="B8824" s="3" t="s">
        <v>8826</v>
      </c>
      <c r="C8824" s="3" t="s">
        <v>10</v>
      </c>
      <c r="D8824" s="3" t="s">
        <v>9</v>
      </c>
      <c r="E8824" s="3">
        <v>22</v>
      </c>
      <c r="F8824" s="3">
        <v>75</v>
      </c>
      <c r="G8824" s="3">
        <v>1</v>
      </c>
      <c r="H8824" s="3">
        <v>0</v>
      </c>
      <c r="I8824" s="3">
        <v>0</v>
      </c>
      <c r="J8824" s="3">
        <v>1</v>
      </c>
      <c r="K8824" s="3">
        <v>0</v>
      </c>
      <c r="L8824" s="3">
        <v>1</v>
      </c>
      <c r="M8824" s="3">
        <v>0</v>
      </c>
      <c r="N8824" s="3">
        <v>0</v>
      </c>
      <c r="O8824" s="3"/>
      <c r="P8824" s="3"/>
      <c r="Q8824" s="3"/>
    </row>
    <row r="8825" spans="1:17" ht="15" x14ac:dyDescent="0.25">
      <c r="A8825" s="3">
        <f>8818</f>
        <v>8818</v>
      </c>
      <c r="B8825" s="3" t="s">
        <v>8827</v>
      </c>
      <c r="C8825" s="3" t="s">
        <v>10</v>
      </c>
      <c r="D8825" s="3" t="s">
        <v>9</v>
      </c>
      <c r="E8825" s="3">
        <v>22</v>
      </c>
      <c r="F8825" s="3">
        <v>75</v>
      </c>
      <c r="G8825" s="3">
        <v>1</v>
      </c>
      <c r="H8825" s="3">
        <v>0</v>
      </c>
      <c r="I8825" s="3">
        <v>0</v>
      </c>
      <c r="J8825" s="3">
        <v>1</v>
      </c>
      <c r="K8825" s="3">
        <v>0</v>
      </c>
      <c r="L8825" s="3">
        <v>1</v>
      </c>
      <c r="M8825" s="3">
        <v>0</v>
      </c>
      <c r="N8825" s="3">
        <v>0</v>
      </c>
      <c r="O8825" s="3"/>
      <c r="P8825" s="3"/>
      <c r="Q8825" s="3"/>
    </row>
    <row r="8826" spans="1:17" ht="15" x14ac:dyDescent="0.25">
      <c r="A8826" s="3">
        <f>8819</f>
        <v>8819</v>
      </c>
      <c r="B8826" s="3" t="s">
        <v>8828</v>
      </c>
      <c r="C8826" s="3" t="s">
        <v>10</v>
      </c>
      <c r="D8826" s="3" t="s">
        <v>9</v>
      </c>
      <c r="E8826" s="3">
        <v>22</v>
      </c>
      <c r="F8826" s="3">
        <v>75</v>
      </c>
      <c r="G8826" s="3">
        <v>1</v>
      </c>
      <c r="H8826" s="3">
        <v>0</v>
      </c>
      <c r="I8826" s="3">
        <v>0</v>
      </c>
      <c r="J8826" s="3">
        <v>1</v>
      </c>
      <c r="K8826" s="3">
        <v>0</v>
      </c>
      <c r="L8826" s="3">
        <v>1</v>
      </c>
      <c r="M8826" s="3">
        <v>0</v>
      </c>
      <c r="N8826" s="3">
        <v>0</v>
      </c>
      <c r="O8826" s="3"/>
      <c r="P8826" s="3"/>
      <c r="Q8826" s="3"/>
    </row>
    <row r="8827" spans="1:17" ht="15" x14ac:dyDescent="0.25">
      <c r="A8827" s="3">
        <f>8820</f>
        <v>8820</v>
      </c>
      <c r="B8827" s="3" t="s">
        <v>8829</v>
      </c>
      <c r="C8827" s="3" t="s">
        <v>10</v>
      </c>
      <c r="D8827" s="3" t="s">
        <v>9</v>
      </c>
      <c r="E8827" s="3">
        <v>22</v>
      </c>
      <c r="F8827" s="3">
        <v>75</v>
      </c>
      <c r="G8827" s="3">
        <v>1</v>
      </c>
      <c r="H8827" s="3">
        <v>0</v>
      </c>
      <c r="I8827" s="3">
        <v>0</v>
      </c>
      <c r="J8827" s="3">
        <v>1</v>
      </c>
      <c r="K8827" s="3">
        <v>0</v>
      </c>
      <c r="L8827" s="3">
        <v>1</v>
      </c>
      <c r="M8827" s="3">
        <v>0</v>
      </c>
      <c r="N8827" s="3">
        <v>0</v>
      </c>
      <c r="O8827" s="3"/>
      <c r="P8827" s="3"/>
      <c r="Q8827" s="3"/>
    </row>
    <row r="8828" spans="1:17" ht="15" x14ac:dyDescent="0.25">
      <c r="A8828" s="3">
        <f>8821</f>
        <v>8821</v>
      </c>
      <c r="B8828" s="3" t="s">
        <v>8830</v>
      </c>
      <c r="C8828" s="3" t="s">
        <v>10</v>
      </c>
      <c r="D8828" s="3" t="s">
        <v>9</v>
      </c>
      <c r="E8828" s="3">
        <v>22</v>
      </c>
      <c r="F8828" s="3">
        <v>75</v>
      </c>
      <c r="G8828" s="3">
        <v>1</v>
      </c>
      <c r="H8828" s="3">
        <v>0</v>
      </c>
      <c r="I8828" s="3">
        <v>0</v>
      </c>
      <c r="J8828" s="3">
        <v>1</v>
      </c>
      <c r="K8828" s="3">
        <v>0</v>
      </c>
      <c r="L8828" s="3">
        <v>1</v>
      </c>
      <c r="M8828" s="3">
        <v>0</v>
      </c>
      <c r="N8828" s="3">
        <v>0</v>
      </c>
      <c r="O8828" s="3"/>
      <c r="P8828" s="3"/>
      <c r="Q8828" s="3"/>
    </row>
    <row r="8829" spans="1:17" ht="15" x14ac:dyDescent="0.25">
      <c r="A8829" s="3">
        <f>8822</f>
        <v>8822</v>
      </c>
      <c r="B8829" s="3" t="s">
        <v>8831</v>
      </c>
      <c r="C8829" s="3" t="s">
        <v>10</v>
      </c>
      <c r="D8829" s="3" t="s">
        <v>9</v>
      </c>
      <c r="E8829" s="3">
        <v>22</v>
      </c>
      <c r="F8829" s="3">
        <v>75</v>
      </c>
      <c r="G8829" s="3">
        <v>1</v>
      </c>
      <c r="H8829" s="3">
        <v>0</v>
      </c>
      <c r="I8829" s="3">
        <v>0</v>
      </c>
      <c r="J8829" s="3">
        <v>1</v>
      </c>
      <c r="K8829" s="3">
        <v>0</v>
      </c>
      <c r="L8829" s="3">
        <v>1</v>
      </c>
      <c r="M8829" s="3">
        <v>0</v>
      </c>
      <c r="N8829" s="3">
        <v>0</v>
      </c>
      <c r="O8829" s="3"/>
      <c r="P8829" s="3"/>
      <c r="Q8829" s="3"/>
    </row>
    <row r="8830" spans="1:17" ht="15" x14ac:dyDescent="0.25">
      <c r="A8830" s="3">
        <f>8823</f>
        <v>8823</v>
      </c>
      <c r="B8830" s="3" t="s">
        <v>8832</v>
      </c>
      <c r="C8830" s="3" t="s">
        <v>10</v>
      </c>
      <c r="D8830" s="3" t="s">
        <v>9</v>
      </c>
      <c r="E8830" s="3">
        <v>22</v>
      </c>
      <c r="F8830" s="3">
        <v>75</v>
      </c>
      <c r="G8830" s="3">
        <v>1</v>
      </c>
      <c r="H8830" s="3">
        <v>0</v>
      </c>
      <c r="I8830" s="3">
        <v>0</v>
      </c>
      <c r="J8830" s="3">
        <v>1</v>
      </c>
      <c r="K8830" s="3">
        <v>0</v>
      </c>
      <c r="L8830" s="3">
        <v>1</v>
      </c>
      <c r="M8830" s="3">
        <v>0</v>
      </c>
      <c r="N8830" s="3">
        <v>0</v>
      </c>
      <c r="O8830" s="3"/>
      <c r="P8830" s="3"/>
      <c r="Q8830" s="3"/>
    </row>
    <row r="8831" spans="1:17" ht="15" x14ac:dyDescent="0.25">
      <c r="A8831" s="3">
        <f>8824</f>
        <v>8824</v>
      </c>
      <c r="B8831" s="3" t="s">
        <v>8833</v>
      </c>
      <c r="C8831" s="3" t="s">
        <v>10</v>
      </c>
      <c r="D8831" s="3" t="s">
        <v>9</v>
      </c>
      <c r="E8831" s="3">
        <v>22</v>
      </c>
      <c r="F8831" s="3">
        <v>75</v>
      </c>
      <c r="G8831" s="3">
        <v>1</v>
      </c>
      <c r="H8831" s="3">
        <v>0</v>
      </c>
      <c r="I8831" s="3">
        <v>0</v>
      </c>
      <c r="J8831" s="3">
        <v>1</v>
      </c>
      <c r="K8831" s="3">
        <v>0</v>
      </c>
      <c r="L8831" s="3">
        <v>1</v>
      </c>
      <c r="M8831" s="3">
        <v>0</v>
      </c>
      <c r="N8831" s="3">
        <v>0</v>
      </c>
      <c r="O8831" s="3"/>
      <c r="P8831" s="3"/>
      <c r="Q8831" s="3"/>
    </row>
    <row r="8832" spans="1:17" ht="15" x14ac:dyDescent="0.25">
      <c r="A8832" s="3">
        <f>8825</f>
        <v>8825</v>
      </c>
      <c r="B8832" s="3" t="s">
        <v>8834</v>
      </c>
      <c r="C8832" s="3" t="s">
        <v>10</v>
      </c>
      <c r="D8832" s="3" t="s">
        <v>9</v>
      </c>
      <c r="E8832" s="3">
        <v>22</v>
      </c>
      <c r="F8832" s="3">
        <v>75</v>
      </c>
      <c r="G8832" s="3">
        <v>1</v>
      </c>
      <c r="H8832" s="3">
        <v>0</v>
      </c>
      <c r="I8832" s="3">
        <v>0</v>
      </c>
      <c r="J8832" s="3">
        <v>1</v>
      </c>
      <c r="K8832" s="3">
        <v>0</v>
      </c>
      <c r="L8832" s="3">
        <v>1</v>
      </c>
      <c r="M8832" s="3">
        <v>0</v>
      </c>
      <c r="N8832" s="3">
        <v>0</v>
      </c>
      <c r="O8832" s="3"/>
      <c r="P8832" s="3"/>
      <c r="Q8832" s="3"/>
    </row>
    <row r="8833" spans="1:17" ht="15" x14ac:dyDescent="0.25">
      <c r="A8833" s="3">
        <f>8826</f>
        <v>8826</v>
      </c>
      <c r="B8833" s="3" t="s">
        <v>8835</v>
      </c>
      <c r="C8833" s="3" t="s">
        <v>10</v>
      </c>
      <c r="D8833" s="3" t="s">
        <v>9</v>
      </c>
      <c r="E8833" s="3">
        <v>22</v>
      </c>
      <c r="F8833" s="3">
        <v>75</v>
      </c>
      <c r="G8833" s="3">
        <v>1</v>
      </c>
      <c r="H8833" s="3">
        <v>0</v>
      </c>
      <c r="I8833" s="3">
        <v>0</v>
      </c>
      <c r="J8833" s="3">
        <v>1</v>
      </c>
      <c r="K8833" s="3">
        <v>0</v>
      </c>
      <c r="L8833" s="3">
        <v>1</v>
      </c>
      <c r="M8833" s="3">
        <v>0</v>
      </c>
      <c r="N8833" s="3">
        <v>0</v>
      </c>
      <c r="O8833" s="3"/>
      <c r="P8833" s="3"/>
      <c r="Q8833" s="3"/>
    </row>
    <row r="8834" spans="1:17" ht="15" x14ac:dyDescent="0.25">
      <c r="A8834" s="3">
        <f>8827</f>
        <v>8827</v>
      </c>
      <c r="B8834" s="3" t="s">
        <v>8836</v>
      </c>
      <c r="C8834" s="3" t="s">
        <v>10</v>
      </c>
      <c r="D8834" s="3" t="s">
        <v>9</v>
      </c>
      <c r="E8834" s="3">
        <v>22</v>
      </c>
      <c r="F8834" s="3">
        <v>75</v>
      </c>
      <c r="G8834" s="3">
        <v>1</v>
      </c>
      <c r="H8834" s="3">
        <v>0</v>
      </c>
      <c r="I8834" s="3">
        <v>0</v>
      </c>
      <c r="J8834" s="3">
        <v>1</v>
      </c>
      <c r="K8834" s="3">
        <v>0</v>
      </c>
      <c r="L8834" s="3">
        <v>1</v>
      </c>
      <c r="M8834" s="3">
        <v>0</v>
      </c>
      <c r="N8834" s="3">
        <v>0</v>
      </c>
      <c r="O8834" s="3"/>
      <c r="P8834" s="3"/>
      <c r="Q8834" s="3"/>
    </row>
    <row r="8835" spans="1:17" ht="15" x14ac:dyDescent="0.25">
      <c r="A8835" s="3">
        <f>8828</f>
        <v>8828</v>
      </c>
      <c r="B8835" s="3" t="s">
        <v>8837</v>
      </c>
      <c r="C8835" s="3" t="s">
        <v>10</v>
      </c>
      <c r="D8835" s="3" t="s">
        <v>9</v>
      </c>
      <c r="E8835" s="3">
        <v>22</v>
      </c>
      <c r="F8835" s="3">
        <v>75</v>
      </c>
      <c r="G8835" s="3">
        <v>1</v>
      </c>
      <c r="H8835" s="3">
        <v>0</v>
      </c>
      <c r="I8835" s="3">
        <v>0</v>
      </c>
      <c r="J8835" s="3">
        <v>1</v>
      </c>
      <c r="K8835" s="3">
        <v>0</v>
      </c>
      <c r="L8835" s="3">
        <v>1</v>
      </c>
      <c r="M8835" s="3">
        <v>0</v>
      </c>
      <c r="N8835" s="3">
        <v>0</v>
      </c>
      <c r="O8835" s="3"/>
      <c r="P8835" s="3"/>
      <c r="Q8835" s="3"/>
    </row>
    <row r="8836" spans="1:17" ht="15" x14ac:dyDescent="0.25">
      <c r="A8836" s="3">
        <f>8829</f>
        <v>8829</v>
      </c>
      <c r="B8836" s="3" t="s">
        <v>8838</v>
      </c>
      <c r="C8836" s="3" t="s">
        <v>10</v>
      </c>
      <c r="D8836" s="3" t="s">
        <v>9</v>
      </c>
      <c r="E8836" s="3">
        <v>22</v>
      </c>
      <c r="F8836" s="3">
        <v>75</v>
      </c>
      <c r="G8836" s="3">
        <v>1</v>
      </c>
      <c r="H8836" s="3">
        <v>0</v>
      </c>
      <c r="I8836" s="3">
        <v>0</v>
      </c>
      <c r="J8836" s="3">
        <v>1</v>
      </c>
      <c r="K8836" s="3">
        <v>0</v>
      </c>
      <c r="L8836" s="3">
        <v>1</v>
      </c>
      <c r="M8836" s="3">
        <v>0</v>
      </c>
      <c r="N8836" s="3">
        <v>0</v>
      </c>
      <c r="O8836" s="3"/>
      <c r="P8836" s="3"/>
      <c r="Q8836" s="3"/>
    </row>
    <row r="8837" spans="1:17" ht="15" x14ac:dyDescent="0.25">
      <c r="A8837" s="3">
        <f>8830</f>
        <v>8830</v>
      </c>
      <c r="B8837" s="3" t="s">
        <v>8839</v>
      </c>
      <c r="C8837" s="3" t="s">
        <v>10</v>
      </c>
      <c r="D8837" s="3" t="s">
        <v>9</v>
      </c>
      <c r="E8837" s="3">
        <v>22</v>
      </c>
      <c r="F8837" s="3">
        <v>75</v>
      </c>
      <c r="G8837" s="3">
        <v>1</v>
      </c>
      <c r="H8837" s="3">
        <v>0</v>
      </c>
      <c r="I8837" s="3">
        <v>0</v>
      </c>
      <c r="J8837" s="3">
        <v>1</v>
      </c>
      <c r="K8837" s="3">
        <v>0</v>
      </c>
      <c r="L8837" s="3">
        <v>1</v>
      </c>
      <c r="M8837" s="3">
        <v>0</v>
      </c>
      <c r="N8837" s="3">
        <v>0</v>
      </c>
      <c r="O8837" s="3"/>
      <c r="P8837" s="3"/>
      <c r="Q8837" s="3"/>
    </row>
    <row r="8838" spans="1:17" ht="15" x14ac:dyDescent="0.25">
      <c r="A8838" s="3">
        <f>8831</f>
        <v>8831</v>
      </c>
      <c r="B8838" s="3" t="s">
        <v>8840</v>
      </c>
      <c r="C8838" s="3" t="s">
        <v>10</v>
      </c>
      <c r="D8838" s="3" t="s">
        <v>9</v>
      </c>
      <c r="E8838" s="3">
        <v>22</v>
      </c>
      <c r="F8838" s="3">
        <v>75</v>
      </c>
      <c r="G8838" s="3">
        <v>1</v>
      </c>
      <c r="H8838" s="3">
        <v>0</v>
      </c>
      <c r="I8838" s="3">
        <v>0</v>
      </c>
      <c r="J8838" s="3">
        <v>1</v>
      </c>
      <c r="K8838" s="3">
        <v>0</v>
      </c>
      <c r="L8838" s="3">
        <v>1</v>
      </c>
      <c r="M8838" s="3">
        <v>0</v>
      </c>
      <c r="N8838" s="3">
        <v>0</v>
      </c>
      <c r="O8838" s="3"/>
      <c r="P8838" s="3"/>
      <c r="Q8838" s="3"/>
    </row>
    <row r="8839" spans="1:17" ht="15" x14ac:dyDescent="0.25">
      <c r="A8839" s="3">
        <f>8832</f>
        <v>8832</v>
      </c>
      <c r="B8839" s="3" t="s">
        <v>8841</v>
      </c>
      <c r="C8839" s="3" t="s">
        <v>10</v>
      </c>
      <c r="D8839" s="3" t="s">
        <v>9</v>
      </c>
      <c r="E8839" s="3">
        <v>22</v>
      </c>
      <c r="F8839" s="3">
        <v>75</v>
      </c>
      <c r="G8839" s="3">
        <v>1</v>
      </c>
      <c r="H8839" s="3">
        <v>0</v>
      </c>
      <c r="I8839" s="3">
        <v>0</v>
      </c>
      <c r="J8839" s="3">
        <v>1</v>
      </c>
      <c r="K8839" s="3">
        <v>0</v>
      </c>
      <c r="L8839" s="3">
        <v>1</v>
      </c>
      <c r="M8839" s="3">
        <v>0</v>
      </c>
      <c r="N8839" s="3">
        <v>0</v>
      </c>
      <c r="O8839" s="3"/>
      <c r="P8839" s="3"/>
      <c r="Q8839" s="3"/>
    </row>
    <row r="8840" spans="1:17" ht="15" x14ac:dyDescent="0.25">
      <c r="A8840" s="3">
        <f>8833</f>
        <v>8833</v>
      </c>
      <c r="B8840" s="3" t="s">
        <v>8842</v>
      </c>
      <c r="C8840" s="3" t="s">
        <v>10</v>
      </c>
      <c r="D8840" s="3" t="s">
        <v>9</v>
      </c>
      <c r="E8840" s="3">
        <v>22</v>
      </c>
      <c r="F8840" s="3">
        <v>75</v>
      </c>
      <c r="G8840" s="3">
        <v>1</v>
      </c>
      <c r="H8840" s="3">
        <v>0</v>
      </c>
      <c r="I8840" s="3">
        <v>0</v>
      </c>
      <c r="J8840" s="3">
        <v>1</v>
      </c>
      <c r="K8840" s="3">
        <v>0</v>
      </c>
      <c r="L8840" s="3">
        <v>1</v>
      </c>
      <c r="M8840" s="3">
        <v>0</v>
      </c>
      <c r="N8840" s="3">
        <v>0</v>
      </c>
      <c r="O8840" s="3"/>
      <c r="P8840" s="3"/>
      <c r="Q8840" s="3"/>
    </row>
    <row r="8841" spans="1:17" ht="15" x14ac:dyDescent="0.25">
      <c r="A8841" s="3">
        <f>8834</f>
        <v>8834</v>
      </c>
      <c r="B8841" s="3" t="s">
        <v>8843</v>
      </c>
      <c r="C8841" s="3" t="s">
        <v>10</v>
      </c>
      <c r="D8841" s="3" t="s">
        <v>9</v>
      </c>
      <c r="E8841" s="3">
        <v>22</v>
      </c>
      <c r="F8841" s="3">
        <v>75</v>
      </c>
      <c r="G8841" s="3">
        <v>1</v>
      </c>
      <c r="H8841" s="3">
        <v>0</v>
      </c>
      <c r="I8841" s="3">
        <v>0</v>
      </c>
      <c r="J8841" s="3">
        <v>1</v>
      </c>
      <c r="K8841" s="3">
        <v>0</v>
      </c>
      <c r="L8841" s="3">
        <v>1</v>
      </c>
      <c r="M8841" s="3">
        <v>0</v>
      </c>
      <c r="N8841" s="3">
        <v>0</v>
      </c>
      <c r="O8841" s="3"/>
      <c r="P8841" s="3"/>
      <c r="Q8841" s="3"/>
    </row>
    <row r="8842" spans="1:17" ht="15" x14ac:dyDescent="0.25">
      <c r="A8842" s="3">
        <f>8835</f>
        <v>8835</v>
      </c>
      <c r="B8842" s="3" t="s">
        <v>8844</v>
      </c>
      <c r="C8842" s="3" t="s">
        <v>10</v>
      </c>
      <c r="D8842" s="3" t="s">
        <v>9</v>
      </c>
      <c r="E8842" s="3">
        <v>22</v>
      </c>
      <c r="F8842" s="3">
        <v>75</v>
      </c>
      <c r="G8842" s="3">
        <v>1</v>
      </c>
      <c r="H8842" s="3">
        <v>0</v>
      </c>
      <c r="I8842" s="3">
        <v>0</v>
      </c>
      <c r="J8842" s="3">
        <v>1</v>
      </c>
      <c r="K8842" s="3">
        <v>0</v>
      </c>
      <c r="L8842" s="3">
        <v>1</v>
      </c>
      <c r="M8842" s="3">
        <v>0</v>
      </c>
      <c r="N8842" s="3">
        <v>0</v>
      </c>
      <c r="O8842" s="3"/>
      <c r="P8842" s="3"/>
      <c r="Q8842" s="3"/>
    </row>
    <row r="8843" spans="1:17" ht="15" x14ac:dyDescent="0.25">
      <c r="A8843" s="3">
        <f>8836</f>
        <v>8836</v>
      </c>
      <c r="B8843" s="3" t="s">
        <v>8845</v>
      </c>
      <c r="C8843" s="3" t="s">
        <v>10</v>
      </c>
      <c r="D8843" s="3" t="s">
        <v>9</v>
      </c>
      <c r="E8843" s="3">
        <v>22</v>
      </c>
      <c r="F8843" s="3">
        <v>75</v>
      </c>
      <c r="G8843" s="3">
        <v>1</v>
      </c>
      <c r="H8843" s="3">
        <v>0</v>
      </c>
      <c r="I8843" s="3">
        <v>0</v>
      </c>
      <c r="J8843" s="3">
        <v>1</v>
      </c>
      <c r="K8843" s="3">
        <v>0</v>
      </c>
      <c r="L8843" s="3">
        <v>1</v>
      </c>
      <c r="M8843" s="3">
        <v>0</v>
      </c>
      <c r="N8843" s="3">
        <v>0</v>
      </c>
      <c r="O8843" s="3"/>
      <c r="P8843" s="3"/>
      <c r="Q8843" s="3"/>
    </row>
    <row r="8844" spans="1:17" ht="15" x14ac:dyDescent="0.25">
      <c r="A8844" s="3">
        <f>8837</f>
        <v>8837</v>
      </c>
      <c r="B8844" s="3" t="s">
        <v>8846</v>
      </c>
      <c r="C8844" s="3" t="s">
        <v>10</v>
      </c>
      <c r="D8844" s="3" t="s">
        <v>9</v>
      </c>
      <c r="E8844" s="3">
        <v>22</v>
      </c>
      <c r="F8844" s="3">
        <v>75</v>
      </c>
      <c r="G8844" s="3">
        <v>1</v>
      </c>
      <c r="H8844" s="3">
        <v>0</v>
      </c>
      <c r="I8844" s="3">
        <v>0</v>
      </c>
      <c r="J8844" s="3">
        <v>1</v>
      </c>
      <c r="K8844" s="3">
        <v>0</v>
      </c>
      <c r="L8844" s="3">
        <v>1</v>
      </c>
      <c r="M8844" s="3">
        <v>0</v>
      </c>
      <c r="N8844" s="3">
        <v>0</v>
      </c>
      <c r="O8844" s="3"/>
      <c r="P8844" s="3"/>
      <c r="Q8844" s="3"/>
    </row>
    <row r="8845" spans="1:17" ht="15" x14ac:dyDescent="0.25">
      <c r="A8845" s="3">
        <f>8838</f>
        <v>8838</v>
      </c>
      <c r="B8845" s="3" t="s">
        <v>8847</v>
      </c>
      <c r="C8845" s="3" t="s">
        <v>10</v>
      </c>
      <c r="D8845" s="3" t="s">
        <v>9</v>
      </c>
      <c r="E8845" s="3">
        <v>22</v>
      </c>
      <c r="F8845" s="3">
        <v>75</v>
      </c>
      <c r="G8845" s="3">
        <v>1</v>
      </c>
      <c r="H8845" s="3">
        <v>0</v>
      </c>
      <c r="I8845" s="3">
        <v>0</v>
      </c>
      <c r="J8845" s="3">
        <v>1</v>
      </c>
      <c r="K8845" s="3">
        <v>0</v>
      </c>
      <c r="L8845" s="3">
        <v>1</v>
      </c>
      <c r="M8845" s="3">
        <v>0</v>
      </c>
      <c r="N8845" s="3">
        <v>0</v>
      </c>
      <c r="O8845" s="3"/>
      <c r="P8845" s="3"/>
      <c r="Q8845" s="3"/>
    </row>
    <row r="8846" spans="1:17" ht="15" x14ac:dyDescent="0.25">
      <c r="A8846" s="3">
        <f>8839</f>
        <v>8839</v>
      </c>
      <c r="B8846" s="3" t="s">
        <v>8848</v>
      </c>
      <c r="C8846" s="3" t="s">
        <v>10</v>
      </c>
      <c r="D8846" s="3" t="s">
        <v>9</v>
      </c>
      <c r="E8846" s="3">
        <v>22</v>
      </c>
      <c r="F8846" s="3">
        <v>75</v>
      </c>
      <c r="G8846" s="3">
        <v>1</v>
      </c>
      <c r="H8846" s="3">
        <v>0</v>
      </c>
      <c r="I8846" s="3">
        <v>0</v>
      </c>
      <c r="J8846" s="3">
        <v>1</v>
      </c>
      <c r="K8846" s="3">
        <v>0</v>
      </c>
      <c r="L8846" s="3">
        <v>1</v>
      </c>
      <c r="M8846" s="3">
        <v>0</v>
      </c>
      <c r="N8846" s="3">
        <v>0</v>
      </c>
      <c r="O8846" s="3"/>
      <c r="P8846" s="3"/>
      <c r="Q8846" s="3"/>
    </row>
    <row r="8847" spans="1:17" ht="15" x14ac:dyDescent="0.25">
      <c r="A8847" s="3">
        <f>8840</f>
        <v>8840</v>
      </c>
      <c r="B8847" s="3" t="s">
        <v>8849</v>
      </c>
      <c r="C8847" s="3" t="s">
        <v>10</v>
      </c>
      <c r="D8847" s="3" t="s">
        <v>9</v>
      </c>
      <c r="E8847" s="3">
        <v>22</v>
      </c>
      <c r="F8847" s="3">
        <v>75</v>
      </c>
      <c r="G8847" s="3">
        <v>1</v>
      </c>
      <c r="H8847" s="3">
        <v>0</v>
      </c>
      <c r="I8847" s="3">
        <v>0</v>
      </c>
      <c r="J8847" s="3">
        <v>1</v>
      </c>
      <c r="K8847" s="3">
        <v>0</v>
      </c>
      <c r="L8847" s="3">
        <v>1</v>
      </c>
      <c r="M8847" s="3">
        <v>0</v>
      </c>
      <c r="N8847" s="3">
        <v>0</v>
      </c>
      <c r="O8847" s="3"/>
      <c r="P8847" s="3"/>
      <c r="Q8847" s="3"/>
    </row>
    <row r="8848" spans="1:17" ht="15" x14ac:dyDescent="0.25">
      <c r="A8848" s="3">
        <f>8841</f>
        <v>8841</v>
      </c>
      <c r="B8848" s="3" t="s">
        <v>8850</v>
      </c>
      <c r="C8848" s="3" t="s">
        <v>10</v>
      </c>
      <c r="D8848" s="3" t="s">
        <v>9</v>
      </c>
      <c r="E8848" s="3">
        <v>22</v>
      </c>
      <c r="F8848" s="3">
        <v>75</v>
      </c>
      <c r="G8848" s="3">
        <v>1</v>
      </c>
      <c r="H8848" s="3">
        <v>0</v>
      </c>
      <c r="I8848" s="3">
        <v>0</v>
      </c>
      <c r="J8848" s="3">
        <v>1</v>
      </c>
      <c r="K8848" s="3">
        <v>0</v>
      </c>
      <c r="L8848" s="3">
        <v>1</v>
      </c>
      <c r="M8848" s="3">
        <v>0</v>
      </c>
      <c r="N8848" s="3">
        <v>0</v>
      </c>
      <c r="O8848" s="3"/>
      <c r="P8848" s="3"/>
      <c r="Q8848" s="3"/>
    </row>
    <row r="8849" spans="1:17" ht="15" x14ac:dyDescent="0.25">
      <c r="A8849" s="3">
        <f>8842</f>
        <v>8842</v>
      </c>
      <c r="B8849" s="3" t="s">
        <v>8851</v>
      </c>
      <c r="C8849" s="3" t="s">
        <v>10</v>
      </c>
      <c r="D8849" s="3" t="s">
        <v>9</v>
      </c>
      <c r="E8849" s="3">
        <v>22</v>
      </c>
      <c r="F8849" s="3">
        <v>75</v>
      </c>
      <c r="G8849" s="3">
        <v>1</v>
      </c>
      <c r="H8849" s="3">
        <v>0</v>
      </c>
      <c r="I8849" s="3">
        <v>0</v>
      </c>
      <c r="J8849" s="3">
        <v>1</v>
      </c>
      <c r="K8849" s="3">
        <v>0</v>
      </c>
      <c r="L8849" s="3">
        <v>1</v>
      </c>
      <c r="M8849" s="3">
        <v>0</v>
      </c>
      <c r="N8849" s="3">
        <v>0</v>
      </c>
      <c r="O8849" s="3"/>
      <c r="P8849" s="3"/>
      <c r="Q8849" s="3"/>
    </row>
    <row r="8850" spans="1:17" ht="15" x14ac:dyDescent="0.25">
      <c r="A8850" s="3">
        <f>8843</f>
        <v>8843</v>
      </c>
      <c r="B8850" s="3" t="s">
        <v>8852</v>
      </c>
      <c r="C8850" s="3" t="s">
        <v>10</v>
      </c>
      <c r="D8850" s="3" t="s">
        <v>9</v>
      </c>
      <c r="E8850" s="3">
        <v>22</v>
      </c>
      <c r="F8850" s="3">
        <v>75</v>
      </c>
      <c r="G8850" s="3">
        <v>1</v>
      </c>
      <c r="H8850" s="3">
        <v>0</v>
      </c>
      <c r="I8850" s="3">
        <v>0</v>
      </c>
      <c r="J8850" s="3">
        <v>1</v>
      </c>
      <c r="K8850" s="3">
        <v>0</v>
      </c>
      <c r="L8850" s="3">
        <v>1</v>
      </c>
      <c r="M8850" s="3">
        <v>0</v>
      </c>
      <c r="N8850" s="3">
        <v>0</v>
      </c>
      <c r="O8850" s="3"/>
      <c r="P8850" s="3"/>
      <c r="Q8850" s="3"/>
    </row>
    <row r="8851" spans="1:17" ht="15" x14ac:dyDescent="0.25">
      <c r="A8851" s="3">
        <f>8844</f>
        <v>8844</v>
      </c>
      <c r="B8851" s="3" t="s">
        <v>8853</v>
      </c>
      <c r="C8851" s="3" t="s">
        <v>10</v>
      </c>
      <c r="D8851" s="3" t="s">
        <v>9</v>
      </c>
      <c r="E8851" s="3">
        <v>22</v>
      </c>
      <c r="F8851" s="3">
        <v>75</v>
      </c>
      <c r="G8851" s="3">
        <v>1</v>
      </c>
      <c r="H8851" s="3">
        <v>0</v>
      </c>
      <c r="I8851" s="3">
        <v>0</v>
      </c>
      <c r="J8851" s="3">
        <v>1</v>
      </c>
      <c r="K8851" s="3">
        <v>0</v>
      </c>
      <c r="L8851" s="3">
        <v>1</v>
      </c>
      <c r="M8851" s="3">
        <v>0</v>
      </c>
      <c r="N8851" s="3">
        <v>0</v>
      </c>
      <c r="O8851" s="3"/>
      <c r="P8851" s="3"/>
      <c r="Q8851" s="3"/>
    </row>
    <row r="8852" spans="1:17" ht="15" x14ac:dyDescent="0.25">
      <c r="A8852" s="3">
        <f>8845</f>
        <v>8845</v>
      </c>
      <c r="B8852" s="3" t="s">
        <v>8854</v>
      </c>
      <c r="C8852" s="3" t="s">
        <v>10</v>
      </c>
      <c r="D8852" s="3" t="s">
        <v>9</v>
      </c>
      <c r="E8852" s="3">
        <v>22</v>
      </c>
      <c r="F8852" s="3">
        <v>75</v>
      </c>
      <c r="G8852" s="3">
        <v>1</v>
      </c>
      <c r="H8852" s="3">
        <v>0</v>
      </c>
      <c r="I8852" s="3">
        <v>0</v>
      </c>
      <c r="J8852" s="3">
        <v>1</v>
      </c>
      <c r="K8852" s="3">
        <v>0</v>
      </c>
      <c r="L8852" s="3">
        <v>1</v>
      </c>
      <c r="M8852" s="3">
        <v>0</v>
      </c>
      <c r="N8852" s="3">
        <v>0</v>
      </c>
      <c r="O8852" s="3"/>
      <c r="P8852" s="3"/>
      <c r="Q8852" s="3"/>
    </row>
    <row r="8853" spans="1:17" ht="15" x14ac:dyDescent="0.25">
      <c r="A8853" s="3">
        <f>8846</f>
        <v>8846</v>
      </c>
      <c r="B8853" s="3" t="s">
        <v>8855</v>
      </c>
      <c r="C8853" s="3" t="s">
        <v>10</v>
      </c>
      <c r="D8853" s="3" t="s">
        <v>9</v>
      </c>
      <c r="E8853" s="3">
        <v>22</v>
      </c>
      <c r="F8853" s="3">
        <v>75</v>
      </c>
      <c r="G8853" s="3">
        <v>1</v>
      </c>
      <c r="H8853" s="3">
        <v>0</v>
      </c>
      <c r="I8853" s="3">
        <v>0</v>
      </c>
      <c r="J8853" s="3">
        <v>1</v>
      </c>
      <c r="K8853" s="3">
        <v>0</v>
      </c>
      <c r="L8853" s="3">
        <v>1</v>
      </c>
      <c r="M8853" s="3">
        <v>0</v>
      </c>
      <c r="N8853" s="3">
        <v>0</v>
      </c>
      <c r="O8853" s="3"/>
      <c r="P8853" s="3"/>
      <c r="Q8853" s="3"/>
    </row>
    <row r="8854" spans="1:17" ht="15" x14ac:dyDescent="0.25">
      <c r="A8854" s="3">
        <f>8847</f>
        <v>8847</v>
      </c>
      <c r="B8854" s="3" t="s">
        <v>8856</v>
      </c>
      <c r="C8854" s="3" t="s">
        <v>10</v>
      </c>
      <c r="D8854" s="3" t="s">
        <v>9</v>
      </c>
      <c r="E8854" s="3">
        <v>22</v>
      </c>
      <c r="F8854" s="3">
        <v>75</v>
      </c>
      <c r="G8854" s="3">
        <v>1</v>
      </c>
      <c r="H8854" s="3">
        <v>0</v>
      </c>
      <c r="I8854" s="3">
        <v>0</v>
      </c>
      <c r="J8854" s="3">
        <v>1</v>
      </c>
      <c r="K8854" s="3">
        <v>0</v>
      </c>
      <c r="L8854" s="3">
        <v>1</v>
      </c>
      <c r="M8854" s="3">
        <v>0</v>
      </c>
      <c r="N8854" s="3">
        <v>0</v>
      </c>
      <c r="O8854" s="3"/>
      <c r="P8854" s="3"/>
      <c r="Q8854" s="3"/>
    </row>
    <row r="8855" spans="1:17" ht="15" x14ac:dyDescent="0.25">
      <c r="A8855" s="3">
        <f>8848</f>
        <v>8848</v>
      </c>
      <c r="B8855" s="3" t="s">
        <v>8857</v>
      </c>
      <c r="C8855" s="3" t="s">
        <v>10</v>
      </c>
      <c r="D8855" s="3" t="s">
        <v>9</v>
      </c>
      <c r="E8855" s="3">
        <v>22</v>
      </c>
      <c r="F8855" s="3">
        <v>75</v>
      </c>
      <c r="G8855" s="3">
        <v>1</v>
      </c>
      <c r="H8855" s="3">
        <v>0</v>
      </c>
      <c r="I8855" s="3">
        <v>0</v>
      </c>
      <c r="J8855" s="3">
        <v>1</v>
      </c>
      <c r="K8855" s="3">
        <v>0</v>
      </c>
      <c r="L8855" s="3">
        <v>1</v>
      </c>
      <c r="M8855" s="3">
        <v>0</v>
      </c>
      <c r="N8855" s="3">
        <v>0</v>
      </c>
      <c r="O8855" s="3"/>
      <c r="P8855" s="3"/>
      <c r="Q8855" s="3"/>
    </row>
    <row r="8856" spans="1:17" ht="15" x14ac:dyDescent="0.25">
      <c r="A8856" s="3">
        <f>8849</f>
        <v>8849</v>
      </c>
      <c r="B8856" s="3" t="s">
        <v>8858</v>
      </c>
      <c r="C8856" s="3" t="s">
        <v>10</v>
      </c>
      <c r="D8856" s="3" t="s">
        <v>9</v>
      </c>
      <c r="E8856" s="3">
        <v>22</v>
      </c>
      <c r="F8856" s="3">
        <v>75</v>
      </c>
      <c r="G8856" s="3">
        <v>1</v>
      </c>
      <c r="H8856" s="3">
        <v>0</v>
      </c>
      <c r="I8856" s="3">
        <v>0</v>
      </c>
      <c r="J8856" s="3">
        <v>1</v>
      </c>
      <c r="K8856" s="3">
        <v>0</v>
      </c>
      <c r="L8856" s="3">
        <v>1</v>
      </c>
      <c r="M8856" s="3">
        <v>0</v>
      </c>
      <c r="N8856" s="3">
        <v>0</v>
      </c>
      <c r="O8856" s="3"/>
      <c r="P8856" s="3"/>
      <c r="Q8856" s="3"/>
    </row>
    <row r="8857" spans="1:17" ht="15" x14ac:dyDescent="0.25">
      <c r="A8857" s="3">
        <f>8850</f>
        <v>8850</v>
      </c>
      <c r="B8857" s="3" t="s">
        <v>8859</v>
      </c>
      <c r="C8857" s="3" t="s">
        <v>10</v>
      </c>
      <c r="D8857" s="3" t="s">
        <v>9</v>
      </c>
      <c r="E8857" s="3">
        <v>22</v>
      </c>
      <c r="F8857" s="3">
        <v>75</v>
      </c>
      <c r="G8857" s="3">
        <v>1</v>
      </c>
      <c r="H8857" s="3">
        <v>0</v>
      </c>
      <c r="I8857" s="3">
        <v>0</v>
      </c>
      <c r="J8857" s="3">
        <v>1</v>
      </c>
      <c r="K8857" s="3">
        <v>0</v>
      </c>
      <c r="L8857" s="3">
        <v>1</v>
      </c>
      <c r="M8857" s="3">
        <v>0</v>
      </c>
      <c r="N8857" s="3">
        <v>0</v>
      </c>
      <c r="O8857" s="3"/>
      <c r="P8857" s="3"/>
      <c r="Q8857" s="3"/>
    </row>
    <row r="8858" spans="1:17" ht="15" x14ac:dyDescent="0.25">
      <c r="A8858" s="3">
        <f>8851</f>
        <v>8851</v>
      </c>
      <c r="B8858" s="3" t="s">
        <v>8860</v>
      </c>
      <c r="C8858" s="3" t="s">
        <v>10</v>
      </c>
      <c r="D8858" s="3" t="s">
        <v>9</v>
      </c>
      <c r="E8858" s="3">
        <v>22</v>
      </c>
      <c r="F8858" s="3">
        <v>75</v>
      </c>
      <c r="G8858" s="3">
        <v>1</v>
      </c>
      <c r="H8858" s="3">
        <v>0</v>
      </c>
      <c r="I8858" s="3">
        <v>0</v>
      </c>
      <c r="J8858" s="3">
        <v>1</v>
      </c>
      <c r="K8858" s="3">
        <v>0</v>
      </c>
      <c r="L8858" s="3">
        <v>1</v>
      </c>
      <c r="M8858" s="3">
        <v>0</v>
      </c>
      <c r="N8858" s="3">
        <v>0</v>
      </c>
      <c r="O8858" s="3"/>
      <c r="P8858" s="3"/>
      <c r="Q8858" s="3"/>
    </row>
    <row r="8859" spans="1:17" ht="15" x14ac:dyDescent="0.25">
      <c r="A8859" s="3">
        <f>8852</f>
        <v>8852</v>
      </c>
      <c r="B8859" s="3" t="s">
        <v>8861</v>
      </c>
      <c r="C8859" s="3" t="s">
        <v>10</v>
      </c>
      <c r="D8859" s="3" t="s">
        <v>9</v>
      </c>
      <c r="E8859" s="3">
        <v>22</v>
      </c>
      <c r="F8859" s="3">
        <v>75</v>
      </c>
      <c r="G8859" s="3">
        <v>1</v>
      </c>
      <c r="H8859" s="3">
        <v>0</v>
      </c>
      <c r="I8859" s="3">
        <v>0</v>
      </c>
      <c r="J8859" s="3">
        <v>1</v>
      </c>
      <c r="K8859" s="3">
        <v>0</v>
      </c>
      <c r="L8859" s="3">
        <v>1</v>
      </c>
      <c r="M8859" s="3">
        <v>0</v>
      </c>
      <c r="N8859" s="3">
        <v>0</v>
      </c>
      <c r="O8859" s="3"/>
      <c r="P8859" s="3"/>
      <c r="Q8859" s="3"/>
    </row>
    <row r="8860" spans="1:17" ht="15" x14ac:dyDescent="0.25">
      <c r="A8860" s="3">
        <f>8853</f>
        <v>8853</v>
      </c>
      <c r="B8860" s="3" t="s">
        <v>8862</v>
      </c>
      <c r="C8860" s="3" t="s">
        <v>10</v>
      </c>
      <c r="D8860" s="3" t="s">
        <v>9</v>
      </c>
      <c r="E8860" s="3">
        <v>22</v>
      </c>
      <c r="F8860" s="3">
        <v>75</v>
      </c>
      <c r="G8860" s="3">
        <v>1</v>
      </c>
      <c r="H8860" s="3">
        <v>0</v>
      </c>
      <c r="I8860" s="3">
        <v>0</v>
      </c>
      <c r="J8860" s="3">
        <v>1</v>
      </c>
      <c r="K8860" s="3">
        <v>0</v>
      </c>
      <c r="L8860" s="3">
        <v>1</v>
      </c>
      <c r="M8860" s="3">
        <v>0</v>
      </c>
      <c r="N8860" s="3">
        <v>0</v>
      </c>
      <c r="O8860" s="3"/>
      <c r="P8860" s="3"/>
      <c r="Q8860" s="3"/>
    </row>
    <row r="8861" spans="1:17" ht="15" x14ac:dyDescent="0.25">
      <c r="A8861" s="3">
        <f>8854</f>
        <v>8854</v>
      </c>
      <c r="B8861" s="3" t="s">
        <v>8863</v>
      </c>
      <c r="C8861" s="3" t="s">
        <v>10</v>
      </c>
      <c r="D8861" s="3" t="s">
        <v>9</v>
      </c>
      <c r="E8861" s="3">
        <v>22</v>
      </c>
      <c r="F8861" s="3">
        <v>75</v>
      </c>
      <c r="G8861" s="3">
        <v>1</v>
      </c>
      <c r="H8861" s="3">
        <v>0</v>
      </c>
      <c r="I8861" s="3">
        <v>0</v>
      </c>
      <c r="J8861" s="3">
        <v>1</v>
      </c>
      <c r="K8861" s="3">
        <v>0</v>
      </c>
      <c r="L8861" s="3">
        <v>1</v>
      </c>
      <c r="M8861" s="3">
        <v>0</v>
      </c>
      <c r="N8861" s="3">
        <v>0</v>
      </c>
      <c r="O8861" s="3"/>
      <c r="P8861" s="3"/>
      <c r="Q8861" s="3"/>
    </row>
    <row r="8862" spans="1:17" ht="15" x14ac:dyDescent="0.25">
      <c r="A8862" s="3">
        <f>8855</f>
        <v>8855</v>
      </c>
      <c r="B8862" s="3" t="s">
        <v>8864</v>
      </c>
      <c r="C8862" s="3" t="s">
        <v>10</v>
      </c>
      <c r="D8862" s="3" t="s">
        <v>9</v>
      </c>
      <c r="E8862" s="3">
        <v>22</v>
      </c>
      <c r="F8862" s="3">
        <v>75</v>
      </c>
      <c r="G8862" s="3">
        <v>1</v>
      </c>
      <c r="H8862" s="3">
        <v>0</v>
      </c>
      <c r="I8862" s="3">
        <v>0</v>
      </c>
      <c r="J8862" s="3">
        <v>1</v>
      </c>
      <c r="K8862" s="3">
        <v>0</v>
      </c>
      <c r="L8862" s="3">
        <v>1</v>
      </c>
      <c r="M8862" s="3">
        <v>0</v>
      </c>
      <c r="N8862" s="3">
        <v>0</v>
      </c>
      <c r="O8862" s="3"/>
      <c r="P8862" s="3"/>
      <c r="Q8862" s="3"/>
    </row>
    <row r="8863" spans="1:17" ht="15" x14ac:dyDescent="0.25">
      <c r="A8863" s="3">
        <f>8856</f>
        <v>8856</v>
      </c>
      <c r="B8863" s="3" t="s">
        <v>8865</v>
      </c>
      <c r="C8863" s="3" t="s">
        <v>10</v>
      </c>
      <c r="D8863" s="3" t="s">
        <v>9</v>
      </c>
      <c r="E8863" s="3">
        <v>22</v>
      </c>
      <c r="F8863" s="3">
        <v>75</v>
      </c>
      <c r="G8863" s="3">
        <v>1</v>
      </c>
      <c r="H8863" s="3">
        <v>0</v>
      </c>
      <c r="I8863" s="3">
        <v>0</v>
      </c>
      <c r="J8863" s="3">
        <v>1</v>
      </c>
      <c r="K8863" s="3">
        <v>0</v>
      </c>
      <c r="L8863" s="3">
        <v>1</v>
      </c>
      <c r="M8863" s="3">
        <v>0</v>
      </c>
      <c r="N8863" s="3">
        <v>0</v>
      </c>
      <c r="O8863" s="3"/>
      <c r="P8863" s="3"/>
      <c r="Q8863" s="3"/>
    </row>
    <row r="8864" spans="1:17" ht="15" x14ac:dyDescent="0.25">
      <c r="A8864" s="3">
        <f>8857</f>
        <v>8857</v>
      </c>
      <c r="B8864" s="3" t="s">
        <v>8866</v>
      </c>
      <c r="C8864" s="3" t="s">
        <v>10</v>
      </c>
      <c r="D8864" s="3" t="s">
        <v>9</v>
      </c>
      <c r="E8864" s="3">
        <v>22</v>
      </c>
      <c r="F8864" s="3">
        <v>75</v>
      </c>
      <c r="G8864" s="3">
        <v>1</v>
      </c>
      <c r="H8864" s="3">
        <v>0</v>
      </c>
      <c r="I8864" s="3">
        <v>0</v>
      </c>
      <c r="J8864" s="3">
        <v>1</v>
      </c>
      <c r="K8864" s="3">
        <v>0</v>
      </c>
      <c r="L8864" s="3">
        <v>1</v>
      </c>
      <c r="M8864" s="3">
        <v>0</v>
      </c>
      <c r="N8864" s="3">
        <v>0</v>
      </c>
      <c r="O8864" s="3"/>
      <c r="P8864" s="3"/>
      <c r="Q8864" s="3"/>
    </row>
    <row r="8865" spans="1:17" ht="15" x14ac:dyDescent="0.25">
      <c r="A8865" s="3">
        <f>8858</f>
        <v>8858</v>
      </c>
      <c r="B8865" s="3" t="s">
        <v>8867</v>
      </c>
      <c r="C8865" s="3" t="s">
        <v>10</v>
      </c>
      <c r="D8865" s="3" t="s">
        <v>9</v>
      </c>
      <c r="E8865" s="3">
        <v>22</v>
      </c>
      <c r="F8865" s="3">
        <v>75</v>
      </c>
      <c r="G8865" s="3">
        <v>1</v>
      </c>
      <c r="H8865" s="3">
        <v>0</v>
      </c>
      <c r="I8865" s="3">
        <v>0</v>
      </c>
      <c r="J8865" s="3">
        <v>1</v>
      </c>
      <c r="K8865" s="3">
        <v>0</v>
      </c>
      <c r="L8865" s="3">
        <v>1</v>
      </c>
      <c r="M8865" s="3">
        <v>0</v>
      </c>
      <c r="N8865" s="3">
        <v>0</v>
      </c>
      <c r="O8865" s="3"/>
      <c r="P8865" s="3"/>
      <c r="Q8865" s="3"/>
    </row>
    <row r="8866" spans="1:17" ht="15" x14ac:dyDescent="0.25">
      <c r="A8866" s="3">
        <f>8859</f>
        <v>8859</v>
      </c>
      <c r="B8866" s="3" t="s">
        <v>8868</v>
      </c>
      <c r="C8866" s="3" t="s">
        <v>10</v>
      </c>
      <c r="D8866" s="3" t="s">
        <v>9</v>
      </c>
      <c r="E8866" s="3">
        <v>22</v>
      </c>
      <c r="F8866" s="3">
        <v>75</v>
      </c>
      <c r="G8866" s="3">
        <v>1</v>
      </c>
      <c r="H8866" s="3">
        <v>0</v>
      </c>
      <c r="I8866" s="3">
        <v>0</v>
      </c>
      <c r="J8866" s="3">
        <v>1</v>
      </c>
      <c r="K8866" s="3">
        <v>0</v>
      </c>
      <c r="L8866" s="3">
        <v>1</v>
      </c>
      <c r="M8866" s="3">
        <v>0</v>
      </c>
      <c r="N8866" s="3">
        <v>0</v>
      </c>
      <c r="O8866" s="3"/>
      <c r="P8866" s="3"/>
      <c r="Q8866" s="3"/>
    </row>
    <row r="8867" spans="1:17" ht="15" x14ac:dyDescent="0.25">
      <c r="A8867" s="3">
        <f>8860</f>
        <v>8860</v>
      </c>
      <c r="B8867" s="3" t="s">
        <v>8869</v>
      </c>
      <c r="C8867" s="3" t="s">
        <v>10</v>
      </c>
      <c r="D8867" s="3" t="s">
        <v>9</v>
      </c>
      <c r="E8867" s="3">
        <v>22</v>
      </c>
      <c r="F8867" s="3">
        <v>75</v>
      </c>
      <c r="G8867" s="3">
        <v>1</v>
      </c>
      <c r="H8867" s="3">
        <v>0</v>
      </c>
      <c r="I8867" s="3">
        <v>0</v>
      </c>
      <c r="J8867" s="3">
        <v>1</v>
      </c>
      <c r="K8867" s="3">
        <v>0</v>
      </c>
      <c r="L8867" s="3">
        <v>1</v>
      </c>
      <c r="M8867" s="3">
        <v>0</v>
      </c>
      <c r="N8867" s="3">
        <v>0</v>
      </c>
      <c r="O8867" s="3"/>
      <c r="P8867" s="3"/>
      <c r="Q8867" s="3"/>
    </row>
    <row r="8868" spans="1:17" ht="15" x14ac:dyDescent="0.25">
      <c r="A8868" s="3">
        <f>8861</f>
        <v>8861</v>
      </c>
      <c r="B8868" s="3" t="s">
        <v>8870</v>
      </c>
      <c r="C8868" s="3" t="s">
        <v>10</v>
      </c>
      <c r="D8868" s="3" t="s">
        <v>9</v>
      </c>
      <c r="E8868" s="3">
        <v>22</v>
      </c>
      <c r="F8868" s="3">
        <v>75</v>
      </c>
      <c r="G8868" s="3">
        <v>1</v>
      </c>
      <c r="H8868" s="3">
        <v>0</v>
      </c>
      <c r="I8868" s="3">
        <v>0</v>
      </c>
      <c r="J8868" s="3">
        <v>1</v>
      </c>
      <c r="K8868" s="3">
        <v>0</v>
      </c>
      <c r="L8868" s="3">
        <v>1</v>
      </c>
      <c r="M8868" s="3">
        <v>0</v>
      </c>
      <c r="N8868" s="3">
        <v>0</v>
      </c>
      <c r="O8868" s="3"/>
      <c r="P8868" s="3"/>
      <c r="Q8868" s="3"/>
    </row>
    <row r="8869" spans="1:17" ht="15" x14ac:dyDescent="0.25">
      <c r="A8869" s="3">
        <f>8862</f>
        <v>8862</v>
      </c>
      <c r="B8869" s="3" t="s">
        <v>8871</v>
      </c>
      <c r="C8869" s="3" t="s">
        <v>10</v>
      </c>
      <c r="D8869" s="3" t="s">
        <v>9</v>
      </c>
      <c r="E8869" s="3">
        <v>22</v>
      </c>
      <c r="F8869" s="3">
        <v>75</v>
      </c>
      <c r="G8869" s="3">
        <v>1</v>
      </c>
      <c r="H8869" s="3">
        <v>0</v>
      </c>
      <c r="I8869" s="3">
        <v>0</v>
      </c>
      <c r="J8869" s="3">
        <v>1</v>
      </c>
      <c r="K8869" s="3">
        <v>0</v>
      </c>
      <c r="L8869" s="3">
        <v>1</v>
      </c>
      <c r="M8869" s="3">
        <v>0</v>
      </c>
      <c r="N8869" s="3">
        <v>0</v>
      </c>
      <c r="O8869" s="3"/>
      <c r="P8869" s="3"/>
      <c r="Q8869" s="3"/>
    </row>
    <row r="8870" spans="1:17" ht="15" x14ac:dyDescent="0.25">
      <c r="A8870" s="3">
        <f>8863</f>
        <v>8863</v>
      </c>
      <c r="B8870" s="3" t="s">
        <v>8872</v>
      </c>
      <c r="C8870" s="3" t="s">
        <v>10</v>
      </c>
      <c r="D8870" s="3" t="s">
        <v>9</v>
      </c>
      <c r="E8870" s="3">
        <v>22</v>
      </c>
      <c r="F8870" s="3">
        <v>75</v>
      </c>
      <c r="G8870" s="3">
        <v>1</v>
      </c>
      <c r="H8870" s="3">
        <v>0</v>
      </c>
      <c r="I8870" s="3">
        <v>0</v>
      </c>
      <c r="J8870" s="3">
        <v>1</v>
      </c>
      <c r="K8870" s="3">
        <v>0</v>
      </c>
      <c r="L8870" s="3">
        <v>1</v>
      </c>
      <c r="M8870" s="3">
        <v>0</v>
      </c>
      <c r="N8870" s="3">
        <v>0</v>
      </c>
      <c r="O8870" s="3"/>
      <c r="P8870" s="3"/>
      <c r="Q8870" s="3"/>
    </row>
    <row r="8871" spans="1:17" ht="15" x14ac:dyDescent="0.25">
      <c r="A8871" s="3">
        <f>8864</f>
        <v>8864</v>
      </c>
      <c r="B8871" s="3" t="s">
        <v>8873</v>
      </c>
      <c r="C8871" s="3" t="s">
        <v>10</v>
      </c>
      <c r="D8871" s="3" t="s">
        <v>9</v>
      </c>
      <c r="E8871" s="3">
        <v>22</v>
      </c>
      <c r="F8871" s="3">
        <v>75</v>
      </c>
      <c r="G8871" s="3">
        <v>1</v>
      </c>
      <c r="H8871" s="3">
        <v>0</v>
      </c>
      <c r="I8871" s="3">
        <v>0</v>
      </c>
      <c r="J8871" s="3">
        <v>1</v>
      </c>
      <c r="K8871" s="3">
        <v>0</v>
      </c>
      <c r="L8871" s="3">
        <v>1</v>
      </c>
      <c r="M8871" s="3">
        <v>0</v>
      </c>
      <c r="N8871" s="3">
        <v>0</v>
      </c>
      <c r="O8871" s="3"/>
      <c r="P8871" s="3"/>
      <c r="Q8871" s="3"/>
    </row>
    <row r="8872" spans="1:17" ht="15" x14ac:dyDescent="0.25">
      <c r="A8872" s="3">
        <f>8865</f>
        <v>8865</v>
      </c>
      <c r="B8872" s="3" t="s">
        <v>8874</v>
      </c>
      <c r="C8872" s="3" t="s">
        <v>10</v>
      </c>
      <c r="D8872" s="3" t="s">
        <v>9</v>
      </c>
      <c r="E8872" s="3">
        <v>22</v>
      </c>
      <c r="F8872" s="3">
        <v>75</v>
      </c>
      <c r="G8872" s="3">
        <v>1</v>
      </c>
      <c r="H8872" s="3">
        <v>0</v>
      </c>
      <c r="I8872" s="3">
        <v>0</v>
      </c>
      <c r="J8872" s="3">
        <v>1</v>
      </c>
      <c r="K8872" s="3">
        <v>0</v>
      </c>
      <c r="L8872" s="3">
        <v>1</v>
      </c>
      <c r="M8872" s="3">
        <v>0</v>
      </c>
      <c r="N8872" s="3">
        <v>0</v>
      </c>
      <c r="O8872" s="3"/>
      <c r="P8872" s="3"/>
      <c r="Q8872" s="3"/>
    </row>
    <row r="8873" spans="1:17" ht="15" x14ac:dyDescent="0.25">
      <c r="A8873" s="3">
        <f>8866</f>
        <v>8866</v>
      </c>
      <c r="B8873" s="3" t="s">
        <v>8875</v>
      </c>
      <c r="C8873" s="3" t="s">
        <v>10</v>
      </c>
      <c r="D8873" s="3" t="s">
        <v>9</v>
      </c>
      <c r="E8873" s="3">
        <v>22</v>
      </c>
      <c r="F8873" s="3">
        <v>75</v>
      </c>
      <c r="G8873" s="3">
        <v>1</v>
      </c>
      <c r="H8873" s="3">
        <v>0</v>
      </c>
      <c r="I8873" s="3">
        <v>0</v>
      </c>
      <c r="J8873" s="3">
        <v>1</v>
      </c>
      <c r="K8873" s="3">
        <v>0</v>
      </c>
      <c r="L8873" s="3">
        <v>1</v>
      </c>
      <c r="M8873" s="3">
        <v>0</v>
      </c>
      <c r="N8873" s="3">
        <v>0</v>
      </c>
      <c r="O8873" s="3"/>
      <c r="P8873" s="3"/>
      <c r="Q8873" s="3"/>
    </row>
    <row r="8874" spans="1:17" ht="15" x14ac:dyDescent="0.25">
      <c r="A8874" s="3">
        <f>8867</f>
        <v>8867</v>
      </c>
      <c r="B8874" s="3" t="s">
        <v>8876</v>
      </c>
      <c r="C8874" s="3" t="s">
        <v>10</v>
      </c>
      <c r="D8874" s="3" t="s">
        <v>9</v>
      </c>
      <c r="E8874" s="3">
        <v>22</v>
      </c>
      <c r="F8874" s="3">
        <v>75</v>
      </c>
      <c r="G8874" s="3">
        <v>1</v>
      </c>
      <c r="H8874" s="3">
        <v>0</v>
      </c>
      <c r="I8874" s="3">
        <v>0</v>
      </c>
      <c r="J8874" s="3">
        <v>1</v>
      </c>
      <c r="K8874" s="3">
        <v>0</v>
      </c>
      <c r="L8874" s="3">
        <v>1</v>
      </c>
      <c r="M8874" s="3">
        <v>0</v>
      </c>
      <c r="N8874" s="3">
        <v>0</v>
      </c>
      <c r="O8874" s="3"/>
      <c r="P8874" s="3"/>
      <c r="Q8874" s="3"/>
    </row>
    <row r="8875" spans="1:17" ht="15" x14ac:dyDescent="0.25">
      <c r="A8875" s="3">
        <f>8868</f>
        <v>8868</v>
      </c>
      <c r="B8875" s="3" t="s">
        <v>8877</v>
      </c>
      <c r="C8875" s="3" t="s">
        <v>10</v>
      </c>
      <c r="D8875" s="3" t="s">
        <v>9</v>
      </c>
      <c r="E8875" s="3">
        <v>22</v>
      </c>
      <c r="F8875" s="3">
        <v>75</v>
      </c>
      <c r="G8875" s="3">
        <v>1</v>
      </c>
      <c r="H8875" s="3">
        <v>0</v>
      </c>
      <c r="I8875" s="3">
        <v>0</v>
      </c>
      <c r="J8875" s="3">
        <v>1</v>
      </c>
      <c r="K8875" s="3">
        <v>0</v>
      </c>
      <c r="L8875" s="3">
        <v>1</v>
      </c>
      <c r="M8875" s="3">
        <v>0</v>
      </c>
      <c r="N8875" s="3">
        <v>0</v>
      </c>
      <c r="O8875" s="3"/>
      <c r="P8875" s="3"/>
      <c r="Q8875" s="3"/>
    </row>
    <row r="8876" spans="1:17" ht="15" x14ac:dyDescent="0.25">
      <c r="A8876" s="3">
        <f>8869</f>
        <v>8869</v>
      </c>
      <c r="B8876" s="3" t="s">
        <v>8878</v>
      </c>
      <c r="C8876" s="3" t="s">
        <v>10</v>
      </c>
      <c r="D8876" s="3" t="s">
        <v>9</v>
      </c>
      <c r="E8876" s="3">
        <v>22</v>
      </c>
      <c r="F8876" s="3">
        <v>75</v>
      </c>
      <c r="G8876" s="3">
        <v>1</v>
      </c>
      <c r="H8876" s="3">
        <v>0</v>
      </c>
      <c r="I8876" s="3">
        <v>0</v>
      </c>
      <c r="J8876" s="3">
        <v>1</v>
      </c>
      <c r="K8876" s="3">
        <v>0</v>
      </c>
      <c r="L8876" s="3">
        <v>1</v>
      </c>
      <c r="M8876" s="3">
        <v>0</v>
      </c>
      <c r="N8876" s="3">
        <v>0</v>
      </c>
      <c r="O8876" s="3"/>
      <c r="P8876" s="3"/>
      <c r="Q8876" s="3"/>
    </row>
    <row r="8877" spans="1:17" ht="15" x14ac:dyDescent="0.25">
      <c r="A8877" s="3">
        <f>8870</f>
        <v>8870</v>
      </c>
      <c r="B8877" s="3" t="s">
        <v>8879</v>
      </c>
      <c r="C8877" s="3" t="s">
        <v>10</v>
      </c>
      <c r="D8877" s="3" t="s">
        <v>9</v>
      </c>
      <c r="E8877" s="3">
        <v>22</v>
      </c>
      <c r="F8877" s="3">
        <v>75</v>
      </c>
      <c r="G8877" s="3">
        <v>1</v>
      </c>
      <c r="H8877" s="3">
        <v>0</v>
      </c>
      <c r="I8877" s="3">
        <v>0</v>
      </c>
      <c r="J8877" s="3">
        <v>1</v>
      </c>
      <c r="K8877" s="3">
        <v>0</v>
      </c>
      <c r="L8877" s="3">
        <v>1</v>
      </c>
      <c r="M8877" s="3">
        <v>0</v>
      </c>
      <c r="N8877" s="3">
        <v>0</v>
      </c>
      <c r="O8877" s="3"/>
      <c r="P8877" s="3"/>
      <c r="Q8877" s="3"/>
    </row>
    <row r="8878" spans="1:17" ht="15" x14ac:dyDescent="0.25">
      <c r="A8878" s="3">
        <f>8871</f>
        <v>8871</v>
      </c>
      <c r="B8878" s="3" t="s">
        <v>8880</v>
      </c>
      <c r="C8878" s="3" t="s">
        <v>10</v>
      </c>
      <c r="D8878" s="3" t="s">
        <v>9</v>
      </c>
      <c r="E8878" s="3">
        <v>22</v>
      </c>
      <c r="F8878" s="3">
        <v>75</v>
      </c>
      <c r="G8878" s="3">
        <v>1</v>
      </c>
      <c r="H8878" s="3">
        <v>0</v>
      </c>
      <c r="I8878" s="3">
        <v>0</v>
      </c>
      <c r="J8878" s="3">
        <v>1</v>
      </c>
      <c r="K8878" s="3">
        <v>0</v>
      </c>
      <c r="L8878" s="3">
        <v>1</v>
      </c>
      <c r="M8878" s="3">
        <v>0</v>
      </c>
      <c r="N8878" s="3">
        <v>0</v>
      </c>
      <c r="O8878" s="3"/>
      <c r="P8878" s="3"/>
      <c r="Q8878" s="3"/>
    </row>
    <row r="8879" spans="1:17" ht="15" x14ac:dyDescent="0.25">
      <c r="A8879" s="3">
        <f>8872</f>
        <v>8872</v>
      </c>
      <c r="B8879" s="3" t="s">
        <v>8881</v>
      </c>
      <c r="C8879" s="3" t="s">
        <v>10</v>
      </c>
      <c r="D8879" s="3" t="s">
        <v>9</v>
      </c>
      <c r="E8879" s="3">
        <v>22</v>
      </c>
      <c r="F8879" s="3">
        <v>75</v>
      </c>
      <c r="G8879" s="3">
        <v>1</v>
      </c>
      <c r="H8879" s="3">
        <v>0</v>
      </c>
      <c r="I8879" s="3">
        <v>0</v>
      </c>
      <c r="J8879" s="3">
        <v>1</v>
      </c>
      <c r="K8879" s="3">
        <v>0</v>
      </c>
      <c r="L8879" s="3">
        <v>1</v>
      </c>
      <c r="M8879" s="3">
        <v>0</v>
      </c>
      <c r="N8879" s="3">
        <v>0</v>
      </c>
      <c r="O8879" s="3"/>
      <c r="P8879" s="3"/>
      <c r="Q8879" s="3"/>
    </row>
    <row r="8880" spans="1:17" ht="15" x14ac:dyDescent="0.25">
      <c r="A8880" s="3">
        <f>8873</f>
        <v>8873</v>
      </c>
      <c r="B8880" s="3" t="s">
        <v>8882</v>
      </c>
      <c r="C8880" s="3" t="s">
        <v>10</v>
      </c>
      <c r="D8880" s="3" t="s">
        <v>9</v>
      </c>
      <c r="E8880" s="3">
        <v>22</v>
      </c>
      <c r="F8880" s="3">
        <v>75</v>
      </c>
      <c r="G8880" s="3">
        <v>1</v>
      </c>
      <c r="H8880" s="3">
        <v>0</v>
      </c>
      <c r="I8880" s="3">
        <v>0</v>
      </c>
      <c r="J8880" s="3">
        <v>1</v>
      </c>
      <c r="K8880" s="3">
        <v>0</v>
      </c>
      <c r="L8880" s="3">
        <v>1</v>
      </c>
      <c r="M8880" s="3">
        <v>0</v>
      </c>
      <c r="N8880" s="3">
        <v>0</v>
      </c>
      <c r="O8880" s="3"/>
      <c r="P8880" s="3"/>
      <c r="Q8880" s="3"/>
    </row>
    <row r="8881" spans="1:17" ht="15" x14ac:dyDescent="0.25">
      <c r="A8881" s="3">
        <f>8874</f>
        <v>8874</v>
      </c>
      <c r="B8881" s="3" t="s">
        <v>8883</v>
      </c>
      <c r="C8881" s="3" t="s">
        <v>10</v>
      </c>
      <c r="D8881" s="3" t="s">
        <v>9</v>
      </c>
      <c r="E8881" s="3">
        <v>22</v>
      </c>
      <c r="F8881" s="3">
        <v>75</v>
      </c>
      <c r="G8881" s="3">
        <v>1</v>
      </c>
      <c r="H8881" s="3">
        <v>0</v>
      </c>
      <c r="I8881" s="3">
        <v>0</v>
      </c>
      <c r="J8881" s="3">
        <v>1</v>
      </c>
      <c r="K8881" s="3">
        <v>0</v>
      </c>
      <c r="L8881" s="3">
        <v>1</v>
      </c>
      <c r="M8881" s="3">
        <v>0</v>
      </c>
      <c r="N8881" s="3">
        <v>0</v>
      </c>
      <c r="O8881" s="3"/>
      <c r="P8881" s="3"/>
      <c r="Q8881" s="3"/>
    </row>
    <row r="8882" spans="1:17" ht="15" x14ac:dyDescent="0.25">
      <c r="A8882" s="3">
        <f>8875</f>
        <v>8875</v>
      </c>
      <c r="B8882" s="3" t="s">
        <v>8884</v>
      </c>
      <c r="C8882" s="3" t="s">
        <v>10</v>
      </c>
      <c r="D8882" s="3" t="s">
        <v>9</v>
      </c>
      <c r="E8882" s="3">
        <v>22</v>
      </c>
      <c r="F8882" s="3">
        <v>75</v>
      </c>
      <c r="G8882" s="3">
        <v>1</v>
      </c>
      <c r="H8882" s="3">
        <v>0</v>
      </c>
      <c r="I8882" s="3">
        <v>0</v>
      </c>
      <c r="J8882" s="3">
        <v>1</v>
      </c>
      <c r="K8882" s="3">
        <v>0</v>
      </c>
      <c r="L8882" s="3">
        <v>1</v>
      </c>
      <c r="M8882" s="3">
        <v>0</v>
      </c>
      <c r="N8882" s="3">
        <v>0</v>
      </c>
      <c r="O8882" s="3"/>
      <c r="P8882" s="3"/>
      <c r="Q8882" s="3"/>
    </row>
    <row r="8883" spans="1:17" ht="15" x14ac:dyDescent="0.25">
      <c r="A8883" s="3">
        <f>8876</f>
        <v>8876</v>
      </c>
      <c r="B8883" s="3" t="s">
        <v>8885</v>
      </c>
      <c r="C8883" s="3" t="s">
        <v>10</v>
      </c>
      <c r="D8883" s="3" t="s">
        <v>9</v>
      </c>
      <c r="E8883" s="3">
        <v>22</v>
      </c>
      <c r="F8883" s="3">
        <v>75</v>
      </c>
      <c r="G8883" s="3">
        <v>1</v>
      </c>
      <c r="H8883" s="3">
        <v>0</v>
      </c>
      <c r="I8883" s="3">
        <v>0</v>
      </c>
      <c r="J8883" s="3">
        <v>1</v>
      </c>
      <c r="K8883" s="3">
        <v>0</v>
      </c>
      <c r="L8883" s="3">
        <v>1</v>
      </c>
      <c r="M8883" s="3">
        <v>0</v>
      </c>
      <c r="N8883" s="3">
        <v>0</v>
      </c>
      <c r="O8883" s="3"/>
      <c r="P8883" s="3"/>
      <c r="Q8883" s="3"/>
    </row>
    <row r="8884" spans="1:17" ht="15" x14ac:dyDescent="0.25">
      <c r="A8884" s="3">
        <f>8877</f>
        <v>8877</v>
      </c>
      <c r="B8884" s="3" t="s">
        <v>8886</v>
      </c>
      <c r="C8884" s="3" t="s">
        <v>10</v>
      </c>
      <c r="D8884" s="3" t="s">
        <v>9</v>
      </c>
      <c r="E8884" s="3">
        <v>22</v>
      </c>
      <c r="F8884" s="3">
        <v>75</v>
      </c>
      <c r="G8884" s="3">
        <v>1</v>
      </c>
      <c r="H8884" s="3">
        <v>0</v>
      </c>
      <c r="I8884" s="3">
        <v>0</v>
      </c>
      <c r="J8884" s="3">
        <v>1</v>
      </c>
      <c r="K8884" s="3">
        <v>0</v>
      </c>
      <c r="L8884" s="3">
        <v>1</v>
      </c>
      <c r="M8884" s="3">
        <v>0</v>
      </c>
      <c r="N8884" s="3">
        <v>0</v>
      </c>
      <c r="O8884" s="3"/>
      <c r="P8884" s="3"/>
      <c r="Q8884" s="3"/>
    </row>
    <row r="8885" spans="1:17" ht="15" x14ac:dyDescent="0.25">
      <c r="A8885" s="3">
        <f>8878</f>
        <v>8878</v>
      </c>
      <c r="B8885" s="3" t="s">
        <v>8887</v>
      </c>
      <c r="C8885" s="3" t="s">
        <v>10</v>
      </c>
      <c r="D8885" s="3" t="s">
        <v>9</v>
      </c>
      <c r="E8885" s="3">
        <v>22</v>
      </c>
      <c r="F8885" s="3">
        <v>75</v>
      </c>
      <c r="G8885" s="3">
        <v>1</v>
      </c>
      <c r="H8885" s="3">
        <v>0</v>
      </c>
      <c r="I8885" s="3">
        <v>0</v>
      </c>
      <c r="J8885" s="3">
        <v>1</v>
      </c>
      <c r="K8885" s="3">
        <v>0</v>
      </c>
      <c r="L8885" s="3">
        <v>1</v>
      </c>
      <c r="M8885" s="3">
        <v>0</v>
      </c>
      <c r="N8885" s="3">
        <v>0</v>
      </c>
      <c r="O8885" s="3"/>
      <c r="P8885" s="3"/>
      <c r="Q8885" s="3"/>
    </row>
    <row r="8886" spans="1:17" ht="15" x14ac:dyDescent="0.25">
      <c r="A8886" s="3">
        <f>8879</f>
        <v>8879</v>
      </c>
      <c r="B8886" s="3" t="s">
        <v>8888</v>
      </c>
      <c r="C8886" s="3" t="s">
        <v>10</v>
      </c>
      <c r="D8886" s="3" t="s">
        <v>9</v>
      </c>
      <c r="E8886" s="3">
        <v>22</v>
      </c>
      <c r="F8886" s="3">
        <v>75</v>
      </c>
      <c r="G8886" s="3">
        <v>1</v>
      </c>
      <c r="H8886" s="3">
        <v>0</v>
      </c>
      <c r="I8886" s="3">
        <v>0</v>
      </c>
      <c r="J8886" s="3">
        <v>1</v>
      </c>
      <c r="K8886" s="3">
        <v>0</v>
      </c>
      <c r="L8886" s="3">
        <v>1</v>
      </c>
      <c r="M8886" s="3">
        <v>0</v>
      </c>
      <c r="N8886" s="3">
        <v>0</v>
      </c>
      <c r="O8886" s="3"/>
      <c r="P8886" s="3"/>
      <c r="Q8886" s="3"/>
    </row>
    <row r="8887" spans="1:17" ht="15" x14ac:dyDescent="0.25">
      <c r="A8887" s="3">
        <f>8880</f>
        <v>8880</v>
      </c>
      <c r="B8887" s="3" t="s">
        <v>8889</v>
      </c>
      <c r="C8887" s="3" t="s">
        <v>10</v>
      </c>
      <c r="D8887" s="3" t="s">
        <v>9</v>
      </c>
      <c r="E8887" s="3">
        <v>22</v>
      </c>
      <c r="F8887" s="3">
        <v>75</v>
      </c>
      <c r="G8887" s="3">
        <v>1</v>
      </c>
      <c r="H8887" s="3">
        <v>0</v>
      </c>
      <c r="I8887" s="3">
        <v>0</v>
      </c>
      <c r="J8887" s="3">
        <v>1</v>
      </c>
      <c r="K8887" s="3">
        <v>0</v>
      </c>
      <c r="L8887" s="3">
        <v>1</v>
      </c>
      <c r="M8887" s="3">
        <v>0</v>
      </c>
      <c r="N8887" s="3">
        <v>0</v>
      </c>
      <c r="O8887" s="3"/>
      <c r="P8887" s="3"/>
      <c r="Q8887" s="3"/>
    </row>
    <row r="8888" spans="1:17" ht="15" x14ac:dyDescent="0.25">
      <c r="A8888" s="3">
        <f>8881</f>
        <v>8881</v>
      </c>
      <c r="B8888" s="3" t="s">
        <v>8890</v>
      </c>
      <c r="C8888" s="3" t="s">
        <v>10</v>
      </c>
      <c r="D8888" s="3" t="s">
        <v>9</v>
      </c>
      <c r="E8888" s="3">
        <v>22</v>
      </c>
      <c r="F8888" s="3">
        <v>75</v>
      </c>
      <c r="G8888" s="3">
        <v>1</v>
      </c>
      <c r="H8888" s="3">
        <v>0</v>
      </c>
      <c r="I8888" s="3">
        <v>0</v>
      </c>
      <c r="J8888" s="3">
        <v>1</v>
      </c>
      <c r="K8888" s="3">
        <v>0</v>
      </c>
      <c r="L8888" s="3">
        <v>1</v>
      </c>
      <c r="M8888" s="3">
        <v>0</v>
      </c>
      <c r="N8888" s="3">
        <v>0</v>
      </c>
      <c r="O8888" s="3"/>
      <c r="P8888" s="3"/>
      <c r="Q8888" s="3"/>
    </row>
    <row r="8889" spans="1:17" ht="15" x14ac:dyDescent="0.25">
      <c r="A8889" s="3">
        <f>8882</f>
        <v>8882</v>
      </c>
      <c r="B8889" s="3" t="s">
        <v>8891</v>
      </c>
      <c r="C8889" s="3" t="s">
        <v>10</v>
      </c>
      <c r="D8889" s="3" t="s">
        <v>9</v>
      </c>
      <c r="E8889" s="3">
        <v>22</v>
      </c>
      <c r="F8889" s="3">
        <v>75</v>
      </c>
      <c r="G8889" s="3">
        <v>1</v>
      </c>
      <c r="H8889" s="3">
        <v>0</v>
      </c>
      <c r="I8889" s="3">
        <v>0</v>
      </c>
      <c r="J8889" s="3">
        <v>1</v>
      </c>
      <c r="K8889" s="3">
        <v>0</v>
      </c>
      <c r="L8889" s="3">
        <v>1</v>
      </c>
      <c r="M8889" s="3">
        <v>0</v>
      </c>
      <c r="N8889" s="3">
        <v>0</v>
      </c>
      <c r="O8889" s="3"/>
      <c r="P8889" s="3"/>
      <c r="Q8889" s="3"/>
    </row>
    <row r="8890" spans="1:17" ht="15" x14ac:dyDescent="0.25">
      <c r="A8890" s="3">
        <f>8883</f>
        <v>8883</v>
      </c>
      <c r="B8890" s="3" t="s">
        <v>8892</v>
      </c>
      <c r="C8890" s="3" t="s">
        <v>10</v>
      </c>
      <c r="D8890" s="3" t="s">
        <v>9</v>
      </c>
      <c r="E8890" s="3">
        <v>22</v>
      </c>
      <c r="F8890" s="3">
        <v>75</v>
      </c>
      <c r="G8890" s="3">
        <v>1</v>
      </c>
      <c r="H8890" s="3">
        <v>0</v>
      </c>
      <c r="I8890" s="3">
        <v>0</v>
      </c>
      <c r="J8890" s="3">
        <v>1</v>
      </c>
      <c r="K8890" s="3">
        <v>0</v>
      </c>
      <c r="L8890" s="3">
        <v>1</v>
      </c>
      <c r="M8890" s="3">
        <v>0</v>
      </c>
      <c r="N8890" s="3">
        <v>0</v>
      </c>
      <c r="O8890" s="3"/>
      <c r="P8890" s="3"/>
      <c r="Q8890" s="3"/>
    </row>
    <row r="8891" spans="1:17" ht="15" x14ac:dyDescent="0.25">
      <c r="A8891" s="3">
        <f>8884</f>
        <v>8884</v>
      </c>
      <c r="B8891" s="3" t="s">
        <v>8893</v>
      </c>
      <c r="C8891" s="3" t="s">
        <v>10</v>
      </c>
      <c r="D8891" s="3" t="s">
        <v>9</v>
      </c>
      <c r="E8891" s="3">
        <v>22</v>
      </c>
      <c r="F8891" s="3">
        <v>75</v>
      </c>
      <c r="G8891" s="3">
        <v>1</v>
      </c>
      <c r="H8891" s="3">
        <v>0</v>
      </c>
      <c r="I8891" s="3">
        <v>0</v>
      </c>
      <c r="J8891" s="3">
        <v>1</v>
      </c>
      <c r="K8891" s="3">
        <v>0</v>
      </c>
      <c r="L8891" s="3">
        <v>1</v>
      </c>
      <c r="M8891" s="3">
        <v>0</v>
      </c>
      <c r="N8891" s="3">
        <v>0</v>
      </c>
      <c r="O8891" s="3"/>
      <c r="P8891" s="3"/>
      <c r="Q8891" s="3"/>
    </row>
    <row r="8892" spans="1:17" ht="15" x14ac:dyDescent="0.25">
      <c r="A8892" s="3">
        <f>8885</f>
        <v>8885</v>
      </c>
      <c r="B8892" s="3" t="s">
        <v>8894</v>
      </c>
      <c r="C8892" s="3" t="s">
        <v>10</v>
      </c>
      <c r="D8892" s="3" t="s">
        <v>9</v>
      </c>
      <c r="E8892" s="3">
        <v>22</v>
      </c>
      <c r="F8892" s="3">
        <v>75</v>
      </c>
      <c r="G8892" s="3">
        <v>1</v>
      </c>
      <c r="H8892" s="3">
        <v>0</v>
      </c>
      <c r="I8892" s="3">
        <v>0</v>
      </c>
      <c r="J8892" s="3">
        <v>1</v>
      </c>
      <c r="K8892" s="3">
        <v>0</v>
      </c>
      <c r="L8892" s="3">
        <v>1</v>
      </c>
      <c r="M8892" s="3">
        <v>0</v>
      </c>
      <c r="N8892" s="3">
        <v>0</v>
      </c>
      <c r="O8892" s="3"/>
      <c r="P8892" s="3"/>
      <c r="Q8892" s="3"/>
    </row>
    <row r="8893" spans="1:17" ht="15" x14ac:dyDescent="0.25">
      <c r="A8893" s="3">
        <f>8886</f>
        <v>8886</v>
      </c>
      <c r="B8893" s="3" t="s">
        <v>8895</v>
      </c>
      <c r="C8893" s="3" t="s">
        <v>10</v>
      </c>
      <c r="D8893" s="3" t="s">
        <v>9</v>
      </c>
      <c r="E8893" s="3">
        <v>22</v>
      </c>
      <c r="F8893" s="3">
        <v>75</v>
      </c>
      <c r="G8893" s="3">
        <v>1</v>
      </c>
      <c r="H8893" s="3">
        <v>0</v>
      </c>
      <c r="I8893" s="3">
        <v>0</v>
      </c>
      <c r="J8893" s="3">
        <v>1</v>
      </c>
      <c r="K8893" s="3">
        <v>0</v>
      </c>
      <c r="L8893" s="3">
        <v>1</v>
      </c>
      <c r="M8893" s="3">
        <v>0</v>
      </c>
      <c r="N8893" s="3">
        <v>0</v>
      </c>
      <c r="O8893" s="3"/>
      <c r="P8893" s="3"/>
      <c r="Q8893" s="3"/>
    </row>
    <row r="8894" spans="1:17" ht="15" x14ac:dyDescent="0.25">
      <c r="A8894" s="3">
        <f>8887</f>
        <v>8887</v>
      </c>
      <c r="B8894" s="3" t="s">
        <v>8896</v>
      </c>
      <c r="C8894" s="3" t="s">
        <v>10</v>
      </c>
      <c r="D8894" s="3" t="s">
        <v>9</v>
      </c>
      <c r="E8894" s="3">
        <v>22</v>
      </c>
      <c r="F8894" s="3">
        <v>75</v>
      </c>
      <c r="G8894" s="3">
        <v>1</v>
      </c>
      <c r="H8894" s="3">
        <v>0</v>
      </c>
      <c r="I8894" s="3">
        <v>0</v>
      </c>
      <c r="J8894" s="3">
        <v>1</v>
      </c>
      <c r="K8894" s="3">
        <v>0</v>
      </c>
      <c r="L8894" s="3">
        <v>1</v>
      </c>
      <c r="M8894" s="3">
        <v>0</v>
      </c>
      <c r="N8894" s="3">
        <v>0</v>
      </c>
      <c r="O8894" s="3"/>
      <c r="P8894" s="3"/>
      <c r="Q8894" s="3"/>
    </row>
    <row r="8895" spans="1:17" ht="15" x14ac:dyDescent="0.25">
      <c r="A8895" s="3">
        <f>8888</f>
        <v>8888</v>
      </c>
      <c r="B8895" s="3" t="s">
        <v>8897</v>
      </c>
      <c r="C8895" s="3" t="s">
        <v>10</v>
      </c>
      <c r="D8895" s="3" t="s">
        <v>9</v>
      </c>
      <c r="E8895" s="3">
        <v>22</v>
      </c>
      <c r="F8895" s="3">
        <v>75</v>
      </c>
      <c r="G8895" s="3">
        <v>1</v>
      </c>
      <c r="H8895" s="3">
        <v>0</v>
      </c>
      <c r="I8895" s="3">
        <v>0</v>
      </c>
      <c r="J8895" s="3">
        <v>1</v>
      </c>
      <c r="K8895" s="3">
        <v>0</v>
      </c>
      <c r="L8895" s="3">
        <v>1</v>
      </c>
      <c r="M8895" s="3">
        <v>0</v>
      </c>
      <c r="N8895" s="3">
        <v>0</v>
      </c>
      <c r="O8895" s="3"/>
      <c r="P8895" s="3"/>
      <c r="Q8895" s="3"/>
    </row>
    <row r="8896" spans="1:17" ht="15" x14ac:dyDescent="0.25">
      <c r="A8896" s="3">
        <f>8889</f>
        <v>8889</v>
      </c>
      <c r="B8896" s="3" t="s">
        <v>8898</v>
      </c>
      <c r="C8896" s="3" t="s">
        <v>10</v>
      </c>
      <c r="D8896" s="3" t="s">
        <v>9</v>
      </c>
      <c r="E8896" s="3">
        <v>22</v>
      </c>
      <c r="F8896" s="3">
        <v>75</v>
      </c>
      <c r="G8896" s="3">
        <v>1</v>
      </c>
      <c r="H8896" s="3">
        <v>0</v>
      </c>
      <c r="I8896" s="3">
        <v>0</v>
      </c>
      <c r="J8896" s="3">
        <v>1</v>
      </c>
      <c r="K8896" s="3">
        <v>0</v>
      </c>
      <c r="L8896" s="3">
        <v>1</v>
      </c>
      <c r="M8896" s="3">
        <v>0</v>
      </c>
      <c r="N8896" s="3">
        <v>0</v>
      </c>
      <c r="O8896" s="3"/>
      <c r="P8896" s="3"/>
      <c r="Q8896" s="3"/>
    </row>
    <row r="8897" spans="1:17" ht="15" x14ac:dyDescent="0.25">
      <c r="A8897" s="3">
        <f>8890</f>
        <v>8890</v>
      </c>
      <c r="B8897" s="3" t="s">
        <v>8899</v>
      </c>
      <c r="C8897" s="3" t="s">
        <v>10</v>
      </c>
      <c r="D8897" s="3" t="s">
        <v>9</v>
      </c>
      <c r="E8897" s="3">
        <v>22</v>
      </c>
      <c r="F8897" s="3">
        <v>75</v>
      </c>
      <c r="G8897" s="3">
        <v>1</v>
      </c>
      <c r="H8897" s="3">
        <v>0</v>
      </c>
      <c r="I8897" s="3">
        <v>0</v>
      </c>
      <c r="J8897" s="3">
        <v>1</v>
      </c>
      <c r="K8897" s="3">
        <v>0</v>
      </c>
      <c r="L8897" s="3">
        <v>1</v>
      </c>
      <c r="M8897" s="3">
        <v>0</v>
      </c>
      <c r="N8897" s="3">
        <v>0</v>
      </c>
      <c r="O8897" s="3"/>
      <c r="P8897" s="3"/>
      <c r="Q8897" s="3"/>
    </row>
    <row r="8898" spans="1:17" ht="15" x14ac:dyDescent="0.25">
      <c r="A8898" s="3">
        <f>8891</f>
        <v>8891</v>
      </c>
      <c r="B8898" s="3" t="s">
        <v>8900</v>
      </c>
      <c r="C8898" s="3" t="s">
        <v>10</v>
      </c>
      <c r="D8898" s="3" t="s">
        <v>9</v>
      </c>
      <c r="E8898" s="3">
        <v>22</v>
      </c>
      <c r="F8898" s="3">
        <v>75</v>
      </c>
      <c r="G8898" s="3">
        <v>1</v>
      </c>
      <c r="H8898" s="3">
        <v>0</v>
      </c>
      <c r="I8898" s="3">
        <v>0</v>
      </c>
      <c r="J8898" s="3">
        <v>1</v>
      </c>
      <c r="K8898" s="3">
        <v>0</v>
      </c>
      <c r="L8898" s="3">
        <v>1</v>
      </c>
      <c r="M8898" s="3">
        <v>0</v>
      </c>
      <c r="N8898" s="3">
        <v>0</v>
      </c>
      <c r="O8898" s="3"/>
      <c r="P8898" s="3"/>
      <c r="Q8898" s="3"/>
    </row>
    <row r="8899" spans="1:17" ht="15" x14ac:dyDescent="0.25">
      <c r="A8899" s="3">
        <f>8892</f>
        <v>8892</v>
      </c>
      <c r="B8899" s="3" t="s">
        <v>8901</v>
      </c>
      <c r="C8899" s="3" t="s">
        <v>10</v>
      </c>
      <c r="D8899" s="3" t="s">
        <v>9</v>
      </c>
      <c r="E8899" s="3">
        <v>22</v>
      </c>
      <c r="F8899" s="3">
        <v>75</v>
      </c>
      <c r="G8899" s="3">
        <v>1</v>
      </c>
      <c r="H8899" s="3">
        <v>0</v>
      </c>
      <c r="I8899" s="3">
        <v>0</v>
      </c>
      <c r="J8899" s="3">
        <v>1</v>
      </c>
      <c r="K8899" s="3">
        <v>0</v>
      </c>
      <c r="L8899" s="3">
        <v>1</v>
      </c>
      <c r="M8899" s="3">
        <v>0</v>
      </c>
      <c r="N8899" s="3">
        <v>0</v>
      </c>
      <c r="O8899" s="3"/>
      <c r="P8899" s="3"/>
      <c r="Q8899" s="3"/>
    </row>
    <row r="8900" spans="1:17" ht="15" x14ac:dyDescent="0.25">
      <c r="A8900" s="3">
        <f>8893</f>
        <v>8893</v>
      </c>
      <c r="B8900" s="3" t="s">
        <v>8902</v>
      </c>
      <c r="C8900" s="3" t="s">
        <v>10</v>
      </c>
      <c r="D8900" s="3" t="s">
        <v>9</v>
      </c>
      <c r="E8900" s="3">
        <v>22</v>
      </c>
      <c r="F8900" s="3">
        <v>75</v>
      </c>
      <c r="G8900" s="3">
        <v>1</v>
      </c>
      <c r="H8900" s="3">
        <v>0</v>
      </c>
      <c r="I8900" s="3">
        <v>0</v>
      </c>
      <c r="J8900" s="3">
        <v>1</v>
      </c>
      <c r="K8900" s="3">
        <v>0</v>
      </c>
      <c r="L8900" s="3">
        <v>1</v>
      </c>
      <c r="M8900" s="3">
        <v>0</v>
      </c>
      <c r="N8900" s="3">
        <v>0</v>
      </c>
      <c r="O8900" s="3"/>
      <c r="P8900" s="3"/>
      <c r="Q8900" s="3"/>
    </row>
    <row r="8901" spans="1:17" ht="15" x14ac:dyDescent="0.25">
      <c r="A8901" s="3">
        <f>8894</f>
        <v>8894</v>
      </c>
      <c r="B8901" s="3" t="s">
        <v>8903</v>
      </c>
      <c r="C8901" s="3" t="s">
        <v>10</v>
      </c>
      <c r="D8901" s="3" t="s">
        <v>9</v>
      </c>
      <c r="E8901" s="3">
        <v>22</v>
      </c>
      <c r="F8901" s="3">
        <v>75</v>
      </c>
      <c r="G8901" s="3">
        <v>1</v>
      </c>
      <c r="H8901" s="3">
        <v>0</v>
      </c>
      <c r="I8901" s="3">
        <v>0</v>
      </c>
      <c r="J8901" s="3">
        <v>1</v>
      </c>
      <c r="K8901" s="3">
        <v>0</v>
      </c>
      <c r="L8901" s="3">
        <v>1</v>
      </c>
      <c r="M8901" s="3">
        <v>0</v>
      </c>
      <c r="N8901" s="3">
        <v>0</v>
      </c>
      <c r="O8901" s="3"/>
      <c r="P8901" s="3"/>
      <c r="Q8901" s="3"/>
    </row>
    <row r="8902" spans="1:17" ht="15" x14ac:dyDescent="0.25">
      <c r="A8902" s="3">
        <f>8895</f>
        <v>8895</v>
      </c>
      <c r="B8902" s="3" t="s">
        <v>8904</v>
      </c>
      <c r="C8902" s="3" t="s">
        <v>10</v>
      </c>
      <c r="D8902" s="3" t="s">
        <v>9</v>
      </c>
      <c r="E8902" s="3">
        <v>22</v>
      </c>
      <c r="F8902" s="3">
        <v>75</v>
      </c>
      <c r="G8902" s="3">
        <v>1</v>
      </c>
      <c r="H8902" s="3">
        <v>0</v>
      </c>
      <c r="I8902" s="3">
        <v>0</v>
      </c>
      <c r="J8902" s="3">
        <v>1</v>
      </c>
      <c r="K8902" s="3">
        <v>0</v>
      </c>
      <c r="L8902" s="3">
        <v>1</v>
      </c>
      <c r="M8902" s="3">
        <v>0</v>
      </c>
      <c r="N8902" s="3">
        <v>0</v>
      </c>
      <c r="O8902" s="3"/>
      <c r="P8902" s="3"/>
      <c r="Q8902" s="3"/>
    </row>
    <row r="8903" spans="1:17" ht="15" x14ac:dyDescent="0.25">
      <c r="A8903" s="3">
        <f>8896</f>
        <v>8896</v>
      </c>
      <c r="B8903" s="3" t="s">
        <v>8905</v>
      </c>
      <c r="C8903" s="3" t="s">
        <v>10</v>
      </c>
      <c r="D8903" s="3" t="s">
        <v>9</v>
      </c>
      <c r="E8903" s="3">
        <v>22</v>
      </c>
      <c r="F8903" s="3">
        <v>75</v>
      </c>
      <c r="G8903" s="3">
        <v>1</v>
      </c>
      <c r="H8903" s="3">
        <v>0</v>
      </c>
      <c r="I8903" s="3">
        <v>0</v>
      </c>
      <c r="J8903" s="3">
        <v>1</v>
      </c>
      <c r="K8903" s="3">
        <v>0</v>
      </c>
      <c r="L8903" s="3">
        <v>1</v>
      </c>
      <c r="M8903" s="3">
        <v>0</v>
      </c>
      <c r="N8903" s="3">
        <v>0</v>
      </c>
      <c r="O8903" s="3"/>
      <c r="P8903" s="3"/>
      <c r="Q8903" s="3"/>
    </row>
    <row r="8904" spans="1:17" ht="15" x14ac:dyDescent="0.25">
      <c r="A8904" s="3">
        <f>8897</f>
        <v>8897</v>
      </c>
      <c r="B8904" s="3" t="s">
        <v>8906</v>
      </c>
      <c r="C8904" s="3" t="s">
        <v>10</v>
      </c>
      <c r="D8904" s="3" t="s">
        <v>9</v>
      </c>
      <c r="E8904" s="3">
        <v>22</v>
      </c>
      <c r="F8904" s="3">
        <v>75</v>
      </c>
      <c r="G8904" s="3">
        <v>1</v>
      </c>
      <c r="H8904" s="3">
        <v>0</v>
      </c>
      <c r="I8904" s="3">
        <v>0</v>
      </c>
      <c r="J8904" s="3">
        <v>1</v>
      </c>
      <c r="K8904" s="3">
        <v>0</v>
      </c>
      <c r="L8904" s="3">
        <v>1</v>
      </c>
      <c r="M8904" s="3">
        <v>0</v>
      </c>
      <c r="N8904" s="3">
        <v>0</v>
      </c>
      <c r="O8904" s="3"/>
      <c r="P8904" s="3"/>
      <c r="Q8904" s="3"/>
    </row>
    <row r="8905" spans="1:17" ht="15" x14ac:dyDescent="0.25">
      <c r="A8905" s="3">
        <f>8898</f>
        <v>8898</v>
      </c>
      <c r="B8905" s="3" t="s">
        <v>8907</v>
      </c>
      <c r="C8905" s="3" t="s">
        <v>10</v>
      </c>
      <c r="D8905" s="3" t="s">
        <v>9</v>
      </c>
      <c r="E8905" s="3">
        <v>22</v>
      </c>
      <c r="F8905" s="3">
        <v>75</v>
      </c>
      <c r="G8905" s="3">
        <v>1</v>
      </c>
      <c r="H8905" s="3">
        <v>0</v>
      </c>
      <c r="I8905" s="3">
        <v>0</v>
      </c>
      <c r="J8905" s="3">
        <v>1</v>
      </c>
      <c r="K8905" s="3">
        <v>0</v>
      </c>
      <c r="L8905" s="3">
        <v>1</v>
      </c>
      <c r="M8905" s="3">
        <v>0</v>
      </c>
      <c r="N8905" s="3">
        <v>0</v>
      </c>
      <c r="O8905" s="3"/>
      <c r="P8905" s="3"/>
      <c r="Q8905" s="3"/>
    </row>
    <row r="8906" spans="1:17" ht="15" x14ac:dyDescent="0.25">
      <c r="A8906" s="3">
        <f>8899</f>
        <v>8899</v>
      </c>
      <c r="B8906" s="3" t="s">
        <v>8908</v>
      </c>
      <c r="C8906" s="3" t="s">
        <v>10</v>
      </c>
      <c r="D8906" s="3" t="s">
        <v>9</v>
      </c>
      <c r="E8906" s="3">
        <v>22</v>
      </c>
      <c r="F8906" s="3">
        <v>75</v>
      </c>
      <c r="G8906" s="3">
        <v>1</v>
      </c>
      <c r="H8906" s="3">
        <v>0</v>
      </c>
      <c r="I8906" s="3">
        <v>0</v>
      </c>
      <c r="J8906" s="3">
        <v>1</v>
      </c>
      <c r="K8906" s="3">
        <v>0</v>
      </c>
      <c r="L8906" s="3">
        <v>1</v>
      </c>
      <c r="M8906" s="3">
        <v>0</v>
      </c>
      <c r="N8906" s="3">
        <v>0</v>
      </c>
      <c r="O8906" s="3"/>
      <c r="P8906" s="3"/>
      <c r="Q8906" s="3"/>
    </row>
    <row r="8907" spans="1:17" ht="15" x14ac:dyDescent="0.25">
      <c r="A8907" s="3">
        <f>8900</f>
        <v>8900</v>
      </c>
      <c r="B8907" s="3" t="s">
        <v>8909</v>
      </c>
      <c r="C8907" s="3" t="s">
        <v>10</v>
      </c>
      <c r="D8907" s="3" t="s">
        <v>9</v>
      </c>
      <c r="E8907" s="3">
        <v>22</v>
      </c>
      <c r="F8907" s="3">
        <v>75</v>
      </c>
      <c r="G8907" s="3">
        <v>1</v>
      </c>
      <c r="H8907" s="3">
        <v>0</v>
      </c>
      <c r="I8907" s="3">
        <v>0</v>
      </c>
      <c r="J8907" s="3">
        <v>1</v>
      </c>
      <c r="K8907" s="3">
        <v>0</v>
      </c>
      <c r="L8907" s="3">
        <v>1</v>
      </c>
      <c r="M8907" s="3">
        <v>0</v>
      </c>
      <c r="N8907" s="3">
        <v>0</v>
      </c>
      <c r="O8907" s="3"/>
      <c r="P8907" s="3"/>
      <c r="Q8907" s="3"/>
    </row>
    <row r="8908" spans="1:17" ht="15" x14ac:dyDescent="0.25">
      <c r="A8908" s="3">
        <f>8901</f>
        <v>8901</v>
      </c>
      <c r="B8908" s="3" t="s">
        <v>8910</v>
      </c>
      <c r="C8908" s="3" t="s">
        <v>10</v>
      </c>
      <c r="D8908" s="3" t="s">
        <v>9</v>
      </c>
      <c r="E8908" s="3">
        <v>22</v>
      </c>
      <c r="F8908" s="3">
        <v>75</v>
      </c>
      <c r="G8908" s="3">
        <v>1</v>
      </c>
      <c r="H8908" s="3">
        <v>0</v>
      </c>
      <c r="I8908" s="3">
        <v>0</v>
      </c>
      <c r="J8908" s="3">
        <v>1</v>
      </c>
      <c r="K8908" s="3">
        <v>0</v>
      </c>
      <c r="L8908" s="3">
        <v>1</v>
      </c>
      <c r="M8908" s="3">
        <v>0</v>
      </c>
      <c r="N8908" s="3">
        <v>0</v>
      </c>
      <c r="O8908" s="3"/>
      <c r="P8908" s="3"/>
      <c r="Q8908" s="3"/>
    </row>
    <row r="8909" spans="1:17" ht="15" x14ac:dyDescent="0.25">
      <c r="A8909" s="3">
        <f>8902</f>
        <v>8902</v>
      </c>
      <c r="B8909" s="3" t="s">
        <v>8911</v>
      </c>
      <c r="C8909" s="3" t="s">
        <v>10</v>
      </c>
      <c r="D8909" s="3" t="s">
        <v>9</v>
      </c>
      <c r="E8909" s="3">
        <v>22</v>
      </c>
      <c r="F8909" s="3">
        <v>75</v>
      </c>
      <c r="G8909" s="3">
        <v>1</v>
      </c>
      <c r="H8909" s="3">
        <v>0</v>
      </c>
      <c r="I8909" s="3">
        <v>0</v>
      </c>
      <c r="J8909" s="3">
        <v>1</v>
      </c>
      <c r="K8909" s="3">
        <v>0</v>
      </c>
      <c r="L8909" s="3">
        <v>1</v>
      </c>
      <c r="M8909" s="3">
        <v>0</v>
      </c>
      <c r="N8909" s="3">
        <v>0</v>
      </c>
      <c r="O8909" s="3"/>
      <c r="P8909" s="3"/>
      <c r="Q8909" s="3"/>
    </row>
    <row r="8910" spans="1:17" ht="15" x14ac:dyDescent="0.25">
      <c r="A8910" s="3">
        <f>8903</f>
        <v>8903</v>
      </c>
      <c r="B8910" s="3" t="s">
        <v>8912</v>
      </c>
      <c r="C8910" s="3" t="s">
        <v>10</v>
      </c>
      <c r="D8910" s="3" t="s">
        <v>9</v>
      </c>
      <c r="E8910" s="3">
        <v>22</v>
      </c>
      <c r="F8910" s="3">
        <v>75</v>
      </c>
      <c r="G8910" s="3">
        <v>1</v>
      </c>
      <c r="H8910" s="3">
        <v>0</v>
      </c>
      <c r="I8910" s="3">
        <v>0</v>
      </c>
      <c r="J8910" s="3">
        <v>1</v>
      </c>
      <c r="K8910" s="3">
        <v>0</v>
      </c>
      <c r="L8910" s="3">
        <v>1</v>
      </c>
      <c r="M8910" s="3">
        <v>0</v>
      </c>
      <c r="N8910" s="3">
        <v>0</v>
      </c>
      <c r="O8910" s="3"/>
      <c r="P8910" s="3"/>
      <c r="Q8910" s="3"/>
    </row>
    <row r="8911" spans="1:17" ht="15" x14ac:dyDescent="0.25">
      <c r="A8911" s="3">
        <f>8904</f>
        <v>8904</v>
      </c>
      <c r="B8911" s="3" t="s">
        <v>8913</v>
      </c>
      <c r="C8911" s="3" t="s">
        <v>10</v>
      </c>
      <c r="D8911" s="3" t="s">
        <v>9</v>
      </c>
      <c r="E8911" s="3">
        <v>22</v>
      </c>
      <c r="F8911" s="3">
        <v>75</v>
      </c>
      <c r="G8911" s="3">
        <v>1</v>
      </c>
      <c r="H8911" s="3">
        <v>0</v>
      </c>
      <c r="I8911" s="3">
        <v>0</v>
      </c>
      <c r="J8911" s="3">
        <v>1</v>
      </c>
      <c r="K8911" s="3">
        <v>0</v>
      </c>
      <c r="L8911" s="3">
        <v>1</v>
      </c>
      <c r="M8911" s="3">
        <v>0</v>
      </c>
      <c r="N8911" s="3">
        <v>0</v>
      </c>
      <c r="O8911" s="3"/>
      <c r="P8911" s="3"/>
      <c r="Q8911" s="3"/>
    </row>
    <row r="8912" spans="1:17" ht="15" x14ac:dyDescent="0.25">
      <c r="A8912" s="3">
        <f>8905</f>
        <v>8905</v>
      </c>
      <c r="B8912" s="3" t="s">
        <v>8914</v>
      </c>
      <c r="C8912" s="3" t="s">
        <v>10</v>
      </c>
      <c r="D8912" s="3" t="s">
        <v>9</v>
      </c>
      <c r="E8912" s="3">
        <v>22</v>
      </c>
      <c r="F8912" s="3">
        <v>75</v>
      </c>
      <c r="G8912" s="3">
        <v>1</v>
      </c>
      <c r="H8912" s="3">
        <v>0</v>
      </c>
      <c r="I8912" s="3">
        <v>0</v>
      </c>
      <c r="J8912" s="3">
        <v>1</v>
      </c>
      <c r="K8912" s="3">
        <v>0</v>
      </c>
      <c r="L8912" s="3">
        <v>1</v>
      </c>
      <c r="M8912" s="3">
        <v>0</v>
      </c>
      <c r="N8912" s="3">
        <v>0</v>
      </c>
      <c r="O8912" s="3"/>
      <c r="P8912" s="3"/>
      <c r="Q8912" s="3"/>
    </row>
    <row r="8913" spans="1:17" ht="15" x14ac:dyDescent="0.25">
      <c r="A8913" s="3">
        <f>8906</f>
        <v>8906</v>
      </c>
      <c r="B8913" s="3" t="s">
        <v>8915</v>
      </c>
      <c r="C8913" s="3" t="s">
        <v>10</v>
      </c>
      <c r="D8913" s="3" t="s">
        <v>9</v>
      </c>
      <c r="E8913" s="3">
        <v>22</v>
      </c>
      <c r="F8913" s="3">
        <v>75</v>
      </c>
      <c r="G8913" s="3">
        <v>1</v>
      </c>
      <c r="H8913" s="3">
        <v>0</v>
      </c>
      <c r="I8913" s="3">
        <v>0</v>
      </c>
      <c r="J8913" s="3">
        <v>1</v>
      </c>
      <c r="K8913" s="3">
        <v>0</v>
      </c>
      <c r="L8913" s="3">
        <v>1</v>
      </c>
      <c r="M8913" s="3">
        <v>0</v>
      </c>
      <c r="N8913" s="3">
        <v>0</v>
      </c>
      <c r="O8913" s="3"/>
      <c r="P8913" s="3"/>
      <c r="Q8913" s="3"/>
    </row>
    <row r="8914" spans="1:17" ht="15" x14ac:dyDescent="0.25">
      <c r="A8914" s="3">
        <f>8907</f>
        <v>8907</v>
      </c>
      <c r="B8914" s="3" t="s">
        <v>8916</v>
      </c>
      <c r="C8914" s="3" t="s">
        <v>10</v>
      </c>
      <c r="D8914" s="3" t="s">
        <v>9</v>
      </c>
      <c r="E8914" s="3">
        <v>22</v>
      </c>
      <c r="F8914" s="3">
        <v>75</v>
      </c>
      <c r="G8914" s="3">
        <v>1</v>
      </c>
      <c r="H8914" s="3">
        <v>0</v>
      </c>
      <c r="I8914" s="3">
        <v>0</v>
      </c>
      <c r="J8914" s="3">
        <v>1</v>
      </c>
      <c r="K8914" s="3">
        <v>0</v>
      </c>
      <c r="L8914" s="3">
        <v>1</v>
      </c>
      <c r="M8914" s="3">
        <v>0</v>
      </c>
      <c r="N8914" s="3">
        <v>0</v>
      </c>
      <c r="O8914" s="3"/>
      <c r="P8914" s="3"/>
      <c r="Q8914" s="3"/>
    </row>
    <row r="8915" spans="1:17" ht="15" x14ac:dyDescent="0.25">
      <c r="A8915" s="3">
        <f>8908</f>
        <v>8908</v>
      </c>
      <c r="B8915" s="3" t="s">
        <v>8917</v>
      </c>
      <c r="C8915" s="3" t="s">
        <v>10</v>
      </c>
      <c r="D8915" s="3" t="s">
        <v>9</v>
      </c>
      <c r="E8915" s="3">
        <v>22</v>
      </c>
      <c r="F8915" s="3">
        <v>75</v>
      </c>
      <c r="G8915" s="3">
        <v>1</v>
      </c>
      <c r="H8915" s="3">
        <v>0</v>
      </c>
      <c r="I8915" s="3">
        <v>0</v>
      </c>
      <c r="J8915" s="3">
        <v>1</v>
      </c>
      <c r="K8915" s="3">
        <v>0</v>
      </c>
      <c r="L8915" s="3">
        <v>1</v>
      </c>
      <c r="M8915" s="3">
        <v>0</v>
      </c>
      <c r="N8915" s="3">
        <v>0</v>
      </c>
      <c r="O8915" s="3"/>
      <c r="P8915" s="3"/>
      <c r="Q8915" s="3"/>
    </row>
    <row r="8916" spans="1:17" ht="15" x14ac:dyDescent="0.25">
      <c r="A8916" s="3">
        <f>8909</f>
        <v>8909</v>
      </c>
      <c r="B8916" s="3" t="s">
        <v>8918</v>
      </c>
      <c r="C8916" s="3" t="s">
        <v>10</v>
      </c>
      <c r="D8916" s="3" t="s">
        <v>9</v>
      </c>
      <c r="E8916" s="3">
        <v>22</v>
      </c>
      <c r="F8916" s="3">
        <v>75</v>
      </c>
      <c r="G8916" s="3">
        <v>1</v>
      </c>
      <c r="H8916" s="3">
        <v>0</v>
      </c>
      <c r="I8916" s="3">
        <v>0</v>
      </c>
      <c r="J8916" s="3">
        <v>1</v>
      </c>
      <c r="K8916" s="3">
        <v>0</v>
      </c>
      <c r="L8916" s="3">
        <v>1</v>
      </c>
      <c r="M8916" s="3">
        <v>0</v>
      </c>
      <c r="N8916" s="3">
        <v>0</v>
      </c>
      <c r="O8916" s="3"/>
      <c r="P8916" s="3"/>
      <c r="Q8916" s="3"/>
    </row>
    <row r="8917" spans="1:17" ht="15" x14ac:dyDescent="0.25">
      <c r="A8917" s="3">
        <f>8910</f>
        <v>8910</v>
      </c>
      <c r="B8917" s="3" t="s">
        <v>8919</v>
      </c>
      <c r="C8917" s="3" t="s">
        <v>10</v>
      </c>
      <c r="D8917" s="3" t="s">
        <v>9</v>
      </c>
      <c r="E8917" s="3">
        <v>22</v>
      </c>
      <c r="F8917" s="3">
        <v>75</v>
      </c>
      <c r="G8917" s="3">
        <v>1</v>
      </c>
      <c r="H8917" s="3">
        <v>0</v>
      </c>
      <c r="I8917" s="3">
        <v>0</v>
      </c>
      <c r="J8917" s="3">
        <v>1</v>
      </c>
      <c r="K8917" s="3">
        <v>0</v>
      </c>
      <c r="L8917" s="3">
        <v>1</v>
      </c>
      <c r="M8917" s="3">
        <v>0</v>
      </c>
      <c r="N8917" s="3">
        <v>0</v>
      </c>
      <c r="O8917" s="3"/>
      <c r="P8917" s="3"/>
      <c r="Q8917" s="3"/>
    </row>
    <row r="8918" spans="1:17" ht="15" x14ac:dyDescent="0.25">
      <c r="A8918" s="3">
        <f>8911</f>
        <v>8911</v>
      </c>
      <c r="B8918" s="3" t="s">
        <v>8920</v>
      </c>
      <c r="C8918" s="3" t="s">
        <v>10</v>
      </c>
      <c r="D8918" s="3" t="s">
        <v>9</v>
      </c>
      <c r="E8918" s="3">
        <v>22</v>
      </c>
      <c r="F8918" s="3">
        <v>75</v>
      </c>
      <c r="G8918" s="3">
        <v>1</v>
      </c>
      <c r="H8918" s="3">
        <v>0</v>
      </c>
      <c r="I8918" s="3">
        <v>0</v>
      </c>
      <c r="J8918" s="3">
        <v>1</v>
      </c>
      <c r="K8918" s="3">
        <v>0</v>
      </c>
      <c r="L8918" s="3">
        <v>1</v>
      </c>
      <c r="M8918" s="3">
        <v>0</v>
      </c>
      <c r="N8918" s="3">
        <v>0</v>
      </c>
      <c r="O8918" s="3"/>
      <c r="P8918" s="3"/>
      <c r="Q8918" s="3"/>
    </row>
    <row r="8919" spans="1:17" ht="15" x14ac:dyDescent="0.25">
      <c r="A8919" s="3">
        <f>8912</f>
        <v>8912</v>
      </c>
      <c r="B8919" s="3" t="s">
        <v>8921</v>
      </c>
      <c r="C8919" s="3" t="s">
        <v>10</v>
      </c>
      <c r="D8919" s="3" t="s">
        <v>9</v>
      </c>
      <c r="E8919" s="3">
        <v>22</v>
      </c>
      <c r="F8919" s="3">
        <v>75</v>
      </c>
      <c r="G8919" s="3">
        <v>1</v>
      </c>
      <c r="H8919" s="3">
        <v>0</v>
      </c>
      <c r="I8919" s="3">
        <v>0</v>
      </c>
      <c r="J8919" s="3">
        <v>1</v>
      </c>
      <c r="K8919" s="3">
        <v>0</v>
      </c>
      <c r="L8919" s="3">
        <v>1</v>
      </c>
      <c r="M8919" s="3">
        <v>0</v>
      </c>
      <c r="N8919" s="3">
        <v>0</v>
      </c>
      <c r="O8919" s="3"/>
      <c r="P8919" s="3"/>
      <c r="Q8919" s="3"/>
    </row>
    <row r="8920" spans="1:17" ht="15" x14ac:dyDescent="0.25">
      <c r="A8920" s="3">
        <f>8913</f>
        <v>8913</v>
      </c>
      <c r="B8920" s="3" t="s">
        <v>8922</v>
      </c>
      <c r="C8920" s="3" t="s">
        <v>10</v>
      </c>
      <c r="D8920" s="3" t="s">
        <v>9</v>
      </c>
      <c r="E8920" s="3">
        <v>22</v>
      </c>
      <c r="F8920" s="3">
        <v>75</v>
      </c>
      <c r="G8920" s="3">
        <v>1</v>
      </c>
      <c r="H8920" s="3">
        <v>0</v>
      </c>
      <c r="I8920" s="3">
        <v>0</v>
      </c>
      <c r="J8920" s="3">
        <v>1</v>
      </c>
      <c r="K8920" s="3">
        <v>0</v>
      </c>
      <c r="L8920" s="3">
        <v>1</v>
      </c>
      <c r="M8920" s="3">
        <v>0</v>
      </c>
      <c r="N8920" s="3">
        <v>0</v>
      </c>
      <c r="O8920" s="3"/>
      <c r="P8920" s="3"/>
      <c r="Q8920" s="3"/>
    </row>
    <row r="8921" spans="1:17" ht="15" x14ac:dyDescent="0.25">
      <c r="A8921" s="3">
        <f>8914</f>
        <v>8914</v>
      </c>
      <c r="B8921" s="3" t="s">
        <v>8923</v>
      </c>
      <c r="C8921" s="3" t="s">
        <v>10</v>
      </c>
      <c r="D8921" s="3" t="s">
        <v>9</v>
      </c>
      <c r="E8921" s="3">
        <v>22</v>
      </c>
      <c r="F8921" s="3">
        <v>75</v>
      </c>
      <c r="G8921" s="3">
        <v>1</v>
      </c>
      <c r="H8921" s="3">
        <v>0</v>
      </c>
      <c r="I8921" s="3">
        <v>0</v>
      </c>
      <c r="J8921" s="3">
        <v>1</v>
      </c>
      <c r="K8921" s="3">
        <v>0</v>
      </c>
      <c r="L8921" s="3">
        <v>1</v>
      </c>
      <c r="M8921" s="3">
        <v>0</v>
      </c>
      <c r="N8921" s="3">
        <v>0</v>
      </c>
      <c r="O8921" s="3"/>
      <c r="P8921" s="3"/>
      <c r="Q8921" s="3"/>
    </row>
    <row r="8922" spans="1:17" ht="15" x14ac:dyDescent="0.25">
      <c r="A8922" s="3">
        <f>8915</f>
        <v>8915</v>
      </c>
      <c r="B8922" s="3" t="s">
        <v>8924</v>
      </c>
      <c r="C8922" s="3" t="s">
        <v>10</v>
      </c>
      <c r="D8922" s="3" t="s">
        <v>9</v>
      </c>
      <c r="E8922" s="3">
        <v>22</v>
      </c>
      <c r="F8922" s="3">
        <v>75</v>
      </c>
      <c r="G8922" s="3">
        <v>1</v>
      </c>
      <c r="H8922" s="3">
        <v>0</v>
      </c>
      <c r="I8922" s="3">
        <v>0</v>
      </c>
      <c r="J8922" s="3">
        <v>1</v>
      </c>
      <c r="K8922" s="3">
        <v>0</v>
      </c>
      <c r="L8922" s="3">
        <v>1</v>
      </c>
      <c r="M8922" s="3">
        <v>0</v>
      </c>
      <c r="N8922" s="3">
        <v>0</v>
      </c>
      <c r="O8922" s="3"/>
      <c r="P8922" s="3"/>
      <c r="Q8922" s="3"/>
    </row>
    <row r="8923" spans="1:17" ht="15" x14ac:dyDescent="0.25">
      <c r="A8923" s="3">
        <f>8916</f>
        <v>8916</v>
      </c>
      <c r="B8923" s="3" t="s">
        <v>8925</v>
      </c>
      <c r="C8923" s="3" t="s">
        <v>10</v>
      </c>
      <c r="D8923" s="3" t="s">
        <v>9</v>
      </c>
      <c r="E8923" s="3">
        <v>22</v>
      </c>
      <c r="F8923" s="3">
        <v>75</v>
      </c>
      <c r="G8923" s="3">
        <v>1</v>
      </c>
      <c r="H8923" s="3">
        <v>0</v>
      </c>
      <c r="I8923" s="3">
        <v>0</v>
      </c>
      <c r="J8923" s="3">
        <v>1</v>
      </c>
      <c r="K8923" s="3">
        <v>0</v>
      </c>
      <c r="L8923" s="3">
        <v>1</v>
      </c>
      <c r="M8923" s="3">
        <v>0</v>
      </c>
      <c r="N8923" s="3">
        <v>0</v>
      </c>
      <c r="O8923" s="3"/>
      <c r="P8923" s="3"/>
      <c r="Q8923" s="3"/>
    </row>
    <row r="8924" spans="1:17" ht="15" x14ac:dyDescent="0.25">
      <c r="A8924" s="3">
        <f>8917</f>
        <v>8917</v>
      </c>
      <c r="B8924" s="3" t="s">
        <v>8926</v>
      </c>
      <c r="C8924" s="3" t="s">
        <v>10</v>
      </c>
      <c r="D8924" s="3" t="s">
        <v>9</v>
      </c>
      <c r="E8924" s="3">
        <v>22</v>
      </c>
      <c r="F8924" s="3">
        <v>75</v>
      </c>
      <c r="G8924" s="3">
        <v>1</v>
      </c>
      <c r="H8924" s="3">
        <v>0</v>
      </c>
      <c r="I8924" s="3">
        <v>0</v>
      </c>
      <c r="J8924" s="3">
        <v>1</v>
      </c>
      <c r="K8924" s="3">
        <v>0</v>
      </c>
      <c r="L8924" s="3">
        <v>1</v>
      </c>
      <c r="M8924" s="3">
        <v>0</v>
      </c>
      <c r="N8924" s="3">
        <v>0</v>
      </c>
      <c r="O8924" s="3"/>
      <c r="P8924" s="3"/>
      <c r="Q8924" s="3"/>
    </row>
    <row r="8925" spans="1:17" ht="15" x14ac:dyDescent="0.25">
      <c r="A8925" s="3">
        <f>8918</f>
        <v>8918</v>
      </c>
      <c r="B8925" s="3" t="s">
        <v>8927</v>
      </c>
      <c r="C8925" s="3" t="s">
        <v>10</v>
      </c>
      <c r="D8925" s="3" t="s">
        <v>9</v>
      </c>
      <c r="E8925" s="3">
        <v>22</v>
      </c>
      <c r="F8925" s="3">
        <v>75</v>
      </c>
      <c r="G8925" s="3">
        <v>1</v>
      </c>
      <c r="H8925" s="3">
        <v>0</v>
      </c>
      <c r="I8925" s="3">
        <v>0</v>
      </c>
      <c r="J8925" s="3">
        <v>1</v>
      </c>
      <c r="K8925" s="3">
        <v>0</v>
      </c>
      <c r="L8925" s="3">
        <v>1</v>
      </c>
      <c r="M8925" s="3">
        <v>0</v>
      </c>
      <c r="N8925" s="3">
        <v>0</v>
      </c>
      <c r="O8925" s="3"/>
      <c r="P8925" s="3"/>
      <c r="Q8925" s="3"/>
    </row>
    <row r="8926" spans="1:17" ht="15" x14ac:dyDescent="0.25">
      <c r="A8926" s="3">
        <f>8919</f>
        <v>8919</v>
      </c>
      <c r="B8926" s="3" t="s">
        <v>8928</v>
      </c>
      <c r="C8926" s="3" t="s">
        <v>10</v>
      </c>
      <c r="D8926" s="3" t="s">
        <v>9</v>
      </c>
      <c r="E8926" s="3">
        <v>22</v>
      </c>
      <c r="F8926" s="3">
        <v>75</v>
      </c>
      <c r="G8926" s="3">
        <v>1</v>
      </c>
      <c r="H8926" s="3">
        <v>0</v>
      </c>
      <c r="I8926" s="3">
        <v>0</v>
      </c>
      <c r="J8926" s="3">
        <v>1</v>
      </c>
      <c r="K8926" s="3">
        <v>0</v>
      </c>
      <c r="L8926" s="3">
        <v>1</v>
      </c>
      <c r="M8926" s="3">
        <v>0</v>
      </c>
      <c r="N8926" s="3">
        <v>0</v>
      </c>
      <c r="O8926" s="3"/>
      <c r="P8926" s="3"/>
      <c r="Q8926" s="3"/>
    </row>
    <row r="8927" spans="1:17" ht="15" x14ac:dyDescent="0.25">
      <c r="A8927" s="3">
        <f>8920</f>
        <v>8920</v>
      </c>
      <c r="B8927" s="3" t="s">
        <v>8929</v>
      </c>
      <c r="C8927" s="3" t="s">
        <v>10</v>
      </c>
      <c r="D8927" s="3" t="s">
        <v>9</v>
      </c>
      <c r="E8927" s="3">
        <v>22</v>
      </c>
      <c r="F8927" s="3">
        <v>75</v>
      </c>
      <c r="G8927" s="3">
        <v>1</v>
      </c>
      <c r="H8927" s="3">
        <v>0</v>
      </c>
      <c r="I8927" s="3">
        <v>0</v>
      </c>
      <c r="J8927" s="3">
        <v>1</v>
      </c>
      <c r="K8927" s="3">
        <v>0</v>
      </c>
      <c r="L8927" s="3">
        <v>1</v>
      </c>
      <c r="M8927" s="3">
        <v>0</v>
      </c>
      <c r="N8927" s="3">
        <v>0</v>
      </c>
      <c r="O8927" s="3"/>
      <c r="P8927" s="3"/>
      <c r="Q8927" s="3"/>
    </row>
    <row r="8928" spans="1:17" ht="15" x14ac:dyDescent="0.25">
      <c r="A8928" s="3">
        <f>8921</f>
        <v>8921</v>
      </c>
      <c r="B8928" s="3" t="s">
        <v>8930</v>
      </c>
      <c r="C8928" s="3" t="s">
        <v>10</v>
      </c>
      <c r="D8928" s="3" t="s">
        <v>9</v>
      </c>
      <c r="E8928" s="3">
        <v>22</v>
      </c>
      <c r="F8928" s="3">
        <v>75</v>
      </c>
      <c r="G8928" s="3">
        <v>1</v>
      </c>
      <c r="H8928" s="3">
        <v>0</v>
      </c>
      <c r="I8928" s="3">
        <v>0</v>
      </c>
      <c r="J8928" s="3">
        <v>1</v>
      </c>
      <c r="K8928" s="3">
        <v>0</v>
      </c>
      <c r="L8928" s="3">
        <v>1</v>
      </c>
      <c r="M8928" s="3">
        <v>0</v>
      </c>
      <c r="N8928" s="3">
        <v>0</v>
      </c>
      <c r="O8928" s="3"/>
      <c r="P8928" s="3"/>
      <c r="Q8928" s="3"/>
    </row>
    <row r="8929" spans="1:17" ht="15" x14ac:dyDescent="0.25">
      <c r="A8929" s="3">
        <f>8922</f>
        <v>8922</v>
      </c>
      <c r="B8929" s="3" t="s">
        <v>8931</v>
      </c>
      <c r="C8929" s="3" t="s">
        <v>10</v>
      </c>
      <c r="D8929" s="3" t="s">
        <v>9</v>
      </c>
      <c r="E8929" s="3">
        <v>22</v>
      </c>
      <c r="F8929" s="3">
        <v>75</v>
      </c>
      <c r="G8929" s="3">
        <v>1</v>
      </c>
      <c r="H8929" s="3">
        <v>0</v>
      </c>
      <c r="I8929" s="3">
        <v>0</v>
      </c>
      <c r="J8929" s="3">
        <v>1</v>
      </c>
      <c r="K8929" s="3">
        <v>0</v>
      </c>
      <c r="L8929" s="3">
        <v>1</v>
      </c>
      <c r="M8929" s="3">
        <v>0</v>
      </c>
      <c r="N8929" s="3">
        <v>0</v>
      </c>
      <c r="O8929" s="3"/>
      <c r="P8929" s="3"/>
      <c r="Q8929" s="3"/>
    </row>
    <row r="8930" spans="1:17" ht="15" x14ac:dyDescent="0.25">
      <c r="A8930" s="3">
        <f>8923</f>
        <v>8923</v>
      </c>
      <c r="B8930" s="3" t="s">
        <v>8932</v>
      </c>
      <c r="C8930" s="3" t="s">
        <v>10</v>
      </c>
      <c r="D8930" s="3" t="s">
        <v>9</v>
      </c>
      <c r="E8930" s="3">
        <v>22</v>
      </c>
      <c r="F8930" s="3">
        <v>75</v>
      </c>
      <c r="G8930" s="3">
        <v>1</v>
      </c>
      <c r="H8930" s="3">
        <v>0</v>
      </c>
      <c r="I8930" s="3">
        <v>0</v>
      </c>
      <c r="J8930" s="3">
        <v>1</v>
      </c>
      <c r="K8930" s="3">
        <v>0</v>
      </c>
      <c r="L8930" s="3">
        <v>1</v>
      </c>
      <c r="M8930" s="3">
        <v>0</v>
      </c>
      <c r="N8930" s="3">
        <v>0</v>
      </c>
      <c r="O8930" s="3"/>
      <c r="P8930" s="3"/>
      <c r="Q8930" s="3"/>
    </row>
    <row r="8931" spans="1:17" ht="15" x14ac:dyDescent="0.25">
      <c r="A8931" s="3">
        <f>8924</f>
        <v>8924</v>
      </c>
      <c r="B8931" s="3" t="s">
        <v>8933</v>
      </c>
      <c r="C8931" s="3" t="s">
        <v>10</v>
      </c>
      <c r="D8931" s="3" t="s">
        <v>9</v>
      </c>
      <c r="E8931" s="3">
        <v>22</v>
      </c>
      <c r="F8931" s="3">
        <v>75</v>
      </c>
      <c r="G8931" s="3">
        <v>1</v>
      </c>
      <c r="H8931" s="3">
        <v>0</v>
      </c>
      <c r="I8931" s="3">
        <v>0</v>
      </c>
      <c r="J8931" s="3">
        <v>1</v>
      </c>
      <c r="K8931" s="3">
        <v>0</v>
      </c>
      <c r="L8931" s="3">
        <v>1</v>
      </c>
      <c r="M8931" s="3">
        <v>0</v>
      </c>
      <c r="N8931" s="3">
        <v>0</v>
      </c>
      <c r="O8931" s="3"/>
      <c r="P8931" s="3"/>
      <c r="Q8931" s="3"/>
    </row>
    <row r="8932" spans="1:17" ht="15" x14ac:dyDescent="0.25">
      <c r="A8932" s="3">
        <f>8925</f>
        <v>8925</v>
      </c>
      <c r="B8932" s="3" t="s">
        <v>8934</v>
      </c>
      <c r="C8932" s="3" t="s">
        <v>10</v>
      </c>
      <c r="D8932" s="3" t="s">
        <v>9</v>
      </c>
      <c r="E8932" s="3">
        <v>22</v>
      </c>
      <c r="F8932" s="3">
        <v>75</v>
      </c>
      <c r="G8932" s="3">
        <v>1</v>
      </c>
      <c r="H8932" s="3">
        <v>0</v>
      </c>
      <c r="I8932" s="3">
        <v>0</v>
      </c>
      <c r="J8932" s="3">
        <v>1</v>
      </c>
      <c r="K8932" s="3">
        <v>0</v>
      </c>
      <c r="L8932" s="3">
        <v>1</v>
      </c>
      <c r="M8932" s="3">
        <v>0</v>
      </c>
      <c r="N8932" s="3">
        <v>0</v>
      </c>
      <c r="O8932" s="3"/>
      <c r="P8932" s="3"/>
      <c r="Q8932" s="3"/>
    </row>
    <row r="8933" spans="1:17" ht="15" x14ac:dyDescent="0.25">
      <c r="A8933" s="3">
        <f>8926</f>
        <v>8926</v>
      </c>
      <c r="B8933" s="3" t="s">
        <v>8935</v>
      </c>
      <c r="C8933" s="3" t="s">
        <v>10</v>
      </c>
      <c r="D8933" s="3" t="s">
        <v>9</v>
      </c>
      <c r="E8933" s="3">
        <v>22</v>
      </c>
      <c r="F8933" s="3">
        <v>75</v>
      </c>
      <c r="G8933" s="3">
        <v>1</v>
      </c>
      <c r="H8933" s="3">
        <v>0</v>
      </c>
      <c r="I8933" s="3">
        <v>0</v>
      </c>
      <c r="J8933" s="3">
        <v>1</v>
      </c>
      <c r="K8933" s="3">
        <v>0</v>
      </c>
      <c r="L8933" s="3">
        <v>1</v>
      </c>
      <c r="M8933" s="3">
        <v>0</v>
      </c>
      <c r="N8933" s="3">
        <v>0</v>
      </c>
      <c r="O8933" s="3"/>
      <c r="P8933" s="3"/>
      <c r="Q8933" s="3"/>
    </row>
    <row r="8934" spans="1:17" ht="15" x14ac:dyDescent="0.25">
      <c r="A8934" s="3">
        <f>8927</f>
        <v>8927</v>
      </c>
      <c r="B8934" s="3" t="s">
        <v>8936</v>
      </c>
      <c r="C8934" s="3" t="s">
        <v>10</v>
      </c>
      <c r="D8934" s="3" t="s">
        <v>9</v>
      </c>
      <c r="E8934" s="3">
        <v>22</v>
      </c>
      <c r="F8934" s="3">
        <v>75</v>
      </c>
      <c r="G8934" s="3">
        <v>1</v>
      </c>
      <c r="H8934" s="3">
        <v>0</v>
      </c>
      <c r="I8934" s="3">
        <v>0</v>
      </c>
      <c r="J8934" s="3">
        <v>1</v>
      </c>
      <c r="K8934" s="3">
        <v>0</v>
      </c>
      <c r="L8934" s="3">
        <v>1</v>
      </c>
      <c r="M8934" s="3">
        <v>0</v>
      </c>
      <c r="N8934" s="3">
        <v>0</v>
      </c>
      <c r="O8934" s="3"/>
      <c r="P8934" s="3"/>
      <c r="Q8934" s="3"/>
    </row>
    <row r="8935" spans="1:17" ht="15" x14ac:dyDescent="0.25">
      <c r="A8935" s="3">
        <f>8928</f>
        <v>8928</v>
      </c>
      <c r="B8935" s="3" t="s">
        <v>8937</v>
      </c>
      <c r="C8935" s="3" t="s">
        <v>10</v>
      </c>
      <c r="D8935" s="3" t="s">
        <v>9</v>
      </c>
      <c r="E8935" s="3">
        <v>22</v>
      </c>
      <c r="F8935" s="3">
        <v>75</v>
      </c>
      <c r="G8935" s="3">
        <v>1</v>
      </c>
      <c r="H8935" s="3">
        <v>0</v>
      </c>
      <c r="I8935" s="3">
        <v>0</v>
      </c>
      <c r="J8935" s="3">
        <v>1</v>
      </c>
      <c r="K8935" s="3">
        <v>0</v>
      </c>
      <c r="L8935" s="3">
        <v>1</v>
      </c>
      <c r="M8935" s="3">
        <v>0</v>
      </c>
      <c r="N8935" s="3">
        <v>0</v>
      </c>
      <c r="O8935" s="3"/>
      <c r="P8935" s="3"/>
      <c r="Q8935" s="3"/>
    </row>
    <row r="8936" spans="1:17" ht="15" x14ac:dyDescent="0.25">
      <c r="A8936" s="3">
        <f>8929</f>
        <v>8929</v>
      </c>
      <c r="B8936" s="3" t="s">
        <v>8938</v>
      </c>
      <c r="C8936" s="3" t="s">
        <v>10</v>
      </c>
      <c r="D8936" s="3" t="s">
        <v>9</v>
      </c>
      <c r="E8936" s="3">
        <v>22</v>
      </c>
      <c r="F8936" s="3">
        <v>75</v>
      </c>
      <c r="G8936" s="3">
        <v>1</v>
      </c>
      <c r="H8936" s="3">
        <v>0</v>
      </c>
      <c r="I8936" s="3">
        <v>0</v>
      </c>
      <c r="J8936" s="3">
        <v>1</v>
      </c>
      <c r="K8936" s="3">
        <v>0</v>
      </c>
      <c r="L8936" s="3">
        <v>1</v>
      </c>
      <c r="M8936" s="3">
        <v>0</v>
      </c>
      <c r="N8936" s="3">
        <v>0</v>
      </c>
      <c r="O8936" s="3"/>
      <c r="P8936" s="3"/>
      <c r="Q8936" s="3"/>
    </row>
    <row r="8937" spans="1:17" ht="15" x14ac:dyDescent="0.25">
      <c r="A8937" s="3">
        <f>8930</f>
        <v>8930</v>
      </c>
      <c r="B8937" s="3" t="s">
        <v>8939</v>
      </c>
      <c r="C8937" s="3" t="s">
        <v>10</v>
      </c>
      <c r="D8937" s="3" t="s">
        <v>9</v>
      </c>
      <c r="E8937" s="3">
        <v>22</v>
      </c>
      <c r="F8937" s="3">
        <v>75</v>
      </c>
      <c r="G8937" s="3">
        <v>1</v>
      </c>
      <c r="H8937" s="3">
        <v>0</v>
      </c>
      <c r="I8937" s="3">
        <v>0</v>
      </c>
      <c r="J8937" s="3">
        <v>1</v>
      </c>
      <c r="K8937" s="3">
        <v>0</v>
      </c>
      <c r="L8937" s="3">
        <v>1</v>
      </c>
      <c r="M8937" s="3">
        <v>0</v>
      </c>
      <c r="N8937" s="3">
        <v>0</v>
      </c>
      <c r="O8937" s="3"/>
      <c r="P8937" s="3"/>
      <c r="Q8937" s="3"/>
    </row>
    <row r="8938" spans="1:17" ht="15" x14ac:dyDescent="0.25">
      <c r="A8938" s="3">
        <f>8931</f>
        <v>8931</v>
      </c>
      <c r="B8938" s="3" t="s">
        <v>8940</v>
      </c>
      <c r="C8938" s="3" t="s">
        <v>10</v>
      </c>
      <c r="D8938" s="3" t="s">
        <v>9</v>
      </c>
      <c r="E8938" s="3">
        <v>22</v>
      </c>
      <c r="F8938" s="3">
        <v>75</v>
      </c>
      <c r="G8938" s="3">
        <v>1</v>
      </c>
      <c r="H8938" s="3">
        <v>0</v>
      </c>
      <c r="I8938" s="3">
        <v>0</v>
      </c>
      <c r="J8938" s="3">
        <v>1</v>
      </c>
      <c r="K8938" s="3">
        <v>0</v>
      </c>
      <c r="L8938" s="3">
        <v>1</v>
      </c>
      <c r="M8938" s="3">
        <v>0</v>
      </c>
      <c r="N8938" s="3">
        <v>0</v>
      </c>
      <c r="O8938" s="3"/>
      <c r="P8938" s="3"/>
      <c r="Q8938" s="3"/>
    </row>
    <row r="8939" spans="1:17" ht="15" x14ac:dyDescent="0.25">
      <c r="A8939" s="3">
        <f>8932</f>
        <v>8932</v>
      </c>
      <c r="B8939" s="3" t="s">
        <v>8941</v>
      </c>
      <c r="C8939" s="3" t="s">
        <v>10</v>
      </c>
      <c r="D8939" s="3" t="s">
        <v>9</v>
      </c>
      <c r="E8939" s="3">
        <v>22</v>
      </c>
      <c r="F8939" s="3">
        <v>75</v>
      </c>
      <c r="G8939" s="3">
        <v>1</v>
      </c>
      <c r="H8939" s="3">
        <v>0</v>
      </c>
      <c r="I8939" s="3">
        <v>0</v>
      </c>
      <c r="J8939" s="3">
        <v>1</v>
      </c>
      <c r="K8939" s="3">
        <v>0</v>
      </c>
      <c r="L8939" s="3">
        <v>1</v>
      </c>
      <c r="M8939" s="3">
        <v>0</v>
      </c>
      <c r="N8939" s="3">
        <v>0</v>
      </c>
      <c r="O8939" s="3"/>
      <c r="P8939" s="3"/>
      <c r="Q8939" s="3"/>
    </row>
    <row r="8940" spans="1:17" ht="15" x14ac:dyDescent="0.25">
      <c r="A8940" s="3">
        <f>8933</f>
        <v>8933</v>
      </c>
      <c r="B8940" s="3" t="s">
        <v>8942</v>
      </c>
      <c r="C8940" s="3" t="s">
        <v>10</v>
      </c>
      <c r="D8940" s="3" t="s">
        <v>9</v>
      </c>
      <c r="E8940" s="3">
        <v>22</v>
      </c>
      <c r="F8940" s="3">
        <v>75</v>
      </c>
      <c r="G8940" s="3">
        <v>1</v>
      </c>
      <c r="H8940" s="3">
        <v>0</v>
      </c>
      <c r="I8940" s="3">
        <v>0</v>
      </c>
      <c r="J8940" s="3">
        <v>1</v>
      </c>
      <c r="K8940" s="3">
        <v>0</v>
      </c>
      <c r="L8940" s="3">
        <v>1</v>
      </c>
      <c r="M8940" s="3">
        <v>0</v>
      </c>
      <c r="N8940" s="3">
        <v>0</v>
      </c>
      <c r="O8940" s="3"/>
      <c r="P8940" s="3"/>
      <c r="Q8940" s="3"/>
    </row>
    <row r="8941" spans="1:17" ht="15" x14ac:dyDescent="0.25">
      <c r="A8941" s="3">
        <f>8934</f>
        <v>8934</v>
      </c>
      <c r="B8941" s="3" t="s">
        <v>8943</v>
      </c>
      <c r="C8941" s="3" t="s">
        <v>10</v>
      </c>
      <c r="D8941" s="3" t="s">
        <v>9</v>
      </c>
      <c r="E8941" s="3">
        <v>22</v>
      </c>
      <c r="F8941" s="3">
        <v>75</v>
      </c>
      <c r="G8941" s="3">
        <v>1</v>
      </c>
      <c r="H8941" s="3">
        <v>0</v>
      </c>
      <c r="I8941" s="3">
        <v>0</v>
      </c>
      <c r="J8941" s="3">
        <v>1</v>
      </c>
      <c r="K8941" s="3">
        <v>0</v>
      </c>
      <c r="L8941" s="3">
        <v>1</v>
      </c>
      <c r="M8941" s="3">
        <v>0</v>
      </c>
      <c r="N8941" s="3">
        <v>0</v>
      </c>
      <c r="O8941" s="3"/>
      <c r="P8941" s="3"/>
      <c r="Q8941" s="3"/>
    </row>
    <row r="8942" spans="1:17" ht="15" x14ac:dyDescent="0.25">
      <c r="A8942" s="3">
        <f>8935</f>
        <v>8935</v>
      </c>
      <c r="B8942" s="3" t="s">
        <v>8944</v>
      </c>
      <c r="C8942" s="3" t="s">
        <v>10</v>
      </c>
      <c r="D8942" s="3" t="s">
        <v>9</v>
      </c>
      <c r="E8942" s="3">
        <v>22</v>
      </c>
      <c r="F8942" s="3">
        <v>75</v>
      </c>
      <c r="G8942" s="3">
        <v>1</v>
      </c>
      <c r="H8942" s="3">
        <v>0</v>
      </c>
      <c r="I8942" s="3">
        <v>0</v>
      </c>
      <c r="J8942" s="3">
        <v>1</v>
      </c>
      <c r="K8942" s="3">
        <v>0</v>
      </c>
      <c r="L8942" s="3">
        <v>1</v>
      </c>
      <c r="M8942" s="3">
        <v>0</v>
      </c>
      <c r="N8942" s="3">
        <v>0</v>
      </c>
      <c r="O8942" s="3"/>
      <c r="P8942" s="3"/>
      <c r="Q8942" s="3"/>
    </row>
    <row r="8943" spans="1:17" ht="15" x14ac:dyDescent="0.25">
      <c r="A8943" s="3">
        <f>8936</f>
        <v>8936</v>
      </c>
      <c r="B8943" s="3" t="s">
        <v>8945</v>
      </c>
      <c r="C8943" s="3" t="s">
        <v>10</v>
      </c>
      <c r="D8943" s="3" t="s">
        <v>9</v>
      </c>
      <c r="E8943" s="3">
        <v>22</v>
      </c>
      <c r="F8943" s="3">
        <v>75</v>
      </c>
      <c r="G8943" s="3">
        <v>1</v>
      </c>
      <c r="H8943" s="3">
        <v>0</v>
      </c>
      <c r="I8943" s="3">
        <v>0</v>
      </c>
      <c r="J8943" s="3">
        <v>1</v>
      </c>
      <c r="K8943" s="3">
        <v>0</v>
      </c>
      <c r="L8943" s="3">
        <v>1</v>
      </c>
      <c r="M8943" s="3">
        <v>0</v>
      </c>
      <c r="N8943" s="3">
        <v>0</v>
      </c>
      <c r="O8943" s="3"/>
      <c r="P8943" s="3"/>
      <c r="Q8943" s="3"/>
    </row>
    <row r="8944" spans="1:17" ht="15" x14ac:dyDescent="0.25">
      <c r="A8944" s="3">
        <f>8937</f>
        <v>8937</v>
      </c>
      <c r="B8944" s="3" t="s">
        <v>8946</v>
      </c>
      <c r="C8944" s="3" t="s">
        <v>10</v>
      </c>
      <c r="D8944" s="3" t="s">
        <v>9</v>
      </c>
      <c r="E8944" s="3">
        <v>22</v>
      </c>
      <c r="F8944" s="3">
        <v>75</v>
      </c>
      <c r="G8944" s="3">
        <v>1</v>
      </c>
      <c r="H8944" s="3">
        <v>0</v>
      </c>
      <c r="I8944" s="3">
        <v>0</v>
      </c>
      <c r="J8944" s="3">
        <v>1</v>
      </c>
      <c r="K8944" s="3">
        <v>0</v>
      </c>
      <c r="L8944" s="3">
        <v>1</v>
      </c>
      <c r="M8944" s="3">
        <v>0</v>
      </c>
      <c r="N8944" s="3">
        <v>0</v>
      </c>
      <c r="O8944" s="3"/>
      <c r="P8944" s="3"/>
      <c r="Q8944" s="3"/>
    </row>
    <row r="8945" spans="1:17" ht="15" x14ac:dyDescent="0.25">
      <c r="A8945" s="3">
        <f>8938</f>
        <v>8938</v>
      </c>
      <c r="B8945" s="3" t="s">
        <v>8947</v>
      </c>
      <c r="C8945" s="3" t="s">
        <v>10</v>
      </c>
      <c r="D8945" s="3" t="s">
        <v>9</v>
      </c>
      <c r="E8945" s="3">
        <v>22</v>
      </c>
      <c r="F8945" s="3">
        <v>75</v>
      </c>
      <c r="G8945" s="3">
        <v>1</v>
      </c>
      <c r="H8945" s="3">
        <v>0</v>
      </c>
      <c r="I8945" s="3">
        <v>0</v>
      </c>
      <c r="J8945" s="3">
        <v>1</v>
      </c>
      <c r="K8945" s="3">
        <v>0</v>
      </c>
      <c r="L8945" s="3">
        <v>1</v>
      </c>
      <c r="M8945" s="3">
        <v>0</v>
      </c>
      <c r="N8945" s="3">
        <v>0</v>
      </c>
      <c r="O8945" s="3"/>
      <c r="P8945" s="3"/>
      <c r="Q8945" s="3"/>
    </row>
    <row r="8946" spans="1:17" ht="15" x14ac:dyDescent="0.25">
      <c r="A8946" s="3">
        <f>8939</f>
        <v>8939</v>
      </c>
      <c r="B8946" s="3" t="s">
        <v>8948</v>
      </c>
      <c r="C8946" s="3" t="s">
        <v>10</v>
      </c>
      <c r="D8946" s="3" t="s">
        <v>9</v>
      </c>
      <c r="E8946" s="3">
        <v>22</v>
      </c>
      <c r="F8946" s="3">
        <v>75</v>
      </c>
      <c r="G8946" s="3">
        <v>1</v>
      </c>
      <c r="H8946" s="3">
        <v>0</v>
      </c>
      <c r="I8946" s="3">
        <v>0</v>
      </c>
      <c r="J8946" s="3">
        <v>1</v>
      </c>
      <c r="K8946" s="3">
        <v>0</v>
      </c>
      <c r="L8946" s="3">
        <v>1</v>
      </c>
      <c r="M8946" s="3">
        <v>0</v>
      </c>
      <c r="N8946" s="3">
        <v>0</v>
      </c>
      <c r="O8946" s="3"/>
      <c r="P8946" s="3"/>
      <c r="Q8946" s="3"/>
    </row>
    <row r="8947" spans="1:17" ht="15" x14ac:dyDescent="0.25">
      <c r="A8947" s="3">
        <f>8940</f>
        <v>8940</v>
      </c>
      <c r="B8947" s="3" t="s">
        <v>8949</v>
      </c>
      <c r="C8947" s="3" t="s">
        <v>10</v>
      </c>
      <c r="D8947" s="3" t="s">
        <v>9</v>
      </c>
      <c r="E8947" s="3">
        <v>22</v>
      </c>
      <c r="F8947" s="3">
        <v>75</v>
      </c>
      <c r="G8947" s="3">
        <v>1</v>
      </c>
      <c r="H8947" s="3">
        <v>0</v>
      </c>
      <c r="I8947" s="3">
        <v>0</v>
      </c>
      <c r="J8947" s="3">
        <v>1</v>
      </c>
      <c r="K8947" s="3">
        <v>0</v>
      </c>
      <c r="L8947" s="3">
        <v>1</v>
      </c>
      <c r="M8947" s="3">
        <v>0</v>
      </c>
      <c r="N8947" s="3">
        <v>0</v>
      </c>
      <c r="O8947" s="3"/>
      <c r="P8947" s="3"/>
      <c r="Q8947" s="3"/>
    </row>
    <row r="8948" spans="1:17" ht="15" x14ac:dyDescent="0.25">
      <c r="A8948" s="3">
        <f>8941</f>
        <v>8941</v>
      </c>
      <c r="B8948" s="3" t="s">
        <v>8950</v>
      </c>
      <c r="C8948" s="3" t="s">
        <v>10</v>
      </c>
      <c r="D8948" s="3" t="s">
        <v>9</v>
      </c>
      <c r="E8948" s="3">
        <v>22</v>
      </c>
      <c r="F8948" s="3">
        <v>75</v>
      </c>
      <c r="G8948" s="3">
        <v>1</v>
      </c>
      <c r="H8948" s="3">
        <v>0</v>
      </c>
      <c r="I8948" s="3">
        <v>0</v>
      </c>
      <c r="J8948" s="3">
        <v>1</v>
      </c>
      <c r="K8948" s="3">
        <v>0</v>
      </c>
      <c r="L8948" s="3">
        <v>1</v>
      </c>
      <c r="M8948" s="3">
        <v>0</v>
      </c>
      <c r="N8948" s="3">
        <v>0</v>
      </c>
      <c r="O8948" s="3"/>
      <c r="P8948" s="3"/>
      <c r="Q8948" s="3"/>
    </row>
    <row r="8949" spans="1:17" ht="15" x14ac:dyDescent="0.25">
      <c r="A8949" s="3">
        <f>8942</f>
        <v>8942</v>
      </c>
      <c r="B8949" s="3" t="s">
        <v>8951</v>
      </c>
      <c r="C8949" s="3" t="s">
        <v>10</v>
      </c>
      <c r="D8949" s="3" t="s">
        <v>9</v>
      </c>
      <c r="E8949" s="3">
        <v>22</v>
      </c>
      <c r="F8949" s="3">
        <v>75</v>
      </c>
      <c r="G8949" s="3">
        <v>1</v>
      </c>
      <c r="H8949" s="3">
        <v>0</v>
      </c>
      <c r="I8949" s="3">
        <v>0</v>
      </c>
      <c r="J8949" s="3">
        <v>1</v>
      </c>
      <c r="K8949" s="3">
        <v>0</v>
      </c>
      <c r="L8949" s="3">
        <v>1</v>
      </c>
      <c r="M8949" s="3">
        <v>0</v>
      </c>
      <c r="N8949" s="3">
        <v>0</v>
      </c>
      <c r="O8949" s="3"/>
      <c r="P8949" s="3"/>
      <c r="Q8949" s="3"/>
    </row>
    <row r="8950" spans="1:17" ht="15" x14ac:dyDescent="0.25">
      <c r="A8950" s="3">
        <f>8943</f>
        <v>8943</v>
      </c>
      <c r="B8950" s="3" t="s">
        <v>8952</v>
      </c>
      <c r="C8950" s="3" t="s">
        <v>10</v>
      </c>
      <c r="D8950" s="3" t="s">
        <v>9</v>
      </c>
      <c r="E8950" s="3">
        <v>22</v>
      </c>
      <c r="F8950" s="3">
        <v>75</v>
      </c>
      <c r="G8950" s="3">
        <v>1</v>
      </c>
      <c r="H8950" s="3">
        <v>0</v>
      </c>
      <c r="I8950" s="3">
        <v>0</v>
      </c>
      <c r="J8950" s="3">
        <v>1</v>
      </c>
      <c r="K8950" s="3">
        <v>0</v>
      </c>
      <c r="L8950" s="3">
        <v>1</v>
      </c>
      <c r="M8950" s="3">
        <v>0</v>
      </c>
      <c r="N8950" s="3">
        <v>0</v>
      </c>
      <c r="O8950" s="3"/>
      <c r="P8950" s="3"/>
      <c r="Q8950" s="3"/>
    </row>
    <row r="8951" spans="1:17" ht="15" x14ac:dyDescent="0.25">
      <c r="A8951" s="3">
        <f>8944</f>
        <v>8944</v>
      </c>
      <c r="B8951" s="3" t="s">
        <v>8953</v>
      </c>
      <c r="C8951" s="3" t="s">
        <v>10</v>
      </c>
      <c r="D8951" s="3" t="s">
        <v>9</v>
      </c>
      <c r="E8951" s="3">
        <v>22</v>
      </c>
      <c r="F8951" s="3">
        <v>75</v>
      </c>
      <c r="G8951" s="3">
        <v>1</v>
      </c>
      <c r="H8951" s="3">
        <v>0</v>
      </c>
      <c r="I8951" s="3">
        <v>0</v>
      </c>
      <c r="J8951" s="3">
        <v>1</v>
      </c>
      <c r="K8951" s="3">
        <v>0</v>
      </c>
      <c r="L8951" s="3">
        <v>1</v>
      </c>
      <c r="M8951" s="3">
        <v>0</v>
      </c>
      <c r="N8951" s="3">
        <v>0</v>
      </c>
      <c r="O8951" s="3"/>
      <c r="P8951" s="3"/>
      <c r="Q8951" s="3"/>
    </row>
    <row r="8952" spans="1:17" ht="15" x14ac:dyDescent="0.25">
      <c r="A8952" s="3">
        <f>8945</f>
        <v>8945</v>
      </c>
      <c r="B8952" s="3" t="s">
        <v>8954</v>
      </c>
      <c r="C8952" s="3" t="s">
        <v>10</v>
      </c>
      <c r="D8952" s="3" t="s">
        <v>9</v>
      </c>
      <c r="E8952" s="3">
        <v>22</v>
      </c>
      <c r="F8952" s="3">
        <v>75</v>
      </c>
      <c r="G8952" s="3">
        <v>1</v>
      </c>
      <c r="H8952" s="3">
        <v>0</v>
      </c>
      <c r="I8952" s="3">
        <v>0</v>
      </c>
      <c r="J8952" s="3">
        <v>1</v>
      </c>
      <c r="K8952" s="3">
        <v>0</v>
      </c>
      <c r="L8952" s="3">
        <v>1</v>
      </c>
      <c r="M8952" s="3">
        <v>0</v>
      </c>
      <c r="N8952" s="3">
        <v>0</v>
      </c>
      <c r="O8952" s="3"/>
      <c r="P8952" s="3"/>
      <c r="Q8952" s="3"/>
    </row>
    <row r="8953" spans="1:17" ht="15" x14ac:dyDescent="0.25">
      <c r="A8953" s="3">
        <f>8946</f>
        <v>8946</v>
      </c>
      <c r="B8953" s="3" t="s">
        <v>8955</v>
      </c>
      <c r="C8953" s="3" t="s">
        <v>10</v>
      </c>
      <c r="D8953" s="3" t="s">
        <v>9</v>
      </c>
      <c r="E8953" s="3">
        <v>22</v>
      </c>
      <c r="F8953" s="3">
        <v>75</v>
      </c>
      <c r="G8953" s="3">
        <v>1</v>
      </c>
      <c r="H8953" s="3">
        <v>0</v>
      </c>
      <c r="I8953" s="3">
        <v>0</v>
      </c>
      <c r="J8953" s="3">
        <v>1</v>
      </c>
      <c r="K8953" s="3">
        <v>0</v>
      </c>
      <c r="L8953" s="3">
        <v>1</v>
      </c>
      <c r="M8953" s="3">
        <v>0</v>
      </c>
      <c r="N8953" s="3">
        <v>0</v>
      </c>
      <c r="O8953" s="3"/>
      <c r="P8953" s="3"/>
      <c r="Q8953" s="3"/>
    </row>
    <row r="8954" spans="1:17" ht="15" x14ac:dyDescent="0.25">
      <c r="A8954" s="3">
        <f>8947</f>
        <v>8947</v>
      </c>
      <c r="B8954" s="3" t="s">
        <v>8956</v>
      </c>
      <c r="C8954" s="3" t="s">
        <v>10</v>
      </c>
      <c r="D8954" s="3" t="s">
        <v>9</v>
      </c>
      <c r="E8954" s="3">
        <v>22</v>
      </c>
      <c r="F8954" s="3">
        <v>75</v>
      </c>
      <c r="G8954" s="3">
        <v>1</v>
      </c>
      <c r="H8954" s="3">
        <v>0</v>
      </c>
      <c r="I8954" s="3">
        <v>0</v>
      </c>
      <c r="J8954" s="3">
        <v>1</v>
      </c>
      <c r="K8954" s="3">
        <v>0</v>
      </c>
      <c r="L8954" s="3">
        <v>1</v>
      </c>
      <c r="M8954" s="3">
        <v>0</v>
      </c>
      <c r="N8954" s="3">
        <v>0</v>
      </c>
      <c r="O8954" s="3"/>
      <c r="P8954" s="3"/>
      <c r="Q8954" s="3"/>
    </row>
    <row r="8955" spans="1:17" ht="15" x14ac:dyDescent="0.25">
      <c r="A8955" s="3">
        <f>8948</f>
        <v>8948</v>
      </c>
      <c r="B8955" s="3" t="s">
        <v>8957</v>
      </c>
      <c r="C8955" s="3" t="s">
        <v>10</v>
      </c>
      <c r="D8955" s="3" t="s">
        <v>9</v>
      </c>
      <c r="E8955" s="3">
        <v>22</v>
      </c>
      <c r="F8955" s="3">
        <v>75</v>
      </c>
      <c r="G8955" s="3">
        <v>1</v>
      </c>
      <c r="H8955" s="3">
        <v>0</v>
      </c>
      <c r="I8955" s="3">
        <v>0</v>
      </c>
      <c r="J8955" s="3">
        <v>1</v>
      </c>
      <c r="K8955" s="3">
        <v>0</v>
      </c>
      <c r="L8955" s="3">
        <v>1</v>
      </c>
      <c r="M8955" s="3">
        <v>0</v>
      </c>
      <c r="N8955" s="3">
        <v>0</v>
      </c>
      <c r="O8955" s="3"/>
      <c r="P8955" s="3"/>
      <c r="Q8955" s="3"/>
    </row>
    <row r="8956" spans="1:17" ht="15" x14ac:dyDescent="0.25">
      <c r="A8956" s="3">
        <f>8949</f>
        <v>8949</v>
      </c>
      <c r="B8956" s="3" t="s">
        <v>8958</v>
      </c>
      <c r="C8956" s="3" t="s">
        <v>10</v>
      </c>
      <c r="D8956" s="3" t="s">
        <v>9</v>
      </c>
      <c r="E8956" s="3">
        <v>22</v>
      </c>
      <c r="F8956" s="3">
        <v>75</v>
      </c>
      <c r="G8956" s="3">
        <v>1</v>
      </c>
      <c r="H8956" s="3">
        <v>0</v>
      </c>
      <c r="I8956" s="3">
        <v>0</v>
      </c>
      <c r="J8956" s="3">
        <v>1</v>
      </c>
      <c r="K8956" s="3">
        <v>0</v>
      </c>
      <c r="L8956" s="3">
        <v>1</v>
      </c>
      <c r="M8956" s="3">
        <v>0</v>
      </c>
      <c r="N8956" s="3">
        <v>0</v>
      </c>
      <c r="O8956" s="3"/>
      <c r="P8956" s="3"/>
      <c r="Q8956" s="3"/>
    </row>
    <row r="8957" spans="1:17" ht="15" x14ac:dyDescent="0.25">
      <c r="A8957" s="3">
        <f>8950</f>
        <v>8950</v>
      </c>
      <c r="B8957" s="3" t="s">
        <v>8959</v>
      </c>
      <c r="C8957" s="3" t="s">
        <v>10</v>
      </c>
      <c r="D8957" s="3" t="s">
        <v>9</v>
      </c>
      <c r="E8957" s="3">
        <v>22</v>
      </c>
      <c r="F8957" s="3">
        <v>75</v>
      </c>
      <c r="G8957" s="3">
        <v>1</v>
      </c>
      <c r="H8957" s="3">
        <v>0</v>
      </c>
      <c r="I8957" s="3">
        <v>0</v>
      </c>
      <c r="J8957" s="3">
        <v>1</v>
      </c>
      <c r="K8957" s="3">
        <v>0</v>
      </c>
      <c r="L8957" s="3">
        <v>1</v>
      </c>
      <c r="M8957" s="3">
        <v>0</v>
      </c>
      <c r="N8957" s="3">
        <v>0</v>
      </c>
      <c r="O8957" s="3"/>
      <c r="P8957" s="3"/>
      <c r="Q8957" s="3"/>
    </row>
    <row r="8958" spans="1:17" ht="15" x14ac:dyDescent="0.25">
      <c r="A8958" s="3">
        <f>8951</f>
        <v>8951</v>
      </c>
      <c r="B8958" s="3" t="s">
        <v>8960</v>
      </c>
      <c r="C8958" s="3" t="s">
        <v>10</v>
      </c>
      <c r="D8958" s="3" t="s">
        <v>9</v>
      </c>
      <c r="E8958" s="3">
        <v>22</v>
      </c>
      <c r="F8958" s="3">
        <v>75</v>
      </c>
      <c r="G8958" s="3">
        <v>1</v>
      </c>
      <c r="H8958" s="3">
        <v>0</v>
      </c>
      <c r="I8958" s="3">
        <v>0</v>
      </c>
      <c r="J8958" s="3">
        <v>1</v>
      </c>
      <c r="K8958" s="3">
        <v>0</v>
      </c>
      <c r="L8958" s="3">
        <v>1</v>
      </c>
      <c r="M8958" s="3">
        <v>0</v>
      </c>
      <c r="N8958" s="3">
        <v>0</v>
      </c>
      <c r="O8958" s="3"/>
      <c r="P8958" s="3"/>
      <c r="Q8958" s="3"/>
    </row>
    <row r="8959" spans="1:17" ht="15" x14ac:dyDescent="0.25">
      <c r="A8959" s="3">
        <f>8952</f>
        <v>8952</v>
      </c>
      <c r="B8959" s="3" t="s">
        <v>8961</v>
      </c>
      <c r="C8959" s="3" t="s">
        <v>10</v>
      </c>
      <c r="D8959" s="3" t="s">
        <v>9</v>
      </c>
      <c r="E8959" s="3">
        <v>22</v>
      </c>
      <c r="F8959" s="3">
        <v>75</v>
      </c>
      <c r="G8959" s="3">
        <v>1</v>
      </c>
      <c r="H8959" s="3">
        <v>0</v>
      </c>
      <c r="I8959" s="3">
        <v>0</v>
      </c>
      <c r="J8959" s="3">
        <v>1</v>
      </c>
      <c r="K8959" s="3">
        <v>0</v>
      </c>
      <c r="L8959" s="3">
        <v>1</v>
      </c>
      <c r="M8959" s="3">
        <v>0</v>
      </c>
      <c r="N8959" s="3">
        <v>0</v>
      </c>
      <c r="O8959" s="3"/>
      <c r="P8959" s="3"/>
      <c r="Q8959" s="3"/>
    </row>
    <row r="8960" spans="1:17" ht="15" x14ac:dyDescent="0.25">
      <c r="A8960" s="3">
        <f>8953</f>
        <v>8953</v>
      </c>
      <c r="B8960" s="3" t="s">
        <v>8962</v>
      </c>
      <c r="C8960" s="3" t="s">
        <v>10</v>
      </c>
      <c r="D8960" s="3" t="s">
        <v>9</v>
      </c>
      <c r="E8960" s="3">
        <v>22</v>
      </c>
      <c r="F8960" s="3">
        <v>75</v>
      </c>
      <c r="G8960" s="3">
        <v>1</v>
      </c>
      <c r="H8960" s="3">
        <v>0</v>
      </c>
      <c r="I8960" s="3">
        <v>0</v>
      </c>
      <c r="J8960" s="3">
        <v>1</v>
      </c>
      <c r="K8960" s="3">
        <v>0</v>
      </c>
      <c r="L8960" s="3">
        <v>1</v>
      </c>
      <c r="M8960" s="3">
        <v>0</v>
      </c>
      <c r="N8960" s="3">
        <v>0</v>
      </c>
      <c r="O8960" s="3"/>
      <c r="P8960" s="3"/>
      <c r="Q8960" s="3"/>
    </row>
    <row r="8961" spans="1:17" ht="15" x14ac:dyDescent="0.25">
      <c r="A8961" s="3">
        <f>8954</f>
        <v>8954</v>
      </c>
      <c r="B8961" s="3" t="s">
        <v>8963</v>
      </c>
      <c r="C8961" s="3" t="s">
        <v>10</v>
      </c>
      <c r="D8961" s="3" t="s">
        <v>9</v>
      </c>
      <c r="E8961" s="3">
        <v>22</v>
      </c>
      <c r="F8961" s="3">
        <v>75</v>
      </c>
      <c r="G8961" s="3">
        <v>1</v>
      </c>
      <c r="H8961" s="3">
        <v>0</v>
      </c>
      <c r="I8961" s="3">
        <v>0</v>
      </c>
      <c r="J8961" s="3">
        <v>1</v>
      </c>
      <c r="K8961" s="3">
        <v>0</v>
      </c>
      <c r="L8961" s="3">
        <v>1</v>
      </c>
      <c r="M8961" s="3">
        <v>0</v>
      </c>
      <c r="N8961" s="3">
        <v>0</v>
      </c>
      <c r="O8961" s="3"/>
      <c r="P8961" s="3"/>
      <c r="Q8961" s="3"/>
    </row>
    <row r="8962" spans="1:17" ht="15" x14ac:dyDescent="0.25">
      <c r="A8962" s="3">
        <f>8955</f>
        <v>8955</v>
      </c>
      <c r="B8962" s="3" t="s">
        <v>8964</v>
      </c>
      <c r="C8962" s="3" t="s">
        <v>10</v>
      </c>
      <c r="D8962" s="3" t="s">
        <v>9</v>
      </c>
      <c r="E8962" s="3">
        <v>22</v>
      </c>
      <c r="F8962" s="3">
        <v>75</v>
      </c>
      <c r="G8962" s="3">
        <v>1</v>
      </c>
      <c r="H8962" s="3">
        <v>0</v>
      </c>
      <c r="I8962" s="3">
        <v>0</v>
      </c>
      <c r="J8962" s="3">
        <v>1</v>
      </c>
      <c r="K8962" s="3">
        <v>0</v>
      </c>
      <c r="L8962" s="3">
        <v>1</v>
      </c>
      <c r="M8962" s="3">
        <v>0</v>
      </c>
      <c r="N8962" s="3">
        <v>0</v>
      </c>
      <c r="O8962" s="3"/>
      <c r="P8962" s="3"/>
      <c r="Q8962" s="3"/>
    </row>
    <row r="8963" spans="1:17" ht="15" x14ac:dyDescent="0.25">
      <c r="A8963" s="3">
        <f>8956</f>
        <v>8956</v>
      </c>
      <c r="B8963" s="3" t="s">
        <v>8965</v>
      </c>
      <c r="C8963" s="3" t="s">
        <v>10</v>
      </c>
      <c r="D8963" s="3" t="s">
        <v>9</v>
      </c>
      <c r="E8963" s="3">
        <v>22</v>
      </c>
      <c r="F8963" s="3">
        <v>75</v>
      </c>
      <c r="G8963" s="3">
        <v>1</v>
      </c>
      <c r="H8963" s="3">
        <v>0</v>
      </c>
      <c r="I8963" s="3">
        <v>0</v>
      </c>
      <c r="J8963" s="3">
        <v>1</v>
      </c>
      <c r="K8963" s="3">
        <v>0</v>
      </c>
      <c r="L8963" s="3">
        <v>1</v>
      </c>
      <c r="M8963" s="3">
        <v>0</v>
      </c>
      <c r="N8963" s="3">
        <v>0</v>
      </c>
      <c r="O8963" s="3"/>
      <c r="P8963" s="3"/>
      <c r="Q8963" s="3"/>
    </row>
    <row r="8964" spans="1:17" ht="15" x14ac:dyDescent="0.25">
      <c r="A8964" s="3">
        <f>8957</f>
        <v>8957</v>
      </c>
      <c r="B8964" s="3" t="s">
        <v>8966</v>
      </c>
      <c r="C8964" s="3" t="s">
        <v>10</v>
      </c>
      <c r="D8964" s="3" t="s">
        <v>9</v>
      </c>
      <c r="E8964" s="3">
        <v>22</v>
      </c>
      <c r="F8964" s="3">
        <v>75</v>
      </c>
      <c r="G8964" s="3">
        <v>1</v>
      </c>
      <c r="H8964" s="3">
        <v>0</v>
      </c>
      <c r="I8964" s="3">
        <v>0</v>
      </c>
      <c r="J8964" s="3">
        <v>1</v>
      </c>
      <c r="K8964" s="3">
        <v>0</v>
      </c>
      <c r="L8964" s="3">
        <v>1</v>
      </c>
      <c r="M8964" s="3">
        <v>0</v>
      </c>
      <c r="N8964" s="3">
        <v>0</v>
      </c>
      <c r="O8964" s="3"/>
      <c r="P8964" s="3"/>
      <c r="Q8964" s="3"/>
    </row>
    <row r="8965" spans="1:17" ht="15" x14ac:dyDescent="0.25">
      <c r="A8965" s="3">
        <f>8958</f>
        <v>8958</v>
      </c>
      <c r="B8965" s="3" t="s">
        <v>8967</v>
      </c>
      <c r="C8965" s="3" t="s">
        <v>10</v>
      </c>
      <c r="D8965" s="3" t="s">
        <v>9</v>
      </c>
      <c r="E8965" s="3">
        <v>22</v>
      </c>
      <c r="F8965" s="3">
        <v>75</v>
      </c>
      <c r="G8965" s="3">
        <v>1</v>
      </c>
      <c r="H8965" s="3">
        <v>0</v>
      </c>
      <c r="I8965" s="3">
        <v>0</v>
      </c>
      <c r="J8965" s="3">
        <v>1</v>
      </c>
      <c r="K8965" s="3">
        <v>0</v>
      </c>
      <c r="L8965" s="3">
        <v>1</v>
      </c>
      <c r="M8965" s="3">
        <v>0</v>
      </c>
      <c r="N8965" s="3">
        <v>0</v>
      </c>
      <c r="O8965" s="3"/>
      <c r="P8965" s="3"/>
      <c r="Q8965" s="3"/>
    </row>
    <row r="8966" spans="1:17" ht="15" x14ac:dyDescent="0.25">
      <c r="A8966" s="3">
        <f>8959</f>
        <v>8959</v>
      </c>
      <c r="B8966" s="3" t="s">
        <v>8968</v>
      </c>
      <c r="C8966" s="3" t="s">
        <v>10</v>
      </c>
      <c r="D8966" s="3" t="s">
        <v>9</v>
      </c>
      <c r="E8966" s="3">
        <v>22</v>
      </c>
      <c r="F8966" s="3">
        <v>75</v>
      </c>
      <c r="G8966" s="3">
        <v>1</v>
      </c>
      <c r="H8966" s="3">
        <v>0</v>
      </c>
      <c r="I8966" s="3">
        <v>0</v>
      </c>
      <c r="J8966" s="3">
        <v>1</v>
      </c>
      <c r="K8966" s="3">
        <v>0</v>
      </c>
      <c r="L8966" s="3">
        <v>1</v>
      </c>
      <c r="M8966" s="3">
        <v>0</v>
      </c>
      <c r="N8966" s="3">
        <v>0</v>
      </c>
      <c r="O8966" s="3"/>
      <c r="P8966" s="3"/>
      <c r="Q8966" s="3"/>
    </row>
    <row r="8967" spans="1:17" ht="15" x14ac:dyDescent="0.25">
      <c r="A8967" s="3">
        <f>8960</f>
        <v>8960</v>
      </c>
      <c r="B8967" s="3" t="s">
        <v>8969</v>
      </c>
      <c r="C8967" s="3" t="s">
        <v>10</v>
      </c>
      <c r="D8967" s="3" t="s">
        <v>9</v>
      </c>
      <c r="E8967" s="3">
        <v>22</v>
      </c>
      <c r="F8967" s="3">
        <v>75</v>
      </c>
      <c r="G8967" s="3">
        <v>1</v>
      </c>
      <c r="H8967" s="3">
        <v>0</v>
      </c>
      <c r="I8967" s="3">
        <v>0</v>
      </c>
      <c r="J8967" s="3">
        <v>1</v>
      </c>
      <c r="K8967" s="3">
        <v>0</v>
      </c>
      <c r="L8967" s="3">
        <v>1</v>
      </c>
      <c r="M8967" s="3">
        <v>0</v>
      </c>
      <c r="N8967" s="3">
        <v>0</v>
      </c>
      <c r="O8967" s="3"/>
      <c r="P8967" s="3"/>
      <c r="Q8967" s="3"/>
    </row>
    <row r="8968" spans="1:17" ht="15" x14ac:dyDescent="0.25">
      <c r="A8968" s="3">
        <f>8961</f>
        <v>8961</v>
      </c>
      <c r="B8968" s="3" t="s">
        <v>8970</v>
      </c>
      <c r="C8968" s="3" t="s">
        <v>10</v>
      </c>
      <c r="D8968" s="3" t="s">
        <v>9</v>
      </c>
      <c r="E8968" s="3">
        <v>22</v>
      </c>
      <c r="F8968" s="3">
        <v>75</v>
      </c>
      <c r="G8968" s="3">
        <v>1</v>
      </c>
      <c r="H8968" s="3">
        <v>0</v>
      </c>
      <c r="I8968" s="3">
        <v>0</v>
      </c>
      <c r="J8968" s="3">
        <v>1</v>
      </c>
      <c r="K8968" s="3">
        <v>0</v>
      </c>
      <c r="L8968" s="3">
        <v>1</v>
      </c>
      <c r="M8968" s="3">
        <v>0</v>
      </c>
      <c r="N8968" s="3">
        <v>0</v>
      </c>
      <c r="O8968" s="3"/>
      <c r="P8968" s="3"/>
      <c r="Q8968" s="3"/>
    </row>
    <row r="8969" spans="1:17" ht="15" x14ac:dyDescent="0.25">
      <c r="A8969" s="3">
        <f>8962</f>
        <v>8962</v>
      </c>
      <c r="B8969" s="3" t="s">
        <v>8971</v>
      </c>
      <c r="C8969" s="3" t="s">
        <v>9</v>
      </c>
      <c r="D8969" s="3" t="s">
        <v>9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/>
      <c r="P8969" s="3"/>
      <c r="Q8969" s="3"/>
    </row>
    <row r="8970" spans="1:17" ht="15" x14ac:dyDescent="0.25">
      <c r="A8970" s="3">
        <f>8963</f>
        <v>8963</v>
      </c>
      <c r="B8970" s="3" t="s">
        <v>8972</v>
      </c>
      <c r="C8970" s="3" t="s">
        <v>9</v>
      </c>
      <c r="D8970" s="3" t="s">
        <v>9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/>
      <c r="P8970" s="3"/>
      <c r="Q8970" s="3"/>
    </row>
    <row r="8971" spans="1:17" ht="15" x14ac:dyDescent="0.25">
      <c r="A8971" s="3">
        <f>8964</f>
        <v>8964</v>
      </c>
      <c r="B8971" s="3" t="s">
        <v>8973</v>
      </c>
      <c r="C8971" s="3" t="s">
        <v>9</v>
      </c>
      <c r="D8971" s="3" t="s">
        <v>9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/>
      <c r="P8971" s="3"/>
      <c r="Q8971" s="3"/>
    </row>
    <row r="8972" spans="1:17" ht="15" x14ac:dyDescent="0.25">
      <c r="A8972" s="3">
        <f>8965</f>
        <v>8965</v>
      </c>
      <c r="B8972" s="3" t="s">
        <v>8974</v>
      </c>
      <c r="C8972" s="3" t="s">
        <v>9</v>
      </c>
      <c r="D8972" s="3" t="s">
        <v>9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/>
      <c r="P8972" s="3"/>
      <c r="Q8972" s="3"/>
    </row>
    <row r="8973" spans="1:17" ht="15" x14ac:dyDescent="0.25">
      <c r="A8973" s="3">
        <f>8966</f>
        <v>8966</v>
      </c>
      <c r="B8973" s="3" t="s">
        <v>8975</v>
      </c>
      <c r="C8973" s="3" t="s">
        <v>9</v>
      </c>
      <c r="D8973" s="3" t="s">
        <v>9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/>
      <c r="P8973" s="3"/>
      <c r="Q8973" s="3"/>
    </row>
    <row r="8974" spans="1:17" ht="15" x14ac:dyDescent="0.25">
      <c r="A8974" s="3">
        <f>8967</f>
        <v>8967</v>
      </c>
      <c r="B8974" s="3" t="s">
        <v>8976</v>
      </c>
      <c r="C8974" s="3" t="s">
        <v>9</v>
      </c>
      <c r="D8974" s="3" t="s">
        <v>9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/>
      <c r="P8974" s="3"/>
      <c r="Q8974" s="3"/>
    </row>
    <row r="8975" spans="1:17" ht="15" x14ac:dyDescent="0.25">
      <c r="A8975" s="3">
        <f>8968</f>
        <v>8968</v>
      </c>
      <c r="B8975" s="3" t="s">
        <v>8977</v>
      </c>
      <c r="C8975" s="3" t="s">
        <v>9</v>
      </c>
      <c r="D8975" s="3" t="s">
        <v>9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/>
      <c r="P8975" s="3"/>
      <c r="Q8975" s="3"/>
    </row>
    <row r="8976" spans="1:17" ht="15" x14ac:dyDescent="0.25">
      <c r="A8976" s="3">
        <f>8969</f>
        <v>8969</v>
      </c>
      <c r="B8976" s="3" t="s">
        <v>8978</v>
      </c>
      <c r="C8976" s="3" t="s">
        <v>9</v>
      </c>
      <c r="D8976" s="3" t="s">
        <v>9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/>
      <c r="P8976" s="3"/>
      <c r="Q8976" s="3"/>
    </row>
    <row r="8977" spans="1:17" ht="15" x14ac:dyDescent="0.25">
      <c r="A8977" s="3">
        <f>8970</f>
        <v>8970</v>
      </c>
      <c r="B8977" s="3" t="s">
        <v>8979</v>
      </c>
      <c r="C8977" s="3" t="s">
        <v>9</v>
      </c>
      <c r="D8977" s="3" t="s">
        <v>9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/>
      <c r="P8977" s="3"/>
      <c r="Q8977" s="3"/>
    </row>
    <row r="8978" spans="1:17" ht="15" x14ac:dyDescent="0.25">
      <c r="A8978" s="3">
        <f>8971</f>
        <v>8971</v>
      </c>
      <c r="B8978" s="3" t="s">
        <v>8980</v>
      </c>
      <c r="C8978" s="3" t="s">
        <v>9</v>
      </c>
      <c r="D8978" s="3" t="s">
        <v>9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/>
      <c r="P8978" s="3"/>
      <c r="Q8978" s="3"/>
    </row>
    <row r="8979" spans="1:17" ht="15" x14ac:dyDescent="0.25">
      <c r="A8979" s="3">
        <f>8972</f>
        <v>8972</v>
      </c>
      <c r="B8979" s="3" t="s">
        <v>8981</v>
      </c>
      <c r="C8979" s="3" t="s">
        <v>9</v>
      </c>
      <c r="D8979" s="3" t="s">
        <v>9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/>
      <c r="P8979" s="3"/>
      <c r="Q8979" s="3"/>
    </row>
    <row r="8980" spans="1:17" ht="15" x14ac:dyDescent="0.25">
      <c r="A8980" s="3">
        <f>8973</f>
        <v>8973</v>
      </c>
      <c r="B8980" s="3" t="s">
        <v>8982</v>
      </c>
      <c r="C8980" s="3" t="s">
        <v>9</v>
      </c>
      <c r="D8980" s="3" t="s">
        <v>9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/>
      <c r="P8980" s="3"/>
      <c r="Q8980" s="3"/>
    </row>
    <row r="8981" spans="1:17" ht="15" x14ac:dyDescent="0.25">
      <c r="A8981" s="3">
        <f>8974</f>
        <v>8974</v>
      </c>
      <c r="B8981" s="3" t="s">
        <v>8983</v>
      </c>
      <c r="C8981" s="3" t="s">
        <v>9</v>
      </c>
      <c r="D8981" s="3" t="s">
        <v>10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/>
      <c r="P8981" s="3"/>
      <c r="Q8981" s="3"/>
    </row>
    <row r="8982" spans="1:17" ht="15" x14ac:dyDescent="0.25">
      <c r="A8982" s="3">
        <f>8975</f>
        <v>8975</v>
      </c>
      <c r="B8982" s="3" t="s">
        <v>8984</v>
      </c>
      <c r="C8982" s="3" t="s">
        <v>9</v>
      </c>
      <c r="D8982" s="3" t="s">
        <v>10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/>
      <c r="P8982" s="3"/>
      <c r="Q8982" s="3"/>
    </row>
    <row r="8983" spans="1:17" ht="15" x14ac:dyDescent="0.25">
      <c r="A8983" s="3">
        <f>8976</f>
        <v>8976</v>
      </c>
      <c r="B8983" s="3" t="s">
        <v>8985</v>
      </c>
      <c r="C8983" s="3" t="s">
        <v>9</v>
      </c>
      <c r="D8983" s="3" t="s">
        <v>10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/>
      <c r="P8983" s="3"/>
      <c r="Q8983" s="3"/>
    </row>
    <row r="8984" spans="1:17" ht="15" x14ac:dyDescent="0.25">
      <c r="A8984" s="3">
        <f>8977</f>
        <v>8977</v>
      </c>
      <c r="B8984" s="3" t="s">
        <v>8986</v>
      </c>
      <c r="C8984" s="3" t="s">
        <v>10</v>
      </c>
      <c r="D8984" s="3" t="s">
        <v>9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/>
      <c r="P8984" s="3"/>
      <c r="Q8984" s="3"/>
    </row>
    <row r="8985" spans="1:17" ht="15" x14ac:dyDescent="0.25">
      <c r="A8985" s="3">
        <f>8978</f>
        <v>8978</v>
      </c>
      <c r="B8985" s="3" t="s">
        <v>8987</v>
      </c>
      <c r="C8985" s="3" t="s">
        <v>10</v>
      </c>
      <c r="D8985" s="3" t="s">
        <v>9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/>
      <c r="P8985" s="3"/>
      <c r="Q8985" s="3"/>
    </row>
    <row r="8986" spans="1:17" ht="15" x14ac:dyDescent="0.25">
      <c r="A8986" s="3">
        <f>8979</f>
        <v>8979</v>
      </c>
      <c r="B8986" s="3" t="s">
        <v>8988</v>
      </c>
      <c r="C8986" s="3" t="s">
        <v>10</v>
      </c>
      <c r="D8986" s="3" t="s">
        <v>9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/>
      <c r="P8986" s="3"/>
      <c r="Q8986" s="3"/>
    </row>
    <row r="8987" spans="1:17" ht="15" x14ac:dyDescent="0.25">
      <c r="A8987" s="3">
        <f>8980</f>
        <v>8980</v>
      </c>
      <c r="B8987" s="3" t="s">
        <v>8989</v>
      </c>
      <c r="C8987" s="3" t="s">
        <v>10</v>
      </c>
      <c r="D8987" s="3" t="s">
        <v>9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/>
      <c r="P8987" s="3"/>
      <c r="Q8987" s="3"/>
    </row>
    <row r="8988" spans="1:17" ht="15" x14ac:dyDescent="0.25">
      <c r="A8988" s="3">
        <f>8981</f>
        <v>8981</v>
      </c>
      <c r="B8988" s="3" t="s">
        <v>8990</v>
      </c>
      <c r="C8988" s="3" t="s">
        <v>10</v>
      </c>
      <c r="D8988" s="3" t="s">
        <v>9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/>
      <c r="P8988" s="3"/>
      <c r="Q8988" s="3"/>
    </row>
    <row r="8989" spans="1:17" ht="15" x14ac:dyDescent="0.25">
      <c r="A8989" s="3">
        <f>8982</f>
        <v>8982</v>
      </c>
      <c r="B8989" s="3" t="s">
        <v>8991</v>
      </c>
      <c r="C8989" s="3" t="s">
        <v>10</v>
      </c>
      <c r="D8989" s="3" t="s">
        <v>9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/>
      <c r="P8989" s="3"/>
      <c r="Q8989" s="3"/>
    </row>
    <row r="8990" spans="1:17" ht="15" x14ac:dyDescent="0.25">
      <c r="A8990" s="3">
        <f>8983</f>
        <v>8983</v>
      </c>
      <c r="B8990" s="3" t="s">
        <v>8992</v>
      </c>
      <c r="C8990" s="3" t="s">
        <v>10</v>
      </c>
      <c r="D8990" s="3" t="s">
        <v>9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/>
      <c r="P8990" s="3"/>
      <c r="Q8990" s="3"/>
    </row>
    <row r="8991" spans="1:17" ht="15" x14ac:dyDescent="0.25">
      <c r="A8991" s="3">
        <f>8984</f>
        <v>8984</v>
      </c>
      <c r="B8991" s="3" t="s">
        <v>8993</v>
      </c>
      <c r="C8991" s="3" t="s">
        <v>10</v>
      </c>
      <c r="D8991" s="3" t="s">
        <v>9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/>
      <c r="P8991" s="3"/>
      <c r="Q8991" s="3"/>
    </row>
    <row r="8992" spans="1:17" ht="15" x14ac:dyDescent="0.25">
      <c r="A8992" s="3">
        <f>8985</f>
        <v>8985</v>
      </c>
      <c r="B8992" s="3" t="s">
        <v>8994</v>
      </c>
      <c r="C8992" s="3" t="s">
        <v>10</v>
      </c>
      <c r="D8992" s="3" t="s">
        <v>9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/>
      <c r="P8992" s="3"/>
      <c r="Q8992" s="3"/>
    </row>
    <row r="8993" spans="1:17" ht="15" x14ac:dyDescent="0.25">
      <c r="A8993" s="3">
        <f>8986</f>
        <v>8986</v>
      </c>
      <c r="B8993" s="3" t="s">
        <v>8995</v>
      </c>
      <c r="C8993" s="3" t="s">
        <v>10</v>
      </c>
      <c r="D8993" s="3" t="s">
        <v>9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/>
      <c r="P8993" s="3"/>
      <c r="Q8993" s="3"/>
    </row>
    <row r="8994" spans="1:17" ht="15" x14ac:dyDescent="0.25">
      <c r="A8994" s="3">
        <f>8987</f>
        <v>8987</v>
      </c>
      <c r="B8994" s="3" t="s">
        <v>8996</v>
      </c>
      <c r="C8994" s="3" t="s">
        <v>10</v>
      </c>
      <c r="D8994" s="3" t="s">
        <v>9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/>
      <c r="P8994" s="3"/>
      <c r="Q8994" s="3"/>
    </row>
    <row r="8995" spans="1:17" ht="15" x14ac:dyDescent="0.25">
      <c r="A8995" s="3">
        <f>8988</f>
        <v>8988</v>
      </c>
      <c r="B8995" s="3" t="s">
        <v>8997</v>
      </c>
      <c r="C8995" s="3" t="s">
        <v>10</v>
      </c>
      <c r="D8995" s="3" t="s">
        <v>9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/>
      <c r="P8995" s="3"/>
      <c r="Q8995" s="3"/>
    </row>
    <row r="8996" spans="1:17" ht="15" x14ac:dyDescent="0.25">
      <c r="A8996" s="3">
        <f>8989</f>
        <v>8989</v>
      </c>
      <c r="B8996" s="3" t="s">
        <v>8998</v>
      </c>
      <c r="C8996" s="3" t="s">
        <v>10</v>
      </c>
      <c r="D8996" s="3" t="s">
        <v>9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/>
      <c r="P8996" s="3"/>
      <c r="Q8996" s="3"/>
    </row>
    <row r="8997" spans="1:17" ht="15" x14ac:dyDescent="0.25">
      <c r="A8997" s="3">
        <f>8990</f>
        <v>8990</v>
      </c>
      <c r="B8997" s="3" t="s">
        <v>8999</v>
      </c>
      <c r="C8997" s="3" t="s">
        <v>10</v>
      </c>
      <c r="D8997" s="3" t="s">
        <v>9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/>
      <c r="P8997" s="3"/>
      <c r="Q8997" s="3"/>
    </row>
    <row r="8998" spans="1:17" ht="15" x14ac:dyDescent="0.25">
      <c r="A8998" s="3">
        <f>8991</f>
        <v>8991</v>
      </c>
      <c r="B8998" s="3" t="s">
        <v>9000</v>
      </c>
      <c r="C8998" s="3" t="s">
        <v>10</v>
      </c>
      <c r="D8998" s="3" t="s">
        <v>9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/>
      <c r="P8998" s="3"/>
      <c r="Q8998" s="3"/>
    </row>
    <row r="8999" spans="1:17" ht="15" x14ac:dyDescent="0.25">
      <c r="A8999" s="3">
        <f>8992</f>
        <v>8992</v>
      </c>
      <c r="B8999" s="3" t="s">
        <v>9001</v>
      </c>
      <c r="C8999" s="3" t="s">
        <v>10</v>
      </c>
      <c r="D8999" s="3" t="s">
        <v>9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/>
      <c r="P8999" s="3"/>
      <c r="Q8999" s="3"/>
    </row>
    <row r="9000" spans="1:17" ht="15" x14ac:dyDescent="0.25">
      <c r="A9000" s="3">
        <f>8993</f>
        <v>8993</v>
      </c>
      <c r="B9000" s="3" t="s">
        <v>9002</v>
      </c>
      <c r="C9000" s="3" t="s">
        <v>10</v>
      </c>
      <c r="D9000" s="3" t="s">
        <v>9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/>
      <c r="P9000" s="3"/>
      <c r="Q9000" s="3"/>
    </row>
    <row r="9001" spans="1:17" ht="15" x14ac:dyDescent="0.25">
      <c r="A9001" s="3">
        <f>8994</f>
        <v>8994</v>
      </c>
      <c r="B9001" s="3" t="s">
        <v>9003</v>
      </c>
      <c r="C9001" s="3" t="s">
        <v>10</v>
      </c>
      <c r="D9001" s="3" t="s">
        <v>9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/>
      <c r="P9001" s="3"/>
      <c r="Q9001" s="3"/>
    </row>
    <row r="9002" spans="1:17" ht="15" x14ac:dyDescent="0.25">
      <c r="A9002" s="3">
        <f>8995</f>
        <v>8995</v>
      </c>
      <c r="B9002" s="3" t="s">
        <v>9004</v>
      </c>
      <c r="C9002" s="3" t="s">
        <v>10</v>
      </c>
      <c r="D9002" s="3" t="s">
        <v>9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/>
      <c r="P9002" s="3"/>
      <c r="Q9002" s="3"/>
    </row>
    <row r="9003" spans="1:17" ht="15" x14ac:dyDescent="0.25">
      <c r="A9003" s="3">
        <f>8996</f>
        <v>8996</v>
      </c>
      <c r="B9003" s="3" t="s">
        <v>9005</v>
      </c>
      <c r="C9003" s="3" t="s">
        <v>10</v>
      </c>
      <c r="D9003" s="3" t="s">
        <v>9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/>
      <c r="P9003" s="3"/>
      <c r="Q9003" s="3"/>
    </row>
    <row r="9004" spans="1:17" ht="15" x14ac:dyDescent="0.25">
      <c r="A9004" s="3">
        <f>8997</f>
        <v>8997</v>
      </c>
      <c r="B9004" s="3" t="s">
        <v>9006</v>
      </c>
      <c r="C9004" s="3" t="s">
        <v>10</v>
      </c>
      <c r="D9004" s="3" t="s">
        <v>9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/>
      <c r="P9004" s="3"/>
      <c r="Q9004" s="3"/>
    </row>
    <row r="9005" spans="1:17" ht="15" x14ac:dyDescent="0.25">
      <c r="A9005" s="3">
        <f>8998</f>
        <v>8998</v>
      </c>
      <c r="B9005" s="3" t="s">
        <v>9007</v>
      </c>
      <c r="C9005" s="3" t="s">
        <v>10</v>
      </c>
      <c r="D9005" s="3" t="s">
        <v>9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/>
      <c r="P9005" s="3"/>
      <c r="Q9005" s="3"/>
    </row>
    <row r="9006" spans="1:17" ht="15" x14ac:dyDescent="0.25">
      <c r="A9006" s="3">
        <f>8999</f>
        <v>8999</v>
      </c>
      <c r="B9006" s="3" t="s">
        <v>9008</v>
      </c>
      <c r="C9006" s="3" t="s">
        <v>10</v>
      </c>
      <c r="D9006" s="3" t="s">
        <v>9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/>
      <c r="P9006" s="3"/>
      <c r="Q9006" s="3"/>
    </row>
    <row r="9007" spans="1:17" ht="15" x14ac:dyDescent="0.25">
      <c r="A9007" s="3">
        <f>9000</f>
        <v>9000</v>
      </c>
      <c r="B9007" s="3" t="s">
        <v>9009</v>
      </c>
      <c r="C9007" s="3" t="s">
        <v>10</v>
      </c>
      <c r="D9007" s="3" t="s">
        <v>9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/>
      <c r="P9007" s="3"/>
      <c r="Q9007" s="3"/>
    </row>
    <row r="9008" spans="1:17" ht="15" x14ac:dyDescent="0.25">
      <c r="A9008" s="3">
        <f>9001</f>
        <v>9001</v>
      </c>
      <c r="B9008" s="3" t="s">
        <v>9010</v>
      </c>
      <c r="C9008" s="3" t="s">
        <v>10</v>
      </c>
      <c r="D9008" s="3" t="s">
        <v>9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/>
      <c r="P9008" s="3"/>
      <c r="Q9008" s="3"/>
    </row>
    <row r="9009" spans="1:17" ht="15" x14ac:dyDescent="0.25">
      <c r="A9009" s="3">
        <f>9002</f>
        <v>9002</v>
      </c>
      <c r="B9009" s="3" t="s">
        <v>9011</v>
      </c>
      <c r="C9009" s="3" t="s">
        <v>10</v>
      </c>
      <c r="D9009" s="3" t="s">
        <v>9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/>
      <c r="P9009" s="3"/>
      <c r="Q9009" s="3"/>
    </row>
    <row r="9010" spans="1:17" ht="15" x14ac:dyDescent="0.25">
      <c r="A9010" s="3">
        <f>9003</f>
        <v>9003</v>
      </c>
      <c r="B9010" s="3" t="s">
        <v>9012</v>
      </c>
      <c r="C9010" s="3" t="s">
        <v>10</v>
      </c>
      <c r="D9010" s="3" t="s">
        <v>9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/>
      <c r="P9010" s="3"/>
      <c r="Q9010" s="3"/>
    </row>
    <row r="9011" spans="1:17" ht="15" x14ac:dyDescent="0.25">
      <c r="A9011" s="3">
        <f>9004</f>
        <v>9004</v>
      </c>
      <c r="B9011" s="3" t="s">
        <v>9013</v>
      </c>
      <c r="C9011" s="3" t="s">
        <v>10</v>
      </c>
      <c r="D9011" s="3" t="s">
        <v>9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/>
      <c r="P9011" s="3"/>
      <c r="Q9011" s="3"/>
    </row>
    <row r="9012" spans="1:17" ht="15" x14ac:dyDescent="0.25">
      <c r="A9012" s="3">
        <f>9005</f>
        <v>9005</v>
      </c>
      <c r="B9012" s="3" t="s">
        <v>9014</v>
      </c>
      <c r="C9012" s="3" t="s">
        <v>10</v>
      </c>
      <c r="D9012" s="3" t="s">
        <v>9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/>
      <c r="P9012" s="3"/>
      <c r="Q9012" s="3"/>
    </row>
    <row r="9013" spans="1:17" ht="15" x14ac:dyDescent="0.25">
      <c r="A9013" s="3">
        <f>9006</f>
        <v>9006</v>
      </c>
      <c r="B9013" s="3" t="s">
        <v>9015</v>
      </c>
      <c r="C9013" s="3" t="s">
        <v>10</v>
      </c>
      <c r="D9013" s="3" t="s">
        <v>9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/>
      <c r="P9013" s="3"/>
      <c r="Q9013" s="3"/>
    </row>
    <row r="9014" spans="1:17" ht="15" x14ac:dyDescent="0.25">
      <c r="A9014" s="3">
        <f>9007</f>
        <v>9007</v>
      </c>
      <c r="B9014" s="3" t="s">
        <v>9016</v>
      </c>
      <c r="C9014" s="3" t="s">
        <v>10</v>
      </c>
      <c r="D9014" s="3" t="s">
        <v>9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/>
      <c r="P9014" s="3"/>
      <c r="Q9014" s="3"/>
    </row>
    <row r="9015" spans="1:17" ht="15" x14ac:dyDescent="0.25">
      <c r="A9015" s="3">
        <f>9008</f>
        <v>9008</v>
      </c>
      <c r="B9015" s="3" t="s">
        <v>9017</v>
      </c>
      <c r="C9015" s="3" t="s">
        <v>10</v>
      </c>
      <c r="D9015" s="3" t="s">
        <v>9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/>
      <c r="P9015" s="3"/>
      <c r="Q9015" s="3"/>
    </row>
    <row r="9016" spans="1:17" ht="15" x14ac:dyDescent="0.25">
      <c r="A9016" s="3">
        <f>9009</f>
        <v>9009</v>
      </c>
      <c r="B9016" s="3" t="s">
        <v>9018</v>
      </c>
      <c r="C9016" s="3" t="s">
        <v>10</v>
      </c>
      <c r="D9016" s="3" t="s">
        <v>9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/>
      <c r="P9016" s="3"/>
      <c r="Q9016" s="3"/>
    </row>
    <row r="9017" spans="1:17" ht="15" x14ac:dyDescent="0.25">
      <c r="A9017" s="3">
        <f>9010</f>
        <v>9010</v>
      </c>
      <c r="B9017" s="3" t="s">
        <v>9019</v>
      </c>
      <c r="C9017" s="3" t="s">
        <v>10</v>
      </c>
      <c r="D9017" s="3" t="s">
        <v>9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/>
      <c r="P9017" s="3"/>
      <c r="Q9017" s="3"/>
    </row>
    <row r="9018" spans="1:17" ht="15" x14ac:dyDescent="0.25">
      <c r="A9018" s="3">
        <f>9011</f>
        <v>9011</v>
      </c>
      <c r="B9018" s="3" t="s">
        <v>9020</v>
      </c>
      <c r="C9018" s="3" t="s">
        <v>10</v>
      </c>
      <c r="D9018" s="3" t="s">
        <v>9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/>
      <c r="P9018" s="3"/>
      <c r="Q9018" s="3"/>
    </row>
    <row r="9019" spans="1:17" ht="15" x14ac:dyDescent="0.25">
      <c r="A9019" s="3">
        <f>9012</f>
        <v>9012</v>
      </c>
      <c r="B9019" s="3" t="s">
        <v>9021</v>
      </c>
      <c r="C9019" s="3" t="s">
        <v>10</v>
      </c>
      <c r="D9019" s="3" t="s">
        <v>9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/>
      <c r="P9019" s="3"/>
      <c r="Q9019" s="3"/>
    </row>
    <row r="9020" spans="1:17" ht="15" x14ac:dyDescent="0.25">
      <c r="A9020" s="3">
        <f>9013</f>
        <v>9013</v>
      </c>
      <c r="B9020" s="3" t="s">
        <v>9022</v>
      </c>
      <c r="C9020" s="3" t="s">
        <v>10</v>
      </c>
      <c r="D9020" s="3" t="s">
        <v>9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/>
      <c r="P9020" s="3"/>
      <c r="Q9020" s="3"/>
    </row>
    <row r="9021" spans="1:17" ht="15" x14ac:dyDescent="0.25">
      <c r="A9021" s="3">
        <f>9014</f>
        <v>9014</v>
      </c>
      <c r="B9021" s="3" t="s">
        <v>9023</v>
      </c>
      <c r="C9021" s="3" t="s">
        <v>10</v>
      </c>
      <c r="D9021" s="3" t="s">
        <v>9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/>
      <c r="P9021" s="3"/>
      <c r="Q9021" s="3"/>
    </row>
    <row r="9022" spans="1:17" ht="15" x14ac:dyDescent="0.25">
      <c r="A9022" s="3">
        <f>9015</f>
        <v>9015</v>
      </c>
      <c r="B9022" s="3" t="s">
        <v>9024</v>
      </c>
      <c r="C9022" s="3" t="s">
        <v>10</v>
      </c>
      <c r="D9022" s="3" t="s">
        <v>9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/>
      <c r="P9022" s="3"/>
      <c r="Q9022" s="3"/>
    </row>
    <row r="9023" spans="1:17" ht="15" x14ac:dyDescent="0.25">
      <c r="A9023" s="3">
        <f>9016</f>
        <v>9016</v>
      </c>
      <c r="B9023" s="3" t="s">
        <v>9025</v>
      </c>
      <c r="C9023" s="3" t="s">
        <v>10</v>
      </c>
      <c r="D9023" s="3" t="s">
        <v>9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/>
      <c r="P9023" s="3"/>
      <c r="Q9023" s="3"/>
    </row>
    <row r="9024" spans="1:17" ht="15" x14ac:dyDescent="0.25">
      <c r="A9024" s="3">
        <f>9017</f>
        <v>9017</v>
      </c>
      <c r="B9024" s="3" t="s">
        <v>9026</v>
      </c>
      <c r="C9024" s="3" t="s">
        <v>10</v>
      </c>
      <c r="D9024" s="3" t="s">
        <v>9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/>
      <c r="P9024" s="3"/>
      <c r="Q9024" s="3"/>
    </row>
    <row r="9025" spans="1:17" ht="15" x14ac:dyDescent="0.25">
      <c r="A9025" s="3">
        <f>9018</f>
        <v>9018</v>
      </c>
      <c r="B9025" s="3" t="s">
        <v>9027</v>
      </c>
      <c r="C9025" s="3" t="s">
        <v>10</v>
      </c>
      <c r="D9025" s="3" t="s">
        <v>9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/>
      <c r="P9025" s="3"/>
      <c r="Q9025" s="3"/>
    </row>
    <row r="9026" spans="1:17" ht="15" x14ac:dyDescent="0.25">
      <c r="A9026" s="3">
        <f>9019</f>
        <v>9019</v>
      </c>
      <c r="B9026" s="3" t="s">
        <v>9028</v>
      </c>
      <c r="C9026" s="3" t="s">
        <v>10</v>
      </c>
      <c r="D9026" s="3" t="s">
        <v>9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/>
      <c r="P9026" s="3"/>
      <c r="Q9026" s="3"/>
    </row>
    <row r="9027" spans="1:17" ht="15" x14ac:dyDescent="0.25">
      <c r="A9027" s="3">
        <f>9020</f>
        <v>9020</v>
      </c>
      <c r="B9027" s="3" t="s">
        <v>9029</v>
      </c>
      <c r="C9027" s="3" t="s">
        <v>10</v>
      </c>
      <c r="D9027" s="3" t="s">
        <v>9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/>
      <c r="P9027" s="3"/>
      <c r="Q9027" s="3"/>
    </row>
    <row r="9028" spans="1:17" ht="15" x14ac:dyDescent="0.25">
      <c r="A9028" s="3">
        <f>9021</f>
        <v>9021</v>
      </c>
      <c r="B9028" s="3" t="s">
        <v>9030</v>
      </c>
      <c r="C9028" s="3" t="s">
        <v>10</v>
      </c>
      <c r="D9028" s="3" t="s">
        <v>9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/>
      <c r="P9028" s="3"/>
      <c r="Q9028" s="3"/>
    </row>
    <row r="9029" spans="1:17" ht="15" x14ac:dyDescent="0.25">
      <c r="A9029" s="3">
        <f>9022</f>
        <v>9022</v>
      </c>
      <c r="B9029" s="3" t="s">
        <v>9031</v>
      </c>
      <c r="C9029" s="3" t="s">
        <v>9</v>
      </c>
      <c r="D9029" s="3" t="s">
        <v>9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/>
      <c r="P9029" s="3"/>
      <c r="Q9029" s="3"/>
    </row>
    <row r="9030" spans="1:17" ht="15" x14ac:dyDescent="0.25">
      <c r="A9030" s="3">
        <f>9023</f>
        <v>9023</v>
      </c>
      <c r="B9030" s="3" t="s">
        <v>9032</v>
      </c>
      <c r="C9030" s="3" t="s">
        <v>9</v>
      </c>
      <c r="D9030" s="3" t="s">
        <v>9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/>
      <c r="P9030" s="3"/>
      <c r="Q9030" s="3"/>
    </row>
    <row r="9031" spans="1:17" ht="15" x14ac:dyDescent="0.25">
      <c r="A9031" s="3">
        <f>9024</f>
        <v>9024</v>
      </c>
      <c r="B9031" s="3" t="s">
        <v>9033</v>
      </c>
      <c r="C9031" s="3" t="s">
        <v>9</v>
      </c>
      <c r="D9031" s="3" t="s">
        <v>9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/>
      <c r="P9031" s="3"/>
      <c r="Q9031" s="3"/>
    </row>
    <row r="9032" spans="1:17" ht="15" x14ac:dyDescent="0.25">
      <c r="A9032" s="3">
        <f>9025</f>
        <v>9025</v>
      </c>
      <c r="B9032" s="3" t="s">
        <v>9034</v>
      </c>
      <c r="C9032" s="3" t="s">
        <v>9</v>
      </c>
      <c r="D9032" s="3" t="s">
        <v>9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/>
      <c r="P9032" s="3"/>
      <c r="Q9032" s="3"/>
    </row>
    <row r="9033" spans="1:17" ht="15" x14ac:dyDescent="0.25">
      <c r="A9033" s="3">
        <f>9026</f>
        <v>9026</v>
      </c>
      <c r="B9033" s="3" t="s">
        <v>9035</v>
      </c>
      <c r="C9033" s="3" t="s">
        <v>9</v>
      </c>
      <c r="D9033" s="3" t="s">
        <v>9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/>
      <c r="P9033" s="3"/>
      <c r="Q9033" s="3"/>
    </row>
    <row r="9034" spans="1:17" ht="15" x14ac:dyDescent="0.25">
      <c r="A9034" s="3">
        <f>9027</f>
        <v>9027</v>
      </c>
      <c r="B9034" s="3" t="s">
        <v>9036</v>
      </c>
      <c r="C9034" s="3" t="s">
        <v>9</v>
      </c>
      <c r="D9034" s="3" t="s">
        <v>9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/>
      <c r="P9034" s="3"/>
      <c r="Q9034" s="3"/>
    </row>
    <row r="9035" spans="1:17" ht="15" x14ac:dyDescent="0.25">
      <c r="A9035" s="3">
        <f>9028</f>
        <v>9028</v>
      </c>
      <c r="B9035" s="3" t="s">
        <v>9037</v>
      </c>
      <c r="C9035" s="3" t="s">
        <v>9</v>
      </c>
      <c r="D9035" s="3" t="s">
        <v>9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/>
      <c r="P9035" s="3"/>
      <c r="Q9035" s="3"/>
    </row>
    <row r="9036" spans="1:17" ht="15" x14ac:dyDescent="0.25">
      <c r="A9036" s="3">
        <f>9029</f>
        <v>9029</v>
      </c>
      <c r="B9036" s="3" t="s">
        <v>9038</v>
      </c>
      <c r="C9036" s="3" t="s">
        <v>9</v>
      </c>
      <c r="D9036" s="3" t="s">
        <v>9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/>
      <c r="P9036" s="3"/>
      <c r="Q9036" s="3"/>
    </row>
    <row r="9037" spans="1:17" ht="15" x14ac:dyDescent="0.25">
      <c r="A9037" s="3">
        <f>9030</f>
        <v>9030</v>
      </c>
      <c r="B9037" s="3" t="s">
        <v>9039</v>
      </c>
      <c r="C9037" s="3" t="s">
        <v>9</v>
      </c>
      <c r="D9037" s="3" t="s">
        <v>9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/>
      <c r="P9037" s="3"/>
      <c r="Q9037" s="3"/>
    </row>
    <row r="9038" spans="1:17" ht="15" x14ac:dyDescent="0.25">
      <c r="A9038" s="3">
        <f>9031</f>
        <v>9031</v>
      </c>
      <c r="B9038" s="3" t="s">
        <v>9040</v>
      </c>
      <c r="C9038" s="3" t="s">
        <v>9</v>
      </c>
      <c r="D9038" s="3" t="s">
        <v>9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/>
      <c r="P9038" s="3"/>
      <c r="Q9038" s="3"/>
    </row>
    <row r="9039" spans="1:17" ht="15" x14ac:dyDescent="0.25">
      <c r="A9039" s="3">
        <f>9032</f>
        <v>9032</v>
      </c>
      <c r="B9039" s="3" t="s">
        <v>9041</v>
      </c>
      <c r="C9039" s="3" t="s">
        <v>9</v>
      </c>
      <c r="D9039" s="3" t="s">
        <v>9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/>
      <c r="P9039" s="3"/>
      <c r="Q9039" s="3"/>
    </row>
    <row r="9040" spans="1:17" ht="15" x14ac:dyDescent="0.25">
      <c r="A9040" s="3">
        <f>9033</f>
        <v>9033</v>
      </c>
      <c r="B9040" s="3" t="s">
        <v>9042</v>
      </c>
      <c r="C9040" s="3" t="s">
        <v>9</v>
      </c>
      <c r="D9040" s="3" t="s">
        <v>9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/>
      <c r="P9040" s="3"/>
      <c r="Q9040" s="3"/>
    </row>
    <row r="9041" spans="1:17" ht="15" x14ac:dyDescent="0.25">
      <c r="A9041" s="3">
        <f>9034</f>
        <v>9034</v>
      </c>
      <c r="B9041" s="3" t="s">
        <v>9043</v>
      </c>
      <c r="C9041" s="3" t="s">
        <v>9</v>
      </c>
      <c r="D9041" s="3" t="s">
        <v>9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/>
      <c r="P9041" s="3"/>
      <c r="Q9041" s="3"/>
    </row>
    <row r="9042" spans="1:17" ht="15" x14ac:dyDescent="0.25">
      <c r="A9042" s="3">
        <f>9035</f>
        <v>9035</v>
      </c>
      <c r="B9042" s="3" t="s">
        <v>9044</v>
      </c>
      <c r="C9042" s="3" t="s">
        <v>9</v>
      </c>
      <c r="D9042" s="3" t="s">
        <v>9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/>
      <c r="P9042" s="3"/>
      <c r="Q9042" s="3"/>
    </row>
    <row r="9043" spans="1:17" ht="15" x14ac:dyDescent="0.25">
      <c r="A9043" s="3">
        <f>9036</f>
        <v>9036</v>
      </c>
      <c r="B9043" s="3" t="s">
        <v>9045</v>
      </c>
      <c r="C9043" s="3" t="s">
        <v>9</v>
      </c>
      <c r="D9043" s="3" t="s">
        <v>9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/>
      <c r="P9043" s="3"/>
      <c r="Q9043" s="3"/>
    </row>
    <row r="9044" spans="1:17" ht="15" x14ac:dyDescent="0.25">
      <c r="A9044" s="3">
        <f>9037</f>
        <v>9037</v>
      </c>
      <c r="B9044" s="3" t="s">
        <v>9046</v>
      </c>
      <c r="C9044" s="3" t="s">
        <v>9</v>
      </c>
      <c r="D9044" s="3" t="s">
        <v>9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/>
      <c r="P9044" s="3"/>
      <c r="Q9044" s="3"/>
    </row>
    <row r="9045" spans="1:17" ht="15" x14ac:dyDescent="0.25">
      <c r="A9045" s="3">
        <f>9038</f>
        <v>9038</v>
      </c>
      <c r="B9045" s="3" t="s">
        <v>9047</v>
      </c>
      <c r="C9045" s="3" t="s">
        <v>9</v>
      </c>
      <c r="D9045" s="3" t="s">
        <v>9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/>
      <c r="P9045" s="3"/>
      <c r="Q9045" s="3"/>
    </row>
    <row r="9046" spans="1:17" ht="15" x14ac:dyDescent="0.25">
      <c r="A9046" s="3">
        <f>9039</f>
        <v>9039</v>
      </c>
      <c r="B9046" s="3" t="s">
        <v>9048</v>
      </c>
      <c r="C9046" s="3" t="s">
        <v>9</v>
      </c>
      <c r="D9046" s="3" t="s">
        <v>9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/>
      <c r="P9046" s="3"/>
      <c r="Q9046" s="3"/>
    </row>
    <row r="9047" spans="1:17" ht="15" x14ac:dyDescent="0.25">
      <c r="A9047" s="3">
        <f>9040</f>
        <v>9040</v>
      </c>
      <c r="B9047" s="3" t="s">
        <v>9049</v>
      </c>
      <c r="C9047" s="3" t="s">
        <v>9</v>
      </c>
      <c r="D9047" s="3" t="s">
        <v>9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/>
      <c r="P9047" s="3"/>
      <c r="Q9047" s="3"/>
    </row>
    <row r="9048" spans="1:17" ht="15" x14ac:dyDescent="0.25">
      <c r="A9048" s="3">
        <f>9041</f>
        <v>9041</v>
      </c>
      <c r="B9048" s="3" t="s">
        <v>9050</v>
      </c>
      <c r="C9048" s="3" t="s">
        <v>9</v>
      </c>
      <c r="D9048" s="3" t="s">
        <v>9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/>
      <c r="P9048" s="3"/>
      <c r="Q9048" s="3"/>
    </row>
    <row r="9049" spans="1:17" ht="15" x14ac:dyDescent="0.25">
      <c r="A9049" s="3">
        <f>9042</f>
        <v>9042</v>
      </c>
      <c r="B9049" s="3" t="s">
        <v>9051</v>
      </c>
      <c r="C9049" s="3" t="s">
        <v>9</v>
      </c>
      <c r="D9049" s="3" t="s">
        <v>9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/>
      <c r="P9049" s="3"/>
      <c r="Q9049" s="3"/>
    </row>
    <row r="9050" spans="1:17" ht="15" x14ac:dyDescent="0.25">
      <c r="A9050" s="3">
        <f>9043</f>
        <v>9043</v>
      </c>
      <c r="B9050" s="3" t="s">
        <v>9052</v>
      </c>
      <c r="C9050" s="3" t="s">
        <v>9</v>
      </c>
      <c r="D9050" s="3" t="s">
        <v>9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/>
      <c r="P9050" s="3"/>
      <c r="Q9050" s="3"/>
    </row>
    <row r="9051" spans="1:17" ht="15" x14ac:dyDescent="0.25">
      <c r="A9051" s="3">
        <f>9044</f>
        <v>9044</v>
      </c>
      <c r="B9051" s="3" t="s">
        <v>9053</v>
      </c>
      <c r="C9051" s="3" t="s">
        <v>9</v>
      </c>
      <c r="D9051" s="3" t="s">
        <v>9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/>
      <c r="P9051" s="3"/>
      <c r="Q9051" s="3"/>
    </row>
    <row r="9052" spans="1:17" ht="15" x14ac:dyDescent="0.25">
      <c r="A9052" s="3">
        <f>9045</f>
        <v>9045</v>
      </c>
      <c r="B9052" s="3" t="s">
        <v>9054</v>
      </c>
      <c r="C9052" s="3" t="s">
        <v>9</v>
      </c>
      <c r="D9052" s="3" t="s">
        <v>9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/>
      <c r="P9052" s="3"/>
      <c r="Q9052" s="3"/>
    </row>
    <row r="9053" spans="1:17" ht="15" x14ac:dyDescent="0.25">
      <c r="A9053" s="3">
        <f>9046</f>
        <v>9046</v>
      </c>
      <c r="B9053" s="3" t="s">
        <v>9055</v>
      </c>
      <c r="C9053" s="3" t="s">
        <v>9</v>
      </c>
      <c r="D9053" s="3" t="s">
        <v>9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/>
      <c r="P9053" s="3"/>
      <c r="Q9053" s="3"/>
    </row>
    <row r="9054" spans="1:17" ht="15" x14ac:dyDescent="0.25">
      <c r="A9054" s="3">
        <f>9047</f>
        <v>9047</v>
      </c>
      <c r="B9054" s="3" t="s">
        <v>9056</v>
      </c>
      <c r="C9054" s="3" t="s">
        <v>9</v>
      </c>
      <c r="D9054" s="3" t="s">
        <v>9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/>
      <c r="P9054" s="3"/>
      <c r="Q9054" s="3"/>
    </row>
    <row r="9055" spans="1:17" ht="15" x14ac:dyDescent="0.25">
      <c r="A9055" s="3">
        <f>9048</f>
        <v>9048</v>
      </c>
      <c r="B9055" s="3" t="s">
        <v>9057</v>
      </c>
      <c r="C9055" s="3" t="s">
        <v>9</v>
      </c>
      <c r="D9055" s="3" t="s">
        <v>9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/>
      <c r="P9055" s="3"/>
      <c r="Q9055" s="3"/>
    </row>
    <row r="9056" spans="1:17" ht="15" x14ac:dyDescent="0.25">
      <c r="A9056" s="3">
        <f>9049</f>
        <v>9049</v>
      </c>
      <c r="B9056" s="3" t="s">
        <v>9058</v>
      </c>
      <c r="C9056" s="3" t="s">
        <v>9</v>
      </c>
      <c r="D9056" s="3" t="s">
        <v>9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/>
      <c r="P9056" s="3"/>
      <c r="Q9056" s="3"/>
    </row>
    <row r="9057" spans="1:17" ht="15" x14ac:dyDescent="0.25">
      <c r="A9057" s="3">
        <f>9050</f>
        <v>9050</v>
      </c>
      <c r="B9057" s="3" t="s">
        <v>9059</v>
      </c>
      <c r="C9057" s="3" t="s">
        <v>9</v>
      </c>
      <c r="D9057" s="3" t="s">
        <v>9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/>
      <c r="P9057" s="3"/>
      <c r="Q9057" s="3"/>
    </row>
    <row r="9058" spans="1:17" ht="15" x14ac:dyDescent="0.25">
      <c r="A9058" s="3">
        <f>9051</f>
        <v>9051</v>
      </c>
      <c r="B9058" s="3" t="s">
        <v>9060</v>
      </c>
      <c r="C9058" s="3" t="s">
        <v>9</v>
      </c>
      <c r="D9058" s="3" t="s">
        <v>9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/>
      <c r="P9058" s="3"/>
      <c r="Q9058" s="3"/>
    </row>
    <row r="9059" spans="1:17" ht="15" x14ac:dyDescent="0.25">
      <c r="A9059" s="3">
        <f>9052</f>
        <v>9052</v>
      </c>
      <c r="B9059" s="3" t="s">
        <v>9061</v>
      </c>
      <c r="C9059" s="3" t="s">
        <v>9</v>
      </c>
      <c r="D9059" s="3" t="s">
        <v>9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/>
      <c r="P9059" s="3"/>
      <c r="Q9059" s="3"/>
    </row>
    <row r="9060" spans="1:17" ht="15" x14ac:dyDescent="0.25">
      <c r="A9060" s="3">
        <f>9053</f>
        <v>9053</v>
      </c>
      <c r="B9060" s="3" t="s">
        <v>9062</v>
      </c>
      <c r="C9060" s="3" t="s">
        <v>9</v>
      </c>
      <c r="D9060" s="3" t="s">
        <v>9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/>
      <c r="P9060" s="3"/>
      <c r="Q9060" s="3"/>
    </row>
    <row r="9061" spans="1:17" ht="15" x14ac:dyDescent="0.25">
      <c r="A9061" s="3">
        <f>9054</f>
        <v>9054</v>
      </c>
      <c r="B9061" s="3" t="s">
        <v>9063</v>
      </c>
      <c r="C9061" s="3" t="s">
        <v>9</v>
      </c>
      <c r="D9061" s="3" t="s">
        <v>9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/>
      <c r="P9061" s="3"/>
      <c r="Q9061" s="3"/>
    </row>
    <row r="9062" spans="1:17" ht="15" x14ac:dyDescent="0.25">
      <c r="A9062" s="3">
        <f>9055</f>
        <v>9055</v>
      </c>
      <c r="B9062" s="3" t="s">
        <v>9064</v>
      </c>
      <c r="C9062" s="3" t="s">
        <v>9</v>
      </c>
      <c r="D9062" s="3" t="s">
        <v>9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/>
      <c r="P9062" s="3"/>
      <c r="Q9062" s="3"/>
    </row>
    <row r="9063" spans="1:17" ht="15" x14ac:dyDescent="0.25">
      <c r="A9063" s="3">
        <f>9056</f>
        <v>9056</v>
      </c>
      <c r="B9063" s="3" t="s">
        <v>9065</v>
      </c>
      <c r="C9063" s="3" t="s">
        <v>9</v>
      </c>
      <c r="D9063" s="3" t="s">
        <v>9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/>
      <c r="P9063" s="3"/>
      <c r="Q9063" s="3"/>
    </row>
    <row r="9064" spans="1:17" ht="15" x14ac:dyDescent="0.25">
      <c r="A9064" s="3">
        <f>9057</f>
        <v>9057</v>
      </c>
      <c r="B9064" s="3" t="s">
        <v>9066</v>
      </c>
      <c r="C9064" s="3" t="s">
        <v>9</v>
      </c>
      <c r="D9064" s="3" t="s">
        <v>9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/>
      <c r="P9064" s="3"/>
      <c r="Q9064" s="3"/>
    </row>
    <row r="9065" spans="1:17" ht="15" x14ac:dyDescent="0.25">
      <c r="A9065" s="3">
        <f>9058</f>
        <v>9058</v>
      </c>
      <c r="B9065" s="3" t="s">
        <v>9067</v>
      </c>
      <c r="C9065" s="3" t="s">
        <v>9</v>
      </c>
      <c r="D9065" s="3" t="s">
        <v>9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/>
      <c r="P9065" s="3"/>
      <c r="Q9065" s="3"/>
    </row>
    <row r="9066" spans="1:17" ht="15" x14ac:dyDescent="0.25">
      <c r="A9066" s="3">
        <f>9059</f>
        <v>9059</v>
      </c>
      <c r="B9066" s="3" t="s">
        <v>9068</v>
      </c>
      <c r="C9066" s="3" t="s">
        <v>9</v>
      </c>
      <c r="D9066" s="3" t="s">
        <v>9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/>
      <c r="P9066" s="3"/>
      <c r="Q9066" s="3"/>
    </row>
    <row r="9067" spans="1:17" ht="15" x14ac:dyDescent="0.25">
      <c r="A9067" s="3">
        <f>9060</f>
        <v>9060</v>
      </c>
      <c r="B9067" s="3" t="s">
        <v>9069</v>
      </c>
      <c r="C9067" s="3" t="s">
        <v>9</v>
      </c>
      <c r="D9067" s="3" t="s">
        <v>9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/>
      <c r="P9067" s="3"/>
      <c r="Q9067" s="3"/>
    </row>
    <row r="9068" spans="1:17" ht="15" x14ac:dyDescent="0.25">
      <c r="A9068" s="3">
        <f>9061</f>
        <v>9061</v>
      </c>
      <c r="B9068" s="3" t="s">
        <v>9070</v>
      </c>
      <c r="C9068" s="3" t="s">
        <v>9</v>
      </c>
      <c r="D9068" s="3" t="s">
        <v>9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/>
      <c r="P9068" s="3"/>
      <c r="Q9068" s="3"/>
    </row>
    <row r="9069" spans="1:17" ht="15" x14ac:dyDescent="0.25">
      <c r="A9069" s="3">
        <f>9062</f>
        <v>9062</v>
      </c>
      <c r="B9069" s="3" t="s">
        <v>9071</v>
      </c>
      <c r="C9069" s="3" t="s">
        <v>9</v>
      </c>
      <c r="D9069" s="3" t="s">
        <v>9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/>
      <c r="P9069" s="3"/>
      <c r="Q9069" s="3"/>
    </row>
    <row r="9070" spans="1:17" ht="15" x14ac:dyDescent="0.25">
      <c r="A9070" s="3">
        <f>9063</f>
        <v>9063</v>
      </c>
      <c r="B9070" s="3" t="s">
        <v>9072</v>
      </c>
      <c r="C9070" s="3" t="s">
        <v>9</v>
      </c>
      <c r="D9070" s="3" t="s">
        <v>9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/>
      <c r="P9070" s="3"/>
      <c r="Q9070" s="3"/>
    </row>
    <row r="9071" spans="1:17" ht="15" x14ac:dyDescent="0.25">
      <c r="A9071" s="3">
        <f>9064</f>
        <v>9064</v>
      </c>
      <c r="B9071" s="3" t="s">
        <v>9073</v>
      </c>
      <c r="C9071" s="3" t="s">
        <v>9</v>
      </c>
      <c r="D9071" s="3" t="s">
        <v>9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/>
      <c r="P9071" s="3"/>
      <c r="Q9071" s="3"/>
    </row>
    <row r="9072" spans="1:17" ht="15" x14ac:dyDescent="0.25">
      <c r="A9072" s="3">
        <f>9065</f>
        <v>9065</v>
      </c>
      <c r="B9072" s="3" t="s">
        <v>9074</v>
      </c>
      <c r="C9072" s="3" t="s">
        <v>9</v>
      </c>
      <c r="D9072" s="3" t="s">
        <v>9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/>
      <c r="P9072" s="3"/>
      <c r="Q9072" s="3"/>
    </row>
    <row r="9073" spans="1:17" ht="15" x14ac:dyDescent="0.25">
      <c r="A9073" s="3">
        <f>9066</f>
        <v>9066</v>
      </c>
      <c r="B9073" s="3" t="s">
        <v>9075</v>
      </c>
      <c r="C9073" s="3" t="s">
        <v>9</v>
      </c>
      <c r="D9073" s="3" t="s">
        <v>9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/>
      <c r="P9073" s="3"/>
      <c r="Q9073" s="3"/>
    </row>
    <row r="9074" spans="1:17" ht="15" x14ac:dyDescent="0.25">
      <c r="A9074" s="3">
        <f>9067</f>
        <v>9067</v>
      </c>
      <c r="B9074" s="3" t="s">
        <v>9076</v>
      </c>
      <c r="C9074" s="3" t="s">
        <v>9</v>
      </c>
      <c r="D9074" s="3" t="s">
        <v>9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/>
      <c r="P9074" s="3"/>
      <c r="Q9074" s="3"/>
    </row>
    <row r="9075" spans="1:17" ht="15" x14ac:dyDescent="0.25">
      <c r="A9075" s="3">
        <f>9068</f>
        <v>9068</v>
      </c>
      <c r="B9075" s="3" t="s">
        <v>9077</v>
      </c>
      <c r="C9075" s="3" t="s">
        <v>9</v>
      </c>
      <c r="D9075" s="3" t="s">
        <v>9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/>
      <c r="P9075" s="3"/>
      <c r="Q9075" s="3"/>
    </row>
    <row r="9076" spans="1:17" ht="15" x14ac:dyDescent="0.25">
      <c r="A9076" s="3">
        <f>9069</f>
        <v>9069</v>
      </c>
      <c r="B9076" s="3" t="s">
        <v>9078</v>
      </c>
      <c r="C9076" s="3" t="s">
        <v>9</v>
      </c>
      <c r="D9076" s="3" t="s">
        <v>9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/>
      <c r="P9076" s="3"/>
      <c r="Q9076" s="3"/>
    </row>
    <row r="9077" spans="1:17" ht="15" x14ac:dyDescent="0.25">
      <c r="A9077" s="3">
        <f>9070</f>
        <v>9070</v>
      </c>
      <c r="B9077" s="3" t="s">
        <v>9079</v>
      </c>
      <c r="C9077" s="3" t="s">
        <v>9</v>
      </c>
      <c r="D9077" s="3" t="s">
        <v>9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/>
      <c r="P9077" s="3"/>
      <c r="Q9077" s="3"/>
    </row>
    <row r="9078" spans="1:17" ht="15" x14ac:dyDescent="0.25">
      <c r="A9078" s="3">
        <f>9071</f>
        <v>9071</v>
      </c>
      <c r="B9078" s="3" t="s">
        <v>9080</v>
      </c>
      <c r="C9078" s="3" t="s">
        <v>9</v>
      </c>
      <c r="D9078" s="3" t="s">
        <v>9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/>
      <c r="P9078" s="3"/>
      <c r="Q9078" s="3"/>
    </row>
    <row r="9079" spans="1:17" ht="15" x14ac:dyDescent="0.25">
      <c r="A9079" s="3">
        <f>9072</f>
        <v>9072</v>
      </c>
      <c r="B9079" s="3" t="s">
        <v>9081</v>
      </c>
      <c r="C9079" s="3" t="s">
        <v>9</v>
      </c>
      <c r="D9079" s="3" t="s">
        <v>9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/>
      <c r="P9079" s="3"/>
      <c r="Q9079" s="3"/>
    </row>
    <row r="9080" spans="1:17" ht="15" x14ac:dyDescent="0.25">
      <c r="A9080" s="3">
        <f>9073</f>
        <v>9073</v>
      </c>
      <c r="B9080" s="3" t="s">
        <v>9082</v>
      </c>
      <c r="C9080" s="3" t="s">
        <v>9</v>
      </c>
      <c r="D9080" s="3" t="s">
        <v>9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/>
      <c r="P9080" s="3"/>
      <c r="Q9080" s="3"/>
    </row>
    <row r="9081" spans="1:17" ht="15" x14ac:dyDescent="0.25">
      <c r="A9081" s="3">
        <f>9074</f>
        <v>9074</v>
      </c>
      <c r="B9081" s="3" t="s">
        <v>9083</v>
      </c>
      <c r="C9081" s="3" t="s">
        <v>9</v>
      </c>
      <c r="D9081" s="3" t="s">
        <v>9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/>
      <c r="P9081" s="3"/>
      <c r="Q9081" s="3"/>
    </row>
    <row r="9082" spans="1:17" ht="15" x14ac:dyDescent="0.25">
      <c r="A9082" s="3">
        <f>9075</f>
        <v>9075</v>
      </c>
      <c r="B9082" s="3" t="s">
        <v>9084</v>
      </c>
      <c r="C9082" s="3" t="s">
        <v>9</v>
      </c>
      <c r="D9082" s="3" t="s">
        <v>9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/>
      <c r="P9082" s="3"/>
      <c r="Q9082" s="3"/>
    </row>
    <row r="9083" spans="1:17" ht="15" x14ac:dyDescent="0.25">
      <c r="A9083" s="3">
        <f>9076</f>
        <v>9076</v>
      </c>
      <c r="B9083" s="3" t="s">
        <v>9085</v>
      </c>
      <c r="C9083" s="3" t="s">
        <v>9</v>
      </c>
      <c r="D9083" s="3" t="s">
        <v>9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/>
      <c r="P9083" s="3"/>
      <c r="Q9083" s="3"/>
    </row>
    <row r="9084" spans="1:17" ht="15" x14ac:dyDescent="0.25">
      <c r="A9084" s="3">
        <f>9077</f>
        <v>9077</v>
      </c>
      <c r="B9084" s="3" t="s">
        <v>9086</v>
      </c>
      <c r="C9084" s="3" t="s">
        <v>9</v>
      </c>
      <c r="D9084" s="3" t="s">
        <v>9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/>
      <c r="P9084" s="3"/>
      <c r="Q9084" s="3"/>
    </row>
    <row r="9085" spans="1:17" ht="15" x14ac:dyDescent="0.25">
      <c r="A9085" s="3">
        <f>9078</f>
        <v>9078</v>
      </c>
      <c r="B9085" s="3" t="s">
        <v>9087</v>
      </c>
      <c r="C9085" s="3" t="s">
        <v>9</v>
      </c>
      <c r="D9085" s="3" t="s">
        <v>9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/>
      <c r="P9085" s="3"/>
      <c r="Q9085" s="3"/>
    </row>
    <row r="9086" spans="1:17" ht="15" x14ac:dyDescent="0.25">
      <c r="A9086" s="3">
        <f>9079</f>
        <v>9079</v>
      </c>
      <c r="B9086" s="3" t="s">
        <v>9088</v>
      </c>
      <c r="C9086" s="3" t="s">
        <v>9</v>
      </c>
      <c r="D9086" s="3" t="s">
        <v>9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/>
      <c r="P9086" s="3"/>
      <c r="Q9086" s="3"/>
    </row>
    <row r="9087" spans="1:17" ht="15" x14ac:dyDescent="0.25">
      <c r="A9087" s="3">
        <f>9080</f>
        <v>9080</v>
      </c>
      <c r="B9087" s="3" t="s">
        <v>9089</v>
      </c>
      <c r="C9087" s="3" t="s">
        <v>9</v>
      </c>
      <c r="D9087" s="3" t="s">
        <v>9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/>
      <c r="P9087" s="3"/>
      <c r="Q9087" s="3"/>
    </row>
    <row r="9088" spans="1:17" ht="15" x14ac:dyDescent="0.25">
      <c r="A9088" s="3">
        <f>9081</f>
        <v>9081</v>
      </c>
      <c r="B9088" s="3" t="s">
        <v>9090</v>
      </c>
      <c r="C9088" s="3" t="s">
        <v>9</v>
      </c>
      <c r="D9088" s="3" t="s">
        <v>9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/>
      <c r="P9088" s="3"/>
      <c r="Q9088" s="3"/>
    </row>
    <row r="9089" spans="1:17" ht="15" x14ac:dyDescent="0.25">
      <c r="A9089" s="3">
        <f>9082</f>
        <v>9082</v>
      </c>
      <c r="B9089" s="3" t="s">
        <v>9091</v>
      </c>
      <c r="C9089" s="3" t="s">
        <v>9</v>
      </c>
      <c r="D9089" s="3" t="s">
        <v>9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/>
      <c r="P9089" s="3"/>
      <c r="Q9089" s="3"/>
    </row>
    <row r="9090" spans="1:17" ht="15" x14ac:dyDescent="0.25">
      <c r="A9090" s="3">
        <f>9083</f>
        <v>9083</v>
      </c>
      <c r="B9090" s="3" t="s">
        <v>9092</v>
      </c>
      <c r="C9090" s="3" t="s">
        <v>9</v>
      </c>
      <c r="D9090" s="3" t="s">
        <v>9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/>
      <c r="P9090" s="3"/>
      <c r="Q9090" s="3"/>
    </row>
    <row r="9091" spans="1:17" ht="15" x14ac:dyDescent="0.25">
      <c r="A9091" s="3">
        <f>9084</f>
        <v>9084</v>
      </c>
      <c r="B9091" s="3" t="s">
        <v>9093</v>
      </c>
      <c r="C9091" s="3" t="s">
        <v>9</v>
      </c>
      <c r="D9091" s="3" t="s">
        <v>9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/>
      <c r="P9091" s="3"/>
      <c r="Q9091" s="3"/>
    </row>
    <row r="9092" spans="1:17" ht="15" x14ac:dyDescent="0.25">
      <c r="A9092" s="3">
        <f>9085</f>
        <v>9085</v>
      </c>
      <c r="B9092" s="3" t="s">
        <v>9094</v>
      </c>
      <c r="C9092" s="3" t="s">
        <v>9</v>
      </c>
      <c r="D9092" s="3" t="s">
        <v>9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/>
      <c r="P9092" s="3"/>
      <c r="Q9092" s="3"/>
    </row>
    <row r="9093" spans="1:17" ht="15" x14ac:dyDescent="0.25">
      <c r="A9093" s="3">
        <f>9086</f>
        <v>9086</v>
      </c>
      <c r="B9093" s="3" t="s">
        <v>9095</v>
      </c>
      <c r="C9093" s="3" t="s">
        <v>9</v>
      </c>
      <c r="D9093" s="3" t="s">
        <v>9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/>
      <c r="P9093" s="3"/>
      <c r="Q9093" s="3"/>
    </row>
    <row r="9094" spans="1:17" ht="15" x14ac:dyDescent="0.25">
      <c r="A9094" s="3">
        <f>9087</f>
        <v>9087</v>
      </c>
      <c r="B9094" s="3" t="s">
        <v>9096</v>
      </c>
      <c r="C9094" s="3" t="s">
        <v>9</v>
      </c>
      <c r="D9094" s="3" t="s">
        <v>9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/>
      <c r="P9094" s="3"/>
      <c r="Q9094" s="3"/>
    </row>
    <row r="9095" spans="1:17" ht="15" x14ac:dyDescent="0.25">
      <c r="A9095" s="3">
        <f>9088</f>
        <v>9088</v>
      </c>
      <c r="B9095" s="3" t="s">
        <v>9097</v>
      </c>
      <c r="C9095" s="3" t="s">
        <v>9</v>
      </c>
      <c r="D9095" s="3" t="s">
        <v>9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/>
      <c r="P9095" s="3"/>
      <c r="Q9095" s="3"/>
    </row>
    <row r="9096" spans="1:17" ht="15" x14ac:dyDescent="0.25">
      <c r="A9096" s="3">
        <f>9089</f>
        <v>9089</v>
      </c>
      <c r="B9096" s="3" t="s">
        <v>9098</v>
      </c>
      <c r="C9096" s="3" t="s">
        <v>9</v>
      </c>
      <c r="D9096" s="3" t="s">
        <v>9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/>
      <c r="P9096" s="3"/>
      <c r="Q9096" s="3"/>
    </row>
    <row r="9097" spans="1:17" ht="15" x14ac:dyDescent="0.25">
      <c r="A9097" s="3">
        <f>9090</f>
        <v>9090</v>
      </c>
      <c r="B9097" s="3" t="s">
        <v>9099</v>
      </c>
      <c r="C9097" s="3" t="s">
        <v>9</v>
      </c>
      <c r="D9097" s="3" t="s">
        <v>9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/>
      <c r="P9097" s="3"/>
      <c r="Q9097" s="3"/>
    </row>
    <row r="9098" spans="1:17" ht="15" x14ac:dyDescent="0.25">
      <c r="A9098" s="3">
        <f>9091</f>
        <v>9091</v>
      </c>
      <c r="B9098" s="3" t="s">
        <v>9100</v>
      </c>
      <c r="C9098" s="3" t="s">
        <v>9</v>
      </c>
      <c r="D9098" s="3" t="s">
        <v>9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/>
      <c r="P9098" s="3"/>
      <c r="Q9098" s="3"/>
    </row>
    <row r="9099" spans="1:17" ht="15" x14ac:dyDescent="0.25">
      <c r="A9099" s="3">
        <f>9092</f>
        <v>9092</v>
      </c>
      <c r="B9099" s="3" t="s">
        <v>9101</v>
      </c>
      <c r="C9099" s="3" t="s">
        <v>9</v>
      </c>
      <c r="D9099" s="3" t="s">
        <v>9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/>
      <c r="P9099" s="3"/>
      <c r="Q9099" s="3"/>
    </row>
    <row r="9100" spans="1:17" ht="15" x14ac:dyDescent="0.25">
      <c r="A9100" s="3">
        <f>9093</f>
        <v>9093</v>
      </c>
      <c r="B9100" s="3" t="s">
        <v>9102</v>
      </c>
      <c r="C9100" s="3" t="s">
        <v>9</v>
      </c>
      <c r="D9100" s="3" t="s">
        <v>9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/>
      <c r="P9100" s="3"/>
      <c r="Q9100" s="3"/>
    </row>
    <row r="9101" spans="1:17" ht="15" x14ac:dyDescent="0.25">
      <c r="A9101" s="3">
        <f>9094</f>
        <v>9094</v>
      </c>
      <c r="B9101" s="3" t="s">
        <v>9103</v>
      </c>
      <c r="C9101" s="3" t="s">
        <v>9</v>
      </c>
      <c r="D9101" s="3" t="s">
        <v>9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/>
      <c r="P9101" s="3"/>
      <c r="Q9101" s="3"/>
    </row>
    <row r="9102" spans="1:17" ht="15" x14ac:dyDescent="0.25">
      <c r="A9102" s="3">
        <f>9095</f>
        <v>9095</v>
      </c>
      <c r="B9102" s="3" t="s">
        <v>9104</v>
      </c>
      <c r="C9102" s="3" t="s">
        <v>9</v>
      </c>
      <c r="D9102" s="3" t="s">
        <v>9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/>
      <c r="P9102" s="3"/>
      <c r="Q9102" s="3"/>
    </row>
    <row r="9103" spans="1:17" ht="15" x14ac:dyDescent="0.25">
      <c r="A9103" s="3">
        <f>9096</f>
        <v>9096</v>
      </c>
      <c r="B9103" s="3" t="s">
        <v>9105</v>
      </c>
      <c r="C9103" s="3" t="s">
        <v>9</v>
      </c>
      <c r="D9103" s="3" t="s">
        <v>9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/>
      <c r="P9103" s="3"/>
      <c r="Q9103" s="3"/>
    </row>
    <row r="9104" spans="1:17" ht="15" x14ac:dyDescent="0.25">
      <c r="A9104" s="3">
        <f>9097</f>
        <v>9097</v>
      </c>
      <c r="B9104" s="3" t="s">
        <v>9106</v>
      </c>
      <c r="C9104" s="3" t="s">
        <v>9</v>
      </c>
      <c r="D9104" s="3" t="s">
        <v>9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/>
      <c r="P9104" s="3"/>
      <c r="Q9104" s="3"/>
    </row>
    <row r="9105" spans="1:17" ht="15" x14ac:dyDescent="0.25">
      <c r="A9105" s="3">
        <f>9098</f>
        <v>9098</v>
      </c>
      <c r="B9105" s="3" t="s">
        <v>9107</v>
      </c>
      <c r="C9105" s="3" t="s">
        <v>9</v>
      </c>
      <c r="D9105" s="3" t="s">
        <v>9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/>
      <c r="P9105" s="3"/>
      <c r="Q9105" s="3"/>
    </row>
    <row r="9106" spans="1:17" ht="15" x14ac:dyDescent="0.25">
      <c r="A9106" s="3">
        <f>9099</f>
        <v>9099</v>
      </c>
      <c r="B9106" s="3" t="s">
        <v>9108</v>
      </c>
      <c r="C9106" s="3" t="s">
        <v>9</v>
      </c>
      <c r="D9106" s="3" t="s">
        <v>9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/>
      <c r="P9106" s="3"/>
      <c r="Q9106" s="3"/>
    </row>
    <row r="9107" spans="1:17" ht="15" x14ac:dyDescent="0.25">
      <c r="A9107" s="3">
        <f>9100</f>
        <v>9100</v>
      </c>
      <c r="B9107" s="3" t="s">
        <v>9109</v>
      </c>
      <c r="C9107" s="3" t="s">
        <v>9</v>
      </c>
      <c r="D9107" s="3" t="s">
        <v>9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/>
      <c r="P9107" s="3"/>
      <c r="Q9107" s="3"/>
    </row>
    <row r="9108" spans="1:17" ht="15" x14ac:dyDescent="0.25">
      <c r="A9108" s="3">
        <f>9101</f>
        <v>9101</v>
      </c>
      <c r="B9108" s="3" t="s">
        <v>9110</v>
      </c>
      <c r="C9108" s="3" t="s">
        <v>9</v>
      </c>
      <c r="D9108" s="3" t="s">
        <v>9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/>
      <c r="P9108" s="3"/>
      <c r="Q9108" s="3"/>
    </row>
    <row r="9109" spans="1:17" ht="15" x14ac:dyDescent="0.25">
      <c r="A9109" s="3">
        <f>9102</f>
        <v>9102</v>
      </c>
      <c r="B9109" s="3" t="s">
        <v>9111</v>
      </c>
      <c r="C9109" s="3" t="s">
        <v>9</v>
      </c>
      <c r="D9109" s="3" t="s">
        <v>9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/>
      <c r="P9109" s="3"/>
      <c r="Q9109" s="3"/>
    </row>
    <row r="9110" spans="1:17" ht="15" x14ac:dyDescent="0.25">
      <c r="A9110" s="3">
        <f>9103</f>
        <v>9103</v>
      </c>
      <c r="B9110" s="3" t="s">
        <v>9112</v>
      </c>
      <c r="C9110" s="3" t="s">
        <v>9</v>
      </c>
      <c r="D9110" s="3" t="s">
        <v>9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/>
      <c r="P9110" s="3"/>
      <c r="Q9110" s="3"/>
    </row>
    <row r="9111" spans="1:17" ht="15" x14ac:dyDescent="0.25">
      <c r="A9111" s="3">
        <f>9104</f>
        <v>9104</v>
      </c>
      <c r="B9111" s="3" t="s">
        <v>9113</v>
      </c>
      <c r="C9111" s="3" t="s">
        <v>9</v>
      </c>
      <c r="D9111" s="3" t="s">
        <v>9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/>
      <c r="P9111" s="3"/>
      <c r="Q9111" s="3"/>
    </row>
    <row r="9112" spans="1:17" ht="15" x14ac:dyDescent="0.25">
      <c r="A9112" s="3">
        <f>9105</f>
        <v>9105</v>
      </c>
      <c r="B9112" s="3" t="s">
        <v>9114</v>
      </c>
      <c r="C9112" s="3" t="s">
        <v>9</v>
      </c>
      <c r="D9112" s="3" t="s">
        <v>9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/>
      <c r="P9112" s="3"/>
      <c r="Q9112" s="3"/>
    </row>
    <row r="9113" spans="1:17" ht="15" x14ac:dyDescent="0.25">
      <c r="A9113" s="3">
        <f>9106</f>
        <v>9106</v>
      </c>
      <c r="B9113" s="3" t="s">
        <v>9115</v>
      </c>
      <c r="C9113" s="3" t="s">
        <v>9</v>
      </c>
      <c r="D9113" s="3" t="s">
        <v>9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/>
      <c r="P9113" s="3"/>
      <c r="Q9113" s="3"/>
    </row>
    <row r="9114" spans="1:17" ht="15" x14ac:dyDescent="0.25">
      <c r="A9114" s="3">
        <f>9107</f>
        <v>9107</v>
      </c>
      <c r="B9114" s="3" t="s">
        <v>9116</v>
      </c>
      <c r="C9114" s="3" t="s">
        <v>9</v>
      </c>
      <c r="D9114" s="3" t="s">
        <v>9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/>
      <c r="P9114" s="3"/>
      <c r="Q9114" s="3"/>
    </row>
    <row r="9115" spans="1:17" ht="15" x14ac:dyDescent="0.25">
      <c r="A9115" s="3">
        <f>9108</f>
        <v>9108</v>
      </c>
      <c r="B9115" s="3" t="s">
        <v>9117</v>
      </c>
      <c r="C9115" s="3" t="s">
        <v>9</v>
      </c>
      <c r="D9115" s="3" t="s">
        <v>9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/>
      <c r="P9115" s="3"/>
      <c r="Q9115" s="3"/>
    </row>
    <row r="9116" spans="1:17" ht="15" x14ac:dyDescent="0.25">
      <c r="A9116" s="3">
        <f>9109</f>
        <v>9109</v>
      </c>
      <c r="B9116" s="3" t="s">
        <v>9118</v>
      </c>
      <c r="C9116" s="3" t="s">
        <v>9</v>
      </c>
      <c r="D9116" s="3" t="s">
        <v>9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/>
      <c r="P9116" s="3"/>
      <c r="Q9116" s="3"/>
    </row>
    <row r="9117" spans="1:17" ht="15" x14ac:dyDescent="0.25">
      <c r="A9117" s="3">
        <f>9110</f>
        <v>9110</v>
      </c>
      <c r="B9117" s="3" t="s">
        <v>9119</v>
      </c>
      <c r="C9117" s="3" t="s">
        <v>9</v>
      </c>
      <c r="D9117" s="3" t="s">
        <v>9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/>
      <c r="P9117" s="3"/>
      <c r="Q9117" s="3"/>
    </row>
    <row r="9118" spans="1:17" ht="15" x14ac:dyDescent="0.25">
      <c r="A9118" s="3">
        <f>9111</f>
        <v>9111</v>
      </c>
      <c r="B9118" s="3" t="s">
        <v>9120</v>
      </c>
      <c r="C9118" s="3" t="s">
        <v>9</v>
      </c>
      <c r="D9118" s="3" t="s">
        <v>9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/>
      <c r="P9118" s="3"/>
      <c r="Q9118" s="3"/>
    </row>
    <row r="9119" spans="1:17" ht="15" x14ac:dyDescent="0.25">
      <c r="A9119" s="3">
        <f>9112</f>
        <v>9112</v>
      </c>
      <c r="B9119" s="3" t="s">
        <v>9121</v>
      </c>
      <c r="C9119" s="3" t="s">
        <v>9</v>
      </c>
      <c r="D9119" s="3" t="s">
        <v>9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/>
      <c r="P9119" s="3"/>
      <c r="Q9119" s="3"/>
    </row>
    <row r="9120" spans="1:17" ht="15" x14ac:dyDescent="0.25">
      <c r="A9120" s="3">
        <f>9113</f>
        <v>9113</v>
      </c>
      <c r="B9120" s="3" t="s">
        <v>9122</v>
      </c>
      <c r="C9120" s="3" t="s">
        <v>9</v>
      </c>
      <c r="D9120" s="3" t="s">
        <v>9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/>
      <c r="P9120" s="3"/>
      <c r="Q9120" s="3"/>
    </row>
    <row r="9121" spans="1:17" ht="15" x14ac:dyDescent="0.25">
      <c r="A9121" s="3">
        <f>9114</f>
        <v>9114</v>
      </c>
      <c r="B9121" s="3" t="s">
        <v>9123</v>
      </c>
      <c r="C9121" s="3" t="s">
        <v>9</v>
      </c>
      <c r="D9121" s="3" t="s">
        <v>9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/>
      <c r="P9121" s="3"/>
      <c r="Q9121" s="3"/>
    </row>
    <row r="9122" spans="1:17" ht="15" x14ac:dyDescent="0.25">
      <c r="A9122" s="3">
        <f>9115</f>
        <v>9115</v>
      </c>
      <c r="B9122" s="3" t="s">
        <v>9124</v>
      </c>
      <c r="C9122" s="3" t="s">
        <v>9</v>
      </c>
      <c r="D9122" s="3" t="s">
        <v>9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/>
      <c r="P9122" s="3"/>
      <c r="Q9122" s="3"/>
    </row>
    <row r="9123" spans="1:17" ht="15" x14ac:dyDescent="0.25">
      <c r="A9123" s="3">
        <f>9116</f>
        <v>9116</v>
      </c>
      <c r="B9123" s="3" t="s">
        <v>9125</v>
      </c>
      <c r="C9123" s="3" t="s">
        <v>9</v>
      </c>
      <c r="D9123" s="3" t="s">
        <v>9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/>
      <c r="P9123" s="3"/>
      <c r="Q9123" s="3"/>
    </row>
    <row r="9124" spans="1:17" ht="15" x14ac:dyDescent="0.25">
      <c r="A9124" s="3">
        <f>9117</f>
        <v>9117</v>
      </c>
      <c r="B9124" s="3" t="s">
        <v>9126</v>
      </c>
      <c r="C9124" s="3" t="s">
        <v>9</v>
      </c>
      <c r="D9124" s="3" t="s">
        <v>9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/>
      <c r="P9124" s="3"/>
      <c r="Q9124" s="3"/>
    </row>
    <row r="9125" spans="1:17" ht="15" x14ac:dyDescent="0.25">
      <c r="A9125" s="3">
        <f>9118</f>
        <v>9118</v>
      </c>
      <c r="B9125" s="3" t="s">
        <v>9127</v>
      </c>
      <c r="C9125" s="3" t="s">
        <v>9</v>
      </c>
      <c r="D9125" s="3" t="s">
        <v>9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/>
      <c r="P9125" s="3"/>
      <c r="Q9125" s="3"/>
    </row>
    <row r="9126" spans="1:17" ht="15" x14ac:dyDescent="0.25">
      <c r="A9126" s="3">
        <f>9119</f>
        <v>9119</v>
      </c>
      <c r="B9126" s="3" t="s">
        <v>9128</v>
      </c>
      <c r="C9126" s="3" t="s">
        <v>9</v>
      </c>
      <c r="D9126" s="3" t="s">
        <v>9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/>
      <c r="P9126" s="3"/>
      <c r="Q9126" s="3"/>
    </row>
    <row r="9127" spans="1:17" ht="15" x14ac:dyDescent="0.25">
      <c r="A9127" s="3">
        <f>9120</f>
        <v>9120</v>
      </c>
      <c r="B9127" s="3" t="s">
        <v>9129</v>
      </c>
      <c r="C9127" s="3" t="s">
        <v>9</v>
      </c>
      <c r="D9127" s="3" t="s">
        <v>9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/>
      <c r="P9127" s="3"/>
      <c r="Q9127" s="3"/>
    </row>
    <row r="9128" spans="1:17" ht="15" x14ac:dyDescent="0.25">
      <c r="A9128" s="3">
        <f>9121</f>
        <v>9121</v>
      </c>
      <c r="B9128" s="3" t="s">
        <v>9130</v>
      </c>
      <c r="C9128" s="3" t="s">
        <v>9</v>
      </c>
      <c r="D9128" s="3" t="s">
        <v>9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/>
      <c r="P9128" s="3"/>
      <c r="Q9128" s="3"/>
    </row>
    <row r="9129" spans="1:17" ht="15" x14ac:dyDescent="0.25">
      <c r="A9129" s="3">
        <f>9122</f>
        <v>9122</v>
      </c>
      <c r="B9129" s="3" t="s">
        <v>9131</v>
      </c>
      <c r="C9129" s="3" t="s">
        <v>9</v>
      </c>
      <c r="D9129" s="3" t="s">
        <v>9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/>
      <c r="P9129" s="3"/>
      <c r="Q9129" s="3"/>
    </row>
    <row r="9130" spans="1:17" ht="15" x14ac:dyDescent="0.25">
      <c r="A9130" s="3">
        <f>9123</f>
        <v>9123</v>
      </c>
      <c r="B9130" s="3" t="s">
        <v>9132</v>
      </c>
      <c r="C9130" s="3" t="s">
        <v>9</v>
      </c>
      <c r="D9130" s="3" t="s">
        <v>9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/>
      <c r="P9130" s="3"/>
      <c r="Q9130" s="3"/>
    </row>
    <row r="9131" spans="1:17" ht="15" x14ac:dyDescent="0.25">
      <c r="A9131" s="3">
        <f>9124</f>
        <v>9124</v>
      </c>
      <c r="B9131" s="3" t="s">
        <v>9133</v>
      </c>
      <c r="C9131" s="3" t="s">
        <v>9</v>
      </c>
      <c r="D9131" s="3" t="s">
        <v>9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/>
      <c r="P9131" s="3"/>
      <c r="Q9131" s="3"/>
    </row>
    <row r="9132" spans="1:17" ht="15" x14ac:dyDescent="0.25">
      <c r="A9132" s="3">
        <f>9125</f>
        <v>9125</v>
      </c>
      <c r="B9132" s="3" t="s">
        <v>9134</v>
      </c>
      <c r="C9132" s="3" t="s">
        <v>9</v>
      </c>
      <c r="D9132" s="3" t="s">
        <v>9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/>
      <c r="P9132" s="3"/>
      <c r="Q9132" s="3"/>
    </row>
    <row r="9133" spans="1:17" ht="15" x14ac:dyDescent="0.25">
      <c r="A9133" s="3">
        <f>9126</f>
        <v>9126</v>
      </c>
      <c r="B9133" s="3" t="s">
        <v>9135</v>
      </c>
      <c r="C9133" s="3" t="s">
        <v>9</v>
      </c>
      <c r="D9133" s="3" t="s">
        <v>9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/>
      <c r="P9133" s="3"/>
      <c r="Q9133" s="3"/>
    </row>
    <row r="9134" spans="1:17" ht="15" x14ac:dyDescent="0.25">
      <c r="A9134" s="3">
        <f>9127</f>
        <v>9127</v>
      </c>
      <c r="B9134" s="3" t="s">
        <v>9136</v>
      </c>
      <c r="C9134" s="3" t="s">
        <v>9</v>
      </c>
      <c r="D9134" s="3" t="s">
        <v>9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/>
      <c r="P9134" s="3"/>
      <c r="Q9134" s="3"/>
    </row>
    <row r="9135" spans="1:17" ht="15" x14ac:dyDescent="0.25">
      <c r="A9135" s="3">
        <f>9128</f>
        <v>9128</v>
      </c>
      <c r="B9135" s="3" t="s">
        <v>9137</v>
      </c>
      <c r="C9135" s="3" t="s">
        <v>9</v>
      </c>
      <c r="D9135" s="3" t="s">
        <v>9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/>
      <c r="P9135" s="3"/>
      <c r="Q9135" s="3"/>
    </row>
    <row r="9136" spans="1:17" ht="15" x14ac:dyDescent="0.25">
      <c r="A9136" s="3">
        <f>9129</f>
        <v>9129</v>
      </c>
      <c r="B9136" s="3" t="s">
        <v>9138</v>
      </c>
      <c r="C9136" s="3" t="s">
        <v>9</v>
      </c>
      <c r="D9136" s="3" t="s">
        <v>9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/>
      <c r="P9136" s="3"/>
      <c r="Q9136" s="3"/>
    </row>
    <row r="9137" spans="1:17" ht="15" x14ac:dyDescent="0.25">
      <c r="A9137" s="3">
        <f>9130</f>
        <v>9130</v>
      </c>
      <c r="B9137" s="3" t="s">
        <v>9139</v>
      </c>
      <c r="C9137" s="3" t="s">
        <v>9</v>
      </c>
      <c r="D9137" s="3" t="s">
        <v>9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/>
      <c r="P9137" s="3"/>
      <c r="Q9137" s="3"/>
    </row>
    <row r="9138" spans="1:17" ht="15" x14ac:dyDescent="0.25">
      <c r="A9138" s="3">
        <f>9131</f>
        <v>9131</v>
      </c>
      <c r="B9138" s="3" t="s">
        <v>9140</v>
      </c>
      <c r="C9138" s="3" t="s">
        <v>9</v>
      </c>
      <c r="D9138" s="3" t="s">
        <v>9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/>
      <c r="P9138" s="3"/>
      <c r="Q9138" s="3"/>
    </row>
    <row r="9139" spans="1:17" ht="15" x14ac:dyDescent="0.25">
      <c r="A9139" s="3">
        <f>9132</f>
        <v>9132</v>
      </c>
      <c r="B9139" s="3" t="s">
        <v>9141</v>
      </c>
      <c r="C9139" s="3" t="s">
        <v>9</v>
      </c>
      <c r="D9139" s="3" t="s">
        <v>9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/>
      <c r="P9139" s="3"/>
      <c r="Q9139" s="3"/>
    </row>
    <row r="9140" spans="1:17" ht="15" x14ac:dyDescent="0.25">
      <c r="A9140" s="3">
        <f>9133</f>
        <v>9133</v>
      </c>
      <c r="B9140" s="3" t="s">
        <v>9142</v>
      </c>
      <c r="C9140" s="3" t="s">
        <v>9</v>
      </c>
      <c r="D9140" s="3" t="s">
        <v>9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/>
      <c r="P9140" s="3"/>
      <c r="Q9140" s="3"/>
    </row>
    <row r="9141" spans="1:17" ht="15" x14ac:dyDescent="0.25">
      <c r="A9141" s="3">
        <f>9134</f>
        <v>9134</v>
      </c>
      <c r="B9141" s="3" t="s">
        <v>9143</v>
      </c>
      <c r="C9141" s="3" t="s">
        <v>9</v>
      </c>
      <c r="D9141" s="3" t="s">
        <v>9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/>
      <c r="P9141" s="3"/>
      <c r="Q9141" s="3"/>
    </row>
    <row r="9142" spans="1:17" ht="15" x14ac:dyDescent="0.25">
      <c r="A9142" s="3">
        <f>9135</f>
        <v>9135</v>
      </c>
      <c r="B9142" s="3" t="s">
        <v>9144</v>
      </c>
      <c r="C9142" s="3" t="s">
        <v>9</v>
      </c>
      <c r="D9142" s="3" t="s">
        <v>9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/>
      <c r="P9142" s="3"/>
      <c r="Q9142" s="3"/>
    </row>
    <row r="9143" spans="1:17" ht="15" x14ac:dyDescent="0.25">
      <c r="A9143" s="3">
        <f>9136</f>
        <v>9136</v>
      </c>
      <c r="B9143" s="3" t="s">
        <v>9145</v>
      </c>
      <c r="C9143" s="3" t="s">
        <v>9</v>
      </c>
      <c r="D9143" s="3" t="s">
        <v>9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/>
      <c r="P9143" s="3"/>
      <c r="Q9143" s="3"/>
    </row>
    <row r="9144" spans="1:17" ht="15" x14ac:dyDescent="0.25">
      <c r="A9144" s="3">
        <f>9137</f>
        <v>9137</v>
      </c>
      <c r="B9144" s="3" t="s">
        <v>9146</v>
      </c>
      <c r="C9144" s="3" t="s">
        <v>9</v>
      </c>
      <c r="D9144" s="3" t="s">
        <v>9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/>
      <c r="P9144" s="3"/>
      <c r="Q9144" s="3"/>
    </row>
    <row r="9145" spans="1:17" ht="15" x14ac:dyDescent="0.25">
      <c r="A9145" s="3">
        <f>9138</f>
        <v>9138</v>
      </c>
      <c r="B9145" s="3" t="s">
        <v>9147</v>
      </c>
      <c r="C9145" s="3" t="s">
        <v>9</v>
      </c>
      <c r="D9145" s="3" t="s">
        <v>9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/>
      <c r="P9145" s="3"/>
      <c r="Q9145" s="3"/>
    </row>
    <row r="9146" spans="1:17" ht="15" x14ac:dyDescent="0.25">
      <c r="A9146" s="3">
        <f>9139</f>
        <v>9139</v>
      </c>
      <c r="B9146" s="3" t="s">
        <v>9148</v>
      </c>
      <c r="C9146" s="3" t="s">
        <v>9</v>
      </c>
      <c r="D9146" s="3" t="s">
        <v>9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/>
      <c r="P9146" s="3"/>
      <c r="Q9146" s="3"/>
    </row>
    <row r="9147" spans="1:17" ht="15" x14ac:dyDescent="0.25">
      <c r="A9147" s="3">
        <f>9140</f>
        <v>9140</v>
      </c>
      <c r="B9147" s="3" t="s">
        <v>9149</v>
      </c>
      <c r="C9147" s="3" t="s">
        <v>9</v>
      </c>
      <c r="D9147" s="3" t="s">
        <v>9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/>
      <c r="P9147" s="3"/>
      <c r="Q9147" s="3"/>
    </row>
    <row r="9148" spans="1:17" ht="15" x14ac:dyDescent="0.25">
      <c r="A9148" s="3">
        <f>9141</f>
        <v>9141</v>
      </c>
      <c r="B9148" s="3" t="s">
        <v>9150</v>
      </c>
      <c r="C9148" s="3" t="s">
        <v>9</v>
      </c>
      <c r="D9148" s="3" t="s">
        <v>9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/>
      <c r="P9148" s="3"/>
      <c r="Q9148" s="3"/>
    </row>
    <row r="9149" spans="1:17" ht="15" x14ac:dyDescent="0.25">
      <c r="A9149" s="3">
        <f>9142</f>
        <v>9142</v>
      </c>
      <c r="B9149" s="3" t="s">
        <v>9151</v>
      </c>
      <c r="C9149" s="3" t="s">
        <v>9</v>
      </c>
      <c r="D9149" s="3" t="s">
        <v>9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/>
      <c r="P9149" s="3"/>
      <c r="Q9149" s="3"/>
    </row>
    <row r="9150" spans="1:17" ht="15" x14ac:dyDescent="0.25">
      <c r="A9150" s="3">
        <f>9143</f>
        <v>9143</v>
      </c>
      <c r="B9150" s="3" t="s">
        <v>9152</v>
      </c>
      <c r="C9150" s="3" t="s">
        <v>9</v>
      </c>
      <c r="D9150" s="3" t="s">
        <v>9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/>
      <c r="P9150" s="3"/>
      <c r="Q9150" s="3"/>
    </row>
    <row r="9151" spans="1:17" ht="15" x14ac:dyDescent="0.25">
      <c r="A9151" s="3">
        <f>9144</f>
        <v>9144</v>
      </c>
      <c r="B9151" s="3" t="s">
        <v>9153</v>
      </c>
      <c r="C9151" s="3" t="s">
        <v>9</v>
      </c>
      <c r="D9151" s="3" t="s">
        <v>9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/>
      <c r="P9151" s="3"/>
      <c r="Q9151" s="3"/>
    </row>
    <row r="9152" spans="1:17" ht="15" x14ac:dyDescent="0.25">
      <c r="A9152" s="3">
        <f>9145</f>
        <v>9145</v>
      </c>
      <c r="B9152" s="3" t="s">
        <v>9154</v>
      </c>
      <c r="C9152" s="3" t="s">
        <v>9</v>
      </c>
      <c r="D9152" s="3" t="s">
        <v>9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/>
      <c r="P9152" s="3"/>
      <c r="Q9152" s="3"/>
    </row>
    <row r="9153" spans="1:17" ht="15" x14ac:dyDescent="0.25">
      <c r="A9153" s="3">
        <f>9146</f>
        <v>9146</v>
      </c>
      <c r="B9153" s="3" t="s">
        <v>9155</v>
      </c>
      <c r="C9153" s="3" t="s">
        <v>9</v>
      </c>
      <c r="D9153" s="3" t="s">
        <v>9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/>
      <c r="P9153" s="3"/>
      <c r="Q9153" s="3"/>
    </row>
    <row r="9154" spans="1:17" ht="15" x14ac:dyDescent="0.25">
      <c r="A9154" s="3">
        <f>9147</f>
        <v>9147</v>
      </c>
      <c r="B9154" s="3" t="s">
        <v>9156</v>
      </c>
      <c r="C9154" s="3" t="s">
        <v>9</v>
      </c>
      <c r="D9154" s="3" t="s">
        <v>9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/>
      <c r="P9154" s="3"/>
      <c r="Q9154" s="3"/>
    </row>
    <row r="9155" spans="1:17" ht="15" x14ac:dyDescent="0.25">
      <c r="A9155" s="3">
        <f>9148</f>
        <v>9148</v>
      </c>
      <c r="B9155" s="3" t="s">
        <v>9157</v>
      </c>
      <c r="C9155" s="3" t="s">
        <v>9</v>
      </c>
      <c r="D9155" s="3" t="s">
        <v>9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/>
      <c r="P9155" s="3"/>
      <c r="Q9155" s="3"/>
    </row>
    <row r="9156" spans="1:17" ht="15" x14ac:dyDescent="0.25">
      <c r="A9156" s="3">
        <f>9149</f>
        <v>9149</v>
      </c>
      <c r="B9156" s="3" t="s">
        <v>9158</v>
      </c>
      <c r="C9156" s="3" t="s">
        <v>9</v>
      </c>
      <c r="D9156" s="3" t="s">
        <v>9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/>
      <c r="P9156" s="3"/>
      <c r="Q9156" s="3"/>
    </row>
    <row r="9157" spans="1:17" ht="15" x14ac:dyDescent="0.25">
      <c r="A9157" s="3">
        <f>9150</f>
        <v>9150</v>
      </c>
      <c r="B9157" s="3" t="s">
        <v>9159</v>
      </c>
      <c r="C9157" s="3" t="s">
        <v>9</v>
      </c>
      <c r="D9157" s="3" t="s">
        <v>9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/>
      <c r="P9157" s="3"/>
      <c r="Q9157" s="3"/>
    </row>
    <row r="9158" spans="1:17" ht="15" x14ac:dyDescent="0.25">
      <c r="A9158" s="3">
        <f>9151</f>
        <v>9151</v>
      </c>
      <c r="B9158" s="3" t="s">
        <v>9160</v>
      </c>
      <c r="C9158" s="3" t="s">
        <v>9</v>
      </c>
      <c r="D9158" s="3" t="s">
        <v>9</v>
      </c>
      <c r="E9158" s="3">
        <v>0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/>
      <c r="P9158" s="3"/>
      <c r="Q9158" s="3"/>
    </row>
    <row r="9159" spans="1:17" ht="15" x14ac:dyDescent="0.25">
      <c r="A9159" s="3">
        <f>9152</f>
        <v>9152</v>
      </c>
      <c r="B9159" s="3" t="s">
        <v>9161</v>
      </c>
      <c r="C9159" s="3" t="s">
        <v>9</v>
      </c>
      <c r="D9159" s="3" t="s">
        <v>9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/>
      <c r="P9159" s="3"/>
      <c r="Q9159" s="3"/>
    </row>
    <row r="9160" spans="1:17" ht="15" x14ac:dyDescent="0.25">
      <c r="A9160" s="3">
        <f>9153</f>
        <v>9153</v>
      </c>
      <c r="B9160" s="3" t="s">
        <v>9162</v>
      </c>
      <c r="C9160" s="3" t="s">
        <v>9</v>
      </c>
      <c r="D9160" s="3" t="s">
        <v>9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/>
      <c r="P9160" s="3"/>
      <c r="Q9160" s="3"/>
    </row>
    <row r="9161" spans="1:17" ht="15" x14ac:dyDescent="0.25">
      <c r="A9161" s="3">
        <f>9154</f>
        <v>9154</v>
      </c>
      <c r="B9161" s="3" t="s">
        <v>9163</v>
      </c>
      <c r="C9161" s="3" t="s">
        <v>9</v>
      </c>
      <c r="D9161" s="3" t="s">
        <v>9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/>
      <c r="P9161" s="3"/>
      <c r="Q9161" s="3"/>
    </row>
    <row r="9162" spans="1:17" ht="15" x14ac:dyDescent="0.25">
      <c r="A9162" s="3">
        <f>9155</f>
        <v>9155</v>
      </c>
      <c r="B9162" s="3" t="s">
        <v>9164</v>
      </c>
      <c r="C9162" s="3" t="s">
        <v>9</v>
      </c>
      <c r="D9162" s="3" t="s">
        <v>9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/>
      <c r="P9162" s="3"/>
      <c r="Q9162" s="3"/>
    </row>
    <row r="9163" spans="1:17" ht="15" x14ac:dyDescent="0.25">
      <c r="A9163" s="3">
        <f>9156</f>
        <v>9156</v>
      </c>
      <c r="B9163" s="3" t="s">
        <v>9165</v>
      </c>
      <c r="C9163" s="3" t="s">
        <v>9</v>
      </c>
      <c r="D9163" s="3" t="s">
        <v>9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/>
      <c r="P9163" s="3"/>
      <c r="Q9163" s="3"/>
    </row>
    <row r="9164" spans="1:17" ht="15" x14ac:dyDescent="0.25">
      <c r="A9164" s="3">
        <f>9157</f>
        <v>9157</v>
      </c>
      <c r="B9164" s="3" t="s">
        <v>9166</v>
      </c>
      <c r="C9164" s="3" t="s">
        <v>9</v>
      </c>
      <c r="D9164" s="3" t="s">
        <v>9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/>
      <c r="P9164" s="3"/>
      <c r="Q9164" s="3"/>
    </row>
    <row r="9165" spans="1:17" ht="15" x14ac:dyDescent="0.25">
      <c r="A9165" s="3">
        <f>9158</f>
        <v>9158</v>
      </c>
      <c r="B9165" s="3" t="s">
        <v>9167</v>
      </c>
      <c r="C9165" s="3" t="s">
        <v>9</v>
      </c>
      <c r="D9165" s="3" t="s">
        <v>9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/>
      <c r="P9165" s="3"/>
      <c r="Q9165" s="3"/>
    </row>
    <row r="9166" spans="1:17" ht="15" x14ac:dyDescent="0.25">
      <c r="A9166" s="3">
        <f>9159</f>
        <v>9159</v>
      </c>
      <c r="B9166" s="3" t="s">
        <v>9168</v>
      </c>
      <c r="C9166" s="3" t="s">
        <v>9</v>
      </c>
      <c r="D9166" s="3" t="s">
        <v>9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/>
      <c r="P9166" s="3"/>
      <c r="Q9166" s="3"/>
    </row>
    <row r="9167" spans="1:17" ht="15" x14ac:dyDescent="0.25">
      <c r="A9167" s="3">
        <f>9160</f>
        <v>9160</v>
      </c>
      <c r="B9167" s="3" t="s">
        <v>9169</v>
      </c>
      <c r="C9167" s="3" t="s">
        <v>9</v>
      </c>
      <c r="D9167" s="3" t="s">
        <v>9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/>
      <c r="P9167" s="3"/>
      <c r="Q9167" s="3"/>
    </row>
    <row r="9168" spans="1:17" ht="15" x14ac:dyDescent="0.25">
      <c r="A9168" s="3">
        <f>9161</f>
        <v>9161</v>
      </c>
      <c r="B9168" s="3" t="s">
        <v>9170</v>
      </c>
      <c r="C9168" s="3" t="s">
        <v>9</v>
      </c>
      <c r="D9168" s="3" t="s">
        <v>9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/>
      <c r="P9168" s="3"/>
      <c r="Q9168" s="3"/>
    </row>
    <row r="9169" spans="1:17" ht="15" x14ac:dyDescent="0.25">
      <c r="A9169" s="3">
        <f>9162</f>
        <v>9162</v>
      </c>
      <c r="B9169" s="3" t="s">
        <v>9171</v>
      </c>
      <c r="C9169" s="3" t="s">
        <v>9</v>
      </c>
      <c r="D9169" s="3" t="s">
        <v>9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/>
      <c r="P9169" s="3"/>
      <c r="Q9169" s="3"/>
    </row>
    <row r="9170" spans="1:17" ht="15" x14ac:dyDescent="0.25">
      <c r="A9170" s="3">
        <f>9163</f>
        <v>9163</v>
      </c>
      <c r="B9170" s="3" t="s">
        <v>9172</v>
      </c>
      <c r="C9170" s="3" t="s">
        <v>9</v>
      </c>
      <c r="D9170" s="3" t="s">
        <v>9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/>
      <c r="P9170" s="3"/>
      <c r="Q9170" s="3"/>
    </row>
    <row r="9171" spans="1:17" ht="15" x14ac:dyDescent="0.25">
      <c r="A9171" s="3">
        <f>9164</f>
        <v>9164</v>
      </c>
      <c r="B9171" s="3" t="s">
        <v>9173</v>
      </c>
      <c r="C9171" s="3" t="s">
        <v>9</v>
      </c>
      <c r="D9171" s="3" t="s">
        <v>9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/>
      <c r="P9171" s="3"/>
      <c r="Q9171" s="3"/>
    </row>
    <row r="9172" spans="1:17" ht="15" x14ac:dyDescent="0.25">
      <c r="A9172" s="3">
        <f>9165</f>
        <v>9165</v>
      </c>
      <c r="B9172" s="3" t="s">
        <v>9174</v>
      </c>
      <c r="C9172" s="3" t="s">
        <v>9</v>
      </c>
      <c r="D9172" s="3" t="s">
        <v>9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/>
      <c r="P9172" s="3"/>
      <c r="Q9172" s="3"/>
    </row>
    <row r="9173" spans="1:17" ht="15" x14ac:dyDescent="0.25">
      <c r="A9173" s="3">
        <f>9166</f>
        <v>9166</v>
      </c>
      <c r="B9173" s="3" t="s">
        <v>9175</v>
      </c>
      <c r="C9173" s="3" t="s">
        <v>9</v>
      </c>
      <c r="D9173" s="3" t="s">
        <v>9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/>
      <c r="P9173" s="3"/>
      <c r="Q9173" s="3"/>
    </row>
    <row r="9174" spans="1:17" ht="15" x14ac:dyDescent="0.25">
      <c r="A9174" s="3">
        <f>9167</f>
        <v>9167</v>
      </c>
      <c r="B9174" s="3" t="s">
        <v>9176</v>
      </c>
      <c r="C9174" s="3" t="s">
        <v>9</v>
      </c>
      <c r="D9174" s="3" t="s">
        <v>9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/>
      <c r="P9174" s="3"/>
      <c r="Q9174" s="3"/>
    </row>
    <row r="9175" spans="1:17" ht="15" x14ac:dyDescent="0.25">
      <c r="A9175" s="3">
        <f>9168</f>
        <v>9168</v>
      </c>
      <c r="B9175" s="3" t="s">
        <v>9177</v>
      </c>
      <c r="C9175" s="3" t="s">
        <v>9</v>
      </c>
      <c r="D9175" s="3" t="s">
        <v>9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/>
      <c r="P9175" s="3"/>
      <c r="Q9175" s="3"/>
    </row>
    <row r="9176" spans="1:17" ht="15" x14ac:dyDescent="0.25">
      <c r="A9176" s="3">
        <f>9169</f>
        <v>9169</v>
      </c>
      <c r="B9176" s="3" t="s">
        <v>9178</v>
      </c>
      <c r="C9176" s="3" t="s">
        <v>9</v>
      </c>
      <c r="D9176" s="3" t="s">
        <v>9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/>
      <c r="P9176" s="3"/>
      <c r="Q9176" s="3"/>
    </row>
    <row r="9177" spans="1:17" ht="15" x14ac:dyDescent="0.25">
      <c r="A9177" s="3">
        <f>9170</f>
        <v>9170</v>
      </c>
      <c r="B9177" s="3" t="s">
        <v>9179</v>
      </c>
      <c r="C9177" s="3" t="s">
        <v>9</v>
      </c>
      <c r="D9177" s="3" t="s">
        <v>9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/>
      <c r="P9177" s="3"/>
      <c r="Q9177" s="3"/>
    </row>
    <row r="9178" spans="1:17" ht="15" x14ac:dyDescent="0.25">
      <c r="A9178" s="3">
        <f>9171</f>
        <v>9171</v>
      </c>
      <c r="B9178" s="3" t="s">
        <v>9180</v>
      </c>
      <c r="C9178" s="3" t="s">
        <v>9</v>
      </c>
      <c r="D9178" s="3" t="s">
        <v>9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/>
      <c r="P9178" s="3"/>
      <c r="Q9178" s="3"/>
    </row>
    <row r="9179" spans="1:17" ht="15" x14ac:dyDescent="0.25">
      <c r="A9179" s="3">
        <f>9172</f>
        <v>9172</v>
      </c>
      <c r="B9179" s="3" t="s">
        <v>9181</v>
      </c>
      <c r="C9179" s="3" t="s">
        <v>9</v>
      </c>
      <c r="D9179" s="3" t="s">
        <v>9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/>
      <c r="P9179" s="3"/>
      <c r="Q9179" s="3"/>
    </row>
    <row r="9180" spans="1:17" ht="15" x14ac:dyDescent="0.25">
      <c r="A9180" s="3">
        <f>9173</f>
        <v>9173</v>
      </c>
      <c r="B9180" s="3" t="s">
        <v>9182</v>
      </c>
      <c r="C9180" s="3" t="s">
        <v>9</v>
      </c>
      <c r="D9180" s="3" t="s">
        <v>9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/>
      <c r="P9180" s="3"/>
      <c r="Q9180" s="3"/>
    </row>
    <row r="9181" spans="1:17" ht="15" x14ac:dyDescent="0.25">
      <c r="A9181" s="3">
        <f>9174</f>
        <v>9174</v>
      </c>
      <c r="B9181" s="3" t="s">
        <v>9183</v>
      </c>
      <c r="C9181" s="3" t="s">
        <v>9</v>
      </c>
      <c r="D9181" s="3" t="s">
        <v>9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/>
      <c r="P9181" s="3"/>
      <c r="Q9181" s="3"/>
    </row>
    <row r="9182" spans="1:17" ht="15" x14ac:dyDescent="0.25">
      <c r="A9182" s="3">
        <f>9175</f>
        <v>9175</v>
      </c>
      <c r="B9182" s="3" t="s">
        <v>9184</v>
      </c>
      <c r="C9182" s="3" t="s">
        <v>9</v>
      </c>
      <c r="D9182" s="3" t="s">
        <v>9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/>
      <c r="P9182" s="3"/>
      <c r="Q9182" s="3"/>
    </row>
    <row r="9183" spans="1:17" ht="15" x14ac:dyDescent="0.25">
      <c r="A9183" s="3">
        <f>9176</f>
        <v>9176</v>
      </c>
      <c r="B9183" s="3" t="s">
        <v>9185</v>
      </c>
      <c r="C9183" s="3" t="s">
        <v>9</v>
      </c>
      <c r="D9183" s="3" t="s">
        <v>9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/>
      <c r="P9183" s="3"/>
      <c r="Q9183" s="3"/>
    </row>
    <row r="9184" spans="1:17" ht="15" x14ac:dyDescent="0.25">
      <c r="A9184" s="3">
        <f>9177</f>
        <v>9177</v>
      </c>
      <c r="B9184" s="3" t="s">
        <v>9186</v>
      </c>
      <c r="C9184" s="3" t="s">
        <v>9</v>
      </c>
      <c r="D9184" s="3" t="s">
        <v>9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/>
      <c r="P9184" s="3"/>
      <c r="Q9184" s="3"/>
    </row>
    <row r="9185" spans="1:17" ht="15" x14ac:dyDescent="0.25">
      <c r="A9185" s="3">
        <f>9178</f>
        <v>9178</v>
      </c>
      <c r="B9185" s="3" t="s">
        <v>9187</v>
      </c>
      <c r="C9185" s="3" t="s">
        <v>9</v>
      </c>
      <c r="D9185" s="3" t="s">
        <v>9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/>
      <c r="P9185" s="3"/>
      <c r="Q9185" s="3"/>
    </row>
    <row r="9186" spans="1:17" ht="15" x14ac:dyDescent="0.25">
      <c r="A9186" s="3">
        <f>9179</f>
        <v>9179</v>
      </c>
      <c r="B9186" s="3" t="s">
        <v>9188</v>
      </c>
      <c r="C9186" s="3" t="s">
        <v>9</v>
      </c>
      <c r="D9186" s="3" t="s">
        <v>9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/>
      <c r="P9186" s="3"/>
      <c r="Q9186" s="3"/>
    </row>
    <row r="9187" spans="1:17" ht="15" x14ac:dyDescent="0.25">
      <c r="A9187" s="3">
        <f>9180</f>
        <v>9180</v>
      </c>
      <c r="B9187" s="3" t="s">
        <v>9189</v>
      </c>
      <c r="C9187" s="3" t="s">
        <v>9</v>
      </c>
      <c r="D9187" s="3" t="s">
        <v>9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/>
      <c r="P9187" s="3"/>
      <c r="Q9187" s="3"/>
    </row>
    <row r="9188" spans="1:17" ht="15" x14ac:dyDescent="0.25">
      <c r="A9188" s="3">
        <f>9181</f>
        <v>9181</v>
      </c>
      <c r="B9188" s="3" t="s">
        <v>9190</v>
      </c>
      <c r="C9188" s="3" t="s">
        <v>9</v>
      </c>
      <c r="D9188" s="3" t="s">
        <v>9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/>
      <c r="P9188" s="3"/>
      <c r="Q9188" s="3"/>
    </row>
    <row r="9189" spans="1:17" ht="15" x14ac:dyDescent="0.25">
      <c r="A9189" s="3">
        <f>9182</f>
        <v>9182</v>
      </c>
      <c r="B9189" s="3" t="s">
        <v>9191</v>
      </c>
      <c r="C9189" s="3" t="s">
        <v>9</v>
      </c>
      <c r="D9189" s="3" t="s">
        <v>9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/>
      <c r="P9189" s="3"/>
      <c r="Q9189" s="3"/>
    </row>
    <row r="9190" spans="1:17" ht="15" x14ac:dyDescent="0.25">
      <c r="A9190" s="3">
        <f>9183</f>
        <v>9183</v>
      </c>
      <c r="B9190" s="3" t="s">
        <v>9192</v>
      </c>
      <c r="C9190" s="3" t="s">
        <v>9</v>
      </c>
      <c r="D9190" s="3" t="s">
        <v>9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/>
      <c r="P9190" s="3"/>
      <c r="Q9190" s="3"/>
    </row>
    <row r="9191" spans="1:17" ht="15" x14ac:dyDescent="0.25">
      <c r="A9191" s="3">
        <f>9184</f>
        <v>9184</v>
      </c>
      <c r="B9191" s="3" t="s">
        <v>9193</v>
      </c>
      <c r="C9191" s="3" t="s">
        <v>9</v>
      </c>
      <c r="D9191" s="3" t="s">
        <v>9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/>
      <c r="P9191" s="3"/>
      <c r="Q9191" s="3"/>
    </row>
    <row r="9192" spans="1:17" ht="15" x14ac:dyDescent="0.25">
      <c r="A9192" s="3">
        <f>9185</f>
        <v>9185</v>
      </c>
      <c r="B9192" s="3" t="s">
        <v>9194</v>
      </c>
      <c r="C9192" s="3" t="s">
        <v>9</v>
      </c>
      <c r="D9192" s="3" t="s">
        <v>9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/>
      <c r="P9192" s="3"/>
      <c r="Q9192" s="3"/>
    </row>
    <row r="9193" spans="1:17" ht="15" x14ac:dyDescent="0.25">
      <c r="A9193" s="3">
        <f>9186</f>
        <v>9186</v>
      </c>
      <c r="B9193" s="3" t="s">
        <v>9195</v>
      </c>
      <c r="C9193" s="3" t="s">
        <v>9</v>
      </c>
      <c r="D9193" s="3" t="s">
        <v>9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/>
      <c r="P9193" s="3"/>
      <c r="Q9193" s="3"/>
    </row>
    <row r="9194" spans="1:17" ht="15" x14ac:dyDescent="0.25">
      <c r="A9194" s="3">
        <f>9187</f>
        <v>9187</v>
      </c>
      <c r="B9194" s="3" t="s">
        <v>9196</v>
      </c>
      <c r="C9194" s="3" t="s">
        <v>9</v>
      </c>
      <c r="D9194" s="3" t="s">
        <v>9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/>
      <c r="P9194" s="3"/>
      <c r="Q9194" s="3"/>
    </row>
    <row r="9195" spans="1:17" ht="15" x14ac:dyDescent="0.25">
      <c r="A9195" s="3">
        <f>9188</f>
        <v>9188</v>
      </c>
      <c r="B9195" s="3" t="s">
        <v>9197</v>
      </c>
      <c r="C9195" s="3" t="s">
        <v>9</v>
      </c>
      <c r="D9195" s="3" t="s">
        <v>9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/>
      <c r="P9195" s="3"/>
      <c r="Q9195" s="3"/>
    </row>
    <row r="9196" spans="1:17" ht="15" x14ac:dyDescent="0.25">
      <c r="A9196" s="3">
        <f>9189</f>
        <v>9189</v>
      </c>
      <c r="B9196" s="3" t="s">
        <v>9198</v>
      </c>
      <c r="C9196" s="3" t="s">
        <v>9</v>
      </c>
      <c r="D9196" s="3" t="s">
        <v>9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/>
      <c r="P9196" s="3"/>
      <c r="Q9196" s="3"/>
    </row>
    <row r="9197" spans="1:17" ht="15" x14ac:dyDescent="0.25">
      <c r="A9197" s="3">
        <f>9190</f>
        <v>9190</v>
      </c>
      <c r="B9197" s="3" t="s">
        <v>9199</v>
      </c>
      <c r="C9197" s="3" t="s">
        <v>9</v>
      </c>
      <c r="D9197" s="3" t="s">
        <v>9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/>
      <c r="P9197" s="3"/>
      <c r="Q9197" s="3"/>
    </row>
    <row r="9198" spans="1:17" ht="15" x14ac:dyDescent="0.25">
      <c r="A9198" s="3">
        <f>9191</f>
        <v>9191</v>
      </c>
      <c r="B9198" s="3" t="s">
        <v>9200</v>
      </c>
      <c r="C9198" s="3" t="s">
        <v>9</v>
      </c>
      <c r="D9198" s="3" t="s">
        <v>9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/>
      <c r="P9198" s="3"/>
      <c r="Q9198" s="3"/>
    </row>
    <row r="9199" spans="1:17" ht="15" x14ac:dyDescent="0.25">
      <c r="A9199" s="3">
        <f>9192</f>
        <v>9192</v>
      </c>
      <c r="B9199" s="3" t="s">
        <v>9201</v>
      </c>
      <c r="C9199" s="3" t="s">
        <v>9</v>
      </c>
      <c r="D9199" s="3" t="s">
        <v>9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/>
      <c r="P9199" s="3"/>
      <c r="Q9199" s="3"/>
    </row>
    <row r="9200" spans="1:17" ht="15" x14ac:dyDescent="0.25">
      <c r="A9200" s="3">
        <f>9193</f>
        <v>9193</v>
      </c>
      <c r="B9200" s="3" t="s">
        <v>9202</v>
      </c>
      <c r="C9200" s="3" t="s">
        <v>9</v>
      </c>
      <c r="D9200" s="3" t="s">
        <v>9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/>
      <c r="P9200" s="3"/>
      <c r="Q9200" s="3"/>
    </row>
    <row r="9201" spans="1:17" ht="15" x14ac:dyDescent="0.25">
      <c r="A9201" s="3">
        <f>9194</f>
        <v>9194</v>
      </c>
      <c r="B9201" s="3" t="s">
        <v>9203</v>
      </c>
      <c r="C9201" s="3" t="s">
        <v>9</v>
      </c>
      <c r="D9201" s="3" t="s">
        <v>9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/>
      <c r="P9201" s="3"/>
      <c r="Q9201" s="3"/>
    </row>
    <row r="9202" spans="1:17" ht="15" x14ac:dyDescent="0.25">
      <c r="A9202" s="3">
        <f>9195</f>
        <v>9195</v>
      </c>
      <c r="B9202" s="3" t="s">
        <v>9204</v>
      </c>
      <c r="C9202" s="3" t="s">
        <v>9</v>
      </c>
      <c r="D9202" s="3" t="s">
        <v>9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/>
      <c r="P9202" s="3"/>
      <c r="Q9202" s="3"/>
    </row>
    <row r="9203" spans="1:17" ht="15" x14ac:dyDescent="0.25">
      <c r="A9203" s="3">
        <f>9196</f>
        <v>9196</v>
      </c>
      <c r="B9203" s="3" t="s">
        <v>9205</v>
      </c>
      <c r="C9203" s="3" t="s">
        <v>9</v>
      </c>
      <c r="D9203" s="3" t="s">
        <v>9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/>
      <c r="P9203" s="3"/>
      <c r="Q9203" s="3"/>
    </row>
    <row r="9204" spans="1:17" ht="15" x14ac:dyDescent="0.25">
      <c r="A9204" s="3">
        <f>9197</f>
        <v>9197</v>
      </c>
      <c r="B9204" s="3" t="s">
        <v>9206</v>
      </c>
      <c r="C9204" s="3" t="s">
        <v>9</v>
      </c>
      <c r="D9204" s="3" t="s">
        <v>9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/>
      <c r="P9204" s="3"/>
      <c r="Q9204" s="3"/>
    </row>
    <row r="9205" spans="1:17" ht="15" x14ac:dyDescent="0.25">
      <c r="A9205" s="3">
        <f>9198</f>
        <v>9198</v>
      </c>
      <c r="B9205" s="3" t="s">
        <v>9207</v>
      </c>
      <c r="C9205" s="3" t="s">
        <v>9</v>
      </c>
      <c r="D9205" s="3" t="s">
        <v>9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/>
      <c r="P9205" s="3"/>
      <c r="Q9205" s="3"/>
    </row>
    <row r="9206" spans="1:17" ht="15" x14ac:dyDescent="0.25">
      <c r="A9206" s="3">
        <f>9199</f>
        <v>9199</v>
      </c>
      <c r="B9206" s="3" t="s">
        <v>9208</v>
      </c>
      <c r="C9206" s="3" t="s">
        <v>9</v>
      </c>
      <c r="D9206" s="3" t="s">
        <v>9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/>
      <c r="P9206" s="3"/>
      <c r="Q9206" s="3"/>
    </row>
    <row r="9207" spans="1:17" ht="15" x14ac:dyDescent="0.25">
      <c r="A9207" s="3">
        <f>9200</f>
        <v>9200</v>
      </c>
      <c r="B9207" s="3" t="s">
        <v>9209</v>
      </c>
      <c r="C9207" s="3" t="s">
        <v>9</v>
      </c>
      <c r="D9207" s="3" t="s">
        <v>9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/>
      <c r="P9207" s="3"/>
      <c r="Q9207" s="3"/>
    </row>
    <row r="9208" spans="1:17" ht="15" x14ac:dyDescent="0.25">
      <c r="A9208" s="3">
        <f>9201</f>
        <v>9201</v>
      </c>
      <c r="B9208" s="3" t="s">
        <v>9210</v>
      </c>
      <c r="C9208" s="3" t="s">
        <v>9</v>
      </c>
      <c r="D9208" s="3" t="s">
        <v>9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/>
      <c r="P9208" s="3"/>
      <c r="Q9208" s="3"/>
    </row>
    <row r="9209" spans="1:17" ht="15" x14ac:dyDescent="0.25">
      <c r="A9209" s="3">
        <f>9202</f>
        <v>9202</v>
      </c>
      <c r="B9209" s="3" t="s">
        <v>9211</v>
      </c>
      <c r="C9209" s="3" t="s">
        <v>9</v>
      </c>
      <c r="D9209" s="3" t="s">
        <v>9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/>
      <c r="P9209" s="3"/>
      <c r="Q9209" s="3"/>
    </row>
    <row r="9210" spans="1:17" ht="15" x14ac:dyDescent="0.25">
      <c r="A9210" s="3">
        <f>9203</f>
        <v>9203</v>
      </c>
      <c r="B9210" s="3" t="s">
        <v>9212</v>
      </c>
      <c r="C9210" s="3" t="s">
        <v>9</v>
      </c>
      <c r="D9210" s="3" t="s">
        <v>9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/>
      <c r="P9210" s="3"/>
      <c r="Q9210" s="3"/>
    </row>
    <row r="9211" spans="1:17" ht="15" x14ac:dyDescent="0.25">
      <c r="A9211" s="3">
        <f>9204</f>
        <v>9204</v>
      </c>
      <c r="B9211" s="3" t="s">
        <v>9213</v>
      </c>
      <c r="C9211" s="3" t="s">
        <v>9</v>
      </c>
      <c r="D9211" s="3" t="s">
        <v>9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/>
      <c r="P9211" s="3"/>
      <c r="Q9211" s="3"/>
    </row>
    <row r="9212" spans="1:17" ht="15" x14ac:dyDescent="0.25">
      <c r="A9212" s="3">
        <f>9205</f>
        <v>9205</v>
      </c>
      <c r="B9212" s="3" t="s">
        <v>9214</v>
      </c>
      <c r="C9212" s="3" t="s">
        <v>9</v>
      </c>
      <c r="D9212" s="3" t="s">
        <v>9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/>
      <c r="P9212" s="3"/>
      <c r="Q9212" s="3"/>
    </row>
    <row r="9213" spans="1:17" ht="15" x14ac:dyDescent="0.25">
      <c r="A9213" s="3">
        <f>9206</f>
        <v>9206</v>
      </c>
      <c r="B9213" s="3" t="s">
        <v>9215</v>
      </c>
      <c r="C9213" s="3" t="s">
        <v>9</v>
      </c>
      <c r="D9213" s="3" t="s">
        <v>9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/>
      <c r="P9213" s="3"/>
      <c r="Q9213" s="3"/>
    </row>
    <row r="9214" spans="1:17" ht="15" x14ac:dyDescent="0.25">
      <c r="A9214" s="3">
        <f>9207</f>
        <v>9207</v>
      </c>
      <c r="B9214" s="3" t="s">
        <v>9216</v>
      </c>
      <c r="C9214" s="3" t="s">
        <v>9</v>
      </c>
      <c r="D9214" s="3" t="s">
        <v>9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/>
      <c r="P9214" s="3"/>
      <c r="Q9214" s="3"/>
    </row>
    <row r="9215" spans="1:17" ht="15" x14ac:dyDescent="0.25">
      <c r="A9215" s="3">
        <f>9208</f>
        <v>9208</v>
      </c>
      <c r="B9215" s="3" t="s">
        <v>9217</v>
      </c>
      <c r="C9215" s="3" t="s">
        <v>9</v>
      </c>
      <c r="D9215" s="3" t="s">
        <v>9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/>
      <c r="P9215" s="3"/>
      <c r="Q9215" s="3"/>
    </row>
    <row r="9216" spans="1:17" ht="15" x14ac:dyDescent="0.25">
      <c r="A9216" s="3">
        <f>9209</f>
        <v>9209</v>
      </c>
      <c r="B9216" s="3" t="s">
        <v>9218</v>
      </c>
      <c r="C9216" s="3" t="s">
        <v>9</v>
      </c>
      <c r="D9216" s="3" t="s">
        <v>9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/>
      <c r="P9216" s="3"/>
      <c r="Q9216" s="3"/>
    </row>
    <row r="9217" spans="1:17" ht="15" x14ac:dyDescent="0.25">
      <c r="A9217" s="3">
        <f>9210</f>
        <v>9210</v>
      </c>
      <c r="B9217" s="3" t="s">
        <v>9219</v>
      </c>
      <c r="C9217" s="3" t="s">
        <v>9</v>
      </c>
      <c r="D9217" s="3" t="s">
        <v>9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/>
      <c r="P9217" s="3"/>
      <c r="Q9217" s="3"/>
    </row>
    <row r="9218" spans="1:17" ht="15" x14ac:dyDescent="0.25">
      <c r="A9218" s="3">
        <f>9211</f>
        <v>9211</v>
      </c>
      <c r="B9218" s="3" t="s">
        <v>9220</v>
      </c>
      <c r="C9218" s="3" t="s">
        <v>9</v>
      </c>
      <c r="D9218" s="3" t="s">
        <v>9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/>
      <c r="P9218" s="3"/>
      <c r="Q9218" s="3"/>
    </row>
    <row r="9219" spans="1:17" ht="15" x14ac:dyDescent="0.25">
      <c r="A9219" s="3">
        <f>9212</f>
        <v>9212</v>
      </c>
      <c r="B9219" s="3" t="s">
        <v>9221</v>
      </c>
      <c r="C9219" s="3" t="s">
        <v>9</v>
      </c>
      <c r="D9219" s="3" t="s">
        <v>9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/>
      <c r="P9219" s="3"/>
      <c r="Q9219" s="3"/>
    </row>
    <row r="9220" spans="1:17" ht="15" x14ac:dyDescent="0.25">
      <c r="A9220" s="3">
        <f>9213</f>
        <v>9213</v>
      </c>
      <c r="B9220" s="3" t="s">
        <v>9222</v>
      </c>
      <c r="C9220" s="3" t="s">
        <v>9</v>
      </c>
      <c r="D9220" s="3" t="s">
        <v>9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/>
      <c r="P9220" s="3"/>
      <c r="Q9220" s="3"/>
    </row>
    <row r="9221" spans="1:17" ht="15" x14ac:dyDescent="0.25">
      <c r="A9221" s="3">
        <f>9214</f>
        <v>9214</v>
      </c>
      <c r="B9221" s="3" t="s">
        <v>9223</v>
      </c>
      <c r="C9221" s="3" t="s">
        <v>9</v>
      </c>
      <c r="D9221" s="3" t="s">
        <v>9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/>
      <c r="P9221" s="3"/>
      <c r="Q9221" s="3"/>
    </row>
    <row r="9222" spans="1:17" ht="15" x14ac:dyDescent="0.25">
      <c r="A9222" s="3">
        <f>9215</f>
        <v>9215</v>
      </c>
      <c r="B9222" s="3" t="s">
        <v>9224</v>
      </c>
      <c r="C9222" s="3" t="s">
        <v>9</v>
      </c>
      <c r="D9222" s="3" t="s">
        <v>9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/>
      <c r="P9222" s="3"/>
      <c r="Q9222" s="3"/>
    </row>
    <row r="9223" spans="1:17" ht="15" x14ac:dyDescent="0.25">
      <c r="A9223" s="3">
        <f>9216</f>
        <v>9216</v>
      </c>
      <c r="B9223" s="3" t="s">
        <v>9225</v>
      </c>
      <c r="C9223" s="3" t="s">
        <v>9</v>
      </c>
      <c r="D9223" s="3" t="s">
        <v>9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/>
      <c r="P9223" s="3"/>
      <c r="Q9223" s="3"/>
    </row>
    <row r="9224" spans="1:17" ht="15" x14ac:dyDescent="0.25">
      <c r="A9224" s="3">
        <f>9217</f>
        <v>9217</v>
      </c>
      <c r="B9224" s="3" t="s">
        <v>9226</v>
      </c>
      <c r="C9224" s="3" t="s">
        <v>9</v>
      </c>
      <c r="D9224" s="3" t="s">
        <v>9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/>
      <c r="P9224" s="3"/>
      <c r="Q9224" s="3"/>
    </row>
    <row r="9225" spans="1:17" ht="15" x14ac:dyDescent="0.25">
      <c r="A9225" s="3">
        <f>9218</f>
        <v>9218</v>
      </c>
      <c r="B9225" s="3" t="s">
        <v>9227</v>
      </c>
      <c r="C9225" s="3" t="s">
        <v>9</v>
      </c>
      <c r="D9225" s="3" t="s">
        <v>9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/>
      <c r="P9225" s="3"/>
      <c r="Q9225" s="3"/>
    </row>
    <row r="9226" spans="1:17" ht="15" x14ac:dyDescent="0.25">
      <c r="A9226" s="3">
        <f>9219</f>
        <v>9219</v>
      </c>
      <c r="B9226" s="3" t="s">
        <v>9228</v>
      </c>
      <c r="C9226" s="3" t="s">
        <v>9</v>
      </c>
      <c r="D9226" s="3" t="s">
        <v>9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/>
      <c r="P9226" s="3"/>
      <c r="Q9226" s="3"/>
    </row>
    <row r="9227" spans="1:17" ht="15" x14ac:dyDescent="0.25">
      <c r="A9227" s="3">
        <f>9220</f>
        <v>9220</v>
      </c>
      <c r="B9227" s="3" t="s">
        <v>9229</v>
      </c>
      <c r="C9227" s="3" t="s">
        <v>9</v>
      </c>
      <c r="D9227" s="3" t="s">
        <v>9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/>
      <c r="P9227" s="3"/>
      <c r="Q9227" s="3"/>
    </row>
    <row r="9228" spans="1:17" ht="15" x14ac:dyDescent="0.25">
      <c r="A9228" s="3">
        <f>9221</f>
        <v>9221</v>
      </c>
      <c r="B9228" s="3" t="s">
        <v>9230</v>
      </c>
      <c r="C9228" s="3" t="s">
        <v>9</v>
      </c>
      <c r="D9228" s="3" t="s">
        <v>9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/>
      <c r="P9228" s="3"/>
      <c r="Q9228" s="3"/>
    </row>
    <row r="9229" spans="1:17" ht="15" x14ac:dyDescent="0.25">
      <c r="A9229" s="3">
        <f>9222</f>
        <v>9222</v>
      </c>
      <c r="B9229" s="3" t="s">
        <v>9231</v>
      </c>
      <c r="C9229" s="3" t="s">
        <v>9</v>
      </c>
      <c r="D9229" s="3" t="s">
        <v>9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/>
      <c r="P9229" s="3"/>
      <c r="Q9229" s="3"/>
    </row>
    <row r="9230" spans="1:17" ht="15" x14ac:dyDescent="0.25">
      <c r="A9230" s="3">
        <f>9223</f>
        <v>9223</v>
      </c>
      <c r="B9230" s="3" t="s">
        <v>9232</v>
      </c>
      <c r="C9230" s="3" t="s">
        <v>9</v>
      </c>
      <c r="D9230" s="3" t="s">
        <v>9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/>
      <c r="P9230" s="3"/>
      <c r="Q9230" s="3"/>
    </row>
    <row r="9231" spans="1:17" ht="15" x14ac:dyDescent="0.25">
      <c r="A9231" s="3">
        <f>9224</f>
        <v>9224</v>
      </c>
      <c r="B9231" s="3" t="s">
        <v>9233</v>
      </c>
      <c r="C9231" s="3" t="s">
        <v>9</v>
      </c>
      <c r="D9231" s="3" t="s">
        <v>9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/>
      <c r="P9231" s="3"/>
      <c r="Q9231" s="3"/>
    </row>
    <row r="9232" spans="1:17" ht="15" x14ac:dyDescent="0.25">
      <c r="A9232" s="3">
        <f>9225</f>
        <v>9225</v>
      </c>
      <c r="B9232" s="3" t="s">
        <v>9234</v>
      </c>
      <c r="C9232" s="3" t="s">
        <v>9</v>
      </c>
      <c r="D9232" s="3" t="s">
        <v>9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/>
      <c r="P9232" s="3"/>
      <c r="Q9232" s="3"/>
    </row>
    <row r="9233" spans="1:17" ht="15" x14ac:dyDescent="0.25">
      <c r="A9233" s="3">
        <f>9226</f>
        <v>9226</v>
      </c>
      <c r="B9233" s="3" t="s">
        <v>9235</v>
      </c>
      <c r="C9233" s="3" t="s">
        <v>9</v>
      </c>
      <c r="D9233" s="3" t="s">
        <v>9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/>
      <c r="P9233" s="3"/>
      <c r="Q9233" s="3"/>
    </row>
    <row r="9234" spans="1:17" ht="15" x14ac:dyDescent="0.25">
      <c r="A9234" s="3">
        <f>9227</f>
        <v>9227</v>
      </c>
      <c r="B9234" s="3" t="s">
        <v>9236</v>
      </c>
      <c r="C9234" s="3" t="s">
        <v>9</v>
      </c>
      <c r="D9234" s="3" t="s">
        <v>9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/>
      <c r="P9234" s="3"/>
      <c r="Q9234" s="3"/>
    </row>
    <row r="9235" spans="1:17" ht="15" x14ac:dyDescent="0.25">
      <c r="A9235" s="3">
        <f>9228</f>
        <v>9228</v>
      </c>
      <c r="B9235" s="3" t="s">
        <v>9237</v>
      </c>
      <c r="C9235" s="3" t="s">
        <v>9</v>
      </c>
      <c r="D9235" s="3" t="s">
        <v>9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/>
      <c r="P9235" s="3"/>
      <c r="Q9235" s="3"/>
    </row>
    <row r="9236" spans="1:17" ht="15" x14ac:dyDescent="0.25">
      <c r="A9236" s="3">
        <f>9229</f>
        <v>9229</v>
      </c>
      <c r="B9236" s="3" t="s">
        <v>9238</v>
      </c>
      <c r="C9236" s="3" t="s">
        <v>9</v>
      </c>
      <c r="D9236" s="3" t="s">
        <v>9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/>
      <c r="P9236" s="3"/>
      <c r="Q9236" s="3"/>
    </row>
    <row r="9237" spans="1:17" ht="15" x14ac:dyDescent="0.25">
      <c r="A9237" s="3">
        <f>9230</f>
        <v>9230</v>
      </c>
      <c r="B9237" s="3" t="s">
        <v>9239</v>
      </c>
      <c r="C9237" s="3" t="s">
        <v>9</v>
      </c>
      <c r="D9237" s="3" t="s">
        <v>9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/>
      <c r="P9237" s="3"/>
      <c r="Q9237" s="3"/>
    </row>
    <row r="9238" spans="1:17" ht="15" x14ac:dyDescent="0.25">
      <c r="A9238" s="3">
        <f>9231</f>
        <v>9231</v>
      </c>
      <c r="B9238" s="3" t="s">
        <v>9240</v>
      </c>
      <c r="C9238" s="3" t="s">
        <v>9</v>
      </c>
      <c r="D9238" s="3" t="s">
        <v>9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/>
      <c r="P9238" s="3"/>
      <c r="Q9238" s="3"/>
    </row>
    <row r="9239" spans="1:17" ht="15" x14ac:dyDescent="0.25">
      <c r="A9239" s="3">
        <f>9232</f>
        <v>9232</v>
      </c>
      <c r="B9239" s="3" t="s">
        <v>9241</v>
      </c>
      <c r="C9239" s="3" t="s">
        <v>9</v>
      </c>
      <c r="D9239" s="3" t="s">
        <v>9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/>
      <c r="P9239" s="3"/>
      <c r="Q9239" s="3"/>
    </row>
    <row r="9240" spans="1:17" ht="15" x14ac:dyDescent="0.25">
      <c r="A9240" s="3">
        <f>9233</f>
        <v>9233</v>
      </c>
      <c r="B9240" s="3" t="s">
        <v>9242</v>
      </c>
      <c r="C9240" s="3" t="s">
        <v>9</v>
      </c>
      <c r="D9240" s="3" t="s">
        <v>9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/>
      <c r="P9240" s="3"/>
      <c r="Q9240" s="3"/>
    </row>
    <row r="9241" spans="1:17" ht="15" x14ac:dyDescent="0.25">
      <c r="A9241" s="3">
        <f>9234</f>
        <v>9234</v>
      </c>
      <c r="B9241" s="3" t="s">
        <v>9243</v>
      </c>
      <c r="C9241" s="3" t="s">
        <v>9</v>
      </c>
      <c r="D9241" s="3" t="s">
        <v>9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/>
      <c r="P9241" s="3"/>
      <c r="Q9241" s="3"/>
    </row>
    <row r="9242" spans="1:17" ht="15" x14ac:dyDescent="0.25">
      <c r="A9242" s="3">
        <f>9235</f>
        <v>9235</v>
      </c>
      <c r="B9242" s="3" t="s">
        <v>9244</v>
      </c>
      <c r="C9242" s="3" t="s">
        <v>9</v>
      </c>
      <c r="D9242" s="3" t="s">
        <v>9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/>
      <c r="P9242" s="3"/>
      <c r="Q9242" s="3"/>
    </row>
    <row r="9243" spans="1:17" ht="15" x14ac:dyDescent="0.25">
      <c r="A9243" s="3">
        <f>9236</f>
        <v>9236</v>
      </c>
      <c r="B9243" s="3" t="s">
        <v>9245</v>
      </c>
      <c r="C9243" s="3" t="s">
        <v>9</v>
      </c>
      <c r="D9243" s="3" t="s">
        <v>9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/>
      <c r="P9243" s="3"/>
      <c r="Q9243" s="3"/>
    </row>
    <row r="9244" spans="1:17" ht="15" x14ac:dyDescent="0.25">
      <c r="A9244" s="3">
        <f>9237</f>
        <v>9237</v>
      </c>
      <c r="B9244" s="3" t="s">
        <v>9246</v>
      </c>
      <c r="C9244" s="3" t="s">
        <v>9</v>
      </c>
      <c r="D9244" s="3" t="s">
        <v>9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/>
      <c r="P9244" s="3"/>
      <c r="Q9244" s="3"/>
    </row>
    <row r="9245" spans="1:17" ht="15" x14ac:dyDescent="0.25">
      <c r="A9245" s="3">
        <f>9238</f>
        <v>9238</v>
      </c>
      <c r="B9245" s="3" t="s">
        <v>9247</v>
      </c>
      <c r="C9245" s="3" t="s">
        <v>9</v>
      </c>
      <c r="D9245" s="3" t="s">
        <v>9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/>
      <c r="P9245" s="3"/>
      <c r="Q9245" s="3"/>
    </row>
    <row r="9246" spans="1:17" ht="15" x14ac:dyDescent="0.25">
      <c r="A9246" s="3">
        <f>9239</f>
        <v>9239</v>
      </c>
      <c r="B9246" s="3" t="s">
        <v>9248</v>
      </c>
      <c r="C9246" s="3" t="s">
        <v>9</v>
      </c>
      <c r="D9246" s="3" t="s">
        <v>9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/>
      <c r="P9246" s="3"/>
      <c r="Q9246" s="3"/>
    </row>
    <row r="9247" spans="1:17" ht="15" x14ac:dyDescent="0.25">
      <c r="A9247" s="3">
        <f>9240</f>
        <v>9240</v>
      </c>
      <c r="B9247" s="3" t="s">
        <v>9249</v>
      </c>
      <c r="C9247" s="3" t="s">
        <v>9</v>
      </c>
      <c r="D9247" s="3" t="s">
        <v>9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/>
      <c r="P9247" s="3"/>
      <c r="Q9247" s="3"/>
    </row>
    <row r="9248" spans="1:17" ht="15" x14ac:dyDescent="0.25">
      <c r="A9248" s="3">
        <f>9241</f>
        <v>9241</v>
      </c>
      <c r="B9248" s="3" t="s">
        <v>9250</v>
      </c>
      <c r="C9248" s="3" t="s">
        <v>9</v>
      </c>
      <c r="D9248" s="3" t="s">
        <v>9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/>
      <c r="P9248" s="3"/>
      <c r="Q9248" s="3"/>
    </row>
    <row r="9249" spans="1:17" ht="15" x14ac:dyDescent="0.25">
      <c r="A9249" s="3">
        <f>9242</f>
        <v>9242</v>
      </c>
      <c r="B9249" s="3" t="s">
        <v>9251</v>
      </c>
      <c r="C9249" s="3" t="s">
        <v>9</v>
      </c>
      <c r="D9249" s="3" t="s">
        <v>9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/>
      <c r="P9249" s="3"/>
      <c r="Q9249" s="3"/>
    </row>
    <row r="9250" spans="1:17" ht="15" x14ac:dyDescent="0.25">
      <c r="A9250" s="3">
        <f>9243</f>
        <v>9243</v>
      </c>
      <c r="B9250" s="3" t="s">
        <v>9252</v>
      </c>
      <c r="C9250" s="3" t="s">
        <v>9</v>
      </c>
      <c r="D9250" s="3" t="s">
        <v>9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/>
      <c r="P9250" s="3"/>
      <c r="Q9250" s="3"/>
    </row>
    <row r="9251" spans="1:17" ht="15" x14ac:dyDescent="0.25">
      <c r="A9251" s="3">
        <f>9244</f>
        <v>9244</v>
      </c>
      <c r="B9251" s="3" t="s">
        <v>9253</v>
      </c>
      <c r="C9251" s="3" t="s">
        <v>9</v>
      </c>
      <c r="D9251" s="3" t="s">
        <v>9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/>
      <c r="P9251" s="3"/>
      <c r="Q9251" s="3"/>
    </row>
    <row r="9252" spans="1:17" ht="15" x14ac:dyDescent="0.25">
      <c r="A9252" s="3">
        <f>9245</f>
        <v>9245</v>
      </c>
      <c r="B9252" s="3" t="s">
        <v>9254</v>
      </c>
      <c r="C9252" s="3" t="s">
        <v>9</v>
      </c>
      <c r="D9252" s="3" t="s">
        <v>9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/>
      <c r="P9252" s="3"/>
      <c r="Q9252" s="3"/>
    </row>
    <row r="9253" spans="1:17" ht="15" x14ac:dyDescent="0.25">
      <c r="A9253" s="3">
        <f>9246</f>
        <v>9246</v>
      </c>
      <c r="B9253" s="3" t="s">
        <v>9255</v>
      </c>
      <c r="C9253" s="3" t="s">
        <v>9</v>
      </c>
      <c r="D9253" s="3" t="s">
        <v>9</v>
      </c>
      <c r="E9253" s="3">
        <v>0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/>
      <c r="P9253" s="3"/>
      <c r="Q9253" s="3"/>
    </row>
    <row r="9254" spans="1:17" ht="15" x14ac:dyDescent="0.25">
      <c r="A9254" s="3">
        <f>9247</f>
        <v>9247</v>
      </c>
      <c r="B9254" s="3" t="s">
        <v>9256</v>
      </c>
      <c r="C9254" s="3" t="s">
        <v>9</v>
      </c>
      <c r="D9254" s="3" t="s">
        <v>9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/>
      <c r="P9254" s="3"/>
      <c r="Q9254" s="3"/>
    </row>
    <row r="9255" spans="1:17" ht="15" x14ac:dyDescent="0.25">
      <c r="A9255" s="3">
        <f>9248</f>
        <v>9248</v>
      </c>
      <c r="B9255" s="3" t="s">
        <v>9257</v>
      </c>
      <c r="C9255" s="3" t="s">
        <v>9</v>
      </c>
      <c r="D9255" s="3" t="s">
        <v>9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/>
      <c r="P9255" s="3"/>
      <c r="Q9255" s="3"/>
    </row>
    <row r="9256" spans="1:17" ht="15" x14ac:dyDescent="0.25">
      <c r="A9256" s="3">
        <f>9249</f>
        <v>9249</v>
      </c>
      <c r="B9256" s="3" t="s">
        <v>9258</v>
      </c>
      <c r="C9256" s="3" t="s">
        <v>9</v>
      </c>
      <c r="D9256" s="3" t="s">
        <v>9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/>
      <c r="P9256" s="3"/>
      <c r="Q9256" s="3"/>
    </row>
    <row r="9257" spans="1:17" ht="15" x14ac:dyDescent="0.25">
      <c r="A9257" s="3">
        <f>9250</f>
        <v>9250</v>
      </c>
      <c r="B9257" s="3" t="s">
        <v>9259</v>
      </c>
      <c r="C9257" s="3" t="s">
        <v>9</v>
      </c>
      <c r="D9257" s="3" t="s">
        <v>9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/>
      <c r="P9257" s="3"/>
      <c r="Q9257" s="3"/>
    </row>
    <row r="9258" spans="1:17" ht="15" x14ac:dyDescent="0.25">
      <c r="A9258" s="3">
        <f>9251</f>
        <v>9251</v>
      </c>
      <c r="B9258" s="3" t="s">
        <v>9260</v>
      </c>
      <c r="C9258" s="3" t="s">
        <v>9</v>
      </c>
      <c r="D9258" s="3" t="s">
        <v>9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/>
      <c r="P9258" s="3"/>
      <c r="Q9258" s="3"/>
    </row>
    <row r="9259" spans="1:17" ht="15" x14ac:dyDescent="0.25">
      <c r="A9259" s="3">
        <f>9252</f>
        <v>9252</v>
      </c>
      <c r="B9259" s="3" t="s">
        <v>9261</v>
      </c>
      <c r="C9259" s="3" t="s">
        <v>9</v>
      </c>
      <c r="D9259" s="3" t="s">
        <v>9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/>
      <c r="P9259" s="3"/>
      <c r="Q9259" s="3"/>
    </row>
    <row r="9260" spans="1:17" ht="15" x14ac:dyDescent="0.25">
      <c r="A9260" s="3">
        <f>9253</f>
        <v>9253</v>
      </c>
      <c r="B9260" s="3" t="s">
        <v>9262</v>
      </c>
      <c r="C9260" s="3" t="s">
        <v>9</v>
      </c>
      <c r="D9260" s="3" t="s">
        <v>9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/>
      <c r="P9260" s="3"/>
      <c r="Q9260" s="3"/>
    </row>
    <row r="9261" spans="1:17" ht="15" x14ac:dyDescent="0.25">
      <c r="A9261" s="3">
        <f>9254</f>
        <v>9254</v>
      </c>
      <c r="B9261" s="3" t="s">
        <v>9263</v>
      </c>
      <c r="C9261" s="3" t="s">
        <v>9</v>
      </c>
      <c r="D9261" s="3" t="s">
        <v>9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/>
      <c r="P9261" s="3"/>
      <c r="Q9261" s="3"/>
    </row>
    <row r="9262" spans="1:17" ht="15" x14ac:dyDescent="0.25">
      <c r="A9262" s="3">
        <f>9255</f>
        <v>9255</v>
      </c>
      <c r="B9262" s="3" t="s">
        <v>9264</v>
      </c>
      <c r="C9262" s="3" t="s">
        <v>9</v>
      </c>
      <c r="D9262" s="3" t="s">
        <v>9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/>
      <c r="P9262" s="3"/>
      <c r="Q9262" s="3"/>
    </row>
    <row r="9263" spans="1:17" ht="15" x14ac:dyDescent="0.25">
      <c r="A9263" s="3">
        <f>9256</f>
        <v>9256</v>
      </c>
      <c r="B9263" s="3" t="s">
        <v>9265</v>
      </c>
      <c r="C9263" s="3" t="s">
        <v>9</v>
      </c>
      <c r="D9263" s="3" t="s">
        <v>9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/>
      <c r="P9263" s="3"/>
      <c r="Q9263" s="3"/>
    </row>
    <row r="9264" spans="1:17" ht="15" x14ac:dyDescent="0.25">
      <c r="A9264" s="3">
        <f>9257</f>
        <v>9257</v>
      </c>
      <c r="B9264" s="3" t="s">
        <v>9266</v>
      </c>
      <c r="C9264" s="3" t="s">
        <v>9</v>
      </c>
      <c r="D9264" s="3" t="s">
        <v>9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/>
      <c r="P9264" s="3"/>
      <c r="Q9264" s="3"/>
    </row>
    <row r="9265" spans="1:17" ht="15" x14ac:dyDescent="0.25">
      <c r="A9265" s="3">
        <f>9258</f>
        <v>9258</v>
      </c>
      <c r="B9265" s="3" t="s">
        <v>9267</v>
      </c>
      <c r="C9265" s="3" t="s">
        <v>9</v>
      </c>
      <c r="D9265" s="3" t="s">
        <v>9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/>
      <c r="P9265" s="3"/>
      <c r="Q9265" s="3"/>
    </row>
    <row r="9266" spans="1:17" ht="15" x14ac:dyDescent="0.25">
      <c r="A9266" s="3">
        <f>9259</f>
        <v>9259</v>
      </c>
      <c r="B9266" s="3" t="s">
        <v>9268</v>
      </c>
      <c r="C9266" s="3" t="s">
        <v>9</v>
      </c>
      <c r="D9266" s="3" t="s">
        <v>9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/>
      <c r="P9266" s="3"/>
      <c r="Q9266" s="3"/>
    </row>
    <row r="9267" spans="1:17" ht="15" x14ac:dyDescent="0.25">
      <c r="A9267" s="3">
        <f>9260</f>
        <v>9260</v>
      </c>
      <c r="B9267" s="3" t="s">
        <v>9269</v>
      </c>
      <c r="C9267" s="3" t="s">
        <v>9</v>
      </c>
      <c r="D9267" s="3" t="s">
        <v>9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/>
      <c r="P9267" s="3"/>
      <c r="Q9267" s="3"/>
    </row>
    <row r="9268" spans="1:17" ht="15" x14ac:dyDescent="0.25">
      <c r="A9268" s="3">
        <f>9261</f>
        <v>9261</v>
      </c>
      <c r="B9268" s="3" t="s">
        <v>9270</v>
      </c>
      <c r="C9268" s="3" t="s">
        <v>9</v>
      </c>
      <c r="D9268" s="3" t="s">
        <v>9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/>
      <c r="P9268" s="3"/>
      <c r="Q9268" s="3"/>
    </row>
    <row r="9269" spans="1:17" ht="15" x14ac:dyDescent="0.25">
      <c r="A9269" s="3">
        <f>9262</f>
        <v>9262</v>
      </c>
      <c r="B9269" s="3" t="s">
        <v>9271</v>
      </c>
      <c r="C9269" s="3" t="s">
        <v>9</v>
      </c>
      <c r="D9269" s="3" t="s">
        <v>9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/>
      <c r="P9269" s="3"/>
      <c r="Q9269" s="3"/>
    </row>
    <row r="9270" spans="1:17" ht="15" x14ac:dyDescent="0.25">
      <c r="A9270" s="3">
        <f>9263</f>
        <v>9263</v>
      </c>
      <c r="B9270" s="3" t="s">
        <v>9272</v>
      </c>
      <c r="C9270" s="3" t="s">
        <v>9</v>
      </c>
      <c r="D9270" s="3" t="s">
        <v>9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/>
      <c r="P9270" s="3"/>
      <c r="Q9270" s="3"/>
    </row>
    <row r="9271" spans="1:17" ht="15" x14ac:dyDescent="0.25">
      <c r="A9271" s="3">
        <f>9264</f>
        <v>9264</v>
      </c>
      <c r="B9271" s="3" t="s">
        <v>9273</v>
      </c>
      <c r="C9271" s="3" t="s">
        <v>9</v>
      </c>
      <c r="D9271" s="3" t="s">
        <v>9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/>
      <c r="P9271" s="3"/>
      <c r="Q9271" s="3"/>
    </row>
    <row r="9272" spans="1:17" ht="15" x14ac:dyDescent="0.25">
      <c r="A9272" s="3">
        <f>9265</f>
        <v>9265</v>
      </c>
      <c r="B9272" s="3" t="s">
        <v>9274</v>
      </c>
      <c r="C9272" s="3" t="s">
        <v>9</v>
      </c>
      <c r="D9272" s="3" t="s">
        <v>9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/>
      <c r="P9272" s="3"/>
      <c r="Q9272" s="3"/>
    </row>
    <row r="9273" spans="1:17" ht="15" x14ac:dyDescent="0.25">
      <c r="A9273" s="3">
        <f>9266</f>
        <v>9266</v>
      </c>
      <c r="B9273" s="3" t="s">
        <v>9275</v>
      </c>
      <c r="C9273" s="3" t="s">
        <v>9</v>
      </c>
      <c r="D9273" s="3" t="s">
        <v>9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/>
      <c r="P9273" s="3"/>
      <c r="Q9273" s="3"/>
    </row>
    <row r="9274" spans="1:17" ht="15" x14ac:dyDescent="0.25">
      <c r="A9274" s="3">
        <f>9267</f>
        <v>9267</v>
      </c>
      <c r="B9274" s="3" t="s">
        <v>9276</v>
      </c>
      <c r="C9274" s="3" t="s">
        <v>9</v>
      </c>
      <c r="D9274" s="3" t="s">
        <v>9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/>
      <c r="P9274" s="3"/>
      <c r="Q9274" s="3"/>
    </row>
    <row r="9275" spans="1:17" ht="15" x14ac:dyDescent="0.25">
      <c r="A9275" s="3">
        <f>9268</f>
        <v>9268</v>
      </c>
      <c r="B9275" s="3" t="s">
        <v>9277</v>
      </c>
      <c r="C9275" s="3" t="s">
        <v>9</v>
      </c>
      <c r="D9275" s="3" t="s">
        <v>9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/>
      <c r="P9275" s="3"/>
      <c r="Q9275" s="3"/>
    </row>
    <row r="9276" spans="1:17" ht="15" x14ac:dyDescent="0.25">
      <c r="A9276" s="3">
        <f>9269</f>
        <v>9269</v>
      </c>
      <c r="B9276" s="3" t="s">
        <v>9278</v>
      </c>
      <c r="C9276" s="3" t="s">
        <v>9</v>
      </c>
      <c r="D9276" s="3" t="s">
        <v>9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/>
      <c r="P9276" s="3"/>
      <c r="Q9276" s="3"/>
    </row>
    <row r="9277" spans="1:17" ht="15" x14ac:dyDescent="0.25">
      <c r="A9277" s="3">
        <f>9270</f>
        <v>9270</v>
      </c>
      <c r="B9277" s="3" t="s">
        <v>9279</v>
      </c>
      <c r="C9277" s="3" t="s">
        <v>9</v>
      </c>
      <c r="D9277" s="3" t="s">
        <v>9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/>
      <c r="P9277" s="3"/>
      <c r="Q9277" s="3"/>
    </row>
    <row r="9278" spans="1:17" ht="15" x14ac:dyDescent="0.25">
      <c r="A9278" s="3">
        <f>9271</f>
        <v>9271</v>
      </c>
      <c r="B9278" s="3" t="s">
        <v>9280</v>
      </c>
      <c r="C9278" s="3" t="s">
        <v>9</v>
      </c>
      <c r="D9278" s="3" t="s">
        <v>9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/>
      <c r="P9278" s="3"/>
      <c r="Q9278" s="3"/>
    </row>
    <row r="9279" spans="1:17" ht="15" x14ac:dyDescent="0.25">
      <c r="A9279" s="3">
        <f>9272</f>
        <v>9272</v>
      </c>
      <c r="B9279" s="3" t="s">
        <v>9281</v>
      </c>
      <c r="C9279" s="3" t="s">
        <v>9</v>
      </c>
      <c r="D9279" s="3" t="s">
        <v>9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/>
      <c r="P9279" s="3"/>
      <c r="Q9279" s="3"/>
    </row>
    <row r="9280" spans="1:17" ht="15" x14ac:dyDescent="0.25">
      <c r="A9280" s="3">
        <f>9273</f>
        <v>9273</v>
      </c>
      <c r="B9280" s="3" t="s">
        <v>9282</v>
      </c>
      <c r="C9280" s="3" t="s">
        <v>9</v>
      </c>
      <c r="D9280" s="3" t="s">
        <v>9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/>
      <c r="P9280" s="3"/>
      <c r="Q9280" s="3"/>
    </row>
    <row r="9281" spans="1:17" ht="15" x14ac:dyDescent="0.25">
      <c r="A9281" s="3">
        <f>9274</f>
        <v>9274</v>
      </c>
      <c r="B9281" s="3" t="s">
        <v>9283</v>
      </c>
      <c r="C9281" s="3" t="s">
        <v>9</v>
      </c>
      <c r="D9281" s="3" t="s">
        <v>9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/>
      <c r="P9281" s="3"/>
      <c r="Q9281" s="3"/>
    </row>
    <row r="9282" spans="1:17" ht="15" x14ac:dyDescent="0.25">
      <c r="A9282" s="3">
        <f>9275</f>
        <v>9275</v>
      </c>
      <c r="B9282" s="3" t="s">
        <v>9284</v>
      </c>
      <c r="C9282" s="3" t="s">
        <v>9</v>
      </c>
      <c r="D9282" s="3" t="s">
        <v>9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/>
      <c r="P9282" s="3"/>
      <c r="Q9282" s="3"/>
    </row>
    <row r="9283" spans="1:17" ht="15" x14ac:dyDescent="0.25">
      <c r="A9283" s="3">
        <f>9276</f>
        <v>9276</v>
      </c>
      <c r="B9283" s="3" t="s">
        <v>9285</v>
      </c>
      <c r="C9283" s="3" t="s">
        <v>9</v>
      </c>
      <c r="D9283" s="3" t="s">
        <v>9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/>
      <c r="P9283" s="3"/>
      <c r="Q9283" s="3"/>
    </row>
    <row r="9284" spans="1:17" ht="15" x14ac:dyDescent="0.25">
      <c r="A9284" s="3">
        <f>9277</f>
        <v>9277</v>
      </c>
      <c r="B9284" s="3" t="s">
        <v>9286</v>
      </c>
      <c r="C9284" s="3" t="s">
        <v>9</v>
      </c>
      <c r="D9284" s="3" t="s">
        <v>9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/>
      <c r="P9284" s="3"/>
      <c r="Q9284" s="3"/>
    </row>
    <row r="9285" spans="1:17" ht="15" x14ac:dyDescent="0.25">
      <c r="A9285" s="3">
        <f>9278</f>
        <v>9278</v>
      </c>
      <c r="B9285" s="3" t="s">
        <v>9287</v>
      </c>
      <c r="C9285" s="3" t="s">
        <v>9</v>
      </c>
      <c r="D9285" s="3" t="s">
        <v>9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/>
      <c r="P9285" s="3"/>
      <c r="Q9285" s="3"/>
    </row>
    <row r="9286" spans="1:17" ht="15" x14ac:dyDescent="0.25">
      <c r="A9286" s="3">
        <f>9279</f>
        <v>9279</v>
      </c>
      <c r="B9286" s="3" t="s">
        <v>9288</v>
      </c>
      <c r="C9286" s="3" t="s">
        <v>9</v>
      </c>
      <c r="D9286" s="3" t="s">
        <v>9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/>
      <c r="P9286" s="3"/>
      <c r="Q9286" s="3"/>
    </row>
    <row r="9287" spans="1:17" ht="15" x14ac:dyDescent="0.25">
      <c r="A9287" s="3">
        <f>9280</f>
        <v>9280</v>
      </c>
      <c r="B9287" s="3" t="s">
        <v>9289</v>
      </c>
      <c r="C9287" s="3" t="s">
        <v>9</v>
      </c>
      <c r="D9287" s="3" t="s">
        <v>9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/>
      <c r="P9287" s="3"/>
      <c r="Q9287" s="3"/>
    </row>
    <row r="9288" spans="1:17" ht="15" x14ac:dyDescent="0.25">
      <c r="A9288" s="3">
        <f>9281</f>
        <v>9281</v>
      </c>
      <c r="B9288" s="3" t="s">
        <v>9290</v>
      </c>
      <c r="C9288" s="3" t="s">
        <v>9</v>
      </c>
      <c r="D9288" s="3" t="s">
        <v>9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/>
      <c r="P9288" s="3"/>
      <c r="Q9288" s="3"/>
    </row>
    <row r="9289" spans="1:17" ht="15" x14ac:dyDescent="0.25">
      <c r="A9289" s="3">
        <f>9282</f>
        <v>9282</v>
      </c>
      <c r="B9289" s="3" t="s">
        <v>9291</v>
      </c>
      <c r="C9289" s="3" t="s">
        <v>9</v>
      </c>
      <c r="D9289" s="3" t="s">
        <v>9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/>
      <c r="P9289" s="3"/>
      <c r="Q9289" s="3"/>
    </row>
    <row r="9290" spans="1:17" ht="15" x14ac:dyDescent="0.25">
      <c r="A9290" s="3">
        <f>9283</f>
        <v>9283</v>
      </c>
      <c r="B9290" s="3" t="s">
        <v>9292</v>
      </c>
      <c r="C9290" s="3" t="s">
        <v>9</v>
      </c>
      <c r="D9290" s="3" t="s">
        <v>9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/>
      <c r="P9290" s="3"/>
      <c r="Q9290" s="3"/>
    </row>
    <row r="9291" spans="1:17" ht="15" x14ac:dyDescent="0.25">
      <c r="A9291" s="3">
        <f>9284</f>
        <v>9284</v>
      </c>
      <c r="B9291" s="3" t="s">
        <v>9293</v>
      </c>
      <c r="C9291" s="3" t="s">
        <v>9</v>
      </c>
      <c r="D9291" s="3" t="s">
        <v>9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/>
      <c r="P9291" s="3"/>
      <c r="Q9291" s="3"/>
    </row>
    <row r="9292" spans="1:17" ht="15" x14ac:dyDescent="0.25">
      <c r="A9292" s="3">
        <f>9285</f>
        <v>9285</v>
      </c>
      <c r="B9292" s="3" t="s">
        <v>9294</v>
      </c>
      <c r="C9292" s="3" t="s">
        <v>9</v>
      </c>
      <c r="D9292" s="3" t="s">
        <v>9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/>
      <c r="P9292" s="3"/>
      <c r="Q9292" s="3"/>
    </row>
    <row r="9293" spans="1:17" ht="15" x14ac:dyDescent="0.25">
      <c r="A9293" s="3">
        <f>9286</f>
        <v>9286</v>
      </c>
      <c r="B9293" s="3" t="s">
        <v>9295</v>
      </c>
      <c r="C9293" s="3" t="s">
        <v>9</v>
      </c>
      <c r="D9293" s="3" t="s">
        <v>9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/>
      <c r="P9293" s="3"/>
      <c r="Q9293" s="3"/>
    </row>
    <row r="9294" spans="1:17" ht="15" x14ac:dyDescent="0.25">
      <c r="A9294" s="3">
        <f>9287</f>
        <v>9287</v>
      </c>
      <c r="B9294" s="3" t="s">
        <v>9296</v>
      </c>
      <c r="C9294" s="3" t="s">
        <v>9</v>
      </c>
      <c r="D9294" s="3" t="s">
        <v>9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/>
      <c r="P9294" s="3"/>
      <c r="Q9294" s="3"/>
    </row>
    <row r="9295" spans="1:17" ht="15" x14ac:dyDescent="0.25">
      <c r="A9295" s="3">
        <f>9288</f>
        <v>9288</v>
      </c>
      <c r="B9295" s="3" t="s">
        <v>9297</v>
      </c>
      <c r="C9295" s="3" t="s">
        <v>9</v>
      </c>
      <c r="D9295" s="3" t="s">
        <v>9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/>
      <c r="P9295" s="3"/>
      <c r="Q9295" s="3"/>
    </row>
    <row r="9296" spans="1:17" ht="15" x14ac:dyDescent="0.25">
      <c r="A9296" s="3">
        <f>9289</f>
        <v>9289</v>
      </c>
      <c r="B9296" s="3" t="s">
        <v>9298</v>
      </c>
      <c r="C9296" s="3" t="s">
        <v>9</v>
      </c>
      <c r="D9296" s="3" t="s">
        <v>9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/>
      <c r="P9296" s="3"/>
      <c r="Q9296" s="3"/>
    </row>
    <row r="9297" spans="1:17" ht="15" x14ac:dyDescent="0.25">
      <c r="A9297" s="3">
        <f>9290</f>
        <v>9290</v>
      </c>
      <c r="B9297" s="3" t="s">
        <v>9299</v>
      </c>
      <c r="C9297" s="3" t="s">
        <v>9</v>
      </c>
      <c r="D9297" s="3" t="s">
        <v>9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/>
      <c r="P9297" s="3"/>
      <c r="Q9297" s="3"/>
    </row>
    <row r="9298" spans="1:17" ht="15" x14ac:dyDescent="0.25">
      <c r="A9298" s="3">
        <f>9291</f>
        <v>9291</v>
      </c>
      <c r="B9298" s="3" t="s">
        <v>9300</v>
      </c>
      <c r="C9298" s="3" t="s">
        <v>9</v>
      </c>
      <c r="D9298" s="3" t="s">
        <v>9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/>
      <c r="P9298" s="3"/>
      <c r="Q9298" s="3"/>
    </row>
    <row r="9299" spans="1:17" ht="15" x14ac:dyDescent="0.25">
      <c r="A9299" s="3">
        <f>9292</f>
        <v>9292</v>
      </c>
      <c r="B9299" s="3" t="s">
        <v>9301</v>
      </c>
      <c r="C9299" s="3" t="s">
        <v>9</v>
      </c>
      <c r="D9299" s="3" t="s">
        <v>9</v>
      </c>
      <c r="E9299" s="3">
        <v>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/>
      <c r="P9299" s="3"/>
      <c r="Q9299" s="3"/>
    </row>
    <row r="9300" spans="1:17" ht="15" x14ac:dyDescent="0.25">
      <c r="A9300" s="3">
        <f>9293</f>
        <v>9293</v>
      </c>
      <c r="B9300" s="3" t="s">
        <v>9302</v>
      </c>
      <c r="C9300" s="3" t="s">
        <v>9</v>
      </c>
      <c r="D9300" s="3" t="s">
        <v>9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/>
      <c r="P9300" s="3"/>
      <c r="Q9300" s="3"/>
    </row>
    <row r="9301" spans="1:17" ht="15" x14ac:dyDescent="0.25">
      <c r="A9301" s="3">
        <f>9294</f>
        <v>9294</v>
      </c>
      <c r="B9301" s="3" t="s">
        <v>9303</v>
      </c>
      <c r="C9301" s="3" t="s">
        <v>9</v>
      </c>
      <c r="D9301" s="3" t="s">
        <v>9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/>
      <c r="P9301" s="3"/>
      <c r="Q9301" s="3"/>
    </row>
    <row r="9302" spans="1:17" ht="15" x14ac:dyDescent="0.25">
      <c r="A9302" s="3">
        <f>9295</f>
        <v>9295</v>
      </c>
      <c r="B9302" s="3" t="s">
        <v>9304</v>
      </c>
      <c r="C9302" s="3" t="s">
        <v>9</v>
      </c>
      <c r="D9302" s="3" t="s">
        <v>9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/>
      <c r="P9302" s="3"/>
      <c r="Q9302" s="3"/>
    </row>
    <row r="9303" spans="1:17" ht="15" x14ac:dyDescent="0.25">
      <c r="A9303" s="3">
        <f>9296</f>
        <v>9296</v>
      </c>
      <c r="B9303" s="3" t="s">
        <v>9305</v>
      </c>
      <c r="C9303" s="3" t="s">
        <v>9</v>
      </c>
      <c r="D9303" s="3" t="s">
        <v>9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/>
      <c r="P9303" s="3"/>
      <c r="Q9303" s="3"/>
    </row>
    <row r="9304" spans="1:17" ht="15" x14ac:dyDescent="0.25">
      <c r="A9304" s="3">
        <f>9297</f>
        <v>9297</v>
      </c>
      <c r="B9304" s="3" t="s">
        <v>9306</v>
      </c>
      <c r="C9304" s="3" t="s">
        <v>9</v>
      </c>
      <c r="D9304" s="3" t="s">
        <v>9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/>
      <c r="P9304" s="3"/>
      <c r="Q9304" s="3"/>
    </row>
    <row r="9305" spans="1:17" ht="15" x14ac:dyDescent="0.25">
      <c r="A9305" s="3">
        <f>9298</f>
        <v>9298</v>
      </c>
      <c r="B9305" s="3" t="s">
        <v>9307</v>
      </c>
      <c r="C9305" s="3" t="s">
        <v>9</v>
      </c>
      <c r="D9305" s="3" t="s">
        <v>9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/>
      <c r="P9305" s="3"/>
      <c r="Q9305" s="3"/>
    </row>
    <row r="9306" spans="1:17" ht="15" x14ac:dyDescent="0.25">
      <c r="A9306" s="3">
        <f>9299</f>
        <v>9299</v>
      </c>
      <c r="B9306" s="3" t="s">
        <v>9308</v>
      </c>
      <c r="C9306" s="3" t="s">
        <v>9</v>
      </c>
      <c r="D9306" s="3" t="s">
        <v>9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/>
      <c r="P9306" s="3"/>
      <c r="Q9306" s="3"/>
    </row>
    <row r="9307" spans="1:17" ht="15" x14ac:dyDescent="0.25">
      <c r="A9307" s="3">
        <f>9300</f>
        <v>9300</v>
      </c>
      <c r="B9307" s="3" t="s">
        <v>9309</v>
      </c>
      <c r="C9307" s="3" t="s">
        <v>9</v>
      </c>
      <c r="D9307" s="3" t="s">
        <v>9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/>
      <c r="P9307" s="3"/>
      <c r="Q9307" s="3"/>
    </row>
    <row r="9308" spans="1:17" ht="15" x14ac:dyDescent="0.25">
      <c r="A9308" s="3">
        <f>9301</f>
        <v>9301</v>
      </c>
      <c r="B9308" s="3" t="s">
        <v>9310</v>
      </c>
      <c r="C9308" s="3" t="s">
        <v>9</v>
      </c>
      <c r="D9308" s="3" t="s">
        <v>9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/>
      <c r="P9308" s="3"/>
      <c r="Q9308" s="3"/>
    </row>
    <row r="9309" spans="1:17" ht="15" x14ac:dyDescent="0.25">
      <c r="A9309" s="3">
        <f>9302</f>
        <v>9302</v>
      </c>
      <c r="B9309" s="3" t="s">
        <v>9311</v>
      </c>
      <c r="C9309" s="3" t="s">
        <v>9</v>
      </c>
      <c r="D9309" s="3" t="s">
        <v>9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/>
      <c r="P9309" s="3"/>
      <c r="Q9309" s="3"/>
    </row>
    <row r="9310" spans="1:17" ht="15" x14ac:dyDescent="0.25">
      <c r="A9310" s="3">
        <f>9303</f>
        <v>9303</v>
      </c>
      <c r="B9310" s="3" t="s">
        <v>9312</v>
      </c>
      <c r="C9310" s="3" t="s">
        <v>9</v>
      </c>
      <c r="D9310" s="3" t="s">
        <v>9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/>
      <c r="P9310" s="3"/>
      <c r="Q9310" s="3"/>
    </row>
    <row r="9311" spans="1:17" ht="15" x14ac:dyDescent="0.25">
      <c r="A9311" s="3">
        <f>9304</f>
        <v>9304</v>
      </c>
      <c r="B9311" s="3" t="s">
        <v>9313</v>
      </c>
      <c r="C9311" s="3" t="s">
        <v>9</v>
      </c>
      <c r="D9311" s="3" t="s">
        <v>9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/>
      <c r="P9311" s="3"/>
      <c r="Q9311" s="3"/>
    </row>
    <row r="9312" spans="1:17" ht="15" x14ac:dyDescent="0.25">
      <c r="A9312" s="3">
        <f>9305</f>
        <v>9305</v>
      </c>
      <c r="B9312" s="3" t="s">
        <v>9314</v>
      </c>
      <c r="C9312" s="3" t="s">
        <v>9</v>
      </c>
      <c r="D9312" s="3" t="s">
        <v>9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/>
      <c r="P9312" s="3"/>
      <c r="Q9312" s="3"/>
    </row>
    <row r="9313" spans="1:17" ht="15" x14ac:dyDescent="0.25">
      <c r="A9313" s="3">
        <f>9306</f>
        <v>9306</v>
      </c>
      <c r="B9313" s="3" t="s">
        <v>9315</v>
      </c>
      <c r="C9313" s="3" t="s">
        <v>9</v>
      </c>
      <c r="D9313" s="3" t="s">
        <v>9</v>
      </c>
      <c r="E9313" s="3">
        <v>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/>
      <c r="P9313" s="3"/>
      <c r="Q9313" s="3"/>
    </row>
    <row r="9314" spans="1:17" ht="15" x14ac:dyDescent="0.25">
      <c r="A9314" s="3">
        <f>9307</f>
        <v>9307</v>
      </c>
      <c r="B9314" s="3" t="s">
        <v>9316</v>
      </c>
      <c r="C9314" s="3" t="s">
        <v>9</v>
      </c>
      <c r="D9314" s="3" t="s">
        <v>9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/>
      <c r="P9314" s="3"/>
      <c r="Q9314" s="3"/>
    </row>
    <row r="9315" spans="1:17" ht="15" x14ac:dyDescent="0.25">
      <c r="A9315" s="3">
        <f>9308</f>
        <v>9308</v>
      </c>
      <c r="B9315" s="3" t="s">
        <v>9317</v>
      </c>
      <c r="C9315" s="3" t="s">
        <v>9</v>
      </c>
      <c r="D9315" s="3" t="s">
        <v>9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/>
      <c r="P9315" s="3"/>
      <c r="Q9315" s="3"/>
    </row>
    <row r="9316" spans="1:17" ht="15" x14ac:dyDescent="0.25">
      <c r="A9316" s="3">
        <f>9309</f>
        <v>9309</v>
      </c>
      <c r="B9316" s="3" t="s">
        <v>9318</v>
      </c>
      <c r="C9316" s="3" t="s">
        <v>9</v>
      </c>
      <c r="D9316" s="3" t="s">
        <v>9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/>
      <c r="P9316" s="3"/>
      <c r="Q9316" s="3"/>
    </row>
    <row r="9317" spans="1:17" ht="15" x14ac:dyDescent="0.25">
      <c r="A9317" s="3">
        <f>9310</f>
        <v>9310</v>
      </c>
      <c r="B9317" s="3" t="s">
        <v>9319</v>
      </c>
      <c r="C9317" s="3" t="s">
        <v>9</v>
      </c>
      <c r="D9317" s="3" t="s">
        <v>9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/>
      <c r="P9317" s="3"/>
      <c r="Q9317" s="3"/>
    </row>
    <row r="9318" spans="1:17" ht="15" x14ac:dyDescent="0.25">
      <c r="A9318" s="3">
        <f>9311</f>
        <v>9311</v>
      </c>
      <c r="B9318" s="3" t="s">
        <v>9320</v>
      </c>
      <c r="C9318" s="3" t="s">
        <v>9</v>
      </c>
      <c r="D9318" s="3" t="s">
        <v>9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/>
      <c r="P9318" s="3"/>
      <c r="Q9318" s="3"/>
    </row>
    <row r="9319" spans="1:17" ht="15" x14ac:dyDescent="0.25">
      <c r="A9319" s="3">
        <f>9312</f>
        <v>9312</v>
      </c>
      <c r="B9319" s="3" t="s">
        <v>9321</v>
      </c>
      <c r="C9319" s="3" t="s">
        <v>9</v>
      </c>
      <c r="D9319" s="3" t="s">
        <v>9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/>
      <c r="P9319" s="3"/>
      <c r="Q9319" s="3"/>
    </row>
    <row r="9320" spans="1:17" ht="15" x14ac:dyDescent="0.25">
      <c r="A9320" s="3">
        <f>9313</f>
        <v>9313</v>
      </c>
      <c r="B9320" s="3" t="s">
        <v>9322</v>
      </c>
      <c r="C9320" s="3" t="s">
        <v>9</v>
      </c>
      <c r="D9320" s="3" t="s">
        <v>9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/>
      <c r="P9320" s="3"/>
      <c r="Q9320" s="3"/>
    </row>
    <row r="9321" spans="1:17" ht="15" x14ac:dyDescent="0.25">
      <c r="A9321" s="3">
        <f>9314</f>
        <v>9314</v>
      </c>
      <c r="B9321" s="3" t="s">
        <v>9323</v>
      </c>
      <c r="C9321" s="3" t="s">
        <v>9</v>
      </c>
      <c r="D9321" s="3" t="s">
        <v>9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/>
      <c r="P9321" s="3"/>
      <c r="Q9321" s="3"/>
    </row>
    <row r="9322" spans="1:17" ht="15" x14ac:dyDescent="0.25">
      <c r="A9322" s="3">
        <f>9315</f>
        <v>9315</v>
      </c>
      <c r="B9322" s="3" t="s">
        <v>9324</v>
      </c>
      <c r="C9322" s="3" t="s">
        <v>9</v>
      </c>
      <c r="D9322" s="3" t="s">
        <v>9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/>
      <c r="P9322" s="3"/>
      <c r="Q9322" s="3"/>
    </row>
    <row r="9323" spans="1:17" ht="15" x14ac:dyDescent="0.25">
      <c r="A9323" s="3">
        <f>9316</f>
        <v>9316</v>
      </c>
      <c r="B9323" s="3" t="s">
        <v>9325</v>
      </c>
      <c r="C9323" s="3" t="s">
        <v>9</v>
      </c>
      <c r="D9323" s="3" t="s">
        <v>9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/>
      <c r="P9323" s="3"/>
      <c r="Q9323" s="3"/>
    </row>
    <row r="9324" spans="1:17" ht="15" x14ac:dyDescent="0.25">
      <c r="A9324" s="3">
        <f>9317</f>
        <v>9317</v>
      </c>
      <c r="B9324" s="3" t="s">
        <v>9326</v>
      </c>
      <c r="C9324" s="3" t="s">
        <v>9</v>
      </c>
      <c r="D9324" s="3" t="s">
        <v>9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/>
      <c r="P9324" s="3"/>
      <c r="Q9324" s="3"/>
    </row>
    <row r="9325" spans="1:17" ht="15" x14ac:dyDescent="0.25">
      <c r="A9325" s="3">
        <f>9318</f>
        <v>9318</v>
      </c>
      <c r="B9325" s="3" t="s">
        <v>9327</v>
      </c>
      <c r="C9325" s="3" t="s">
        <v>9</v>
      </c>
      <c r="D9325" s="3" t="s">
        <v>9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/>
      <c r="P9325" s="3"/>
      <c r="Q9325" s="3"/>
    </row>
    <row r="9326" spans="1:17" ht="15" x14ac:dyDescent="0.25">
      <c r="A9326" s="3">
        <f>9319</f>
        <v>9319</v>
      </c>
      <c r="B9326" s="3" t="s">
        <v>9328</v>
      </c>
      <c r="C9326" s="3" t="s">
        <v>9</v>
      </c>
      <c r="D9326" s="3" t="s">
        <v>9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/>
      <c r="P9326" s="3"/>
      <c r="Q9326" s="3"/>
    </row>
    <row r="9327" spans="1:17" ht="15" x14ac:dyDescent="0.25">
      <c r="A9327" s="3">
        <f>9320</f>
        <v>9320</v>
      </c>
      <c r="B9327" s="3" t="s">
        <v>9329</v>
      </c>
      <c r="C9327" s="3" t="s">
        <v>9</v>
      </c>
      <c r="D9327" s="3" t="s">
        <v>9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/>
      <c r="P9327" s="3"/>
      <c r="Q9327" s="3"/>
    </row>
    <row r="9328" spans="1:17" ht="15" x14ac:dyDescent="0.25">
      <c r="A9328" s="3">
        <f>9321</f>
        <v>9321</v>
      </c>
      <c r="B9328" s="3" t="s">
        <v>9330</v>
      </c>
      <c r="C9328" s="3" t="s">
        <v>9</v>
      </c>
      <c r="D9328" s="3" t="s">
        <v>9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/>
      <c r="P9328" s="3"/>
      <c r="Q9328" s="3"/>
    </row>
    <row r="9329" spans="1:17" ht="15" x14ac:dyDescent="0.25">
      <c r="A9329" s="3">
        <f>9322</f>
        <v>9322</v>
      </c>
      <c r="B9329" s="3" t="s">
        <v>9331</v>
      </c>
      <c r="C9329" s="3" t="s">
        <v>9</v>
      </c>
      <c r="D9329" s="3" t="s">
        <v>9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/>
      <c r="P9329" s="3"/>
      <c r="Q9329" s="3"/>
    </row>
    <row r="9330" spans="1:17" ht="15" x14ac:dyDescent="0.25">
      <c r="A9330" s="3">
        <f>9323</f>
        <v>9323</v>
      </c>
      <c r="B9330" s="3" t="s">
        <v>9332</v>
      </c>
      <c r="C9330" s="3" t="s">
        <v>9</v>
      </c>
      <c r="D9330" s="3" t="s">
        <v>9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/>
      <c r="P9330" s="3"/>
      <c r="Q9330" s="3"/>
    </row>
    <row r="9331" spans="1:17" ht="15" x14ac:dyDescent="0.25">
      <c r="A9331" s="3">
        <f>9324</f>
        <v>9324</v>
      </c>
      <c r="B9331" s="3" t="s">
        <v>9333</v>
      </c>
      <c r="C9331" s="3" t="s">
        <v>9</v>
      </c>
      <c r="D9331" s="3" t="s">
        <v>9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/>
      <c r="P9331" s="3"/>
      <c r="Q9331" s="3"/>
    </row>
    <row r="9332" spans="1:17" ht="15" x14ac:dyDescent="0.25">
      <c r="A9332" s="3">
        <f>9325</f>
        <v>9325</v>
      </c>
      <c r="B9332" s="3" t="s">
        <v>9334</v>
      </c>
      <c r="C9332" s="3" t="s">
        <v>9</v>
      </c>
      <c r="D9332" s="3" t="s">
        <v>9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/>
      <c r="P9332" s="3"/>
      <c r="Q9332" s="3"/>
    </row>
    <row r="9333" spans="1:17" ht="15" x14ac:dyDescent="0.25">
      <c r="A9333" s="3">
        <f>9326</f>
        <v>9326</v>
      </c>
      <c r="B9333" s="3" t="s">
        <v>9335</v>
      </c>
      <c r="C9333" s="3" t="s">
        <v>9</v>
      </c>
      <c r="D9333" s="3" t="s">
        <v>9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/>
      <c r="P9333" s="3"/>
      <c r="Q9333" s="3"/>
    </row>
    <row r="9334" spans="1:17" ht="15" x14ac:dyDescent="0.25">
      <c r="A9334" s="3">
        <f>9327</f>
        <v>9327</v>
      </c>
      <c r="B9334" s="3" t="s">
        <v>9336</v>
      </c>
      <c r="C9334" s="3" t="s">
        <v>9</v>
      </c>
      <c r="D9334" s="3" t="s">
        <v>9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/>
      <c r="P9334" s="3"/>
      <c r="Q9334" s="3"/>
    </row>
    <row r="9335" spans="1:17" ht="15" x14ac:dyDescent="0.25">
      <c r="A9335" s="3">
        <f>9328</f>
        <v>9328</v>
      </c>
      <c r="B9335" s="3" t="s">
        <v>9337</v>
      </c>
      <c r="C9335" s="3" t="s">
        <v>9</v>
      </c>
      <c r="D9335" s="3" t="s">
        <v>9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/>
      <c r="P9335" s="3"/>
      <c r="Q9335" s="3"/>
    </row>
    <row r="9336" spans="1:17" ht="15" x14ac:dyDescent="0.25">
      <c r="A9336" s="3">
        <f>9329</f>
        <v>9329</v>
      </c>
      <c r="B9336" s="3" t="s">
        <v>9338</v>
      </c>
      <c r="C9336" s="3" t="s">
        <v>9</v>
      </c>
      <c r="D9336" s="3" t="s">
        <v>9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/>
      <c r="P9336" s="3"/>
      <c r="Q9336" s="3"/>
    </row>
    <row r="9337" spans="1:17" ht="15" x14ac:dyDescent="0.25">
      <c r="A9337" s="3">
        <f>9330</f>
        <v>9330</v>
      </c>
      <c r="B9337" s="3" t="s">
        <v>9339</v>
      </c>
      <c r="C9337" s="3" t="s">
        <v>9</v>
      </c>
      <c r="D9337" s="3" t="s">
        <v>9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/>
      <c r="P9337" s="3"/>
      <c r="Q9337" s="3"/>
    </row>
    <row r="9338" spans="1:17" ht="15" x14ac:dyDescent="0.25">
      <c r="A9338" s="3">
        <f>9331</f>
        <v>9331</v>
      </c>
      <c r="B9338" s="3" t="s">
        <v>9340</v>
      </c>
      <c r="C9338" s="3" t="s">
        <v>9</v>
      </c>
      <c r="D9338" s="3" t="s">
        <v>9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/>
      <c r="P9338" s="3"/>
      <c r="Q9338" s="3"/>
    </row>
    <row r="9339" spans="1:17" ht="15" x14ac:dyDescent="0.25">
      <c r="A9339" s="3">
        <f>9332</f>
        <v>9332</v>
      </c>
      <c r="B9339" s="3" t="s">
        <v>9341</v>
      </c>
      <c r="C9339" s="3" t="s">
        <v>9</v>
      </c>
      <c r="D9339" s="3" t="s">
        <v>9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/>
      <c r="P9339" s="3"/>
      <c r="Q9339" s="3"/>
    </row>
    <row r="9340" spans="1:17" ht="15" x14ac:dyDescent="0.25">
      <c r="A9340" s="3">
        <f>9333</f>
        <v>9333</v>
      </c>
      <c r="B9340" s="3" t="s">
        <v>9342</v>
      </c>
      <c r="C9340" s="3" t="s">
        <v>9</v>
      </c>
      <c r="D9340" s="3" t="s">
        <v>9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/>
      <c r="P9340" s="3"/>
      <c r="Q9340" s="3"/>
    </row>
    <row r="9341" spans="1:17" ht="15" x14ac:dyDescent="0.25">
      <c r="A9341" s="3">
        <f>9334</f>
        <v>9334</v>
      </c>
      <c r="B9341" s="3" t="s">
        <v>9343</v>
      </c>
      <c r="C9341" s="3" t="s">
        <v>9</v>
      </c>
      <c r="D9341" s="3" t="s">
        <v>9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/>
      <c r="P9341" s="3"/>
      <c r="Q9341" s="3"/>
    </row>
    <row r="9342" spans="1:17" ht="15" x14ac:dyDescent="0.25">
      <c r="A9342" s="3">
        <f>9335</f>
        <v>9335</v>
      </c>
      <c r="B9342" s="3" t="s">
        <v>9344</v>
      </c>
      <c r="C9342" s="3" t="s">
        <v>9</v>
      </c>
      <c r="D9342" s="3" t="s">
        <v>9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/>
      <c r="P9342" s="3"/>
      <c r="Q9342" s="3"/>
    </row>
    <row r="9343" spans="1:17" ht="15" x14ac:dyDescent="0.25">
      <c r="A9343" s="3">
        <f>9336</f>
        <v>9336</v>
      </c>
      <c r="B9343" s="3" t="s">
        <v>9345</v>
      </c>
      <c r="C9343" s="3" t="s">
        <v>9</v>
      </c>
      <c r="D9343" s="3" t="s">
        <v>9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/>
      <c r="P9343" s="3"/>
      <c r="Q9343" s="3"/>
    </row>
    <row r="9344" spans="1:17" ht="15" x14ac:dyDescent="0.25">
      <c r="A9344" s="3">
        <f>9337</f>
        <v>9337</v>
      </c>
      <c r="B9344" s="3" t="s">
        <v>9346</v>
      </c>
      <c r="C9344" s="3" t="s">
        <v>9</v>
      </c>
      <c r="D9344" s="3" t="s">
        <v>9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/>
      <c r="P9344" s="3"/>
      <c r="Q9344" s="3"/>
    </row>
    <row r="9345" spans="1:17" ht="15" x14ac:dyDescent="0.25">
      <c r="A9345" s="3">
        <f>9338</f>
        <v>9338</v>
      </c>
      <c r="B9345" s="3" t="s">
        <v>9347</v>
      </c>
      <c r="C9345" s="3" t="s">
        <v>9</v>
      </c>
      <c r="D9345" s="3" t="s">
        <v>9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/>
      <c r="P9345" s="3"/>
      <c r="Q9345" s="3"/>
    </row>
    <row r="9346" spans="1:17" ht="15" x14ac:dyDescent="0.25">
      <c r="A9346" s="3">
        <f>9339</f>
        <v>9339</v>
      </c>
      <c r="B9346" s="3" t="s">
        <v>9348</v>
      </c>
      <c r="C9346" s="3" t="s">
        <v>9</v>
      </c>
      <c r="D9346" s="3" t="s">
        <v>9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/>
      <c r="P9346" s="3"/>
      <c r="Q9346" s="3"/>
    </row>
    <row r="9347" spans="1:17" ht="15" x14ac:dyDescent="0.25">
      <c r="A9347" s="3">
        <f>9340</f>
        <v>9340</v>
      </c>
      <c r="B9347" s="3" t="s">
        <v>9349</v>
      </c>
      <c r="C9347" s="3" t="s">
        <v>9</v>
      </c>
      <c r="D9347" s="3" t="s">
        <v>9</v>
      </c>
      <c r="E9347" s="3">
        <v>0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/>
      <c r="P9347" s="3"/>
      <c r="Q9347" s="3"/>
    </row>
    <row r="9348" spans="1:17" ht="15" x14ac:dyDescent="0.25">
      <c r="A9348" s="3">
        <f>9341</f>
        <v>9341</v>
      </c>
      <c r="B9348" s="3" t="s">
        <v>9350</v>
      </c>
      <c r="C9348" s="3" t="s">
        <v>9</v>
      </c>
      <c r="D9348" s="3" t="s">
        <v>9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s="3"/>
      <c r="P9348" s="3"/>
      <c r="Q9348" s="3"/>
    </row>
    <row r="9349" spans="1:17" ht="15" x14ac:dyDescent="0.25">
      <c r="A9349" s="3">
        <f>9342</f>
        <v>9342</v>
      </c>
      <c r="B9349" s="3" t="s">
        <v>9351</v>
      </c>
      <c r="C9349" s="3" t="s">
        <v>9</v>
      </c>
      <c r="D9349" s="3" t="s">
        <v>9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/>
      <c r="P9349" s="3"/>
      <c r="Q9349" s="3"/>
    </row>
    <row r="9350" spans="1:17" ht="15" x14ac:dyDescent="0.25">
      <c r="A9350" s="3">
        <f>9343</f>
        <v>9343</v>
      </c>
      <c r="B9350" s="3" t="s">
        <v>9352</v>
      </c>
      <c r="C9350" s="3" t="s">
        <v>9</v>
      </c>
      <c r="D9350" s="3" t="s">
        <v>9</v>
      </c>
      <c r="E9350" s="3">
        <v>0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/>
      <c r="P9350" s="3"/>
      <c r="Q9350" s="3"/>
    </row>
    <row r="9351" spans="1:17" ht="15" x14ac:dyDescent="0.25">
      <c r="A9351" s="3">
        <f>9344</f>
        <v>9344</v>
      </c>
      <c r="B9351" s="3" t="s">
        <v>9353</v>
      </c>
      <c r="C9351" s="3" t="s">
        <v>9</v>
      </c>
      <c r="D9351" s="3" t="s">
        <v>9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/>
      <c r="P9351" s="3"/>
      <c r="Q9351" s="3"/>
    </row>
    <row r="9352" spans="1:17" ht="15" x14ac:dyDescent="0.25">
      <c r="A9352" s="3">
        <f>9345</f>
        <v>9345</v>
      </c>
      <c r="B9352" s="3" t="s">
        <v>9354</v>
      </c>
      <c r="C9352" s="3" t="s">
        <v>9</v>
      </c>
      <c r="D9352" s="3" t="s">
        <v>9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/>
      <c r="P9352" s="3"/>
      <c r="Q9352" s="3"/>
    </row>
    <row r="9353" spans="1:17" ht="15" x14ac:dyDescent="0.25">
      <c r="A9353" s="3">
        <f>9346</f>
        <v>9346</v>
      </c>
      <c r="B9353" s="3" t="s">
        <v>9355</v>
      </c>
      <c r="C9353" s="3" t="s">
        <v>9</v>
      </c>
      <c r="D9353" s="3" t="s">
        <v>9</v>
      </c>
      <c r="E9353" s="3">
        <v>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/>
      <c r="P9353" s="3"/>
      <c r="Q9353" s="3"/>
    </row>
    <row r="9354" spans="1:17" ht="15" x14ac:dyDescent="0.25">
      <c r="A9354" s="3">
        <f>9347</f>
        <v>9347</v>
      </c>
      <c r="B9354" s="3" t="s">
        <v>9356</v>
      </c>
      <c r="C9354" s="3" t="s">
        <v>9</v>
      </c>
      <c r="D9354" s="3" t="s">
        <v>9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/>
      <c r="P9354" s="3"/>
      <c r="Q9354" s="3"/>
    </row>
    <row r="9355" spans="1:17" ht="15" x14ac:dyDescent="0.25">
      <c r="A9355" s="3">
        <f>9348</f>
        <v>9348</v>
      </c>
      <c r="B9355" s="3" t="s">
        <v>9357</v>
      </c>
      <c r="C9355" s="3" t="s">
        <v>9</v>
      </c>
      <c r="D9355" s="3" t="s">
        <v>9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/>
      <c r="P9355" s="3"/>
      <c r="Q9355" s="3"/>
    </row>
    <row r="9356" spans="1:17" ht="15" x14ac:dyDescent="0.25">
      <c r="A9356" s="3">
        <f>9349</f>
        <v>9349</v>
      </c>
      <c r="B9356" s="3" t="s">
        <v>9358</v>
      </c>
      <c r="C9356" s="3" t="s">
        <v>9</v>
      </c>
      <c r="D9356" s="3" t="s">
        <v>9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/>
      <c r="P9356" s="3"/>
      <c r="Q9356" s="3"/>
    </row>
    <row r="9357" spans="1:17" ht="15" x14ac:dyDescent="0.25">
      <c r="A9357" s="3">
        <f>9350</f>
        <v>9350</v>
      </c>
      <c r="B9357" s="3" t="s">
        <v>9359</v>
      </c>
      <c r="C9357" s="3" t="s">
        <v>9</v>
      </c>
      <c r="D9357" s="3" t="s">
        <v>9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/>
      <c r="P9357" s="3"/>
      <c r="Q9357" s="3"/>
    </row>
    <row r="9358" spans="1:17" ht="15" x14ac:dyDescent="0.25">
      <c r="A9358" s="3">
        <f>9351</f>
        <v>9351</v>
      </c>
      <c r="B9358" s="3" t="s">
        <v>9360</v>
      </c>
      <c r="C9358" s="3" t="s">
        <v>9</v>
      </c>
      <c r="D9358" s="3" t="s">
        <v>9</v>
      </c>
      <c r="E9358" s="3">
        <v>0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/>
      <c r="P9358" s="3"/>
      <c r="Q9358" s="3"/>
    </row>
    <row r="9359" spans="1:17" ht="15" x14ac:dyDescent="0.25">
      <c r="A9359" s="3">
        <f>9352</f>
        <v>9352</v>
      </c>
      <c r="B9359" s="3" t="s">
        <v>9361</v>
      </c>
      <c r="C9359" s="3" t="s">
        <v>9</v>
      </c>
      <c r="D9359" s="3" t="s">
        <v>9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/>
      <c r="P9359" s="3"/>
      <c r="Q9359" s="3"/>
    </row>
    <row r="9360" spans="1:17" ht="15" x14ac:dyDescent="0.25">
      <c r="A9360" s="3">
        <f>9353</f>
        <v>9353</v>
      </c>
      <c r="B9360" s="3" t="s">
        <v>9362</v>
      </c>
      <c r="C9360" s="3" t="s">
        <v>9</v>
      </c>
      <c r="D9360" s="3" t="s">
        <v>9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/>
      <c r="P9360" s="3"/>
      <c r="Q9360" s="3"/>
    </row>
    <row r="9361" spans="1:17" ht="15" x14ac:dyDescent="0.25">
      <c r="A9361" s="3">
        <f>9354</f>
        <v>9354</v>
      </c>
      <c r="B9361" s="3" t="s">
        <v>9363</v>
      </c>
      <c r="C9361" s="3" t="s">
        <v>9</v>
      </c>
      <c r="D9361" s="3" t="s">
        <v>9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/>
      <c r="P9361" s="3"/>
      <c r="Q9361" s="3"/>
    </row>
    <row r="9362" spans="1:17" ht="15" x14ac:dyDescent="0.25">
      <c r="A9362" s="3">
        <f>9355</f>
        <v>9355</v>
      </c>
      <c r="B9362" s="3" t="s">
        <v>9364</v>
      </c>
      <c r="C9362" s="3" t="s">
        <v>9</v>
      </c>
      <c r="D9362" s="3" t="s">
        <v>9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/>
      <c r="P9362" s="3"/>
      <c r="Q9362" s="3"/>
    </row>
    <row r="9363" spans="1:17" ht="15" x14ac:dyDescent="0.25">
      <c r="A9363" s="3">
        <f>9356</f>
        <v>9356</v>
      </c>
      <c r="B9363" s="3" t="s">
        <v>9365</v>
      </c>
      <c r="C9363" s="3" t="s">
        <v>9</v>
      </c>
      <c r="D9363" s="3" t="s">
        <v>9</v>
      </c>
      <c r="E9363" s="3">
        <v>0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/>
      <c r="P9363" s="3"/>
      <c r="Q9363" s="3"/>
    </row>
    <row r="9364" spans="1:17" ht="15" x14ac:dyDescent="0.25">
      <c r="A9364" s="3">
        <f>9357</f>
        <v>9357</v>
      </c>
      <c r="B9364" s="3" t="s">
        <v>9366</v>
      </c>
      <c r="C9364" s="3" t="s">
        <v>9</v>
      </c>
      <c r="D9364" s="3" t="s">
        <v>9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/>
      <c r="P9364" s="3"/>
      <c r="Q9364" s="3"/>
    </row>
    <row r="9365" spans="1:17" ht="15" x14ac:dyDescent="0.25">
      <c r="A9365" s="3">
        <f>9358</f>
        <v>9358</v>
      </c>
      <c r="B9365" s="3" t="s">
        <v>9367</v>
      </c>
      <c r="C9365" s="3" t="s">
        <v>9</v>
      </c>
      <c r="D9365" s="3" t="s">
        <v>9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/>
      <c r="P9365" s="3"/>
      <c r="Q9365" s="3"/>
    </row>
    <row r="9366" spans="1:17" ht="15" x14ac:dyDescent="0.25">
      <c r="A9366" s="3">
        <f>9359</f>
        <v>9359</v>
      </c>
      <c r="B9366" s="3" t="s">
        <v>9368</v>
      </c>
      <c r="C9366" s="3" t="s">
        <v>9</v>
      </c>
      <c r="D9366" s="3" t="s">
        <v>9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/>
      <c r="P9366" s="3"/>
      <c r="Q9366" s="3"/>
    </row>
    <row r="9367" spans="1:17" ht="15" x14ac:dyDescent="0.25">
      <c r="A9367" s="3">
        <f>9360</f>
        <v>9360</v>
      </c>
      <c r="B9367" s="3" t="s">
        <v>9369</v>
      </c>
      <c r="C9367" s="3" t="s">
        <v>9</v>
      </c>
      <c r="D9367" s="3" t="s">
        <v>9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/>
      <c r="P9367" s="3"/>
      <c r="Q9367" s="3"/>
    </row>
    <row r="9368" spans="1:17" ht="15" x14ac:dyDescent="0.25">
      <c r="A9368" s="3">
        <f>9361</f>
        <v>9361</v>
      </c>
      <c r="B9368" s="3" t="s">
        <v>9370</v>
      </c>
      <c r="C9368" s="3" t="s">
        <v>9</v>
      </c>
      <c r="D9368" s="3" t="s">
        <v>9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/>
      <c r="P9368" s="3"/>
      <c r="Q9368" s="3"/>
    </row>
    <row r="9369" spans="1:17" ht="15" x14ac:dyDescent="0.25">
      <c r="A9369" s="3">
        <f>9362</f>
        <v>9362</v>
      </c>
      <c r="B9369" s="3" t="s">
        <v>9371</v>
      </c>
      <c r="C9369" s="3" t="s">
        <v>9</v>
      </c>
      <c r="D9369" s="3" t="s">
        <v>9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/>
      <c r="P9369" s="3"/>
      <c r="Q9369" s="3"/>
    </row>
    <row r="9370" spans="1:17" ht="15" x14ac:dyDescent="0.25">
      <c r="A9370" s="3">
        <f>9363</f>
        <v>9363</v>
      </c>
      <c r="B9370" s="3" t="s">
        <v>9372</v>
      </c>
      <c r="C9370" s="3" t="s">
        <v>9</v>
      </c>
      <c r="D9370" s="3" t="s">
        <v>9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/>
      <c r="P9370" s="3"/>
      <c r="Q9370" s="3"/>
    </row>
    <row r="9371" spans="1:17" ht="15" x14ac:dyDescent="0.25">
      <c r="A9371" s="3">
        <f>9364</f>
        <v>9364</v>
      </c>
      <c r="B9371" s="3" t="s">
        <v>9373</v>
      </c>
      <c r="C9371" s="3" t="s">
        <v>9</v>
      </c>
      <c r="D9371" s="3" t="s">
        <v>9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/>
      <c r="P9371" s="3"/>
      <c r="Q9371" s="3"/>
    </row>
    <row r="9372" spans="1:17" ht="15" x14ac:dyDescent="0.25">
      <c r="A9372" s="3">
        <f>9365</f>
        <v>9365</v>
      </c>
      <c r="B9372" s="3" t="s">
        <v>9374</v>
      </c>
      <c r="C9372" s="3" t="s">
        <v>9</v>
      </c>
      <c r="D9372" s="3" t="s">
        <v>9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/>
      <c r="P9372" s="3"/>
      <c r="Q9372" s="3"/>
    </row>
    <row r="9373" spans="1:17" ht="15" x14ac:dyDescent="0.25">
      <c r="A9373" s="3">
        <f>9366</f>
        <v>9366</v>
      </c>
      <c r="B9373" s="3" t="s">
        <v>9375</v>
      </c>
      <c r="C9373" s="3" t="s">
        <v>9</v>
      </c>
      <c r="D9373" s="3" t="s">
        <v>9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/>
      <c r="P9373" s="3"/>
      <c r="Q9373" s="3"/>
    </row>
    <row r="9374" spans="1:17" ht="15" x14ac:dyDescent="0.25">
      <c r="A9374" s="3">
        <f>9367</f>
        <v>9367</v>
      </c>
      <c r="B9374" s="3" t="s">
        <v>9376</v>
      </c>
      <c r="C9374" s="3" t="s">
        <v>9</v>
      </c>
      <c r="D9374" s="3" t="s">
        <v>9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/>
      <c r="P9374" s="3"/>
      <c r="Q9374" s="3"/>
    </row>
    <row r="9375" spans="1:17" ht="15" x14ac:dyDescent="0.25">
      <c r="A9375" s="3">
        <f>9368</f>
        <v>9368</v>
      </c>
      <c r="B9375" s="3" t="s">
        <v>9377</v>
      </c>
      <c r="C9375" s="3" t="s">
        <v>9</v>
      </c>
      <c r="D9375" s="3" t="s">
        <v>9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/>
      <c r="P9375" s="3"/>
      <c r="Q9375" s="3"/>
    </row>
    <row r="9376" spans="1:17" ht="15" x14ac:dyDescent="0.25">
      <c r="A9376" s="3">
        <f>9369</f>
        <v>9369</v>
      </c>
      <c r="B9376" s="3" t="s">
        <v>9378</v>
      </c>
      <c r="C9376" s="3" t="s">
        <v>9</v>
      </c>
      <c r="D9376" s="3" t="s">
        <v>9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/>
      <c r="P9376" s="3"/>
      <c r="Q9376" s="3"/>
    </row>
    <row r="9377" spans="1:17" ht="15" x14ac:dyDescent="0.25">
      <c r="A9377" s="3">
        <f>9370</f>
        <v>9370</v>
      </c>
      <c r="B9377" s="3" t="s">
        <v>9379</v>
      </c>
      <c r="C9377" s="3" t="s">
        <v>9</v>
      </c>
      <c r="D9377" s="3" t="s">
        <v>9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/>
      <c r="P9377" s="3"/>
      <c r="Q9377" s="3"/>
    </row>
    <row r="9378" spans="1:17" ht="15" x14ac:dyDescent="0.25">
      <c r="A9378" s="3">
        <f>9371</f>
        <v>9371</v>
      </c>
      <c r="B9378" s="3" t="s">
        <v>9380</v>
      </c>
      <c r="C9378" s="3" t="s">
        <v>9</v>
      </c>
      <c r="D9378" s="3" t="s">
        <v>9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/>
      <c r="P9378" s="3"/>
      <c r="Q9378" s="3"/>
    </row>
    <row r="9379" spans="1:17" ht="15" x14ac:dyDescent="0.25">
      <c r="A9379" s="3">
        <f>9372</f>
        <v>9372</v>
      </c>
      <c r="B9379" s="3" t="s">
        <v>9381</v>
      </c>
      <c r="C9379" s="3" t="s">
        <v>9</v>
      </c>
      <c r="D9379" s="3" t="s">
        <v>9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/>
      <c r="P9379" s="3"/>
      <c r="Q9379" s="3"/>
    </row>
    <row r="9380" spans="1:17" ht="15" x14ac:dyDescent="0.25">
      <c r="A9380" s="3">
        <f>9373</f>
        <v>9373</v>
      </c>
      <c r="B9380" s="3" t="s">
        <v>9382</v>
      </c>
      <c r="C9380" s="3" t="s">
        <v>9</v>
      </c>
      <c r="D9380" s="3" t="s">
        <v>9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/>
      <c r="P9380" s="3"/>
      <c r="Q9380" s="3"/>
    </row>
    <row r="9381" spans="1:17" ht="15" x14ac:dyDescent="0.25">
      <c r="A9381" s="3">
        <f>9374</f>
        <v>9374</v>
      </c>
      <c r="B9381" s="3" t="s">
        <v>9383</v>
      </c>
      <c r="C9381" s="3" t="s">
        <v>9</v>
      </c>
      <c r="D9381" s="3" t="s">
        <v>9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/>
      <c r="P9381" s="3"/>
      <c r="Q9381" s="3"/>
    </row>
    <row r="9382" spans="1:17" ht="15" x14ac:dyDescent="0.25">
      <c r="A9382" s="3">
        <f>9375</f>
        <v>9375</v>
      </c>
      <c r="B9382" s="3" t="s">
        <v>9384</v>
      </c>
      <c r="C9382" s="3" t="s">
        <v>9</v>
      </c>
      <c r="D9382" s="3" t="s">
        <v>9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/>
      <c r="P9382" s="3"/>
      <c r="Q9382" s="3"/>
    </row>
    <row r="9383" spans="1:17" ht="15" x14ac:dyDescent="0.25">
      <c r="A9383" s="3">
        <f>9376</f>
        <v>9376</v>
      </c>
      <c r="B9383" s="3" t="s">
        <v>9385</v>
      </c>
      <c r="C9383" s="3" t="s">
        <v>9</v>
      </c>
      <c r="D9383" s="3" t="s">
        <v>9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/>
      <c r="P9383" s="3"/>
      <c r="Q9383" s="3"/>
    </row>
    <row r="9384" spans="1:17" ht="15" x14ac:dyDescent="0.25">
      <c r="A9384" s="3">
        <f>9377</f>
        <v>9377</v>
      </c>
      <c r="B9384" s="3" t="s">
        <v>9386</v>
      </c>
      <c r="C9384" s="3" t="s">
        <v>9</v>
      </c>
      <c r="D9384" s="3" t="s">
        <v>9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/>
      <c r="P9384" s="3"/>
      <c r="Q9384" s="3"/>
    </row>
    <row r="9385" spans="1:17" ht="15" x14ac:dyDescent="0.25">
      <c r="A9385" s="3">
        <f>9378</f>
        <v>9378</v>
      </c>
      <c r="B9385" s="3" t="s">
        <v>9387</v>
      </c>
      <c r="C9385" s="3" t="s">
        <v>9</v>
      </c>
      <c r="D9385" s="3" t="s">
        <v>9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/>
      <c r="P9385" s="3"/>
      <c r="Q9385" s="3"/>
    </row>
    <row r="9386" spans="1:17" ht="15" x14ac:dyDescent="0.25">
      <c r="A9386" s="3">
        <f>9379</f>
        <v>9379</v>
      </c>
      <c r="B9386" s="3" t="s">
        <v>9388</v>
      </c>
      <c r="C9386" s="3" t="s">
        <v>9</v>
      </c>
      <c r="D9386" s="3" t="s">
        <v>9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/>
      <c r="P9386" s="3"/>
      <c r="Q9386" s="3"/>
    </row>
    <row r="9387" spans="1:17" ht="15" x14ac:dyDescent="0.25">
      <c r="A9387" s="3">
        <f>9380</f>
        <v>9380</v>
      </c>
      <c r="B9387" s="3" t="s">
        <v>9389</v>
      </c>
      <c r="C9387" s="3" t="s">
        <v>9</v>
      </c>
      <c r="D9387" s="3" t="s">
        <v>9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/>
      <c r="P9387" s="3"/>
      <c r="Q9387" s="3"/>
    </row>
    <row r="9388" spans="1:17" ht="15" x14ac:dyDescent="0.25">
      <c r="A9388" s="3">
        <f>9381</f>
        <v>9381</v>
      </c>
      <c r="B9388" s="3" t="s">
        <v>9390</v>
      </c>
      <c r="C9388" s="3" t="s">
        <v>9</v>
      </c>
      <c r="D9388" s="3" t="s">
        <v>9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/>
      <c r="P9388" s="3"/>
      <c r="Q9388" s="3"/>
    </row>
    <row r="9389" spans="1:17" ht="15" x14ac:dyDescent="0.25">
      <c r="A9389" s="3">
        <f>9382</f>
        <v>9382</v>
      </c>
      <c r="B9389" s="3" t="s">
        <v>9391</v>
      </c>
      <c r="C9389" s="3" t="s">
        <v>9</v>
      </c>
      <c r="D9389" s="3" t="s">
        <v>9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/>
      <c r="P9389" s="3"/>
      <c r="Q9389" s="3"/>
    </row>
    <row r="9390" spans="1:17" ht="15" x14ac:dyDescent="0.25">
      <c r="A9390" s="3">
        <f>9383</f>
        <v>9383</v>
      </c>
      <c r="B9390" s="3" t="s">
        <v>9392</v>
      </c>
      <c r="C9390" s="3" t="s">
        <v>9</v>
      </c>
      <c r="D9390" s="3" t="s">
        <v>9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/>
      <c r="P9390" s="3"/>
      <c r="Q9390" s="3"/>
    </row>
    <row r="9391" spans="1:17" ht="15" x14ac:dyDescent="0.25">
      <c r="A9391" s="3">
        <f>9384</f>
        <v>9384</v>
      </c>
      <c r="B9391" s="3" t="s">
        <v>9393</v>
      </c>
      <c r="C9391" s="3" t="s">
        <v>9</v>
      </c>
      <c r="D9391" s="3" t="s">
        <v>9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/>
      <c r="P9391" s="3"/>
      <c r="Q9391" s="3"/>
    </row>
    <row r="9392" spans="1:17" ht="15" x14ac:dyDescent="0.25">
      <c r="A9392" s="3">
        <f>9385</f>
        <v>9385</v>
      </c>
      <c r="B9392" s="3" t="s">
        <v>9394</v>
      </c>
      <c r="C9392" s="3" t="s">
        <v>9</v>
      </c>
      <c r="D9392" s="3" t="s">
        <v>9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/>
      <c r="P9392" s="3"/>
      <c r="Q9392" s="3"/>
    </row>
    <row r="9393" spans="1:17" ht="15" x14ac:dyDescent="0.25">
      <c r="A9393" s="3">
        <f>9386</f>
        <v>9386</v>
      </c>
      <c r="B9393" s="3" t="s">
        <v>9395</v>
      </c>
      <c r="C9393" s="3" t="s">
        <v>9</v>
      </c>
      <c r="D9393" s="3" t="s">
        <v>9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/>
      <c r="P9393" s="3"/>
      <c r="Q9393" s="3"/>
    </row>
    <row r="9394" spans="1:17" ht="15" x14ac:dyDescent="0.25">
      <c r="A9394" s="3">
        <f>9387</f>
        <v>9387</v>
      </c>
      <c r="B9394" s="3" t="s">
        <v>9396</v>
      </c>
      <c r="C9394" s="3" t="s">
        <v>9</v>
      </c>
      <c r="D9394" s="3" t="s">
        <v>9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/>
      <c r="P9394" s="3"/>
      <c r="Q9394" s="3"/>
    </row>
    <row r="9395" spans="1:17" ht="15" x14ac:dyDescent="0.25">
      <c r="A9395" s="3">
        <f>9388</f>
        <v>9388</v>
      </c>
      <c r="B9395" s="3" t="s">
        <v>9397</v>
      </c>
      <c r="C9395" s="3" t="s">
        <v>9</v>
      </c>
      <c r="D9395" s="3" t="s">
        <v>9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/>
      <c r="P9395" s="3"/>
      <c r="Q9395" s="3"/>
    </row>
    <row r="9396" spans="1:17" ht="15" x14ac:dyDescent="0.25">
      <c r="A9396" s="3">
        <f>9389</f>
        <v>9389</v>
      </c>
      <c r="B9396" s="3" t="s">
        <v>9398</v>
      </c>
      <c r="C9396" s="3" t="s">
        <v>9</v>
      </c>
      <c r="D9396" s="3" t="s">
        <v>9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/>
      <c r="P9396" s="3"/>
      <c r="Q9396" s="3"/>
    </row>
    <row r="9397" spans="1:17" ht="15" x14ac:dyDescent="0.25">
      <c r="A9397" s="3">
        <f>9390</f>
        <v>9390</v>
      </c>
      <c r="B9397" s="3" t="s">
        <v>9399</v>
      </c>
      <c r="C9397" s="3" t="s">
        <v>9</v>
      </c>
      <c r="D9397" s="3" t="s">
        <v>9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/>
      <c r="P9397" s="3"/>
      <c r="Q9397" s="3"/>
    </row>
    <row r="9398" spans="1:17" ht="15" x14ac:dyDescent="0.25">
      <c r="A9398" s="3">
        <f>9391</f>
        <v>9391</v>
      </c>
      <c r="B9398" s="3" t="s">
        <v>9400</v>
      </c>
      <c r="C9398" s="3" t="s">
        <v>9</v>
      </c>
      <c r="D9398" s="3" t="s">
        <v>9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/>
      <c r="P9398" s="3"/>
      <c r="Q9398" s="3"/>
    </row>
    <row r="9399" spans="1:17" ht="15" x14ac:dyDescent="0.25">
      <c r="A9399" s="3">
        <f>9392</f>
        <v>9392</v>
      </c>
      <c r="B9399" s="3" t="s">
        <v>9401</v>
      </c>
      <c r="C9399" s="3" t="s">
        <v>9</v>
      </c>
      <c r="D9399" s="3" t="s">
        <v>9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/>
      <c r="P9399" s="3"/>
      <c r="Q9399" s="3"/>
    </row>
    <row r="9400" spans="1:17" ht="15" x14ac:dyDescent="0.25">
      <c r="A9400" s="3">
        <f>9393</f>
        <v>9393</v>
      </c>
      <c r="B9400" s="3" t="s">
        <v>9402</v>
      </c>
      <c r="C9400" s="3" t="s">
        <v>9</v>
      </c>
      <c r="D9400" s="3" t="s">
        <v>9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/>
      <c r="P9400" s="3"/>
      <c r="Q9400" s="3"/>
    </row>
    <row r="9401" spans="1:17" ht="15" x14ac:dyDescent="0.25">
      <c r="A9401" s="3">
        <f>9394</f>
        <v>9394</v>
      </c>
      <c r="B9401" s="3" t="s">
        <v>9403</v>
      </c>
      <c r="C9401" s="3" t="s">
        <v>9</v>
      </c>
      <c r="D9401" s="3" t="s">
        <v>9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/>
      <c r="P9401" s="3"/>
      <c r="Q9401" s="3"/>
    </row>
    <row r="9402" spans="1:17" ht="15" x14ac:dyDescent="0.25">
      <c r="A9402" s="3">
        <f>9395</f>
        <v>9395</v>
      </c>
      <c r="B9402" s="3" t="s">
        <v>9404</v>
      </c>
      <c r="C9402" s="3" t="s">
        <v>9</v>
      </c>
      <c r="D9402" s="3" t="s">
        <v>9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/>
      <c r="P9402" s="3"/>
      <c r="Q9402" s="3"/>
    </row>
    <row r="9403" spans="1:17" ht="15" x14ac:dyDescent="0.25">
      <c r="A9403" s="3">
        <f>9396</f>
        <v>9396</v>
      </c>
      <c r="B9403" s="3" t="s">
        <v>9405</v>
      </c>
      <c r="C9403" s="3" t="s">
        <v>9</v>
      </c>
      <c r="D9403" s="3" t="s">
        <v>9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/>
      <c r="P9403" s="3"/>
      <c r="Q9403" s="3"/>
    </row>
    <row r="9404" spans="1:17" ht="15" x14ac:dyDescent="0.25">
      <c r="A9404" s="3">
        <f>9397</f>
        <v>9397</v>
      </c>
      <c r="B9404" s="3" t="s">
        <v>9406</v>
      </c>
      <c r="C9404" s="3" t="s">
        <v>9</v>
      </c>
      <c r="D9404" s="3" t="s">
        <v>9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/>
      <c r="P9404" s="3"/>
      <c r="Q9404" s="3"/>
    </row>
    <row r="9405" spans="1:17" ht="15" x14ac:dyDescent="0.25">
      <c r="A9405" s="3">
        <f>9398</f>
        <v>9398</v>
      </c>
      <c r="B9405" s="3" t="s">
        <v>9407</v>
      </c>
      <c r="C9405" s="3" t="s">
        <v>9</v>
      </c>
      <c r="D9405" s="3" t="s">
        <v>9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/>
      <c r="P9405" s="3"/>
      <c r="Q9405" s="3"/>
    </row>
    <row r="9406" spans="1:17" ht="15" x14ac:dyDescent="0.25">
      <c r="A9406" s="3">
        <f>9399</f>
        <v>9399</v>
      </c>
      <c r="B9406" s="3" t="s">
        <v>9408</v>
      </c>
      <c r="C9406" s="3" t="s">
        <v>9</v>
      </c>
      <c r="D9406" s="3" t="s">
        <v>9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/>
      <c r="P9406" s="3"/>
      <c r="Q9406" s="3"/>
    </row>
    <row r="9407" spans="1:17" ht="15" x14ac:dyDescent="0.25">
      <c r="A9407" s="3">
        <f>9400</f>
        <v>9400</v>
      </c>
      <c r="B9407" s="3" t="s">
        <v>9409</v>
      </c>
      <c r="C9407" s="3" t="s">
        <v>9</v>
      </c>
      <c r="D9407" s="3" t="s">
        <v>9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/>
      <c r="P9407" s="3"/>
      <c r="Q9407" s="3"/>
    </row>
    <row r="9408" spans="1:17" ht="15" x14ac:dyDescent="0.25">
      <c r="A9408" s="3">
        <f>9401</f>
        <v>9401</v>
      </c>
      <c r="B9408" s="3" t="s">
        <v>9410</v>
      </c>
      <c r="C9408" s="3" t="s">
        <v>9</v>
      </c>
      <c r="D9408" s="3" t="s">
        <v>9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/>
      <c r="P9408" s="3"/>
      <c r="Q9408" s="3"/>
    </row>
    <row r="9409" spans="1:17" ht="15" x14ac:dyDescent="0.25">
      <c r="A9409" s="3">
        <f>9402</f>
        <v>9402</v>
      </c>
      <c r="B9409" s="3" t="s">
        <v>9411</v>
      </c>
      <c r="C9409" s="3" t="s">
        <v>9</v>
      </c>
      <c r="D9409" s="3" t="s">
        <v>9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/>
      <c r="P9409" s="3"/>
      <c r="Q9409" s="3"/>
    </row>
    <row r="9410" spans="1:17" ht="15" x14ac:dyDescent="0.25">
      <c r="A9410" s="3">
        <f>9403</f>
        <v>9403</v>
      </c>
      <c r="B9410" s="3" t="s">
        <v>9412</v>
      </c>
      <c r="C9410" s="3" t="s">
        <v>9</v>
      </c>
      <c r="D9410" s="3" t="s">
        <v>9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/>
      <c r="P9410" s="3"/>
      <c r="Q9410" s="3"/>
    </row>
    <row r="9411" spans="1:17" ht="15" x14ac:dyDescent="0.25">
      <c r="A9411" s="3">
        <f>9404</f>
        <v>9404</v>
      </c>
      <c r="B9411" s="3" t="s">
        <v>9413</v>
      </c>
      <c r="C9411" s="3" t="s">
        <v>9</v>
      </c>
      <c r="D9411" s="3" t="s">
        <v>9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/>
      <c r="P9411" s="3"/>
      <c r="Q9411" s="3"/>
    </row>
    <row r="9412" spans="1:17" ht="15" x14ac:dyDescent="0.25">
      <c r="A9412" s="3">
        <f>9405</f>
        <v>9405</v>
      </c>
      <c r="B9412" s="3" t="s">
        <v>9414</v>
      </c>
      <c r="C9412" s="3" t="s">
        <v>9</v>
      </c>
      <c r="D9412" s="3" t="s">
        <v>9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/>
      <c r="P9412" s="3"/>
      <c r="Q9412" s="3"/>
    </row>
    <row r="9413" spans="1:17" ht="15" x14ac:dyDescent="0.25">
      <c r="A9413" s="3">
        <f>9406</f>
        <v>9406</v>
      </c>
      <c r="B9413" s="3" t="s">
        <v>9415</v>
      </c>
      <c r="C9413" s="3" t="s">
        <v>9</v>
      </c>
      <c r="D9413" s="3" t="s">
        <v>9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/>
      <c r="P9413" s="3"/>
      <c r="Q9413" s="3"/>
    </row>
    <row r="9414" spans="1:17" ht="15" x14ac:dyDescent="0.25">
      <c r="A9414" s="3">
        <f>9407</f>
        <v>9407</v>
      </c>
      <c r="B9414" s="3" t="s">
        <v>9416</v>
      </c>
      <c r="C9414" s="3" t="s">
        <v>9</v>
      </c>
      <c r="D9414" s="3" t="s">
        <v>9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/>
      <c r="P9414" s="3"/>
      <c r="Q9414" s="3"/>
    </row>
    <row r="9415" spans="1:17" ht="15" x14ac:dyDescent="0.25">
      <c r="A9415" s="3">
        <f>9408</f>
        <v>9408</v>
      </c>
      <c r="B9415" s="3" t="s">
        <v>9417</v>
      </c>
      <c r="C9415" s="3" t="s">
        <v>9</v>
      </c>
      <c r="D9415" s="3" t="s">
        <v>9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/>
      <c r="P9415" s="3"/>
      <c r="Q9415" s="3"/>
    </row>
    <row r="9416" spans="1:17" ht="15" x14ac:dyDescent="0.25">
      <c r="A9416" s="3">
        <f>9409</f>
        <v>9409</v>
      </c>
      <c r="B9416" s="3" t="s">
        <v>9418</v>
      </c>
      <c r="C9416" s="3" t="s">
        <v>9</v>
      </c>
      <c r="D9416" s="3" t="s">
        <v>9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/>
      <c r="P9416" s="3"/>
      <c r="Q9416" s="3"/>
    </row>
    <row r="9417" spans="1:17" ht="15" x14ac:dyDescent="0.25">
      <c r="A9417" s="3">
        <f>9410</f>
        <v>9410</v>
      </c>
      <c r="B9417" s="3" t="s">
        <v>9419</v>
      </c>
      <c r="C9417" s="3" t="s">
        <v>9</v>
      </c>
      <c r="D9417" s="3" t="s">
        <v>9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/>
      <c r="P9417" s="3"/>
      <c r="Q9417" s="3"/>
    </row>
    <row r="9418" spans="1:17" ht="15" x14ac:dyDescent="0.25">
      <c r="A9418" s="3">
        <f>9411</f>
        <v>9411</v>
      </c>
      <c r="B9418" s="3" t="s">
        <v>9420</v>
      </c>
      <c r="C9418" s="3" t="s">
        <v>9</v>
      </c>
      <c r="D9418" s="3" t="s">
        <v>9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/>
      <c r="P9418" s="3"/>
      <c r="Q9418" s="3"/>
    </row>
    <row r="9419" spans="1:17" ht="15" x14ac:dyDescent="0.25">
      <c r="A9419" s="3">
        <f>9412</f>
        <v>9412</v>
      </c>
      <c r="B9419" s="3" t="s">
        <v>9421</v>
      </c>
      <c r="C9419" s="3" t="s">
        <v>9</v>
      </c>
      <c r="D9419" s="3" t="s">
        <v>9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/>
      <c r="P9419" s="3"/>
      <c r="Q9419" s="3"/>
    </row>
    <row r="9420" spans="1:17" ht="15" x14ac:dyDescent="0.25">
      <c r="A9420" s="3">
        <f>9413</f>
        <v>9413</v>
      </c>
      <c r="B9420" s="3" t="s">
        <v>9422</v>
      </c>
      <c r="C9420" s="3" t="s">
        <v>9</v>
      </c>
      <c r="D9420" s="3" t="s">
        <v>9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/>
      <c r="P9420" s="3"/>
      <c r="Q9420" s="3"/>
    </row>
    <row r="9421" spans="1:17" ht="15" x14ac:dyDescent="0.25">
      <c r="A9421" s="3">
        <f>9414</f>
        <v>9414</v>
      </c>
      <c r="B9421" s="3" t="s">
        <v>9423</v>
      </c>
      <c r="C9421" s="3" t="s">
        <v>9</v>
      </c>
      <c r="D9421" s="3" t="s">
        <v>9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/>
      <c r="P9421" s="3"/>
      <c r="Q9421" s="3"/>
    </row>
    <row r="9422" spans="1:17" ht="15" x14ac:dyDescent="0.25">
      <c r="A9422" s="3">
        <f>9415</f>
        <v>9415</v>
      </c>
      <c r="B9422" s="3" t="s">
        <v>9424</v>
      </c>
      <c r="C9422" s="3" t="s">
        <v>9</v>
      </c>
      <c r="D9422" s="3" t="s">
        <v>9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/>
      <c r="P9422" s="3"/>
      <c r="Q9422" s="3"/>
    </row>
    <row r="9423" spans="1:17" ht="15" x14ac:dyDescent="0.25">
      <c r="A9423" s="3">
        <f>9416</f>
        <v>9416</v>
      </c>
      <c r="B9423" s="3" t="s">
        <v>9425</v>
      </c>
      <c r="C9423" s="3" t="s">
        <v>9</v>
      </c>
      <c r="D9423" s="3" t="s">
        <v>9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/>
      <c r="P9423" s="3"/>
      <c r="Q9423" s="3"/>
    </row>
    <row r="9424" spans="1:17" ht="15" x14ac:dyDescent="0.25">
      <c r="A9424" s="3">
        <f>9417</f>
        <v>9417</v>
      </c>
      <c r="B9424" s="3" t="s">
        <v>9426</v>
      </c>
      <c r="C9424" s="3" t="s">
        <v>9</v>
      </c>
      <c r="D9424" s="3" t="s">
        <v>9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/>
      <c r="P9424" s="3"/>
      <c r="Q9424" s="3"/>
    </row>
    <row r="9425" spans="1:17" ht="15" x14ac:dyDescent="0.25">
      <c r="A9425" s="3">
        <f>9418</f>
        <v>9418</v>
      </c>
      <c r="B9425" s="3" t="s">
        <v>9427</v>
      </c>
      <c r="C9425" s="3" t="s">
        <v>9</v>
      </c>
      <c r="D9425" s="3" t="s">
        <v>9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/>
      <c r="P9425" s="3"/>
      <c r="Q9425" s="3"/>
    </row>
    <row r="9426" spans="1:17" ht="15" x14ac:dyDescent="0.25">
      <c r="A9426" s="3">
        <f>9419</f>
        <v>9419</v>
      </c>
      <c r="B9426" s="3" t="s">
        <v>9428</v>
      </c>
      <c r="C9426" s="3" t="s">
        <v>9</v>
      </c>
      <c r="D9426" s="3" t="s">
        <v>9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/>
      <c r="P9426" s="3"/>
      <c r="Q9426" s="3"/>
    </row>
    <row r="9427" spans="1:17" ht="15" x14ac:dyDescent="0.25">
      <c r="A9427" s="3">
        <f>9420</f>
        <v>9420</v>
      </c>
      <c r="B9427" s="3" t="s">
        <v>9429</v>
      </c>
      <c r="C9427" s="3" t="s">
        <v>9</v>
      </c>
      <c r="D9427" s="3" t="s">
        <v>9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/>
      <c r="P9427" s="3"/>
      <c r="Q9427" s="3"/>
    </row>
    <row r="9428" spans="1:17" ht="15" x14ac:dyDescent="0.25">
      <c r="A9428" s="3">
        <f>9421</f>
        <v>9421</v>
      </c>
      <c r="B9428" s="3" t="s">
        <v>9430</v>
      </c>
      <c r="C9428" s="3" t="s">
        <v>9</v>
      </c>
      <c r="D9428" s="3" t="s">
        <v>9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/>
      <c r="P9428" s="3"/>
      <c r="Q9428" s="3"/>
    </row>
    <row r="9429" spans="1:17" ht="15" x14ac:dyDescent="0.25">
      <c r="A9429" s="3">
        <f>9422</f>
        <v>9422</v>
      </c>
      <c r="B9429" s="3" t="s">
        <v>9431</v>
      </c>
      <c r="C9429" s="3" t="s">
        <v>9</v>
      </c>
      <c r="D9429" s="3" t="s">
        <v>9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/>
      <c r="P9429" s="3"/>
      <c r="Q9429" s="3"/>
    </row>
    <row r="9430" spans="1:17" ht="15" x14ac:dyDescent="0.25">
      <c r="A9430" s="3">
        <f>9423</f>
        <v>9423</v>
      </c>
      <c r="B9430" s="3" t="s">
        <v>9432</v>
      </c>
      <c r="C9430" s="3" t="s">
        <v>9</v>
      </c>
      <c r="D9430" s="3" t="s">
        <v>9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/>
      <c r="P9430" s="3"/>
      <c r="Q9430" s="3"/>
    </row>
    <row r="9431" spans="1:17" ht="15" x14ac:dyDescent="0.25">
      <c r="A9431" s="3">
        <f>9424</f>
        <v>9424</v>
      </c>
      <c r="B9431" s="3" t="s">
        <v>9433</v>
      </c>
      <c r="C9431" s="3" t="s">
        <v>9</v>
      </c>
      <c r="D9431" s="3" t="s">
        <v>9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/>
      <c r="P9431" s="3"/>
      <c r="Q9431" s="3"/>
    </row>
    <row r="9432" spans="1:17" ht="15" x14ac:dyDescent="0.25">
      <c r="A9432" s="3">
        <f>9425</f>
        <v>9425</v>
      </c>
      <c r="B9432" s="3" t="s">
        <v>9434</v>
      </c>
      <c r="C9432" s="3" t="s">
        <v>9</v>
      </c>
      <c r="D9432" s="3" t="s">
        <v>9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/>
      <c r="P9432" s="3"/>
      <c r="Q9432" s="3"/>
    </row>
    <row r="9433" spans="1:17" ht="15" x14ac:dyDescent="0.25">
      <c r="A9433" s="3">
        <f>9426</f>
        <v>9426</v>
      </c>
      <c r="B9433" s="3" t="s">
        <v>9435</v>
      </c>
      <c r="C9433" s="3" t="s">
        <v>9</v>
      </c>
      <c r="D9433" s="3" t="s">
        <v>9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/>
      <c r="P9433" s="3"/>
      <c r="Q9433" s="3"/>
    </row>
    <row r="9434" spans="1:17" ht="15" x14ac:dyDescent="0.25">
      <c r="A9434" s="3">
        <f>9427</f>
        <v>9427</v>
      </c>
      <c r="B9434" s="3" t="s">
        <v>9436</v>
      </c>
      <c r="C9434" s="3" t="s">
        <v>9</v>
      </c>
      <c r="D9434" s="3" t="s">
        <v>9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/>
      <c r="P9434" s="3"/>
      <c r="Q9434" s="3"/>
    </row>
    <row r="9435" spans="1:17" ht="15" x14ac:dyDescent="0.25">
      <c r="A9435" s="3">
        <f>9428</f>
        <v>9428</v>
      </c>
      <c r="B9435" s="3" t="s">
        <v>9437</v>
      </c>
      <c r="C9435" s="3" t="s">
        <v>9</v>
      </c>
      <c r="D9435" s="3" t="s">
        <v>9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/>
      <c r="P9435" s="3"/>
      <c r="Q9435" s="3"/>
    </row>
    <row r="9436" spans="1:17" ht="15" x14ac:dyDescent="0.25">
      <c r="A9436" s="3">
        <f>9429</f>
        <v>9429</v>
      </c>
      <c r="B9436" s="3" t="s">
        <v>9438</v>
      </c>
      <c r="C9436" s="3" t="s">
        <v>9</v>
      </c>
      <c r="D9436" s="3" t="s">
        <v>9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/>
      <c r="P9436" s="3"/>
      <c r="Q9436" s="3"/>
    </row>
    <row r="9437" spans="1:17" ht="15" x14ac:dyDescent="0.25">
      <c r="A9437" s="3">
        <f>9430</f>
        <v>9430</v>
      </c>
      <c r="B9437" s="3" t="s">
        <v>9439</v>
      </c>
      <c r="C9437" s="3" t="s">
        <v>9</v>
      </c>
      <c r="D9437" s="3" t="s">
        <v>9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/>
      <c r="P9437" s="3"/>
      <c r="Q9437" s="3"/>
    </row>
    <row r="9438" spans="1:17" ht="15" x14ac:dyDescent="0.25">
      <c r="A9438" s="3">
        <f>9431</f>
        <v>9431</v>
      </c>
      <c r="B9438" s="3" t="s">
        <v>9440</v>
      </c>
      <c r="C9438" s="3" t="s">
        <v>9</v>
      </c>
      <c r="D9438" s="3" t="s">
        <v>9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/>
      <c r="P9438" s="3"/>
      <c r="Q9438" s="3"/>
    </row>
    <row r="9439" spans="1:17" ht="15" x14ac:dyDescent="0.25">
      <c r="A9439" s="3">
        <f>9432</f>
        <v>9432</v>
      </c>
      <c r="B9439" s="3" t="s">
        <v>9441</v>
      </c>
      <c r="C9439" s="3" t="s">
        <v>9</v>
      </c>
      <c r="D9439" s="3" t="s">
        <v>9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/>
      <c r="P9439" s="3"/>
      <c r="Q9439" s="3"/>
    </row>
    <row r="9440" spans="1:17" ht="15" x14ac:dyDescent="0.25">
      <c r="A9440" s="3">
        <f>9433</f>
        <v>9433</v>
      </c>
      <c r="B9440" s="3" t="s">
        <v>9442</v>
      </c>
      <c r="C9440" s="3" t="s">
        <v>9</v>
      </c>
      <c r="D9440" s="3" t="s">
        <v>9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/>
      <c r="P9440" s="3"/>
      <c r="Q9440" s="3"/>
    </row>
    <row r="9441" spans="1:17" ht="15" x14ac:dyDescent="0.25">
      <c r="A9441" s="3">
        <f>9434</f>
        <v>9434</v>
      </c>
      <c r="B9441" s="3" t="s">
        <v>9443</v>
      </c>
      <c r="C9441" s="3" t="s">
        <v>9</v>
      </c>
      <c r="D9441" s="3" t="s">
        <v>9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/>
      <c r="P9441" s="3"/>
      <c r="Q9441" s="3"/>
    </row>
    <row r="9442" spans="1:17" ht="15" x14ac:dyDescent="0.25">
      <c r="A9442" s="3">
        <f>9435</f>
        <v>9435</v>
      </c>
      <c r="B9442" s="3" t="s">
        <v>9444</v>
      </c>
      <c r="C9442" s="3" t="s">
        <v>9</v>
      </c>
      <c r="D9442" s="3" t="s">
        <v>9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/>
      <c r="P9442" s="3"/>
      <c r="Q9442" s="3"/>
    </row>
    <row r="9443" spans="1:17" ht="15" x14ac:dyDescent="0.25">
      <c r="A9443" s="3">
        <f>9436</f>
        <v>9436</v>
      </c>
      <c r="B9443" s="3" t="s">
        <v>9445</v>
      </c>
      <c r="C9443" s="3" t="s">
        <v>9</v>
      </c>
      <c r="D9443" s="3" t="s">
        <v>9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/>
      <c r="P9443" s="3"/>
      <c r="Q9443" s="3"/>
    </row>
    <row r="9444" spans="1:17" ht="15" x14ac:dyDescent="0.25">
      <c r="A9444" s="3">
        <f>9437</f>
        <v>9437</v>
      </c>
      <c r="B9444" s="3" t="s">
        <v>9446</v>
      </c>
      <c r="C9444" s="3" t="s">
        <v>9</v>
      </c>
      <c r="D9444" s="3" t="s">
        <v>9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/>
      <c r="P9444" s="3"/>
      <c r="Q9444" s="3"/>
    </row>
    <row r="9445" spans="1:17" ht="15" x14ac:dyDescent="0.25">
      <c r="A9445" s="3">
        <f>9438</f>
        <v>9438</v>
      </c>
      <c r="B9445" s="3" t="s">
        <v>9447</v>
      </c>
      <c r="C9445" s="3" t="s">
        <v>9</v>
      </c>
      <c r="D9445" s="3" t="s">
        <v>9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/>
      <c r="P9445" s="3"/>
      <c r="Q9445" s="3"/>
    </row>
    <row r="9446" spans="1:17" ht="15" x14ac:dyDescent="0.25">
      <c r="A9446" s="3">
        <f>9439</f>
        <v>9439</v>
      </c>
      <c r="B9446" s="3" t="s">
        <v>9448</v>
      </c>
      <c r="C9446" s="3" t="s">
        <v>9</v>
      </c>
      <c r="D9446" s="3" t="s">
        <v>9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/>
      <c r="P9446" s="3"/>
      <c r="Q9446" s="3"/>
    </row>
    <row r="9447" spans="1:17" ht="15" x14ac:dyDescent="0.25">
      <c r="A9447" s="3">
        <f>9440</f>
        <v>9440</v>
      </c>
      <c r="B9447" s="3" t="s">
        <v>9449</v>
      </c>
      <c r="C9447" s="3" t="s">
        <v>9</v>
      </c>
      <c r="D9447" s="3" t="s">
        <v>9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/>
      <c r="P9447" s="3"/>
      <c r="Q9447" s="3"/>
    </row>
    <row r="9448" spans="1:17" ht="15" x14ac:dyDescent="0.25">
      <c r="A9448" s="3">
        <f>9441</f>
        <v>9441</v>
      </c>
      <c r="B9448" s="3" t="s">
        <v>9450</v>
      </c>
      <c r="C9448" s="3" t="s">
        <v>9</v>
      </c>
      <c r="D9448" s="3" t="s">
        <v>9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/>
      <c r="P9448" s="3"/>
      <c r="Q9448" s="3"/>
    </row>
    <row r="9449" spans="1:17" ht="15" x14ac:dyDescent="0.25">
      <c r="A9449" s="3">
        <f>9442</f>
        <v>9442</v>
      </c>
      <c r="B9449" s="3" t="s">
        <v>9451</v>
      </c>
      <c r="C9449" s="3" t="s">
        <v>9</v>
      </c>
      <c r="D9449" s="3" t="s">
        <v>9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/>
      <c r="P9449" s="3"/>
      <c r="Q9449" s="3"/>
    </row>
    <row r="9450" spans="1:17" ht="15" x14ac:dyDescent="0.25">
      <c r="A9450" s="3">
        <f>9443</f>
        <v>9443</v>
      </c>
      <c r="B9450" s="3" t="s">
        <v>9452</v>
      </c>
      <c r="C9450" s="3" t="s">
        <v>9</v>
      </c>
      <c r="D9450" s="3" t="s">
        <v>9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/>
      <c r="P9450" s="3"/>
      <c r="Q9450" s="3"/>
    </row>
    <row r="9451" spans="1:17" ht="15" x14ac:dyDescent="0.25">
      <c r="A9451" s="3">
        <f>9444</f>
        <v>9444</v>
      </c>
      <c r="B9451" s="3" t="s">
        <v>9453</v>
      </c>
      <c r="C9451" s="3" t="s">
        <v>9</v>
      </c>
      <c r="D9451" s="3" t="s">
        <v>9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/>
      <c r="P9451" s="3"/>
      <c r="Q9451" s="3"/>
    </row>
    <row r="9452" spans="1:17" ht="15" x14ac:dyDescent="0.25">
      <c r="A9452" s="3">
        <f>9445</f>
        <v>9445</v>
      </c>
      <c r="B9452" s="3" t="s">
        <v>9454</v>
      </c>
      <c r="C9452" s="3" t="s">
        <v>9</v>
      </c>
      <c r="D9452" s="3" t="s">
        <v>9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/>
      <c r="P9452" s="3"/>
      <c r="Q9452" s="3"/>
    </row>
    <row r="9453" spans="1:17" ht="15" x14ac:dyDescent="0.25">
      <c r="A9453" s="3">
        <f>9446</f>
        <v>9446</v>
      </c>
      <c r="B9453" s="3" t="s">
        <v>9455</v>
      </c>
      <c r="C9453" s="3" t="s">
        <v>9</v>
      </c>
      <c r="D9453" s="3" t="s">
        <v>9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/>
      <c r="P9453" s="3"/>
      <c r="Q9453" s="3"/>
    </row>
    <row r="9454" spans="1:17" ht="15" x14ac:dyDescent="0.25">
      <c r="A9454" s="3">
        <f>9447</f>
        <v>9447</v>
      </c>
      <c r="B9454" s="3" t="s">
        <v>9456</v>
      </c>
      <c r="C9454" s="3" t="s">
        <v>9</v>
      </c>
      <c r="D9454" s="3" t="s">
        <v>9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/>
      <c r="P9454" s="3"/>
      <c r="Q9454" s="3"/>
    </row>
    <row r="9455" spans="1:17" ht="15" x14ac:dyDescent="0.25">
      <c r="A9455" s="3">
        <f>9448</f>
        <v>9448</v>
      </c>
      <c r="B9455" s="3" t="s">
        <v>9457</v>
      </c>
      <c r="C9455" s="3" t="s">
        <v>9</v>
      </c>
      <c r="D9455" s="3" t="s">
        <v>9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/>
      <c r="P9455" s="3"/>
      <c r="Q9455" s="3"/>
    </row>
    <row r="9456" spans="1:17" ht="15" x14ac:dyDescent="0.25">
      <c r="A9456" s="3">
        <f>9449</f>
        <v>9449</v>
      </c>
      <c r="B9456" s="3" t="s">
        <v>9458</v>
      </c>
      <c r="C9456" s="3" t="s">
        <v>9</v>
      </c>
      <c r="D9456" s="3" t="s">
        <v>9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/>
      <c r="P9456" s="3"/>
      <c r="Q9456" s="3"/>
    </row>
    <row r="9457" spans="1:17" ht="15" x14ac:dyDescent="0.25">
      <c r="A9457" s="3">
        <f>9450</f>
        <v>9450</v>
      </c>
      <c r="B9457" s="3" t="s">
        <v>9459</v>
      </c>
      <c r="C9457" s="3" t="s">
        <v>9</v>
      </c>
      <c r="D9457" s="3" t="s">
        <v>9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/>
      <c r="P9457" s="3"/>
      <c r="Q9457" s="3"/>
    </row>
    <row r="9458" spans="1:17" ht="15" x14ac:dyDescent="0.25">
      <c r="A9458" s="3">
        <f>9451</f>
        <v>9451</v>
      </c>
      <c r="B9458" s="3" t="s">
        <v>9460</v>
      </c>
      <c r="C9458" s="3" t="s">
        <v>9</v>
      </c>
      <c r="D9458" s="3" t="s">
        <v>9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/>
      <c r="P9458" s="3"/>
      <c r="Q9458" s="3"/>
    </row>
    <row r="9459" spans="1:17" ht="15" x14ac:dyDescent="0.25">
      <c r="A9459" s="3">
        <f>9452</f>
        <v>9452</v>
      </c>
      <c r="B9459" s="3" t="s">
        <v>9461</v>
      </c>
      <c r="C9459" s="3" t="s">
        <v>9</v>
      </c>
      <c r="D9459" s="3" t="s">
        <v>9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/>
      <c r="P9459" s="3"/>
      <c r="Q9459" s="3"/>
    </row>
    <row r="9460" spans="1:17" ht="15" x14ac:dyDescent="0.25">
      <c r="A9460" s="3">
        <f>9453</f>
        <v>9453</v>
      </c>
      <c r="B9460" s="3" t="s">
        <v>9462</v>
      </c>
      <c r="C9460" s="3" t="s">
        <v>9</v>
      </c>
      <c r="D9460" s="3" t="s">
        <v>9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/>
      <c r="P9460" s="3"/>
      <c r="Q9460" s="3"/>
    </row>
    <row r="9461" spans="1:17" ht="15" x14ac:dyDescent="0.25">
      <c r="A9461" s="3">
        <f>9454</f>
        <v>9454</v>
      </c>
      <c r="B9461" s="3" t="s">
        <v>9463</v>
      </c>
      <c r="C9461" s="3" t="s">
        <v>9</v>
      </c>
      <c r="D9461" s="3" t="s">
        <v>9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/>
      <c r="P9461" s="3"/>
      <c r="Q9461" s="3"/>
    </row>
    <row r="9462" spans="1:17" ht="15" x14ac:dyDescent="0.25">
      <c r="A9462" s="3">
        <f>9455</f>
        <v>9455</v>
      </c>
      <c r="B9462" s="3" t="s">
        <v>9464</v>
      </c>
      <c r="C9462" s="3" t="s">
        <v>9</v>
      </c>
      <c r="D9462" s="3" t="s">
        <v>9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/>
      <c r="P9462" s="3"/>
      <c r="Q9462" s="3"/>
    </row>
    <row r="9463" spans="1:17" ht="15" x14ac:dyDescent="0.25">
      <c r="A9463" s="3">
        <f>9456</f>
        <v>9456</v>
      </c>
      <c r="B9463" s="3" t="s">
        <v>9465</v>
      </c>
      <c r="C9463" s="3" t="s">
        <v>9</v>
      </c>
      <c r="D9463" s="3" t="s">
        <v>9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/>
      <c r="P9463" s="3"/>
      <c r="Q9463" s="3"/>
    </row>
    <row r="9464" spans="1:17" ht="15" x14ac:dyDescent="0.25">
      <c r="A9464" s="3">
        <f>9457</f>
        <v>9457</v>
      </c>
      <c r="B9464" s="3" t="s">
        <v>9466</v>
      </c>
      <c r="C9464" s="3" t="s">
        <v>9</v>
      </c>
      <c r="D9464" s="3" t="s">
        <v>9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/>
      <c r="P9464" s="3"/>
      <c r="Q9464" s="3"/>
    </row>
    <row r="9465" spans="1:17" ht="15" x14ac:dyDescent="0.25">
      <c r="A9465" s="3">
        <f>9458</f>
        <v>9458</v>
      </c>
      <c r="B9465" s="3" t="s">
        <v>9467</v>
      </c>
      <c r="C9465" s="3" t="s">
        <v>9</v>
      </c>
      <c r="D9465" s="3" t="s">
        <v>9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/>
      <c r="P9465" s="3"/>
      <c r="Q9465" s="3"/>
    </row>
    <row r="9466" spans="1:17" ht="15" x14ac:dyDescent="0.25">
      <c r="A9466" s="3">
        <f>9459</f>
        <v>9459</v>
      </c>
      <c r="B9466" s="3" t="s">
        <v>9468</v>
      </c>
      <c r="C9466" s="3" t="s">
        <v>9</v>
      </c>
      <c r="D9466" s="3" t="s">
        <v>9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/>
      <c r="P9466" s="3"/>
      <c r="Q9466" s="3"/>
    </row>
    <row r="9467" spans="1:17" ht="15" x14ac:dyDescent="0.25">
      <c r="A9467" s="3">
        <f>9460</f>
        <v>9460</v>
      </c>
      <c r="B9467" s="3" t="s">
        <v>9469</v>
      </c>
      <c r="C9467" s="3" t="s">
        <v>9</v>
      </c>
      <c r="D9467" s="3" t="s">
        <v>9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/>
      <c r="P9467" s="3"/>
      <c r="Q9467" s="3"/>
    </row>
    <row r="9468" spans="1:17" ht="15" x14ac:dyDescent="0.25">
      <c r="A9468" s="3">
        <f>9461</f>
        <v>9461</v>
      </c>
      <c r="B9468" s="3" t="s">
        <v>9470</v>
      </c>
      <c r="C9468" s="3" t="s">
        <v>9</v>
      </c>
      <c r="D9468" s="3" t="s">
        <v>9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/>
      <c r="P9468" s="3"/>
      <c r="Q9468" s="3"/>
    </row>
    <row r="9469" spans="1:17" ht="15" x14ac:dyDescent="0.25">
      <c r="A9469" s="3">
        <f>9462</f>
        <v>9462</v>
      </c>
      <c r="B9469" s="3" t="s">
        <v>9471</v>
      </c>
      <c r="C9469" s="3" t="s">
        <v>9</v>
      </c>
      <c r="D9469" s="3" t="s">
        <v>9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/>
      <c r="P9469" s="3"/>
      <c r="Q9469" s="3"/>
    </row>
    <row r="9470" spans="1:17" ht="15" x14ac:dyDescent="0.25">
      <c r="A9470" s="3">
        <f>9463</f>
        <v>9463</v>
      </c>
      <c r="B9470" s="3" t="s">
        <v>9472</v>
      </c>
      <c r="C9470" s="3" t="s">
        <v>9</v>
      </c>
      <c r="D9470" s="3" t="s">
        <v>9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/>
      <c r="P9470" s="3"/>
      <c r="Q9470" s="3"/>
    </row>
    <row r="9471" spans="1:17" ht="15" x14ac:dyDescent="0.25">
      <c r="A9471" s="3">
        <f>9464</f>
        <v>9464</v>
      </c>
      <c r="B9471" s="3" t="s">
        <v>9473</v>
      </c>
      <c r="C9471" s="3" t="s">
        <v>9</v>
      </c>
      <c r="D9471" s="3" t="s">
        <v>9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/>
      <c r="P9471" s="3"/>
      <c r="Q9471" s="3"/>
    </row>
    <row r="9472" spans="1:17" ht="15" x14ac:dyDescent="0.25">
      <c r="A9472" s="3">
        <f>9465</f>
        <v>9465</v>
      </c>
      <c r="B9472" s="3" t="s">
        <v>9474</v>
      </c>
      <c r="C9472" s="3" t="s">
        <v>9</v>
      </c>
      <c r="D9472" s="3" t="s">
        <v>9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/>
      <c r="P9472" s="3"/>
      <c r="Q9472" s="3"/>
    </row>
    <row r="9473" spans="1:17" ht="15" x14ac:dyDescent="0.25">
      <c r="A9473" s="3">
        <f>9466</f>
        <v>9466</v>
      </c>
      <c r="B9473" s="3" t="s">
        <v>9475</v>
      </c>
      <c r="C9473" s="3" t="s">
        <v>9</v>
      </c>
      <c r="D9473" s="3" t="s">
        <v>9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/>
      <c r="P9473" s="3"/>
      <c r="Q9473" s="3"/>
    </row>
    <row r="9474" spans="1:17" ht="15" x14ac:dyDescent="0.25">
      <c r="A9474" s="3">
        <f>9467</f>
        <v>9467</v>
      </c>
      <c r="B9474" s="3" t="s">
        <v>9476</v>
      </c>
      <c r="C9474" s="3" t="s">
        <v>9</v>
      </c>
      <c r="D9474" s="3" t="s">
        <v>9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/>
      <c r="P9474" s="3"/>
      <c r="Q9474" s="3"/>
    </row>
    <row r="9475" spans="1:17" ht="15" x14ac:dyDescent="0.25">
      <c r="A9475" s="3">
        <f>9468</f>
        <v>9468</v>
      </c>
      <c r="B9475" s="3" t="s">
        <v>9477</v>
      </c>
      <c r="C9475" s="3" t="s">
        <v>9</v>
      </c>
      <c r="D9475" s="3" t="s">
        <v>9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/>
      <c r="P9475" s="3"/>
      <c r="Q9475" s="3"/>
    </row>
    <row r="9476" spans="1:17" ht="15" x14ac:dyDescent="0.25">
      <c r="A9476" s="3">
        <f>9469</f>
        <v>9469</v>
      </c>
      <c r="B9476" s="3" t="s">
        <v>9478</v>
      </c>
      <c r="C9476" s="3" t="s">
        <v>9</v>
      </c>
      <c r="D9476" s="3" t="s">
        <v>9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/>
      <c r="P9476" s="3"/>
      <c r="Q9476" s="3"/>
    </row>
    <row r="9477" spans="1:17" ht="15" x14ac:dyDescent="0.25">
      <c r="A9477" s="3">
        <f>9470</f>
        <v>9470</v>
      </c>
      <c r="B9477" s="3" t="s">
        <v>9479</v>
      </c>
      <c r="C9477" s="3" t="s">
        <v>9</v>
      </c>
      <c r="D9477" s="3" t="s">
        <v>9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/>
      <c r="P9477" s="3"/>
      <c r="Q9477" s="3"/>
    </row>
    <row r="9478" spans="1:17" ht="15" x14ac:dyDescent="0.25">
      <c r="A9478" s="3">
        <f>9471</f>
        <v>9471</v>
      </c>
      <c r="B9478" s="3" t="s">
        <v>9480</v>
      </c>
      <c r="C9478" s="3" t="s">
        <v>9</v>
      </c>
      <c r="D9478" s="3" t="s">
        <v>9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/>
      <c r="P9478" s="3"/>
      <c r="Q9478" s="3"/>
    </row>
    <row r="9479" spans="1:17" ht="15" x14ac:dyDescent="0.25">
      <c r="A9479" s="3">
        <f>9472</f>
        <v>9472</v>
      </c>
      <c r="B9479" s="3" t="s">
        <v>9481</v>
      </c>
      <c r="C9479" s="3" t="s">
        <v>9</v>
      </c>
      <c r="D9479" s="3" t="s">
        <v>9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/>
      <c r="P9479" s="3"/>
      <c r="Q9479" s="3"/>
    </row>
    <row r="9480" spans="1:17" ht="15" x14ac:dyDescent="0.25">
      <c r="A9480" s="3">
        <f>9473</f>
        <v>9473</v>
      </c>
      <c r="B9480" s="3" t="s">
        <v>9482</v>
      </c>
      <c r="C9480" s="3" t="s">
        <v>9</v>
      </c>
      <c r="D9480" s="3" t="s">
        <v>9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/>
      <c r="P9480" s="3"/>
      <c r="Q9480" s="3"/>
    </row>
    <row r="9481" spans="1:17" ht="15" x14ac:dyDescent="0.25">
      <c r="A9481" s="3">
        <f>9474</f>
        <v>9474</v>
      </c>
      <c r="B9481" s="3" t="s">
        <v>9483</v>
      </c>
      <c r="C9481" s="3" t="s">
        <v>9</v>
      </c>
      <c r="D9481" s="3" t="s">
        <v>9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/>
      <c r="P9481" s="3"/>
      <c r="Q9481" s="3"/>
    </row>
    <row r="9482" spans="1:17" ht="15" x14ac:dyDescent="0.25">
      <c r="A9482" s="3">
        <f>9475</f>
        <v>9475</v>
      </c>
      <c r="B9482" s="3" t="s">
        <v>9484</v>
      </c>
      <c r="C9482" s="3" t="s">
        <v>9</v>
      </c>
      <c r="D9482" s="3" t="s">
        <v>9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/>
      <c r="P9482" s="3"/>
      <c r="Q9482" s="3"/>
    </row>
    <row r="9483" spans="1:17" ht="15" x14ac:dyDescent="0.25">
      <c r="A9483" s="3">
        <f>9476</f>
        <v>9476</v>
      </c>
      <c r="B9483" s="3" t="s">
        <v>9485</v>
      </c>
      <c r="C9483" s="3" t="s">
        <v>9</v>
      </c>
      <c r="D9483" s="3" t="s">
        <v>9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/>
      <c r="P9483" s="3"/>
      <c r="Q9483" s="3"/>
    </row>
    <row r="9484" spans="1:17" ht="15" x14ac:dyDescent="0.25">
      <c r="A9484" s="3">
        <f>9477</f>
        <v>9477</v>
      </c>
      <c r="B9484" s="3" t="s">
        <v>9486</v>
      </c>
      <c r="C9484" s="3" t="s">
        <v>9</v>
      </c>
      <c r="D9484" s="3" t="s">
        <v>9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/>
      <c r="P9484" s="3"/>
      <c r="Q9484" s="3"/>
    </row>
    <row r="9485" spans="1:17" ht="15" x14ac:dyDescent="0.25">
      <c r="A9485" s="3">
        <f>9478</f>
        <v>9478</v>
      </c>
      <c r="B9485" s="3" t="s">
        <v>9487</v>
      </c>
      <c r="C9485" s="3" t="s">
        <v>9</v>
      </c>
      <c r="D9485" s="3" t="s">
        <v>9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/>
      <c r="P9485" s="3"/>
      <c r="Q9485" s="3"/>
    </row>
    <row r="9486" spans="1:17" ht="15" x14ac:dyDescent="0.25">
      <c r="A9486" s="3">
        <f>9479</f>
        <v>9479</v>
      </c>
      <c r="B9486" s="3" t="s">
        <v>9488</v>
      </c>
      <c r="C9486" s="3" t="s">
        <v>9</v>
      </c>
      <c r="D9486" s="3" t="s">
        <v>9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/>
      <c r="P9486" s="3"/>
      <c r="Q9486" s="3"/>
    </row>
    <row r="9487" spans="1:17" ht="15" x14ac:dyDescent="0.25">
      <c r="A9487" s="3">
        <f>9480</f>
        <v>9480</v>
      </c>
      <c r="B9487" s="3" t="s">
        <v>9489</v>
      </c>
      <c r="C9487" s="3" t="s">
        <v>9</v>
      </c>
      <c r="D9487" s="3" t="s">
        <v>9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/>
      <c r="P9487" s="3"/>
      <c r="Q9487" s="3"/>
    </row>
    <row r="9488" spans="1:17" ht="15" x14ac:dyDescent="0.25">
      <c r="A9488" s="3">
        <f>9481</f>
        <v>9481</v>
      </c>
      <c r="B9488" s="3" t="s">
        <v>9490</v>
      </c>
      <c r="C9488" s="3" t="s">
        <v>9</v>
      </c>
      <c r="D9488" s="3" t="s">
        <v>9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/>
      <c r="P9488" s="3"/>
      <c r="Q9488" s="3"/>
    </row>
    <row r="9489" spans="1:17" ht="15" x14ac:dyDescent="0.25">
      <c r="A9489" s="3">
        <f>9482</f>
        <v>9482</v>
      </c>
      <c r="B9489" s="3" t="s">
        <v>9491</v>
      </c>
      <c r="C9489" s="3" t="s">
        <v>9</v>
      </c>
      <c r="D9489" s="3" t="s">
        <v>9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/>
      <c r="P9489" s="3"/>
      <c r="Q9489" s="3"/>
    </row>
    <row r="9490" spans="1:17" ht="15" x14ac:dyDescent="0.25">
      <c r="A9490" s="3">
        <f>9483</f>
        <v>9483</v>
      </c>
      <c r="B9490" s="3" t="s">
        <v>9492</v>
      </c>
      <c r="C9490" s="3" t="s">
        <v>9</v>
      </c>
      <c r="D9490" s="3" t="s">
        <v>9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/>
      <c r="P9490" s="3"/>
      <c r="Q9490" s="3"/>
    </row>
    <row r="9491" spans="1:17" ht="15" x14ac:dyDescent="0.25">
      <c r="A9491" s="3">
        <f>9484</f>
        <v>9484</v>
      </c>
      <c r="B9491" s="3" t="s">
        <v>9493</v>
      </c>
      <c r="C9491" s="3" t="s">
        <v>9</v>
      </c>
      <c r="D9491" s="3" t="s">
        <v>9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/>
      <c r="P9491" s="3"/>
      <c r="Q9491" s="3"/>
    </row>
    <row r="9492" spans="1:17" ht="15" x14ac:dyDescent="0.25">
      <c r="A9492" s="3">
        <f>9485</f>
        <v>9485</v>
      </c>
      <c r="B9492" s="3" t="s">
        <v>9494</v>
      </c>
      <c r="C9492" s="3" t="s">
        <v>9</v>
      </c>
      <c r="D9492" s="3" t="s">
        <v>9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/>
      <c r="P9492" s="3"/>
      <c r="Q9492" s="3"/>
    </row>
    <row r="9493" spans="1:17" ht="15" x14ac:dyDescent="0.25">
      <c r="A9493" s="3">
        <f>9486</f>
        <v>9486</v>
      </c>
      <c r="B9493" s="3" t="s">
        <v>9495</v>
      </c>
      <c r="C9493" s="3" t="s">
        <v>9</v>
      </c>
      <c r="D9493" s="3" t="s">
        <v>9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/>
      <c r="P9493" s="3"/>
      <c r="Q9493" s="3"/>
    </row>
    <row r="9494" spans="1:17" ht="15" x14ac:dyDescent="0.25">
      <c r="A9494" s="3">
        <f>9487</f>
        <v>9487</v>
      </c>
      <c r="B9494" s="3" t="s">
        <v>9496</v>
      </c>
      <c r="C9494" s="3" t="s">
        <v>9</v>
      </c>
      <c r="D9494" s="3" t="s">
        <v>9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/>
      <c r="P9494" s="3"/>
      <c r="Q9494" s="3"/>
    </row>
    <row r="9495" spans="1:17" ht="15" x14ac:dyDescent="0.25">
      <c r="A9495" s="3">
        <f>9488</f>
        <v>9488</v>
      </c>
      <c r="B9495" s="3" t="s">
        <v>9497</v>
      </c>
      <c r="C9495" s="3" t="s">
        <v>9</v>
      </c>
      <c r="D9495" s="3" t="s">
        <v>9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/>
      <c r="P9495" s="3"/>
      <c r="Q9495" s="3"/>
    </row>
    <row r="9496" spans="1:17" ht="15" x14ac:dyDescent="0.25">
      <c r="A9496" s="3">
        <f>9489</f>
        <v>9489</v>
      </c>
      <c r="B9496" s="3" t="s">
        <v>9498</v>
      </c>
      <c r="C9496" s="3" t="s">
        <v>9</v>
      </c>
      <c r="D9496" s="3" t="s">
        <v>9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/>
      <c r="P9496" s="3"/>
      <c r="Q9496" s="3"/>
    </row>
    <row r="9497" spans="1:17" ht="15" x14ac:dyDescent="0.25">
      <c r="A9497" s="3">
        <f>9490</f>
        <v>9490</v>
      </c>
      <c r="B9497" s="3" t="s">
        <v>9499</v>
      </c>
      <c r="C9497" s="3" t="s">
        <v>9</v>
      </c>
      <c r="D9497" s="3" t="s">
        <v>9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/>
      <c r="P9497" s="3"/>
      <c r="Q9497" s="3"/>
    </row>
    <row r="9498" spans="1:17" ht="15" x14ac:dyDescent="0.25">
      <c r="A9498" s="3">
        <f>9491</f>
        <v>9491</v>
      </c>
      <c r="B9498" s="3" t="s">
        <v>9500</v>
      </c>
      <c r="C9498" s="3" t="s">
        <v>9</v>
      </c>
      <c r="D9498" s="3" t="s">
        <v>9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/>
      <c r="P9498" s="3"/>
      <c r="Q9498" s="3"/>
    </row>
    <row r="9499" spans="1:17" ht="15" x14ac:dyDescent="0.25">
      <c r="A9499" s="3">
        <f>9492</f>
        <v>9492</v>
      </c>
      <c r="B9499" s="3" t="s">
        <v>9501</v>
      </c>
      <c r="C9499" s="3" t="s">
        <v>9</v>
      </c>
      <c r="D9499" s="3" t="s">
        <v>9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/>
      <c r="P9499" s="3"/>
      <c r="Q9499" s="3"/>
    </row>
    <row r="9500" spans="1:17" ht="15" x14ac:dyDescent="0.25">
      <c r="A9500" s="3">
        <f>9493</f>
        <v>9493</v>
      </c>
      <c r="B9500" s="3" t="s">
        <v>9502</v>
      </c>
      <c r="C9500" s="3" t="s">
        <v>9</v>
      </c>
      <c r="D9500" s="3" t="s">
        <v>9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/>
      <c r="P9500" s="3"/>
      <c r="Q9500" s="3"/>
    </row>
    <row r="9501" spans="1:17" ht="15" x14ac:dyDescent="0.25">
      <c r="A9501" s="3">
        <f>9494</f>
        <v>9494</v>
      </c>
      <c r="B9501" s="3" t="s">
        <v>9503</v>
      </c>
      <c r="C9501" s="3" t="s">
        <v>9</v>
      </c>
      <c r="D9501" s="3" t="s">
        <v>9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/>
      <c r="P9501" s="3"/>
      <c r="Q9501" s="3"/>
    </row>
    <row r="9502" spans="1:17" ht="15" x14ac:dyDescent="0.25">
      <c r="A9502" s="3">
        <f>9495</f>
        <v>9495</v>
      </c>
      <c r="B9502" s="3" t="s">
        <v>9504</v>
      </c>
      <c r="C9502" s="3" t="s">
        <v>9</v>
      </c>
      <c r="D9502" s="3" t="s">
        <v>9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/>
      <c r="P9502" s="3"/>
      <c r="Q9502" s="3"/>
    </row>
    <row r="9503" spans="1:17" ht="15" x14ac:dyDescent="0.25">
      <c r="A9503" s="3">
        <f>9496</f>
        <v>9496</v>
      </c>
      <c r="B9503" s="3" t="s">
        <v>9505</v>
      </c>
      <c r="C9503" s="3" t="s">
        <v>9</v>
      </c>
      <c r="D9503" s="3" t="s">
        <v>9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/>
      <c r="P9503" s="3"/>
      <c r="Q9503" s="3"/>
    </row>
    <row r="9504" spans="1:17" ht="15" x14ac:dyDescent="0.25">
      <c r="A9504" s="3">
        <f>9497</f>
        <v>9497</v>
      </c>
      <c r="B9504" s="3" t="s">
        <v>9506</v>
      </c>
      <c r="C9504" s="3" t="s">
        <v>9</v>
      </c>
      <c r="D9504" s="3" t="s">
        <v>9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/>
      <c r="P9504" s="3"/>
      <c r="Q9504" s="3"/>
    </row>
    <row r="9505" spans="1:17" ht="15" x14ac:dyDescent="0.25">
      <c r="A9505" s="3">
        <f>9498</f>
        <v>9498</v>
      </c>
      <c r="B9505" s="3" t="s">
        <v>9507</v>
      </c>
      <c r="C9505" s="3" t="s">
        <v>9</v>
      </c>
      <c r="D9505" s="3" t="s">
        <v>9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/>
      <c r="P9505" s="3"/>
      <c r="Q9505" s="3"/>
    </row>
    <row r="9506" spans="1:17" ht="15" x14ac:dyDescent="0.25">
      <c r="A9506" s="3">
        <f>9499</f>
        <v>9499</v>
      </c>
      <c r="B9506" s="3" t="s">
        <v>9508</v>
      </c>
      <c r="C9506" s="3" t="s">
        <v>9</v>
      </c>
      <c r="D9506" s="3" t="s">
        <v>9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/>
      <c r="P9506" s="3"/>
      <c r="Q9506" s="3"/>
    </row>
    <row r="9507" spans="1:17" ht="15" x14ac:dyDescent="0.25">
      <c r="A9507" s="3">
        <f>9500</f>
        <v>9500</v>
      </c>
      <c r="B9507" s="3" t="s">
        <v>9509</v>
      </c>
      <c r="C9507" s="3" t="s">
        <v>9</v>
      </c>
      <c r="D9507" s="3" t="s">
        <v>9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/>
      <c r="P9507" s="3"/>
      <c r="Q9507" s="3"/>
    </row>
    <row r="9508" spans="1:17" ht="15" x14ac:dyDescent="0.25">
      <c r="A9508" s="3">
        <f>9501</f>
        <v>9501</v>
      </c>
      <c r="B9508" s="3" t="s">
        <v>9510</v>
      </c>
      <c r="C9508" s="3" t="s">
        <v>9</v>
      </c>
      <c r="D9508" s="3" t="s">
        <v>9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/>
      <c r="P9508" s="3"/>
      <c r="Q9508" s="3"/>
    </row>
    <row r="9509" spans="1:17" ht="15" x14ac:dyDescent="0.25">
      <c r="A9509" s="3">
        <f>9502</f>
        <v>9502</v>
      </c>
      <c r="B9509" s="3" t="s">
        <v>9511</v>
      </c>
      <c r="C9509" s="3" t="s">
        <v>9</v>
      </c>
      <c r="D9509" s="3" t="s">
        <v>9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/>
      <c r="P9509" s="3"/>
      <c r="Q9509" s="3"/>
    </row>
    <row r="9510" spans="1:17" ht="15" x14ac:dyDescent="0.25">
      <c r="A9510" s="3">
        <f>9503</f>
        <v>9503</v>
      </c>
      <c r="B9510" s="3" t="s">
        <v>9512</v>
      </c>
      <c r="C9510" s="3" t="s">
        <v>9</v>
      </c>
      <c r="D9510" s="3" t="s">
        <v>9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/>
      <c r="P9510" s="3"/>
      <c r="Q9510" s="3"/>
    </row>
    <row r="9511" spans="1:17" ht="15" x14ac:dyDescent="0.25">
      <c r="A9511" s="3">
        <f>9504</f>
        <v>9504</v>
      </c>
      <c r="B9511" s="3" t="s">
        <v>9513</v>
      </c>
      <c r="C9511" s="3" t="s">
        <v>9</v>
      </c>
      <c r="D9511" s="3" t="s">
        <v>9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/>
      <c r="P9511" s="3"/>
      <c r="Q9511" s="3"/>
    </row>
    <row r="9512" spans="1:17" ht="15" x14ac:dyDescent="0.25">
      <c r="A9512" s="3">
        <f>9505</f>
        <v>9505</v>
      </c>
      <c r="B9512" s="3" t="s">
        <v>9514</v>
      </c>
      <c r="C9512" s="3" t="s">
        <v>9</v>
      </c>
      <c r="D9512" s="3" t="s">
        <v>9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/>
      <c r="P9512" s="3"/>
      <c r="Q9512" s="3"/>
    </row>
    <row r="9513" spans="1:17" ht="15" x14ac:dyDescent="0.25">
      <c r="A9513" s="3">
        <f>9506</f>
        <v>9506</v>
      </c>
      <c r="B9513" s="3" t="s">
        <v>9515</v>
      </c>
      <c r="C9513" s="3" t="s">
        <v>9</v>
      </c>
      <c r="D9513" s="3" t="s">
        <v>9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/>
      <c r="P9513" s="3"/>
      <c r="Q9513" s="3"/>
    </row>
    <row r="9514" spans="1:17" ht="15" x14ac:dyDescent="0.25">
      <c r="A9514" s="3">
        <f>9507</f>
        <v>9507</v>
      </c>
      <c r="B9514" s="3" t="s">
        <v>9516</v>
      </c>
      <c r="C9514" s="3" t="s">
        <v>9</v>
      </c>
      <c r="D9514" s="3" t="s">
        <v>9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/>
      <c r="P9514" s="3"/>
      <c r="Q9514" s="3"/>
    </row>
    <row r="9515" spans="1:17" ht="15" x14ac:dyDescent="0.25">
      <c r="A9515" s="3">
        <f>9508</f>
        <v>9508</v>
      </c>
      <c r="B9515" s="3" t="s">
        <v>9517</v>
      </c>
      <c r="C9515" s="3" t="s">
        <v>9</v>
      </c>
      <c r="D9515" s="3" t="s">
        <v>9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/>
      <c r="P9515" s="3"/>
      <c r="Q9515" s="3"/>
    </row>
    <row r="9516" spans="1:17" ht="15" x14ac:dyDescent="0.25">
      <c r="A9516" s="3">
        <f>9509</f>
        <v>9509</v>
      </c>
      <c r="B9516" s="3" t="s">
        <v>9518</v>
      </c>
      <c r="C9516" s="3" t="s">
        <v>9</v>
      </c>
      <c r="D9516" s="3" t="s">
        <v>9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/>
      <c r="P9516" s="3"/>
      <c r="Q9516" s="3"/>
    </row>
    <row r="9517" spans="1:17" ht="15" x14ac:dyDescent="0.25">
      <c r="A9517" s="3">
        <f>9510</f>
        <v>9510</v>
      </c>
      <c r="B9517" s="3" t="s">
        <v>9519</v>
      </c>
      <c r="C9517" s="3" t="s">
        <v>9</v>
      </c>
      <c r="D9517" s="3" t="s">
        <v>9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/>
      <c r="P9517" s="3"/>
      <c r="Q9517" s="3"/>
    </row>
    <row r="9518" spans="1:17" ht="15" x14ac:dyDescent="0.25">
      <c r="A9518" s="3">
        <f>9511</f>
        <v>9511</v>
      </c>
      <c r="B9518" s="3" t="s">
        <v>9520</v>
      </c>
      <c r="C9518" s="3" t="s">
        <v>9</v>
      </c>
      <c r="D9518" s="3" t="s">
        <v>9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/>
      <c r="P9518" s="3"/>
      <c r="Q9518" s="3"/>
    </row>
    <row r="9519" spans="1:17" ht="15" x14ac:dyDescent="0.25">
      <c r="A9519" s="3">
        <f>9512</f>
        <v>9512</v>
      </c>
      <c r="B9519" s="3" t="s">
        <v>9521</v>
      </c>
      <c r="C9519" s="3" t="s">
        <v>9</v>
      </c>
      <c r="D9519" s="3" t="s">
        <v>9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/>
      <c r="P9519" s="3"/>
      <c r="Q9519" s="3"/>
    </row>
    <row r="9520" spans="1:17" ht="15" x14ac:dyDescent="0.25">
      <c r="A9520" s="3">
        <f>9513</f>
        <v>9513</v>
      </c>
      <c r="B9520" s="3" t="s">
        <v>9522</v>
      </c>
      <c r="C9520" s="3" t="s">
        <v>9</v>
      </c>
      <c r="D9520" s="3" t="s">
        <v>9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/>
      <c r="P9520" s="3"/>
      <c r="Q9520" s="3"/>
    </row>
    <row r="9521" spans="1:17" ht="15" x14ac:dyDescent="0.25">
      <c r="A9521" s="3">
        <f>9514</f>
        <v>9514</v>
      </c>
      <c r="B9521" s="3" t="s">
        <v>9523</v>
      </c>
      <c r="C9521" s="3" t="s">
        <v>9</v>
      </c>
      <c r="D9521" s="3" t="s">
        <v>9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/>
      <c r="P9521" s="3"/>
      <c r="Q9521" s="3"/>
    </row>
    <row r="9522" spans="1:17" ht="15" x14ac:dyDescent="0.25">
      <c r="A9522" s="3">
        <f>9515</f>
        <v>9515</v>
      </c>
      <c r="B9522" s="3" t="s">
        <v>9524</v>
      </c>
      <c r="C9522" s="3" t="s">
        <v>9</v>
      </c>
      <c r="D9522" s="3" t="s">
        <v>9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/>
      <c r="P9522" s="3"/>
      <c r="Q9522" s="3"/>
    </row>
    <row r="9523" spans="1:17" ht="15" x14ac:dyDescent="0.25">
      <c r="A9523" s="3">
        <f>9516</f>
        <v>9516</v>
      </c>
      <c r="B9523" s="3" t="s">
        <v>9525</v>
      </c>
      <c r="C9523" s="3" t="s">
        <v>9</v>
      </c>
      <c r="D9523" s="3" t="s">
        <v>9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/>
      <c r="P9523" s="3"/>
      <c r="Q9523" s="3"/>
    </row>
    <row r="9524" spans="1:17" ht="15" x14ac:dyDescent="0.25">
      <c r="A9524" s="3">
        <f>9517</f>
        <v>9517</v>
      </c>
      <c r="B9524" s="3" t="s">
        <v>9526</v>
      </c>
      <c r="C9524" s="3" t="s">
        <v>9</v>
      </c>
      <c r="D9524" s="3" t="s">
        <v>9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/>
      <c r="P9524" s="3"/>
      <c r="Q9524" s="3"/>
    </row>
    <row r="9525" spans="1:17" ht="15" x14ac:dyDescent="0.25">
      <c r="A9525" s="3">
        <f>9518</f>
        <v>9518</v>
      </c>
      <c r="B9525" s="3" t="s">
        <v>9527</v>
      </c>
      <c r="C9525" s="3" t="s">
        <v>9</v>
      </c>
      <c r="D9525" s="3" t="s">
        <v>9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/>
      <c r="P9525" s="3"/>
      <c r="Q9525" s="3"/>
    </row>
    <row r="9526" spans="1:17" ht="15" x14ac:dyDescent="0.25">
      <c r="A9526" s="3">
        <f>9519</f>
        <v>9519</v>
      </c>
      <c r="B9526" s="3" t="s">
        <v>9528</v>
      </c>
      <c r="C9526" s="3" t="s">
        <v>9</v>
      </c>
      <c r="D9526" s="3" t="s">
        <v>9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/>
      <c r="P9526" s="3"/>
      <c r="Q9526" s="3"/>
    </row>
    <row r="9527" spans="1:17" ht="15" x14ac:dyDescent="0.25">
      <c r="A9527" s="3">
        <f>9520</f>
        <v>9520</v>
      </c>
      <c r="B9527" s="3" t="s">
        <v>9529</v>
      </c>
      <c r="C9527" s="3" t="s">
        <v>9</v>
      </c>
      <c r="D9527" s="3" t="s">
        <v>9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/>
      <c r="P9527" s="3"/>
      <c r="Q9527" s="3"/>
    </row>
    <row r="9528" spans="1:17" ht="15" x14ac:dyDescent="0.25">
      <c r="A9528" s="3">
        <f>9521</f>
        <v>9521</v>
      </c>
      <c r="B9528" s="3" t="s">
        <v>9530</v>
      </c>
      <c r="C9528" s="3" t="s">
        <v>9</v>
      </c>
      <c r="D9528" s="3" t="s">
        <v>9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/>
      <c r="P9528" s="3"/>
      <c r="Q9528" s="3"/>
    </row>
    <row r="9529" spans="1:17" ht="15" x14ac:dyDescent="0.25">
      <c r="A9529" s="3">
        <f>9522</f>
        <v>9522</v>
      </c>
      <c r="B9529" s="3" t="s">
        <v>9531</v>
      </c>
      <c r="C9529" s="3" t="s">
        <v>9</v>
      </c>
      <c r="D9529" s="3" t="s">
        <v>9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/>
      <c r="P9529" s="3"/>
      <c r="Q9529" s="3"/>
    </row>
    <row r="9530" spans="1:17" ht="15" x14ac:dyDescent="0.25">
      <c r="A9530" s="3">
        <f>9523</f>
        <v>9523</v>
      </c>
      <c r="B9530" s="3" t="s">
        <v>9532</v>
      </c>
      <c r="C9530" s="3" t="s">
        <v>9</v>
      </c>
      <c r="D9530" s="3" t="s">
        <v>9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/>
      <c r="P9530" s="3"/>
      <c r="Q9530" s="3"/>
    </row>
    <row r="9531" spans="1:17" ht="15" x14ac:dyDescent="0.25">
      <c r="A9531" s="3">
        <f>9524</f>
        <v>9524</v>
      </c>
      <c r="B9531" s="3" t="s">
        <v>9533</v>
      </c>
      <c r="C9531" s="3" t="s">
        <v>9</v>
      </c>
      <c r="D9531" s="3" t="s">
        <v>9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/>
      <c r="P9531" s="3"/>
      <c r="Q9531" s="3"/>
    </row>
    <row r="9532" spans="1:17" ht="15" x14ac:dyDescent="0.25">
      <c r="A9532" s="3">
        <f>9525</f>
        <v>9525</v>
      </c>
      <c r="B9532" s="3" t="s">
        <v>9534</v>
      </c>
      <c r="C9532" s="3" t="s">
        <v>9</v>
      </c>
      <c r="D9532" s="3" t="s">
        <v>9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/>
      <c r="P9532" s="3"/>
      <c r="Q9532" s="3"/>
    </row>
    <row r="9533" spans="1:17" ht="15" x14ac:dyDescent="0.25">
      <c r="A9533" s="3">
        <f>9526</f>
        <v>9526</v>
      </c>
      <c r="B9533" s="3" t="s">
        <v>9535</v>
      </c>
      <c r="C9533" s="3" t="s">
        <v>9</v>
      </c>
      <c r="D9533" s="3" t="s">
        <v>9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/>
      <c r="P9533" s="3"/>
      <c r="Q9533" s="3"/>
    </row>
    <row r="9534" spans="1:17" ht="15" x14ac:dyDescent="0.25">
      <c r="A9534" s="3">
        <f>9527</f>
        <v>9527</v>
      </c>
      <c r="B9534" s="3" t="s">
        <v>9536</v>
      </c>
      <c r="C9534" s="3" t="s">
        <v>9</v>
      </c>
      <c r="D9534" s="3" t="s">
        <v>9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/>
      <c r="P9534" s="3"/>
      <c r="Q9534" s="3"/>
    </row>
    <row r="9535" spans="1:17" ht="15" x14ac:dyDescent="0.25">
      <c r="A9535" s="3">
        <f>9528</f>
        <v>9528</v>
      </c>
      <c r="B9535" s="3" t="s">
        <v>9537</v>
      </c>
      <c r="C9535" s="3" t="s">
        <v>9</v>
      </c>
      <c r="D9535" s="3" t="s">
        <v>9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/>
      <c r="P9535" s="3"/>
      <c r="Q9535" s="3"/>
    </row>
    <row r="9536" spans="1:17" ht="15" x14ac:dyDescent="0.25">
      <c r="A9536" s="3">
        <f>9529</f>
        <v>9529</v>
      </c>
      <c r="B9536" s="3" t="s">
        <v>9538</v>
      </c>
      <c r="C9536" s="3" t="s">
        <v>9</v>
      </c>
      <c r="D9536" s="3" t="s">
        <v>9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/>
      <c r="P9536" s="3"/>
      <c r="Q9536" s="3"/>
    </row>
    <row r="9537" spans="1:17" ht="15" x14ac:dyDescent="0.25">
      <c r="A9537" s="3">
        <f>9530</f>
        <v>9530</v>
      </c>
      <c r="B9537" s="3" t="s">
        <v>9539</v>
      </c>
      <c r="C9537" s="3" t="s">
        <v>9</v>
      </c>
      <c r="D9537" s="3" t="s">
        <v>9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/>
      <c r="P9537" s="3"/>
      <c r="Q9537" s="3"/>
    </row>
    <row r="9538" spans="1:17" ht="15" x14ac:dyDescent="0.25">
      <c r="A9538" s="3">
        <f>9531</f>
        <v>9531</v>
      </c>
      <c r="B9538" s="3" t="s">
        <v>9540</v>
      </c>
      <c r="C9538" s="3" t="s">
        <v>9</v>
      </c>
      <c r="D9538" s="3" t="s">
        <v>9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/>
      <c r="P9538" s="3"/>
      <c r="Q9538" s="3"/>
    </row>
    <row r="9539" spans="1:17" ht="15" x14ac:dyDescent="0.25">
      <c r="A9539" s="3">
        <f>9532</f>
        <v>9532</v>
      </c>
      <c r="B9539" s="3" t="s">
        <v>9541</v>
      </c>
      <c r="C9539" s="3" t="s">
        <v>9</v>
      </c>
      <c r="D9539" s="3" t="s">
        <v>9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/>
      <c r="P9539" s="3"/>
      <c r="Q9539" s="3"/>
    </row>
    <row r="9540" spans="1:17" ht="15" x14ac:dyDescent="0.25">
      <c r="A9540" s="3">
        <f>9533</f>
        <v>9533</v>
      </c>
      <c r="B9540" s="3" t="s">
        <v>9542</v>
      </c>
      <c r="C9540" s="3" t="s">
        <v>9</v>
      </c>
      <c r="D9540" s="3" t="s">
        <v>9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/>
      <c r="P9540" s="3"/>
      <c r="Q9540" s="3"/>
    </row>
    <row r="9541" spans="1:17" ht="15" x14ac:dyDescent="0.25">
      <c r="A9541" s="3">
        <f>9534</f>
        <v>9534</v>
      </c>
      <c r="B9541" s="3" t="s">
        <v>9543</v>
      </c>
      <c r="C9541" s="3" t="s">
        <v>9</v>
      </c>
      <c r="D9541" s="3" t="s">
        <v>9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/>
      <c r="P9541" s="3"/>
      <c r="Q9541" s="3"/>
    </row>
    <row r="9542" spans="1:17" ht="15" x14ac:dyDescent="0.25">
      <c r="A9542" s="3">
        <f>9535</f>
        <v>9535</v>
      </c>
      <c r="B9542" s="3" t="s">
        <v>9544</v>
      </c>
      <c r="C9542" s="3" t="s">
        <v>9</v>
      </c>
      <c r="D9542" s="3" t="s">
        <v>9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/>
      <c r="P9542" s="3"/>
      <c r="Q9542" s="3"/>
    </row>
    <row r="9543" spans="1:17" ht="15" x14ac:dyDescent="0.25">
      <c r="A9543" s="3">
        <f>9536</f>
        <v>9536</v>
      </c>
      <c r="B9543" s="3" t="s">
        <v>9545</v>
      </c>
      <c r="C9543" s="3" t="s">
        <v>9</v>
      </c>
      <c r="D9543" s="3" t="s">
        <v>9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/>
      <c r="P9543" s="3"/>
      <c r="Q9543" s="3"/>
    </row>
    <row r="9544" spans="1:17" ht="15" x14ac:dyDescent="0.25">
      <c r="A9544" s="3">
        <f>9537</f>
        <v>9537</v>
      </c>
      <c r="B9544" s="3" t="s">
        <v>9546</v>
      </c>
      <c r="C9544" s="3" t="s">
        <v>9</v>
      </c>
      <c r="D9544" s="3" t="s">
        <v>9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/>
      <c r="P9544" s="3"/>
      <c r="Q9544" s="3"/>
    </row>
    <row r="9545" spans="1:17" ht="15" x14ac:dyDescent="0.25">
      <c r="A9545" s="3">
        <f>9538</f>
        <v>9538</v>
      </c>
      <c r="B9545" s="3" t="s">
        <v>9547</v>
      </c>
      <c r="C9545" s="3" t="s">
        <v>9</v>
      </c>
      <c r="D9545" s="3" t="s">
        <v>9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/>
      <c r="P9545" s="3"/>
      <c r="Q9545" s="3"/>
    </row>
    <row r="9546" spans="1:17" ht="15" x14ac:dyDescent="0.25">
      <c r="A9546" s="3">
        <f>9539</f>
        <v>9539</v>
      </c>
      <c r="B9546" s="3" t="s">
        <v>9548</v>
      </c>
      <c r="C9546" s="3" t="s">
        <v>9</v>
      </c>
      <c r="D9546" s="3" t="s">
        <v>9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/>
      <c r="P9546" s="3"/>
      <c r="Q9546" s="3"/>
    </row>
    <row r="9547" spans="1:17" ht="15" x14ac:dyDescent="0.25">
      <c r="A9547" s="3">
        <f>9540</f>
        <v>9540</v>
      </c>
      <c r="B9547" s="3" t="s">
        <v>9549</v>
      </c>
      <c r="C9547" s="3" t="s">
        <v>9</v>
      </c>
      <c r="D9547" s="3" t="s">
        <v>9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/>
      <c r="P9547" s="3"/>
      <c r="Q9547" s="3"/>
    </row>
    <row r="9548" spans="1:17" ht="15" x14ac:dyDescent="0.25">
      <c r="A9548" s="3">
        <f>9541</f>
        <v>9541</v>
      </c>
      <c r="B9548" s="3" t="s">
        <v>9550</v>
      </c>
      <c r="C9548" s="3" t="s">
        <v>9</v>
      </c>
      <c r="D9548" s="3" t="s">
        <v>9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/>
      <c r="P9548" s="3"/>
      <c r="Q9548" s="3"/>
    </row>
    <row r="9549" spans="1:17" ht="15" x14ac:dyDescent="0.25">
      <c r="A9549" s="3">
        <f>9542</f>
        <v>9542</v>
      </c>
      <c r="B9549" s="3" t="s">
        <v>9551</v>
      </c>
      <c r="C9549" s="3" t="s">
        <v>9</v>
      </c>
      <c r="D9549" s="3" t="s">
        <v>9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/>
      <c r="P9549" s="3"/>
      <c r="Q9549" s="3"/>
    </row>
    <row r="9550" spans="1:17" ht="15" x14ac:dyDescent="0.25">
      <c r="A9550" s="3">
        <f>9543</f>
        <v>9543</v>
      </c>
      <c r="B9550" s="3" t="s">
        <v>9552</v>
      </c>
      <c r="C9550" s="3" t="s">
        <v>9</v>
      </c>
      <c r="D9550" s="3" t="s">
        <v>9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/>
      <c r="P9550" s="3"/>
      <c r="Q9550" s="3"/>
    </row>
    <row r="9551" spans="1:17" ht="15" x14ac:dyDescent="0.25">
      <c r="A9551" s="3">
        <f>9544</f>
        <v>9544</v>
      </c>
      <c r="B9551" s="3" t="s">
        <v>9553</v>
      </c>
      <c r="C9551" s="3" t="s">
        <v>9</v>
      </c>
      <c r="D9551" s="3" t="s">
        <v>9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/>
      <c r="P9551" s="3"/>
      <c r="Q9551" s="3"/>
    </row>
    <row r="9552" spans="1:17" ht="15" x14ac:dyDescent="0.25">
      <c r="A9552" s="3">
        <f>9545</f>
        <v>9545</v>
      </c>
      <c r="B9552" s="3" t="s">
        <v>9554</v>
      </c>
      <c r="C9552" s="3" t="s">
        <v>9</v>
      </c>
      <c r="D9552" s="3" t="s">
        <v>9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/>
      <c r="P9552" s="3"/>
      <c r="Q9552" s="3"/>
    </row>
    <row r="9553" spans="1:17" ht="15" x14ac:dyDescent="0.25">
      <c r="A9553" s="3">
        <f>9546</f>
        <v>9546</v>
      </c>
      <c r="B9553" s="3" t="s">
        <v>9555</v>
      </c>
      <c r="C9553" s="3" t="s">
        <v>9</v>
      </c>
      <c r="D9553" s="3" t="s">
        <v>9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/>
      <c r="P9553" s="3"/>
      <c r="Q9553" s="3"/>
    </row>
    <row r="9554" spans="1:17" ht="15" x14ac:dyDescent="0.25">
      <c r="A9554" s="3">
        <f>9547</f>
        <v>9547</v>
      </c>
      <c r="B9554" s="3" t="s">
        <v>9556</v>
      </c>
      <c r="C9554" s="3" t="s">
        <v>9</v>
      </c>
      <c r="D9554" s="3" t="s">
        <v>9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/>
      <c r="P9554" s="3"/>
      <c r="Q9554" s="3"/>
    </row>
    <row r="9555" spans="1:17" ht="15" x14ac:dyDescent="0.25">
      <c r="A9555" s="3">
        <f>9548</f>
        <v>9548</v>
      </c>
      <c r="B9555" s="3" t="s">
        <v>9557</v>
      </c>
      <c r="C9555" s="3" t="s">
        <v>9</v>
      </c>
      <c r="D9555" s="3" t="s">
        <v>9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/>
      <c r="P9555" s="3"/>
      <c r="Q9555" s="3"/>
    </row>
    <row r="9556" spans="1:17" ht="15" x14ac:dyDescent="0.25">
      <c r="A9556" s="3">
        <f>9549</f>
        <v>9549</v>
      </c>
      <c r="B9556" s="3" t="s">
        <v>9558</v>
      </c>
      <c r="C9556" s="3" t="s">
        <v>9</v>
      </c>
      <c r="D9556" s="3" t="s">
        <v>9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/>
      <c r="P9556" s="3"/>
      <c r="Q9556" s="3"/>
    </row>
    <row r="9557" spans="1:17" ht="15" x14ac:dyDescent="0.25">
      <c r="A9557" s="3">
        <f>9550</f>
        <v>9550</v>
      </c>
      <c r="B9557" s="3" t="s">
        <v>9559</v>
      </c>
      <c r="C9557" s="3" t="s">
        <v>9</v>
      </c>
      <c r="D9557" s="3" t="s">
        <v>9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/>
      <c r="P9557" s="3"/>
      <c r="Q9557" s="3"/>
    </row>
    <row r="9558" spans="1:17" ht="15" x14ac:dyDescent="0.25">
      <c r="A9558" s="3">
        <f>9551</f>
        <v>9551</v>
      </c>
      <c r="B9558" s="3" t="s">
        <v>9560</v>
      </c>
      <c r="C9558" s="3" t="s">
        <v>9</v>
      </c>
      <c r="D9558" s="3" t="s">
        <v>9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/>
      <c r="P9558" s="3"/>
      <c r="Q9558" s="3"/>
    </row>
    <row r="9559" spans="1:17" ht="15" x14ac:dyDescent="0.25">
      <c r="A9559" s="3">
        <f>9552</f>
        <v>9552</v>
      </c>
      <c r="B9559" s="3" t="s">
        <v>9561</v>
      </c>
      <c r="C9559" s="3" t="s">
        <v>9</v>
      </c>
      <c r="D9559" s="3" t="s">
        <v>9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/>
      <c r="P9559" s="3"/>
      <c r="Q9559" s="3"/>
    </row>
    <row r="9560" spans="1:17" ht="15" x14ac:dyDescent="0.25">
      <c r="A9560" s="3">
        <f>9553</f>
        <v>9553</v>
      </c>
      <c r="B9560" s="3" t="s">
        <v>9562</v>
      </c>
      <c r="C9560" s="3" t="s">
        <v>9</v>
      </c>
      <c r="D9560" s="3" t="s">
        <v>9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/>
      <c r="P9560" s="3"/>
      <c r="Q9560" s="3"/>
    </row>
    <row r="9561" spans="1:17" ht="15" x14ac:dyDescent="0.25">
      <c r="A9561" s="3">
        <f>9554</f>
        <v>9554</v>
      </c>
      <c r="B9561" s="3" t="s">
        <v>9563</v>
      </c>
      <c r="C9561" s="3" t="s">
        <v>9</v>
      </c>
      <c r="D9561" s="3" t="s">
        <v>9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/>
      <c r="P9561" s="3"/>
      <c r="Q9561" s="3"/>
    </row>
    <row r="9562" spans="1:17" ht="15" x14ac:dyDescent="0.25">
      <c r="A9562" s="3">
        <f>9555</f>
        <v>9555</v>
      </c>
      <c r="B9562" s="3" t="s">
        <v>9564</v>
      </c>
      <c r="C9562" s="3" t="s">
        <v>9</v>
      </c>
      <c r="D9562" s="3" t="s">
        <v>9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/>
      <c r="P9562" s="3"/>
      <c r="Q9562" s="3"/>
    </row>
    <row r="9563" spans="1:17" ht="15" x14ac:dyDescent="0.25">
      <c r="A9563" s="3">
        <f>9556</f>
        <v>9556</v>
      </c>
      <c r="B9563" s="3" t="s">
        <v>9565</v>
      </c>
      <c r="C9563" s="3" t="s">
        <v>9</v>
      </c>
      <c r="D9563" s="3" t="s">
        <v>9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/>
      <c r="P9563" s="3"/>
      <c r="Q9563" s="3"/>
    </row>
    <row r="9564" spans="1:17" ht="15" x14ac:dyDescent="0.25">
      <c r="A9564" s="3">
        <f>9557</f>
        <v>9557</v>
      </c>
      <c r="B9564" s="3" t="s">
        <v>9566</v>
      </c>
      <c r="C9564" s="3" t="s">
        <v>9</v>
      </c>
      <c r="D9564" s="3" t="s">
        <v>9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/>
      <c r="P9564" s="3"/>
      <c r="Q9564" s="3"/>
    </row>
    <row r="9565" spans="1:17" ht="15" x14ac:dyDescent="0.25">
      <c r="A9565" s="3">
        <f>9558</f>
        <v>9558</v>
      </c>
      <c r="B9565" s="3" t="s">
        <v>9567</v>
      </c>
      <c r="C9565" s="3" t="s">
        <v>9</v>
      </c>
      <c r="D9565" s="3" t="s">
        <v>9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/>
      <c r="P9565" s="3"/>
      <c r="Q9565" s="3"/>
    </row>
    <row r="9566" spans="1:17" ht="15" x14ac:dyDescent="0.25">
      <c r="A9566" s="3">
        <f>9559</f>
        <v>9559</v>
      </c>
      <c r="B9566" s="3" t="s">
        <v>9568</v>
      </c>
      <c r="C9566" s="3" t="s">
        <v>9</v>
      </c>
      <c r="D9566" s="3" t="s">
        <v>9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/>
      <c r="P9566" s="3"/>
      <c r="Q9566" s="3"/>
    </row>
    <row r="9567" spans="1:17" ht="15" x14ac:dyDescent="0.25">
      <c r="A9567" s="3">
        <f>9560</f>
        <v>9560</v>
      </c>
      <c r="B9567" s="3" t="s">
        <v>9569</v>
      </c>
      <c r="C9567" s="3" t="s">
        <v>9</v>
      </c>
      <c r="D9567" s="3" t="s">
        <v>9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/>
      <c r="P9567" s="3"/>
      <c r="Q9567" s="3"/>
    </row>
    <row r="9568" spans="1:17" ht="15" x14ac:dyDescent="0.25">
      <c r="A9568" s="3">
        <f>9561</f>
        <v>9561</v>
      </c>
      <c r="B9568" s="3" t="s">
        <v>9570</v>
      </c>
      <c r="C9568" s="3" t="s">
        <v>9</v>
      </c>
      <c r="D9568" s="3" t="s">
        <v>9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/>
      <c r="P9568" s="3"/>
      <c r="Q9568" s="3"/>
    </row>
    <row r="9569" spans="1:17" ht="15" x14ac:dyDescent="0.25">
      <c r="A9569" s="3">
        <f>9562</f>
        <v>9562</v>
      </c>
      <c r="B9569" s="3" t="s">
        <v>9571</v>
      </c>
      <c r="C9569" s="3" t="s">
        <v>9</v>
      </c>
      <c r="D9569" s="3" t="s">
        <v>9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/>
      <c r="P9569" s="3"/>
      <c r="Q9569" s="3"/>
    </row>
    <row r="9570" spans="1:17" ht="15" x14ac:dyDescent="0.25">
      <c r="A9570" s="3">
        <f>9563</f>
        <v>9563</v>
      </c>
      <c r="B9570" s="3" t="s">
        <v>9572</v>
      </c>
      <c r="C9570" s="3" t="s">
        <v>9</v>
      </c>
      <c r="D9570" s="3" t="s">
        <v>9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/>
      <c r="P9570" s="3"/>
      <c r="Q9570" s="3"/>
    </row>
    <row r="9571" spans="1:17" ht="15" x14ac:dyDescent="0.25">
      <c r="A9571" s="3">
        <f>9564</f>
        <v>9564</v>
      </c>
      <c r="B9571" s="3" t="s">
        <v>9573</v>
      </c>
      <c r="C9571" s="3" t="s">
        <v>9</v>
      </c>
      <c r="D9571" s="3" t="s">
        <v>9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/>
      <c r="P9571" s="3"/>
      <c r="Q9571" s="3"/>
    </row>
    <row r="9572" spans="1:17" ht="15" x14ac:dyDescent="0.25">
      <c r="A9572" s="3">
        <f>9565</f>
        <v>9565</v>
      </c>
      <c r="B9572" s="3" t="s">
        <v>9574</v>
      </c>
      <c r="C9572" s="3" t="s">
        <v>9</v>
      </c>
      <c r="D9572" s="3" t="s">
        <v>9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/>
      <c r="P9572" s="3"/>
      <c r="Q9572" s="3"/>
    </row>
    <row r="9573" spans="1:17" ht="15" x14ac:dyDescent="0.25">
      <c r="A9573" s="3">
        <f>9566</f>
        <v>9566</v>
      </c>
      <c r="B9573" s="3" t="s">
        <v>9575</v>
      </c>
      <c r="C9573" s="3" t="s">
        <v>9</v>
      </c>
      <c r="D9573" s="3" t="s">
        <v>9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/>
      <c r="P9573" s="3"/>
      <c r="Q9573" s="3"/>
    </row>
    <row r="9574" spans="1:17" ht="15" x14ac:dyDescent="0.25">
      <c r="A9574" s="3">
        <f>9567</f>
        <v>9567</v>
      </c>
      <c r="B9574" s="3" t="s">
        <v>9576</v>
      </c>
      <c r="C9574" s="3" t="s">
        <v>9</v>
      </c>
      <c r="D9574" s="3" t="s">
        <v>9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/>
      <c r="P9574" s="3"/>
      <c r="Q9574" s="3"/>
    </row>
    <row r="9575" spans="1:17" ht="15" x14ac:dyDescent="0.25">
      <c r="A9575" s="3">
        <f>9568</f>
        <v>9568</v>
      </c>
      <c r="B9575" s="3" t="s">
        <v>9577</v>
      </c>
      <c r="C9575" s="3" t="s">
        <v>9</v>
      </c>
      <c r="D9575" s="3" t="s">
        <v>9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/>
      <c r="P9575" s="3"/>
      <c r="Q9575" s="3"/>
    </row>
    <row r="9576" spans="1:17" ht="15" x14ac:dyDescent="0.25">
      <c r="A9576" s="3">
        <f>9569</f>
        <v>9569</v>
      </c>
      <c r="B9576" s="3" t="s">
        <v>9578</v>
      </c>
      <c r="C9576" s="3" t="s">
        <v>9</v>
      </c>
      <c r="D9576" s="3" t="s">
        <v>9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/>
      <c r="P9576" s="3"/>
      <c r="Q9576" s="3"/>
    </row>
    <row r="9577" spans="1:17" ht="15" x14ac:dyDescent="0.25">
      <c r="A9577" s="3">
        <f>9570</f>
        <v>9570</v>
      </c>
      <c r="B9577" s="3" t="s">
        <v>9579</v>
      </c>
      <c r="C9577" s="3" t="s">
        <v>9</v>
      </c>
      <c r="D9577" s="3" t="s">
        <v>9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/>
      <c r="P9577" s="3"/>
      <c r="Q9577" s="3"/>
    </row>
    <row r="9578" spans="1:17" ht="15" x14ac:dyDescent="0.25">
      <c r="A9578" s="3">
        <f>9571</f>
        <v>9571</v>
      </c>
      <c r="B9578" s="3" t="s">
        <v>9580</v>
      </c>
      <c r="C9578" s="3" t="s">
        <v>9</v>
      </c>
      <c r="D9578" s="3" t="s">
        <v>9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/>
      <c r="P9578" s="3"/>
      <c r="Q9578" s="3"/>
    </row>
    <row r="9579" spans="1:17" ht="15" x14ac:dyDescent="0.25">
      <c r="A9579" s="3">
        <f>9572</f>
        <v>9572</v>
      </c>
      <c r="B9579" s="3" t="s">
        <v>9581</v>
      </c>
      <c r="C9579" s="3" t="s">
        <v>9</v>
      </c>
      <c r="D9579" s="3" t="s">
        <v>9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/>
      <c r="P9579" s="3"/>
      <c r="Q9579" s="3"/>
    </row>
    <row r="9580" spans="1:17" ht="15" x14ac:dyDescent="0.25">
      <c r="A9580" s="3">
        <f>9573</f>
        <v>9573</v>
      </c>
      <c r="B9580" s="3" t="s">
        <v>9582</v>
      </c>
      <c r="C9580" s="3" t="s">
        <v>9</v>
      </c>
      <c r="D9580" s="3" t="s">
        <v>9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/>
      <c r="P9580" s="3"/>
      <c r="Q9580" s="3"/>
    </row>
    <row r="9581" spans="1:17" ht="15" x14ac:dyDescent="0.25">
      <c r="A9581" s="3">
        <f>9574</f>
        <v>9574</v>
      </c>
      <c r="B9581" s="3" t="s">
        <v>9583</v>
      </c>
      <c r="C9581" s="3" t="s">
        <v>9</v>
      </c>
      <c r="D9581" s="3" t="s">
        <v>9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/>
      <c r="P9581" s="3"/>
      <c r="Q9581" s="3"/>
    </row>
    <row r="9582" spans="1:17" ht="15" x14ac:dyDescent="0.25">
      <c r="A9582" s="3">
        <f>9575</f>
        <v>9575</v>
      </c>
      <c r="B9582" s="3" t="s">
        <v>9584</v>
      </c>
      <c r="C9582" s="3" t="s">
        <v>9</v>
      </c>
      <c r="D9582" s="3" t="s">
        <v>9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/>
      <c r="P9582" s="3"/>
      <c r="Q9582" s="3"/>
    </row>
    <row r="9583" spans="1:17" ht="15" x14ac:dyDescent="0.25">
      <c r="A9583" s="3">
        <f>9576</f>
        <v>9576</v>
      </c>
      <c r="B9583" s="3" t="s">
        <v>9585</v>
      </c>
      <c r="C9583" s="3" t="s">
        <v>9</v>
      </c>
      <c r="D9583" s="3" t="s">
        <v>9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/>
      <c r="P9583" s="3"/>
      <c r="Q9583" s="3"/>
    </row>
    <row r="9584" spans="1:17" ht="15" x14ac:dyDescent="0.25">
      <c r="A9584" s="3">
        <f>9577</f>
        <v>9577</v>
      </c>
      <c r="B9584" s="3" t="s">
        <v>9586</v>
      </c>
      <c r="C9584" s="3" t="s">
        <v>9</v>
      </c>
      <c r="D9584" s="3" t="s">
        <v>9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/>
      <c r="P9584" s="3"/>
      <c r="Q9584" s="3"/>
    </row>
    <row r="9585" spans="1:17" ht="15" x14ac:dyDescent="0.25">
      <c r="A9585" s="3">
        <f>9578</f>
        <v>9578</v>
      </c>
      <c r="B9585" s="3" t="s">
        <v>9587</v>
      </c>
      <c r="C9585" s="3" t="s">
        <v>9</v>
      </c>
      <c r="D9585" s="3" t="s">
        <v>9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/>
      <c r="P9585" s="3"/>
      <c r="Q9585" s="3"/>
    </row>
    <row r="9586" spans="1:17" ht="15" x14ac:dyDescent="0.25">
      <c r="A9586" s="3">
        <f>9579</f>
        <v>9579</v>
      </c>
      <c r="B9586" s="3" t="s">
        <v>9588</v>
      </c>
      <c r="C9586" s="3" t="s">
        <v>9</v>
      </c>
      <c r="D9586" s="3" t="s">
        <v>9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/>
      <c r="P9586" s="3"/>
      <c r="Q9586" s="3"/>
    </row>
    <row r="9587" spans="1:17" ht="15" x14ac:dyDescent="0.25">
      <c r="A9587" s="3">
        <f>9580</f>
        <v>9580</v>
      </c>
      <c r="B9587" s="3" t="s">
        <v>9589</v>
      </c>
      <c r="C9587" s="3" t="s">
        <v>9</v>
      </c>
      <c r="D9587" s="3" t="s">
        <v>9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/>
      <c r="P9587" s="3"/>
      <c r="Q9587" s="3"/>
    </row>
    <row r="9588" spans="1:17" ht="15" x14ac:dyDescent="0.25">
      <c r="A9588" s="3">
        <f>9581</f>
        <v>9581</v>
      </c>
      <c r="B9588" s="3" t="s">
        <v>9590</v>
      </c>
      <c r="C9588" s="3" t="s">
        <v>9</v>
      </c>
      <c r="D9588" s="3" t="s">
        <v>9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/>
      <c r="P9588" s="3"/>
      <c r="Q9588" s="3"/>
    </row>
    <row r="9589" spans="1:17" ht="15" x14ac:dyDescent="0.25">
      <c r="A9589" s="3">
        <f>9582</f>
        <v>9582</v>
      </c>
      <c r="B9589" s="3" t="s">
        <v>9591</v>
      </c>
      <c r="C9589" s="3" t="s">
        <v>9</v>
      </c>
      <c r="D9589" s="3" t="s">
        <v>9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/>
      <c r="P9589" s="3"/>
      <c r="Q9589" s="3"/>
    </row>
    <row r="9590" spans="1:17" ht="15" x14ac:dyDescent="0.25">
      <c r="A9590" s="3">
        <f>9583</f>
        <v>9583</v>
      </c>
      <c r="B9590" s="3" t="s">
        <v>9592</v>
      </c>
      <c r="C9590" s="3" t="s">
        <v>9</v>
      </c>
      <c r="D9590" s="3" t="s">
        <v>9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/>
      <c r="P9590" s="3"/>
      <c r="Q9590" s="3"/>
    </row>
    <row r="9591" spans="1:17" ht="15" x14ac:dyDescent="0.25">
      <c r="A9591" s="3">
        <f>9584</f>
        <v>9584</v>
      </c>
      <c r="B9591" s="3" t="s">
        <v>9593</v>
      </c>
      <c r="C9591" s="3" t="s">
        <v>9</v>
      </c>
      <c r="D9591" s="3" t="s">
        <v>9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/>
      <c r="P9591" s="3"/>
      <c r="Q9591" s="3"/>
    </row>
    <row r="9592" spans="1:17" ht="15" x14ac:dyDescent="0.25">
      <c r="A9592" s="3">
        <f>9585</f>
        <v>9585</v>
      </c>
      <c r="B9592" s="3" t="s">
        <v>9594</v>
      </c>
      <c r="C9592" s="3" t="s">
        <v>9</v>
      </c>
      <c r="D9592" s="3" t="s">
        <v>9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/>
      <c r="P9592" s="3"/>
      <c r="Q9592" s="3"/>
    </row>
    <row r="9593" spans="1:17" ht="15" x14ac:dyDescent="0.25">
      <c r="A9593" s="3">
        <f>9586</f>
        <v>9586</v>
      </c>
      <c r="B9593" s="3" t="s">
        <v>9595</v>
      </c>
      <c r="C9593" s="3" t="s">
        <v>9</v>
      </c>
      <c r="D9593" s="3" t="s">
        <v>9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/>
      <c r="P9593" s="3"/>
      <c r="Q9593" s="3"/>
    </row>
    <row r="9594" spans="1:17" ht="15" x14ac:dyDescent="0.25">
      <c r="A9594" s="3">
        <f>9587</f>
        <v>9587</v>
      </c>
      <c r="B9594" s="3" t="s">
        <v>9596</v>
      </c>
      <c r="C9594" s="3" t="s">
        <v>9</v>
      </c>
      <c r="D9594" s="3" t="s">
        <v>9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/>
      <c r="P9594" s="3"/>
      <c r="Q9594" s="3"/>
    </row>
    <row r="9595" spans="1:17" ht="15" x14ac:dyDescent="0.25">
      <c r="A9595" s="3">
        <f>9588</f>
        <v>9588</v>
      </c>
      <c r="B9595" s="3" t="s">
        <v>9597</v>
      </c>
      <c r="C9595" s="3" t="s">
        <v>9</v>
      </c>
      <c r="D9595" s="3" t="s">
        <v>9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/>
      <c r="P9595" s="3"/>
      <c r="Q9595" s="3"/>
    </row>
    <row r="9596" spans="1:17" ht="15" x14ac:dyDescent="0.25">
      <c r="A9596" s="3">
        <f>9589</f>
        <v>9589</v>
      </c>
      <c r="B9596" s="3" t="s">
        <v>9598</v>
      </c>
      <c r="C9596" s="3" t="s">
        <v>9</v>
      </c>
      <c r="D9596" s="3" t="s">
        <v>9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/>
      <c r="P9596" s="3"/>
      <c r="Q9596" s="3"/>
    </row>
    <row r="9597" spans="1:17" ht="15" x14ac:dyDescent="0.25">
      <c r="A9597" s="3">
        <f>9590</f>
        <v>9590</v>
      </c>
      <c r="B9597" s="3" t="s">
        <v>9599</v>
      </c>
      <c r="C9597" s="3" t="s">
        <v>9</v>
      </c>
      <c r="D9597" s="3" t="s">
        <v>9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/>
      <c r="P9597" s="3"/>
      <c r="Q9597" s="3"/>
    </row>
    <row r="9598" spans="1:17" ht="15" x14ac:dyDescent="0.25">
      <c r="A9598" s="3">
        <f>9591</f>
        <v>9591</v>
      </c>
      <c r="B9598" s="3" t="s">
        <v>9600</v>
      </c>
      <c r="C9598" s="3" t="s">
        <v>9</v>
      </c>
      <c r="D9598" s="3" t="s">
        <v>9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/>
      <c r="P9598" s="3"/>
      <c r="Q9598" s="3"/>
    </row>
    <row r="9599" spans="1:17" ht="15" x14ac:dyDescent="0.25">
      <c r="A9599" s="3">
        <f>9592</f>
        <v>9592</v>
      </c>
      <c r="B9599" s="3" t="s">
        <v>9601</v>
      </c>
      <c r="C9599" s="3" t="s">
        <v>9</v>
      </c>
      <c r="D9599" s="3" t="s">
        <v>9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/>
      <c r="P9599" s="3"/>
      <c r="Q9599" s="3"/>
    </row>
    <row r="9600" spans="1:17" ht="15" x14ac:dyDescent="0.25">
      <c r="A9600" s="3">
        <f>9593</f>
        <v>9593</v>
      </c>
      <c r="B9600" s="3" t="s">
        <v>9602</v>
      </c>
      <c r="C9600" s="3" t="s">
        <v>9</v>
      </c>
      <c r="D9600" s="3" t="s">
        <v>9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/>
      <c r="P9600" s="3"/>
      <c r="Q9600" s="3"/>
    </row>
    <row r="9601" spans="1:17" ht="15" x14ac:dyDescent="0.25">
      <c r="A9601" s="3">
        <f>9594</f>
        <v>9594</v>
      </c>
      <c r="B9601" s="3" t="s">
        <v>9603</v>
      </c>
      <c r="C9601" s="3" t="s">
        <v>9</v>
      </c>
      <c r="D9601" s="3" t="s">
        <v>9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/>
      <c r="P9601" s="3"/>
      <c r="Q9601" s="3"/>
    </row>
    <row r="9602" spans="1:17" ht="15" x14ac:dyDescent="0.25">
      <c r="A9602" s="3">
        <f>9595</f>
        <v>9595</v>
      </c>
      <c r="B9602" s="3" t="s">
        <v>9604</v>
      </c>
      <c r="C9602" s="3" t="s">
        <v>9</v>
      </c>
      <c r="D9602" s="3" t="s">
        <v>9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/>
      <c r="P9602" s="3"/>
      <c r="Q9602" s="3"/>
    </row>
    <row r="9603" spans="1:17" ht="15" x14ac:dyDescent="0.25">
      <c r="A9603" s="3">
        <f>9596</f>
        <v>9596</v>
      </c>
      <c r="B9603" s="3" t="s">
        <v>9605</v>
      </c>
      <c r="C9603" s="3" t="s">
        <v>9</v>
      </c>
      <c r="D9603" s="3" t="s">
        <v>9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/>
      <c r="P9603" s="3"/>
      <c r="Q9603" s="3"/>
    </row>
    <row r="9604" spans="1:17" ht="15" x14ac:dyDescent="0.25">
      <c r="A9604" s="3">
        <f>9597</f>
        <v>9597</v>
      </c>
      <c r="B9604" s="3" t="s">
        <v>9606</v>
      </c>
      <c r="C9604" s="3" t="s">
        <v>9</v>
      </c>
      <c r="D9604" s="3" t="s">
        <v>9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/>
      <c r="P9604" s="3"/>
      <c r="Q9604" s="3"/>
    </row>
    <row r="9605" spans="1:17" ht="15" x14ac:dyDescent="0.25">
      <c r="A9605" s="3">
        <f>9598</f>
        <v>9598</v>
      </c>
      <c r="B9605" s="3" t="s">
        <v>9607</v>
      </c>
      <c r="C9605" s="3" t="s">
        <v>9</v>
      </c>
      <c r="D9605" s="3" t="s">
        <v>9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/>
      <c r="P9605" s="3"/>
      <c r="Q9605" s="3"/>
    </row>
    <row r="9606" spans="1:17" ht="15" x14ac:dyDescent="0.25">
      <c r="A9606" s="3">
        <f>9599</f>
        <v>9599</v>
      </c>
      <c r="B9606" s="3" t="s">
        <v>9608</v>
      </c>
      <c r="C9606" s="3" t="s">
        <v>9</v>
      </c>
      <c r="D9606" s="3" t="s">
        <v>9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/>
      <c r="P9606" s="3"/>
      <c r="Q9606" s="3"/>
    </row>
    <row r="9607" spans="1:17" ht="15" x14ac:dyDescent="0.25">
      <c r="A9607" s="3">
        <f>9600</f>
        <v>9600</v>
      </c>
      <c r="B9607" s="3" t="s">
        <v>9609</v>
      </c>
      <c r="C9607" s="3" t="s">
        <v>9</v>
      </c>
      <c r="D9607" s="3" t="s">
        <v>9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/>
      <c r="P9607" s="3"/>
      <c r="Q9607" s="3"/>
    </row>
    <row r="9608" spans="1:17" ht="15" x14ac:dyDescent="0.25">
      <c r="A9608" s="3">
        <f>9601</f>
        <v>9601</v>
      </c>
      <c r="B9608" s="3" t="s">
        <v>9610</v>
      </c>
      <c r="C9608" s="3" t="s">
        <v>9</v>
      </c>
      <c r="D9608" s="3" t="s">
        <v>9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/>
      <c r="P9608" s="3"/>
      <c r="Q9608" s="3"/>
    </row>
    <row r="9609" spans="1:17" ht="15" x14ac:dyDescent="0.25">
      <c r="A9609" s="3">
        <f>9602</f>
        <v>9602</v>
      </c>
      <c r="B9609" s="3" t="s">
        <v>9611</v>
      </c>
      <c r="C9609" s="3" t="s">
        <v>9</v>
      </c>
      <c r="D9609" s="3" t="s">
        <v>9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/>
      <c r="P9609" s="3"/>
      <c r="Q9609" s="3"/>
    </row>
    <row r="9610" spans="1:17" ht="15" x14ac:dyDescent="0.25">
      <c r="A9610" s="3">
        <f>9603</f>
        <v>9603</v>
      </c>
      <c r="B9610" s="3" t="s">
        <v>9612</v>
      </c>
      <c r="C9610" s="3" t="s">
        <v>9</v>
      </c>
      <c r="D9610" s="3" t="s">
        <v>9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/>
      <c r="P9610" s="3"/>
      <c r="Q9610" s="3"/>
    </row>
    <row r="9611" spans="1:17" ht="15" x14ac:dyDescent="0.25">
      <c r="A9611" s="3">
        <f>9604</f>
        <v>9604</v>
      </c>
      <c r="B9611" s="3" t="s">
        <v>9613</v>
      </c>
      <c r="C9611" s="3" t="s">
        <v>9</v>
      </c>
      <c r="D9611" s="3" t="s">
        <v>9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/>
      <c r="P9611" s="3"/>
      <c r="Q9611" s="3"/>
    </row>
    <row r="9612" spans="1:17" ht="15" x14ac:dyDescent="0.25">
      <c r="A9612" s="3">
        <f>9605</f>
        <v>9605</v>
      </c>
      <c r="B9612" s="3" t="s">
        <v>9614</v>
      </c>
      <c r="C9612" s="3" t="s">
        <v>9</v>
      </c>
      <c r="D9612" s="3" t="s">
        <v>9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/>
      <c r="P9612" s="3"/>
      <c r="Q9612" s="3"/>
    </row>
    <row r="9613" spans="1:17" ht="15" x14ac:dyDescent="0.25">
      <c r="A9613" s="3">
        <f>9606</f>
        <v>9606</v>
      </c>
      <c r="B9613" s="3" t="s">
        <v>9615</v>
      </c>
      <c r="C9613" s="3" t="s">
        <v>9</v>
      </c>
      <c r="D9613" s="3" t="s">
        <v>9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/>
      <c r="P9613" s="3"/>
      <c r="Q9613" s="3"/>
    </row>
    <row r="9614" spans="1:17" ht="15" x14ac:dyDescent="0.25">
      <c r="A9614" s="3">
        <f>9607</f>
        <v>9607</v>
      </c>
      <c r="B9614" s="3" t="s">
        <v>9616</v>
      </c>
      <c r="C9614" s="3" t="s">
        <v>9</v>
      </c>
      <c r="D9614" s="3" t="s">
        <v>9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/>
      <c r="P9614" s="3"/>
      <c r="Q9614" s="3"/>
    </row>
    <row r="9615" spans="1:17" ht="15" x14ac:dyDescent="0.25">
      <c r="A9615" s="3">
        <f>9608</f>
        <v>9608</v>
      </c>
      <c r="B9615" s="3" t="s">
        <v>9617</v>
      </c>
      <c r="C9615" s="3" t="s">
        <v>9</v>
      </c>
      <c r="D9615" s="3" t="s">
        <v>9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/>
      <c r="P9615" s="3"/>
      <c r="Q9615" s="3"/>
    </row>
    <row r="9616" spans="1:17" ht="15" x14ac:dyDescent="0.25">
      <c r="A9616" s="3">
        <f>9609</f>
        <v>9609</v>
      </c>
      <c r="B9616" s="3" t="s">
        <v>9618</v>
      </c>
      <c r="C9616" s="3" t="s">
        <v>9</v>
      </c>
      <c r="D9616" s="3" t="s">
        <v>9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/>
      <c r="P9616" s="3"/>
      <c r="Q9616" s="3"/>
    </row>
    <row r="9617" spans="1:17" ht="15" x14ac:dyDescent="0.25">
      <c r="A9617" s="3">
        <f>9610</f>
        <v>9610</v>
      </c>
      <c r="B9617" s="3" t="s">
        <v>9619</v>
      </c>
      <c r="C9617" s="3" t="s">
        <v>9</v>
      </c>
      <c r="D9617" s="3" t="s">
        <v>9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/>
      <c r="P9617" s="3"/>
      <c r="Q9617" s="3"/>
    </row>
    <row r="9618" spans="1:17" ht="15" x14ac:dyDescent="0.25">
      <c r="A9618" s="3">
        <f>9611</f>
        <v>9611</v>
      </c>
      <c r="B9618" s="3" t="s">
        <v>9620</v>
      </c>
      <c r="C9618" s="3" t="s">
        <v>9</v>
      </c>
      <c r="D9618" s="3" t="s">
        <v>9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/>
      <c r="P9618" s="3"/>
      <c r="Q9618" s="3"/>
    </row>
    <row r="9619" spans="1:17" ht="15" x14ac:dyDescent="0.25">
      <c r="A9619" s="3">
        <f>9612</f>
        <v>9612</v>
      </c>
      <c r="B9619" s="3" t="s">
        <v>9621</v>
      </c>
      <c r="C9619" s="3" t="s">
        <v>9</v>
      </c>
      <c r="D9619" s="3" t="s">
        <v>9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/>
      <c r="P9619" s="3"/>
      <c r="Q9619" s="3"/>
    </row>
    <row r="9620" spans="1:17" ht="15" x14ac:dyDescent="0.25">
      <c r="A9620" s="3">
        <f>9613</f>
        <v>9613</v>
      </c>
      <c r="B9620" s="3" t="s">
        <v>9622</v>
      </c>
      <c r="C9620" s="3" t="s">
        <v>9</v>
      </c>
      <c r="D9620" s="3" t="s">
        <v>9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/>
      <c r="P9620" s="3"/>
      <c r="Q9620" s="3"/>
    </row>
    <row r="9621" spans="1:17" ht="15" x14ac:dyDescent="0.25">
      <c r="A9621" s="3">
        <f>9614</f>
        <v>9614</v>
      </c>
      <c r="B9621" s="3" t="s">
        <v>9623</v>
      </c>
      <c r="C9621" s="3" t="s">
        <v>9</v>
      </c>
      <c r="D9621" s="3" t="s">
        <v>9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/>
      <c r="P9621" s="3"/>
      <c r="Q9621" s="3"/>
    </row>
    <row r="9622" spans="1:17" ht="15" x14ac:dyDescent="0.25">
      <c r="A9622" s="3">
        <f>9615</f>
        <v>9615</v>
      </c>
      <c r="B9622" s="3" t="s">
        <v>9624</v>
      </c>
      <c r="C9622" s="3" t="s">
        <v>9</v>
      </c>
      <c r="D9622" s="3" t="s">
        <v>9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/>
      <c r="P9622" s="3"/>
      <c r="Q9622" s="3"/>
    </row>
    <row r="9623" spans="1:17" ht="15" x14ac:dyDescent="0.25">
      <c r="A9623" s="3">
        <f>9616</f>
        <v>9616</v>
      </c>
      <c r="B9623" s="3" t="s">
        <v>9625</v>
      </c>
      <c r="C9623" s="3" t="s">
        <v>9</v>
      </c>
      <c r="D9623" s="3" t="s">
        <v>9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/>
      <c r="P9623" s="3"/>
      <c r="Q9623" s="3"/>
    </row>
    <row r="9624" spans="1:17" ht="15" x14ac:dyDescent="0.25">
      <c r="A9624" s="3">
        <f>9617</f>
        <v>9617</v>
      </c>
      <c r="B9624" s="3" t="s">
        <v>9626</v>
      </c>
      <c r="C9624" s="3" t="s">
        <v>9</v>
      </c>
      <c r="D9624" s="3" t="s">
        <v>9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/>
      <c r="P9624" s="3"/>
      <c r="Q9624" s="3"/>
    </row>
    <row r="9625" spans="1:17" ht="15" x14ac:dyDescent="0.25">
      <c r="A9625" s="3">
        <f>9618</f>
        <v>9618</v>
      </c>
      <c r="B9625" s="3" t="s">
        <v>9627</v>
      </c>
      <c r="C9625" s="3" t="s">
        <v>9</v>
      </c>
      <c r="D9625" s="3" t="s">
        <v>9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/>
      <c r="P9625" s="3"/>
      <c r="Q9625" s="3"/>
    </row>
    <row r="9626" spans="1:17" ht="15" x14ac:dyDescent="0.25">
      <c r="A9626" s="3">
        <f>9619</f>
        <v>9619</v>
      </c>
      <c r="B9626" s="3" t="s">
        <v>9628</v>
      </c>
      <c r="C9626" s="3" t="s">
        <v>9</v>
      </c>
      <c r="D9626" s="3" t="s">
        <v>9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/>
      <c r="P9626" s="3"/>
      <c r="Q9626" s="3"/>
    </row>
    <row r="9627" spans="1:17" ht="15" x14ac:dyDescent="0.25">
      <c r="A9627" s="3">
        <f>9620</f>
        <v>9620</v>
      </c>
      <c r="B9627" s="3" t="s">
        <v>9629</v>
      </c>
      <c r="C9627" s="3" t="s">
        <v>9</v>
      </c>
      <c r="D9627" s="3" t="s">
        <v>9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/>
      <c r="P9627" s="3"/>
      <c r="Q9627" s="3"/>
    </row>
    <row r="9628" spans="1:17" ht="15" x14ac:dyDescent="0.25">
      <c r="A9628" s="3">
        <f>9621</f>
        <v>9621</v>
      </c>
      <c r="B9628" s="3" t="s">
        <v>9630</v>
      </c>
      <c r="C9628" s="3" t="s">
        <v>9</v>
      </c>
      <c r="D9628" s="3" t="s">
        <v>9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/>
      <c r="P9628" s="3"/>
      <c r="Q9628" s="3"/>
    </row>
    <row r="9629" spans="1:17" ht="15" x14ac:dyDescent="0.25">
      <c r="A9629" s="3">
        <f>9622</f>
        <v>9622</v>
      </c>
      <c r="B9629" s="3" t="s">
        <v>9631</v>
      </c>
      <c r="C9629" s="3" t="s">
        <v>9</v>
      </c>
      <c r="D9629" s="3" t="s">
        <v>9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/>
      <c r="P9629" s="3"/>
      <c r="Q9629" s="3"/>
    </row>
    <row r="9630" spans="1:17" ht="15" x14ac:dyDescent="0.25">
      <c r="A9630" s="3">
        <f>9623</f>
        <v>9623</v>
      </c>
      <c r="B9630" s="3" t="s">
        <v>9632</v>
      </c>
      <c r="C9630" s="3" t="s">
        <v>9</v>
      </c>
      <c r="D9630" s="3" t="s">
        <v>9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/>
      <c r="P9630" s="3"/>
      <c r="Q9630" s="3"/>
    </row>
    <row r="9631" spans="1:17" ht="15" x14ac:dyDescent="0.25">
      <c r="A9631" s="3">
        <f>9624</f>
        <v>9624</v>
      </c>
      <c r="B9631" s="3" t="s">
        <v>9633</v>
      </c>
      <c r="C9631" s="3" t="s">
        <v>9</v>
      </c>
      <c r="D9631" s="3" t="s">
        <v>9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/>
      <c r="P9631" s="3"/>
      <c r="Q9631" s="3"/>
    </row>
    <row r="9632" spans="1:17" ht="15" x14ac:dyDescent="0.25">
      <c r="A9632" s="3">
        <f>9625</f>
        <v>9625</v>
      </c>
      <c r="B9632" s="3" t="s">
        <v>9634</v>
      </c>
      <c r="C9632" s="3" t="s">
        <v>9</v>
      </c>
      <c r="D9632" s="3" t="s">
        <v>9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/>
      <c r="P9632" s="3"/>
      <c r="Q9632" s="3"/>
    </row>
    <row r="9633" spans="1:17" ht="15" x14ac:dyDescent="0.25">
      <c r="A9633" s="3">
        <f>9626</f>
        <v>9626</v>
      </c>
      <c r="B9633" s="3" t="s">
        <v>9635</v>
      </c>
      <c r="C9633" s="3" t="s">
        <v>9</v>
      </c>
      <c r="D9633" s="3" t="s">
        <v>9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/>
      <c r="P9633" s="3"/>
      <c r="Q9633" s="3"/>
    </row>
    <row r="9634" spans="1:17" ht="15" x14ac:dyDescent="0.25">
      <c r="A9634" s="3">
        <f>9627</f>
        <v>9627</v>
      </c>
      <c r="B9634" s="3" t="s">
        <v>9636</v>
      </c>
      <c r="C9634" s="3" t="s">
        <v>9</v>
      </c>
      <c r="D9634" s="3" t="s">
        <v>9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/>
      <c r="P9634" s="3"/>
      <c r="Q9634" s="3"/>
    </row>
    <row r="9635" spans="1:17" ht="15" x14ac:dyDescent="0.25">
      <c r="A9635" s="3">
        <f>9628</f>
        <v>9628</v>
      </c>
      <c r="B9635" s="3" t="s">
        <v>9637</v>
      </c>
      <c r="C9635" s="3" t="s">
        <v>9</v>
      </c>
      <c r="D9635" s="3" t="s">
        <v>9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/>
      <c r="P9635" s="3"/>
      <c r="Q9635" s="3"/>
    </row>
    <row r="9636" spans="1:17" ht="15" x14ac:dyDescent="0.25">
      <c r="A9636" s="3">
        <f>9629</f>
        <v>9629</v>
      </c>
      <c r="B9636" s="3" t="s">
        <v>9638</v>
      </c>
      <c r="C9636" s="3" t="s">
        <v>9</v>
      </c>
      <c r="D9636" s="3" t="s">
        <v>9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/>
      <c r="P9636" s="3"/>
      <c r="Q9636" s="3"/>
    </row>
    <row r="9637" spans="1:17" ht="15" x14ac:dyDescent="0.25">
      <c r="A9637" s="3">
        <f>9630</f>
        <v>9630</v>
      </c>
      <c r="B9637" s="3" t="s">
        <v>9639</v>
      </c>
      <c r="C9637" s="3" t="s">
        <v>9</v>
      </c>
      <c r="D9637" s="3" t="s">
        <v>9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/>
      <c r="P9637" s="3"/>
      <c r="Q9637" s="3"/>
    </row>
    <row r="9638" spans="1:17" ht="15" x14ac:dyDescent="0.25">
      <c r="A9638" s="3">
        <f>9631</f>
        <v>9631</v>
      </c>
      <c r="B9638" s="3" t="s">
        <v>9640</v>
      </c>
      <c r="C9638" s="3" t="s">
        <v>9</v>
      </c>
      <c r="D9638" s="3" t="s">
        <v>9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/>
      <c r="P9638" s="3"/>
      <c r="Q9638" s="3"/>
    </row>
    <row r="9639" spans="1:17" ht="15" x14ac:dyDescent="0.25">
      <c r="A9639" s="3">
        <f>9632</f>
        <v>9632</v>
      </c>
      <c r="B9639" s="3" t="s">
        <v>9641</v>
      </c>
      <c r="C9639" s="3" t="s">
        <v>9</v>
      </c>
      <c r="D9639" s="3" t="s">
        <v>9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/>
      <c r="P9639" s="3"/>
      <c r="Q9639" s="3"/>
    </row>
    <row r="9640" spans="1:17" ht="15" x14ac:dyDescent="0.25">
      <c r="A9640" s="3">
        <f>9633</f>
        <v>9633</v>
      </c>
      <c r="B9640" s="3" t="s">
        <v>9642</v>
      </c>
      <c r="C9640" s="3" t="s">
        <v>9</v>
      </c>
      <c r="D9640" s="3" t="s">
        <v>9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/>
      <c r="P9640" s="3"/>
      <c r="Q9640" s="3"/>
    </row>
    <row r="9641" spans="1:17" ht="15" x14ac:dyDescent="0.25">
      <c r="A9641" s="3">
        <f>9634</f>
        <v>9634</v>
      </c>
      <c r="B9641" s="3" t="s">
        <v>9643</v>
      </c>
      <c r="C9641" s="3" t="s">
        <v>9</v>
      </c>
      <c r="D9641" s="3" t="s">
        <v>9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/>
      <c r="P9641" s="3"/>
      <c r="Q9641" s="3"/>
    </row>
    <row r="9642" spans="1:17" ht="15" x14ac:dyDescent="0.25">
      <c r="A9642" s="3">
        <f>9635</f>
        <v>9635</v>
      </c>
      <c r="B9642" s="3" t="s">
        <v>9644</v>
      </c>
      <c r="C9642" s="3" t="s">
        <v>9</v>
      </c>
      <c r="D9642" s="3" t="s">
        <v>9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/>
      <c r="P9642" s="3"/>
      <c r="Q9642" s="3"/>
    </row>
    <row r="9643" spans="1:17" ht="15" x14ac:dyDescent="0.25">
      <c r="A9643" s="3">
        <f>9636</f>
        <v>9636</v>
      </c>
      <c r="B9643" s="3" t="s">
        <v>9645</v>
      </c>
      <c r="C9643" s="3" t="s">
        <v>9</v>
      </c>
      <c r="D9643" s="3" t="s">
        <v>9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/>
      <c r="P9643" s="3"/>
      <c r="Q9643" s="3"/>
    </row>
    <row r="9644" spans="1:17" ht="15" x14ac:dyDescent="0.25">
      <c r="A9644" s="3">
        <f>9637</f>
        <v>9637</v>
      </c>
      <c r="B9644" s="3" t="s">
        <v>9646</v>
      </c>
      <c r="C9644" s="3" t="s">
        <v>9</v>
      </c>
      <c r="D9644" s="3" t="s">
        <v>9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/>
      <c r="P9644" s="3"/>
      <c r="Q9644" s="3"/>
    </row>
    <row r="9645" spans="1:17" ht="15" x14ac:dyDescent="0.25">
      <c r="A9645" s="3">
        <f>9638</f>
        <v>9638</v>
      </c>
      <c r="B9645" s="3" t="s">
        <v>9647</v>
      </c>
      <c r="C9645" s="3" t="s">
        <v>9</v>
      </c>
      <c r="D9645" s="3" t="s">
        <v>9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/>
      <c r="P9645" s="3"/>
      <c r="Q9645" s="3"/>
    </row>
    <row r="9646" spans="1:17" ht="15" x14ac:dyDescent="0.25">
      <c r="A9646" s="3">
        <f>9639</f>
        <v>9639</v>
      </c>
      <c r="B9646" s="3" t="s">
        <v>9648</v>
      </c>
      <c r="C9646" s="3" t="s">
        <v>9</v>
      </c>
      <c r="D9646" s="3" t="s">
        <v>9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/>
      <c r="P9646" s="3"/>
      <c r="Q9646" s="3"/>
    </row>
    <row r="9647" spans="1:17" ht="15" x14ac:dyDescent="0.25">
      <c r="A9647" s="3">
        <f>9640</f>
        <v>9640</v>
      </c>
      <c r="B9647" s="3" t="s">
        <v>9649</v>
      </c>
      <c r="C9647" s="3" t="s">
        <v>9</v>
      </c>
      <c r="D9647" s="3" t="s">
        <v>9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/>
      <c r="P9647" s="3"/>
      <c r="Q9647" s="3"/>
    </row>
    <row r="9648" spans="1:17" ht="15" x14ac:dyDescent="0.25">
      <c r="A9648" s="3">
        <f>9641</f>
        <v>9641</v>
      </c>
      <c r="B9648" s="3" t="s">
        <v>9650</v>
      </c>
      <c r="C9648" s="3" t="s">
        <v>9</v>
      </c>
      <c r="D9648" s="3" t="s">
        <v>9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/>
      <c r="P9648" s="3"/>
      <c r="Q9648" s="3"/>
    </row>
    <row r="9649" spans="1:17" ht="15" x14ac:dyDescent="0.25">
      <c r="A9649" s="3">
        <f>9642</f>
        <v>9642</v>
      </c>
      <c r="B9649" s="3" t="s">
        <v>9651</v>
      </c>
      <c r="C9649" s="3" t="s">
        <v>9</v>
      </c>
      <c r="D9649" s="3" t="s">
        <v>9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/>
      <c r="P9649" s="3"/>
      <c r="Q9649" s="3"/>
    </row>
    <row r="9650" spans="1:17" ht="15" x14ac:dyDescent="0.25">
      <c r="A9650" s="3">
        <f>9643</f>
        <v>9643</v>
      </c>
      <c r="B9650" s="3" t="s">
        <v>9652</v>
      </c>
      <c r="C9650" s="3" t="s">
        <v>9</v>
      </c>
      <c r="D9650" s="3" t="s">
        <v>9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/>
      <c r="P9650" s="3"/>
      <c r="Q9650" s="3"/>
    </row>
    <row r="9651" spans="1:17" ht="15" x14ac:dyDescent="0.25">
      <c r="A9651" s="3">
        <f>9644</f>
        <v>9644</v>
      </c>
      <c r="B9651" s="3" t="s">
        <v>9653</v>
      </c>
      <c r="C9651" s="3" t="s">
        <v>9</v>
      </c>
      <c r="D9651" s="3" t="s">
        <v>9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/>
      <c r="P9651" s="3"/>
      <c r="Q9651" s="3"/>
    </row>
    <row r="9652" spans="1:17" ht="15" x14ac:dyDescent="0.25">
      <c r="A9652" s="3">
        <f>9645</f>
        <v>9645</v>
      </c>
      <c r="B9652" s="3" t="s">
        <v>9654</v>
      </c>
      <c r="C9652" s="3" t="s">
        <v>9</v>
      </c>
      <c r="D9652" s="3" t="s">
        <v>9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/>
      <c r="P9652" s="3"/>
      <c r="Q9652" s="3"/>
    </row>
    <row r="9653" spans="1:17" ht="15" x14ac:dyDescent="0.25">
      <c r="A9653" s="3">
        <f>9646</f>
        <v>9646</v>
      </c>
      <c r="B9653" s="3" t="s">
        <v>9655</v>
      </c>
      <c r="C9653" s="3" t="s">
        <v>9</v>
      </c>
      <c r="D9653" s="3" t="s">
        <v>9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/>
      <c r="P9653" s="3"/>
      <c r="Q9653" s="3"/>
    </row>
    <row r="9654" spans="1:17" ht="15" x14ac:dyDescent="0.25">
      <c r="A9654" s="3">
        <f>9647</f>
        <v>9647</v>
      </c>
      <c r="B9654" s="3" t="s">
        <v>9656</v>
      </c>
      <c r="C9654" s="3" t="s">
        <v>9</v>
      </c>
      <c r="D9654" s="3" t="s">
        <v>9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/>
      <c r="P9654" s="3"/>
      <c r="Q9654" s="3"/>
    </row>
    <row r="9655" spans="1:17" ht="15" x14ac:dyDescent="0.25">
      <c r="A9655" s="3">
        <f>9648</f>
        <v>9648</v>
      </c>
      <c r="B9655" s="3" t="s">
        <v>9657</v>
      </c>
      <c r="C9655" s="3" t="s">
        <v>9</v>
      </c>
      <c r="D9655" s="3" t="s">
        <v>9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/>
      <c r="P9655" s="3"/>
      <c r="Q9655" s="3"/>
    </row>
    <row r="9656" spans="1:17" ht="15" x14ac:dyDescent="0.25">
      <c r="A9656" s="3">
        <f>9649</f>
        <v>9649</v>
      </c>
      <c r="B9656" s="3" t="s">
        <v>9658</v>
      </c>
      <c r="C9656" s="3" t="s">
        <v>9</v>
      </c>
      <c r="D9656" s="3" t="s">
        <v>9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/>
      <c r="P9656" s="3"/>
      <c r="Q9656" s="3"/>
    </row>
    <row r="9657" spans="1:17" ht="15" x14ac:dyDescent="0.25">
      <c r="A9657" s="3">
        <f>9650</f>
        <v>9650</v>
      </c>
      <c r="B9657" s="3" t="s">
        <v>9659</v>
      </c>
      <c r="C9657" s="3" t="s">
        <v>9</v>
      </c>
      <c r="D9657" s="3" t="s">
        <v>9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/>
      <c r="P9657" s="3"/>
      <c r="Q9657" s="3"/>
    </row>
    <row r="9658" spans="1:17" ht="15" x14ac:dyDescent="0.25">
      <c r="A9658" s="3">
        <f>9651</f>
        <v>9651</v>
      </c>
      <c r="B9658" s="3" t="s">
        <v>9660</v>
      </c>
      <c r="C9658" s="3" t="s">
        <v>9</v>
      </c>
      <c r="D9658" s="3" t="s">
        <v>9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/>
      <c r="P9658" s="3"/>
      <c r="Q9658" s="3"/>
    </row>
    <row r="9659" spans="1:17" ht="15" x14ac:dyDescent="0.25">
      <c r="A9659" s="3">
        <f>9652</f>
        <v>9652</v>
      </c>
      <c r="B9659" s="3" t="s">
        <v>9661</v>
      </c>
      <c r="C9659" s="3" t="s">
        <v>9</v>
      </c>
      <c r="D9659" s="3" t="s">
        <v>9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/>
      <c r="P9659" s="3"/>
      <c r="Q9659" s="3"/>
    </row>
    <row r="9660" spans="1:17" ht="15" x14ac:dyDescent="0.25">
      <c r="A9660" s="3">
        <f>9653</f>
        <v>9653</v>
      </c>
      <c r="B9660" s="3" t="s">
        <v>9662</v>
      </c>
      <c r="C9660" s="3" t="s">
        <v>9</v>
      </c>
      <c r="D9660" s="3" t="s">
        <v>9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/>
      <c r="P9660" s="3"/>
      <c r="Q9660" s="3"/>
    </row>
    <row r="9661" spans="1:17" ht="15" x14ac:dyDescent="0.25">
      <c r="A9661" s="3">
        <f>9654</f>
        <v>9654</v>
      </c>
      <c r="B9661" s="3" t="s">
        <v>9663</v>
      </c>
      <c r="C9661" s="3" t="s">
        <v>9</v>
      </c>
      <c r="D9661" s="3" t="s">
        <v>9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/>
      <c r="P9661" s="3"/>
      <c r="Q9661" s="3"/>
    </row>
    <row r="9662" spans="1:17" ht="15" x14ac:dyDescent="0.25">
      <c r="A9662" s="3">
        <f>9655</f>
        <v>9655</v>
      </c>
      <c r="B9662" s="3" t="s">
        <v>9664</v>
      </c>
      <c r="C9662" s="3" t="s">
        <v>9</v>
      </c>
      <c r="D9662" s="3" t="s">
        <v>9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/>
      <c r="P9662" s="3"/>
      <c r="Q9662" s="3"/>
    </row>
    <row r="9663" spans="1:17" ht="15" x14ac:dyDescent="0.25">
      <c r="A9663" s="3">
        <f>9656</f>
        <v>9656</v>
      </c>
      <c r="B9663" s="3" t="s">
        <v>9665</v>
      </c>
      <c r="C9663" s="3" t="s">
        <v>9</v>
      </c>
      <c r="D9663" s="3" t="s">
        <v>9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/>
      <c r="P9663" s="3"/>
      <c r="Q9663" s="3"/>
    </row>
    <row r="9664" spans="1:17" ht="15" x14ac:dyDescent="0.25">
      <c r="A9664" s="3">
        <f>9657</f>
        <v>9657</v>
      </c>
      <c r="B9664" s="3" t="s">
        <v>9666</v>
      </c>
      <c r="C9664" s="3" t="s">
        <v>9</v>
      </c>
      <c r="D9664" s="3" t="s">
        <v>9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/>
      <c r="P9664" s="3"/>
      <c r="Q9664" s="3"/>
    </row>
    <row r="9665" spans="1:17" ht="15" x14ac:dyDescent="0.25">
      <c r="A9665" s="3">
        <f>9658</f>
        <v>9658</v>
      </c>
      <c r="B9665" s="3" t="s">
        <v>9667</v>
      </c>
      <c r="C9665" s="3" t="s">
        <v>9</v>
      </c>
      <c r="D9665" s="3" t="s">
        <v>9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/>
      <c r="P9665" s="3"/>
      <c r="Q9665" s="3"/>
    </row>
    <row r="9666" spans="1:17" ht="15" x14ac:dyDescent="0.25">
      <c r="A9666" s="3">
        <f>9659</f>
        <v>9659</v>
      </c>
      <c r="B9666" s="3" t="s">
        <v>9668</v>
      </c>
      <c r="C9666" s="3" t="s">
        <v>9</v>
      </c>
      <c r="D9666" s="3" t="s">
        <v>9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/>
      <c r="P9666" s="3"/>
      <c r="Q9666" s="3"/>
    </row>
    <row r="9667" spans="1:17" ht="15" x14ac:dyDescent="0.25">
      <c r="A9667" s="3">
        <f>9660</f>
        <v>9660</v>
      </c>
      <c r="B9667" s="3" t="s">
        <v>9669</v>
      </c>
      <c r="C9667" s="3" t="s">
        <v>9</v>
      </c>
      <c r="D9667" s="3" t="s">
        <v>9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/>
      <c r="P9667" s="3"/>
      <c r="Q9667" s="3"/>
    </row>
    <row r="9668" spans="1:17" ht="15" x14ac:dyDescent="0.25">
      <c r="A9668" s="3">
        <f>9661</f>
        <v>9661</v>
      </c>
      <c r="B9668" s="3" t="s">
        <v>9670</v>
      </c>
      <c r="C9668" s="3" t="s">
        <v>9</v>
      </c>
      <c r="D9668" s="3" t="s">
        <v>9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/>
      <c r="P9668" s="3"/>
      <c r="Q9668" s="3"/>
    </row>
    <row r="9669" spans="1:17" ht="15" x14ac:dyDescent="0.25">
      <c r="A9669" s="3">
        <f>9662</f>
        <v>9662</v>
      </c>
      <c r="B9669" s="3" t="s">
        <v>9671</v>
      </c>
      <c r="C9669" s="3" t="s">
        <v>9</v>
      </c>
      <c r="D9669" s="3" t="s">
        <v>9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/>
      <c r="P9669" s="3"/>
      <c r="Q9669" s="3"/>
    </row>
    <row r="9670" spans="1:17" ht="15" x14ac:dyDescent="0.25">
      <c r="A9670" s="3">
        <f>9663</f>
        <v>9663</v>
      </c>
      <c r="B9670" s="3" t="s">
        <v>9672</v>
      </c>
      <c r="C9670" s="3" t="s">
        <v>9</v>
      </c>
      <c r="D9670" s="3" t="s">
        <v>9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/>
      <c r="P9670" s="3"/>
      <c r="Q9670" s="3"/>
    </row>
    <row r="9671" spans="1:17" ht="15" x14ac:dyDescent="0.25">
      <c r="A9671" s="3">
        <f>9664</f>
        <v>9664</v>
      </c>
      <c r="B9671" s="3" t="s">
        <v>9673</v>
      </c>
      <c r="C9671" s="3" t="s">
        <v>9</v>
      </c>
      <c r="D9671" s="3" t="s">
        <v>9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/>
      <c r="P9671" s="3"/>
      <c r="Q9671" s="3"/>
    </row>
    <row r="9672" spans="1:17" ht="15" x14ac:dyDescent="0.25">
      <c r="A9672" s="3">
        <f>9665</f>
        <v>9665</v>
      </c>
      <c r="B9672" s="3" t="s">
        <v>9674</v>
      </c>
      <c r="C9672" s="3" t="s">
        <v>9</v>
      </c>
      <c r="D9672" s="3" t="s">
        <v>9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/>
      <c r="P9672" s="3"/>
      <c r="Q9672" s="3"/>
    </row>
    <row r="9673" spans="1:17" ht="15" x14ac:dyDescent="0.25">
      <c r="A9673" s="3">
        <f>9666</f>
        <v>9666</v>
      </c>
      <c r="B9673" s="3" t="s">
        <v>9675</v>
      </c>
      <c r="C9673" s="3" t="s">
        <v>9</v>
      </c>
      <c r="D9673" s="3" t="s">
        <v>9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/>
      <c r="P9673" s="3"/>
      <c r="Q9673" s="3"/>
    </row>
    <row r="9674" spans="1:17" ht="15" x14ac:dyDescent="0.25">
      <c r="A9674" s="3">
        <f>9667</f>
        <v>9667</v>
      </c>
      <c r="B9674" s="3" t="s">
        <v>9676</v>
      </c>
      <c r="C9674" s="3" t="s">
        <v>9</v>
      </c>
      <c r="D9674" s="3" t="s">
        <v>9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/>
      <c r="P9674" s="3"/>
      <c r="Q9674" s="3"/>
    </row>
    <row r="9675" spans="1:17" ht="15" x14ac:dyDescent="0.25">
      <c r="A9675" s="3">
        <f>9668</f>
        <v>9668</v>
      </c>
      <c r="B9675" s="3" t="s">
        <v>9677</v>
      </c>
      <c r="C9675" s="3" t="s">
        <v>9</v>
      </c>
      <c r="D9675" s="3" t="s">
        <v>9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/>
      <c r="P9675" s="3"/>
      <c r="Q9675" s="3"/>
    </row>
    <row r="9676" spans="1:17" ht="15" x14ac:dyDescent="0.25">
      <c r="A9676" s="3">
        <f>9669</f>
        <v>9669</v>
      </c>
      <c r="B9676" s="3" t="s">
        <v>9678</v>
      </c>
      <c r="C9676" s="3" t="s">
        <v>9</v>
      </c>
      <c r="D9676" s="3" t="s">
        <v>9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/>
      <c r="P9676" s="3"/>
      <c r="Q9676" s="3"/>
    </row>
    <row r="9677" spans="1:17" ht="15" x14ac:dyDescent="0.25">
      <c r="A9677" s="3">
        <f>9670</f>
        <v>9670</v>
      </c>
      <c r="B9677" s="3" t="s">
        <v>9679</v>
      </c>
      <c r="C9677" s="3" t="s">
        <v>9</v>
      </c>
      <c r="D9677" s="3" t="s">
        <v>9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/>
      <c r="P9677" s="3"/>
      <c r="Q9677" s="3"/>
    </row>
    <row r="9678" spans="1:17" ht="15" x14ac:dyDescent="0.25">
      <c r="A9678" s="3">
        <f>9671</f>
        <v>9671</v>
      </c>
      <c r="B9678" s="3" t="s">
        <v>9680</v>
      </c>
      <c r="C9678" s="3" t="s">
        <v>9</v>
      </c>
      <c r="D9678" s="3" t="s">
        <v>9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/>
      <c r="P9678" s="3"/>
      <c r="Q9678" s="3"/>
    </row>
    <row r="9679" spans="1:17" ht="15" x14ac:dyDescent="0.25">
      <c r="A9679" s="3">
        <f>9672</f>
        <v>9672</v>
      </c>
      <c r="B9679" s="3" t="s">
        <v>9681</v>
      </c>
      <c r="C9679" s="3" t="s">
        <v>9</v>
      </c>
      <c r="D9679" s="3" t="s">
        <v>9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/>
      <c r="P9679" s="3"/>
      <c r="Q9679" s="3"/>
    </row>
    <row r="9680" spans="1:17" ht="15" x14ac:dyDescent="0.25">
      <c r="A9680" s="3">
        <f>9673</f>
        <v>9673</v>
      </c>
      <c r="B9680" s="3" t="s">
        <v>9682</v>
      </c>
      <c r="C9680" s="3" t="s">
        <v>9</v>
      </c>
      <c r="D9680" s="3" t="s">
        <v>9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/>
      <c r="P9680" s="3"/>
      <c r="Q9680" s="3"/>
    </row>
    <row r="9681" spans="1:17" ht="15" x14ac:dyDescent="0.25">
      <c r="A9681" s="3">
        <f>9674</f>
        <v>9674</v>
      </c>
      <c r="B9681" s="3" t="s">
        <v>9683</v>
      </c>
      <c r="C9681" s="3" t="s">
        <v>9</v>
      </c>
      <c r="D9681" s="3" t="s">
        <v>9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/>
      <c r="P9681" s="3"/>
      <c r="Q9681" s="3"/>
    </row>
    <row r="9682" spans="1:17" ht="15" x14ac:dyDescent="0.25">
      <c r="A9682" s="3">
        <f>9675</f>
        <v>9675</v>
      </c>
      <c r="B9682" s="3" t="s">
        <v>9684</v>
      </c>
      <c r="C9682" s="3" t="s">
        <v>9</v>
      </c>
      <c r="D9682" s="3" t="s">
        <v>9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/>
      <c r="P9682" s="3"/>
      <c r="Q9682" s="3"/>
    </row>
    <row r="9683" spans="1:17" ht="15" x14ac:dyDescent="0.25">
      <c r="A9683" s="3">
        <f>9676</f>
        <v>9676</v>
      </c>
      <c r="B9683" s="3" t="s">
        <v>9685</v>
      </c>
      <c r="C9683" s="3" t="s">
        <v>9</v>
      </c>
      <c r="D9683" s="3" t="s">
        <v>9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/>
      <c r="P9683" s="3"/>
      <c r="Q9683" s="3"/>
    </row>
    <row r="9684" spans="1:17" ht="15" x14ac:dyDescent="0.25">
      <c r="A9684" s="3">
        <f>9677</f>
        <v>9677</v>
      </c>
      <c r="B9684" s="3" t="s">
        <v>9686</v>
      </c>
      <c r="C9684" s="3" t="s">
        <v>9</v>
      </c>
      <c r="D9684" s="3" t="s">
        <v>9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/>
      <c r="P9684" s="3"/>
      <c r="Q9684" s="3"/>
    </row>
    <row r="9685" spans="1:17" ht="15" x14ac:dyDescent="0.25">
      <c r="A9685" s="3">
        <f>9678</f>
        <v>9678</v>
      </c>
      <c r="B9685" s="3" t="s">
        <v>9687</v>
      </c>
      <c r="C9685" s="3" t="s">
        <v>9</v>
      </c>
      <c r="D9685" s="3" t="s">
        <v>9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/>
      <c r="P9685" s="3"/>
      <c r="Q9685" s="3"/>
    </row>
    <row r="9686" spans="1:17" ht="15" x14ac:dyDescent="0.25">
      <c r="A9686" s="3">
        <f>9679</f>
        <v>9679</v>
      </c>
      <c r="B9686" s="3" t="s">
        <v>9688</v>
      </c>
      <c r="C9686" s="3" t="s">
        <v>9</v>
      </c>
      <c r="D9686" s="3" t="s">
        <v>9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/>
      <c r="P9686" s="3"/>
      <c r="Q9686" s="3"/>
    </row>
    <row r="9687" spans="1:17" ht="15" x14ac:dyDescent="0.25">
      <c r="A9687" s="3">
        <f>9680</f>
        <v>9680</v>
      </c>
      <c r="B9687" s="3" t="s">
        <v>9689</v>
      </c>
      <c r="C9687" s="3" t="s">
        <v>9</v>
      </c>
      <c r="D9687" s="3" t="s">
        <v>9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/>
      <c r="P9687" s="3"/>
      <c r="Q9687" s="3"/>
    </row>
    <row r="9688" spans="1:17" ht="15" x14ac:dyDescent="0.25">
      <c r="A9688" s="3">
        <f>9681</f>
        <v>9681</v>
      </c>
      <c r="B9688" s="3" t="s">
        <v>9690</v>
      </c>
      <c r="C9688" s="3" t="s">
        <v>9</v>
      </c>
      <c r="D9688" s="3" t="s">
        <v>9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/>
      <c r="P9688" s="3"/>
      <c r="Q9688" s="3"/>
    </row>
    <row r="9689" spans="1:17" ht="15" x14ac:dyDescent="0.25">
      <c r="A9689" s="3">
        <f>9682</f>
        <v>9682</v>
      </c>
      <c r="B9689" s="3" t="s">
        <v>9691</v>
      </c>
      <c r="C9689" s="3" t="s">
        <v>9</v>
      </c>
      <c r="D9689" s="3" t="s">
        <v>9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/>
      <c r="P9689" s="3"/>
      <c r="Q9689" s="3"/>
    </row>
    <row r="9690" spans="1:17" ht="15" x14ac:dyDescent="0.25">
      <c r="A9690" s="3">
        <f>9683</f>
        <v>9683</v>
      </c>
      <c r="B9690" s="3" t="s">
        <v>9692</v>
      </c>
      <c r="C9690" s="3" t="s">
        <v>9</v>
      </c>
      <c r="D9690" s="3" t="s">
        <v>9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/>
      <c r="P9690" s="3"/>
      <c r="Q9690" s="3"/>
    </row>
    <row r="9691" spans="1:17" ht="15" x14ac:dyDescent="0.25">
      <c r="A9691" s="3">
        <f>9684</f>
        <v>9684</v>
      </c>
      <c r="B9691" s="3" t="s">
        <v>9693</v>
      </c>
      <c r="C9691" s="3" t="s">
        <v>9</v>
      </c>
      <c r="D9691" s="3" t="s">
        <v>9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/>
      <c r="P9691" s="3"/>
      <c r="Q9691" s="3"/>
    </row>
    <row r="9692" spans="1:17" ht="15" x14ac:dyDescent="0.25">
      <c r="A9692" s="3">
        <f>9685</f>
        <v>9685</v>
      </c>
      <c r="B9692" s="3" t="s">
        <v>9694</v>
      </c>
      <c r="C9692" s="3" t="s">
        <v>9</v>
      </c>
      <c r="D9692" s="3" t="s">
        <v>9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/>
      <c r="P9692" s="3"/>
      <c r="Q9692" s="3"/>
    </row>
    <row r="9693" spans="1:17" ht="15" x14ac:dyDescent="0.25">
      <c r="A9693" s="3">
        <f>9686</f>
        <v>9686</v>
      </c>
      <c r="B9693" s="3" t="s">
        <v>9695</v>
      </c>
      <c r="C9693" s="3" t="s">
        <v>9</v>
      </c>
      <c r="D9693" s="3" t="s">
        <v>9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/>
      <c r="P9693" s="3"/>
      <c r="Q9693" s="3"/>
    </row>
    <row r="9694" spans="1:17" ht="15" x14ac:dyDescent="0.25">
      <c r="A9694" s="3">
        <f>9687</f>
        <v>9687</v>
      </c>
      <c r="B9694" s="3" t="s">
        <v>9696</v>
      </c>
      <c r="C9694" s="3" t="s">
        <v>9</v>
      </c>
      <c r="D9694" s="3" t="s">
        <v>9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/>
      <c r="P9694" s="3"/>
      <c r="Q9694" s="3"/>
    </row>
    <row r="9695" spans="1:17" ht="15" x14ac:dyDescent="0.25">
      <c r="A9695" s="3">
        <f>9688</f>
        <v>9688</v>
      </c>
      <c r="B9695" s="3" t="s">
        <v>9697</v>
      </c>
      <c r="C9695" s="3" t="s">
        <v>9</v>
      </c>
      <c r="D9695" s="3" t="s">
        <v>9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/>
      <c r="P9695" s="3"/>
      <c r="Q9695" s="3"/>
    </row>
    <row r="9696" spans="1:17" ht="15" x14ac:dyDescent="0.25">
      <c r="A9696" s="3">
        <f>9689</f>
        <v>9689</v>
      </c>
      <c r="B9696" s="3" t="s">
        <v>9698</v>
      </c>
      <c r="C9696" s="3" t="s">
        <v>9</v>
      </c>
      <c r="D9696" s="3" t="s">
        <v>9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/>
      <c r="P9696" s="3"/>
      <c r="Q9696" s="3"/>
    </row>
    <row r="9697" spans="1:17" ht="15" x14ac:dyDescent="0.25">
      <c r="A9697" s="3">
        <f>9690</f>
        <v>9690</v>
      </c>
      <c r="B9697" s="3" t="s">
        <v>9699</v>
      </c>
      <c r="C9697" s="3" t="s">
        <v>9</v>
      </c>
      <c r="D9697" s="3" t="s">
        <v>9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/>
      <c r="P9697" s="3"/>
      <c r="Q9697" s="3"/>
    </row>
    <row r="9698" spans="1:17" ht="15" x14ac:dyDescent="0.25">
      <c r="A9698" s="3">
        <f>9691</f>
        <v>9691</v>
      </c>
      <c r="B9698" s="3" t="s">
        <v>9700</v>
      </c>
      <c r="C9698" s="3" t="s">
        <v>9</v>
      </c>
      <c r="D9698" s="3" t="s">
        <v>9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/>
      <c r="P9698" s="3"/>
      <c r="Q9698" s="3"/>
    </row>
    <row r="9699" spans="1:17" ht="15" x14ac:dyDescent="0.25">
      <c r="A9699" s="3">
        <f>9692</f>
        <v>9692</v>
      </c>
      <c r="B9699" s="3" t="s">
        <v>9701</v>
      </c>
      <c r="C9699" s="3" t="s">
        <v>9</v>
      </c>
      <c r="D9699" s="3" t="s">
        <v>9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/>
      <c r="P9699" s="3"/>
      <c r="Q9699" s="3"/>
    </row>
    <row r="9700" spans="1:17" ht="15" x14ac:dyDescent="0.25">
      <c r="A9700" s="3">
        <f>9693</f>
        <v>9693</v>
      </c>
      <c r="B9700" s="3" t="s">
        <v>9702</v>
      </c>
      <c r="C9700" s="3" t="s">
        <v>9</v>
      </c>
      <c r="D9700" s="3" t="s">
        <v>9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/>
      <c r="P9700" s="3"/>
      <c r="Q9700" s="3"/>
    </row>
    <row r="9701" spans="1:17" ht="15" x14ac:dyDescent="0.25">
      <c r="A9701" s="3">
        <f>9694</f>
        <v>9694</v>
      </c>
      <c r="B9701" s="3" t="s">
        <v>9703</v>
      </c>
      <c r="C9701" s="3" t="s">
        <v>9</v>
      </c>
      <c r="D9701" s="3" t="s">
        <v>9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/>
      <c r="P9701" s="3"/>
      <c r="Q9701" s="3"/>
    </row>
    <row r="9702" spans="1:17" ht="15" x14ac:dyDescent="0.25">
      <c r="A9702" s="3">
        <f>9695</f>
        <v>9695</v>
      </c>
      <c r="B9702" s="3" t="s">
        <v>9704</v>
      </c>
      <c r="C9702" s="3" t="s">
        <v>9</v>
      </c>
      <c r="D9702" s="3" t="s">
        <v>9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/>
      <c r="P9702" s="3"/>
      <c r="Q9702" s="3"/>
    </row>
    <row r="9703" spans="1:17" ht="15" x14ac:dyDescent="0.25">
      <c r="A9703" s="3">
        <f>9696</f>
        <v>9696</v>
      </c>
      <c r="B9703" s="3" t="s">
        <v>9705</v>
      </c>
      <c r="C9703" s="3" t="s">
        <v>9</v>
      </c>
      <c r="D9703" s="3" t="s">
        <v>9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/>
      <c r="P9703" s="3"/>
      <c r="Q9703" s="3"/>
    </row>
    <row r="9704" spans="1:17" ht="15" x14ac:dyDescent="0.25">
      <c r="A9704" s="3">
        <f>9697</f>
        <v>9697</v>
      </c>
      <c r="B9704" s="3" t="s">
        <v>9706</v>
      </c>
      <c r="C9704" s="3" t="s">
        <v>9</v>
      </c>
      <c r="D9704" s="3" t="s">
        <v>9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/>
      <c r="P9704" s="3"/>
      <c r="Q9704" s="3"/>
    </row>
    <row r="9705" spans="1:17" ht="15" x14ac:dyDescent="0.25">
      <c r="A9705" s="3">
        <f>9698</f>
        <v>9698</v>
      </c>
      <c r="B9705" s="3" t="s">
        <v>9707</v>
      </c>
      <c r="C9705" s="3" t="s">
        <v>9</v>
      </c>
      <c r="D9705" s="3" t="s">
        <v>9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/>
      <c r="P9705" s="3"/>
      <c r="Q9705" s="3"/>
    </row>
    <row r="9706" spans="1:17" ht="15" x14ac:dyDescent="0.25">
      <c r="A9706" s="3">
        <f>9699</f>
        <v>9699</v>
      </c>
      <c r="B9706" s="3" t="s">
        <v>9708</v>
      </c>
      <c r="C9706" s="3" t="s">
        <v>9</v>
      </c>
      <c r="D9706" s="3" t="s">
        <v>9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/>
      <c r="P9706" s="3"/>
      <c r="Q9706" s="3"/>
    </row>
    <row r="9707" spans="1:17" ht="15" x14ac:dyDescent="0.25">
      <c r="A9707" s="3">
        <f>9700</f>
        <v>9700</v>
      </c>
      <c r="B9707" s="3" t="s">
        <v>9709</v>
      </c>
      <c r="C9707" s="3" t="s">
        <v>9</v>
      </c>
      <c r="D9707" s="3" t="s">
        <v>9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/>
      <c r="P9707" s="3"/>
      <c r="Q9707" s="3"/>
    </row>
    <row r="9708" spans="1:17" ht="15" x14ac:dyDescent="0.25">
      <c r="A9708" s="3">
        <f>9701</f>
        <v>9701</v>
      </c>
      <c r="B9708" s="3" t="s">
        <v>9710</v>
      </c>
      <c r="C9708" s="3" t="s">
        <v>9</v>
      </c>
      <c r="D9708" s="3" t="s">
        <v>9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/>
      <c r="P9708" s="3"/>
      <c r="Q9708" s="3"/>
    </row>
    <row r="9709" spans="1:17" ht="15" x14ac:dyDescent="0.25">
      <c r="A9709" s="3">
        <f>9702</f>
        <v>9702</v>
      </c>
      <c r="B9709" s="3" t="s">
        <v>9711</v>
      </c>
      <c r="C9709" s="3" t="s">
        <v>9</v>
      </c>
      <c r="D9709" s="3" t="s">
        <v>9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/>
      <c r="P9709" s="3"/>
      <c r="Q9709" s="3"/>
    </row>
    <row r="9710" spans="1:17" ht="15" x14ac:dyDescent="0.25">
      <c r="A9710" s="3">
        <f>9703</f>
        <v>9703</v>
      </c>
      <c r="B9710" s="3" t="s">
        <v>9712</v>
      </c>
      <c r="C9710" s="3" t="s">
        <v>9</v>
      </c>
      <c r="D9710" s="3" t="s">
        <v>9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/>
      <c r="P9710" s="3"/>
      <c r="Q9710" s="3"/>
    </row>
    <row r="9711" spans="1:17" ht="15" x14ac:dyDescent="0.25">
      <c r="A9711" s="3">
        <f>9704</f>
        <v>9704</v>
      </c>
      <c r="B9711" s="3" t="s">
        <v>9713</v>
      </c>
      <c r="C9711" s="3" t="s">
        <v>9</v>
      </c>
      <c r="D9711" s="3" t="s">
        <v>9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/>
      <c r="P9711" s="3"/>
      <c r="Q9711" s="3"/>
    </row>
    <row r="9712" spans="1:17" ht="15" x14ac:dyDescent="0.25">
      <c r="A9712" s="3">
        <f>9705</f>
        <v>9705</v>
      </c>
      <c r="B9712" s="3" t="s">
        <v>9714</v>
      </c>
      <c r="C9712" s="3" t="s">
        <v>9</v>
      </c>
      <c r="D9712" s="3" t="s">
        <v>9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/>
      <c r="P9712" s="3"/>
      <c r="Q9712" s="3"/>
    </row>
    <row r="9713" spans="1:17" ht="15" x14ac:dyDescent="0.25">
      <c r="A9713" s="3">
        <f>9706</f>
        <v>9706</v>
      </c>
      <c r="B9713" s="3" t="s">
        <v>9715</v>
      </c>
      <c r="C9713" s="3" t="s">
        <v>9</v>
      </c>
      <c r="D9713" s="3" t="s">
        <v>9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/>
      <c r="P9713" s="3"/>
      <c r="Q9713" s="3"/>
    </row>
    <row r="9714" spans="1:17" ht="15" x14ac:dyDescent="0.25">
      <c r="A9714" s="3">
        <f>9707</f>
        <v>9707</v>
      </c>
      <c r="B9714" s="3" t="s">
        <v>9716</v>
      </c>
      <c r="C9714" s="3" t="s">
        <v>9</v>
      </c>
      <c r="D9714" s="3" t="s">
        <v>9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/>
      <c r="P9714" s="3"/>
      <c r="Q9714" s="3"/>
    </row>
    <row r="9715" spans="1:17" ht="15" x14ac:dyDescent="0.25">
      <c r="A9715" s="3">
        <f>9708</f>
        <v>9708</v>
      </c>
      <c r="B9715" s="3" t="s">
        <v>9717</v>
      </c>
      <c r="C9715" s="3" t="s">
        <v>9</v>
      </c>
      <c r="D9715" s="3" t="s">
        <v>9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/>
      <c r="P9715" s="3"/>
      <c r="Q9715" s="3"/>
    </row>
    <row r="9716" spans="1:17" ht="15" x14ac:dyDescent="0.25">
      <c r="A9716" s="3">
        <f>9709</f>
        <v>9709</v>
      </c>
      <c r="B9716" s="3" t="s">
        <v>9718</v>
      </c>
      <c r="C9716" s="3" t="s">
        <v>9</v>
      </c>
      <c r="D9716" s="3" t="s">
        <v>9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/>
      <c r="P9716" s="3"/>
      <c r="Q9716" s="3"/>
    </row>
    <row r="9717" spans="1:17" ht="15" x14ac:dyDescent="0.25">
      <c r="A9717" s="3">
        <f>9710</f>
        <v>9710</v>
      </c>
      <c r="B9717" s="3" t="s">
        <v>9719</v>
      </c>
      <c r="C9717" s="3" t="s">
        <v>9</v>
      </c>
      <c r="D9717" s="3" t="s">
        <v>9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/>
      <c r="P9717" s="3"/>
      <c r="Q9717" s="3"/>
    </row>
    <row r="9718" spans="1:17" ht="15" x14ac:dyDescent="0.25">
      <c r="A9718" s="3">
        <f>9711</f>
        <v>9711</v>
      </c>
      <c r="B9718" s="3" t="s">
        <v>9720</v>
      </c>
      <c r="C9718" s="3" t="s">
        <v>9</v>
      </c>
      <c r="D9718" s="3" t="s">
        <v>9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/>
      <c r="P9718" s="3"/>
      <c r="Q9718" s="3"/>
    </row>
    <row r="9719" spans="1:17" ht="15" x14ac:dyDescent="0.25">
      <c r="A9719" s="3">
        <f>9712</f>
        <v>9712</v>
      </c>
      <c r="B9719" s="3" t="s">
        <v>9721</v>
      </c>
      <c r="C9719" s="3" t="s">
        <v>9</v>
      </c>
      <c r="D9719" s="3" t="s">
        <v>9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/>
      <c r="P9719" s="3"/>
      <c r="Q9719" s="3"/>
    </row>
    <row r="9720" spans="1:17" ht="15" x14ac:dyDescent="0.25">
      <c r="A9720" s="3">
        <f>9713</f>
        <v>9713</v>
      </c>
      <c r="B9720" s="3" t="s">
        <v>9722</v>
      </c>
      <c r="C9720" s="3" t="s">
        <v>9</v>
      </c>
      <c r="D9720" s="3" t="s">
        <v>9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/>
      <c r="P9720" s="3"/>
      <c r="Q9720" s="3"/>
    </row>
    <row r="9721" spans="1:17" ht="15" x14ac:dyDescent="0.25">
      <c r="A9721" s="3">
        <f>9714</f>
        <v>9714</v>
      </c>
      <c r="B9721" s="3" t="s">
        <v>9723</v>
      </c>
      <c r="C9721" s="3" t="s">
        <v>9</v>
      </c>
      <c r="D9721" s="3" t="s">
        <v>9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/>
      <c r="P9721" s="3"/>
      <c r="Q9721" s="3"/>
    </row>
    <row r="9722" spans="1:17" ht="15" x14ac:dyDescent="0.25">
      <c r="A9722" s="3">
        <f>9715</f>
        <v>9715</v>
      </c>
      <c r="B9722" s="3" t="s">
        <v>9724</v>
      </c>
      <c r="C9722" s="3" t="s">
        <v>9</v>
      </c>
      <c r="D9722" s="3" t="s">
        <v>9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/>
      <c r="P9722" s="3"/>
      <c r="Q9722" s="3"/>
    </row>
    <row r="9723" spans="1:17" ht="15" x14ac:dyDescent="0.25">
      <c r="A9723" s="3">
        <f>9716</f>
        <v>9716</v>
      </c>
      <c r="B9723" s="3" t="s">
        <v>9725</v>
      </c>
      <c r="C9723" s="3" t="s">
        <v>9</v>
      </c>
      <c r="D9723" s="3" t="s">
        <v>9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/>
      <c r="P9723" s="3"/>
      <c r="Q9723" s="3"/>
    </row>
    <row r="9724" spans="1:17" ht="15" x14ac:dyDescent="0.25">
      <c r="A9724" s="3">
        <f>9717</f>
        <v>9717</v>
      </c>
      <c r="B9724" s="3" t="s">
        <v>9726</v>
      </c>
      <c r="C9724" s="3" t="s">
        <v>9</v>
      </c>
      <c r="D9724" s="3" t="s">
        <v>9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/>
      <c r="P9724" s="3"/>
      <c r="Q9724" s="3"/>
    </row>
    <row r="9725" spans="1:17" ht="15" x14ac:dyDescent="0.25">
      <c r="A9725" s="3">
        <f>9718</f>
        <v>9718</v>
      </c>
      <c r="B9725" s="3" t="s">
        <v>9727</v>
      </c>
      <c r="C9725" s="3" t="s">
        <v>9</v>
      </c>
      <c r="D9725" s="3" t="s">
        <v>9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/>
      <c r="P9725" s="3"/>
      <c r="Q9725" s="3"/>
    </row>
    <row r="9726" spans="1:17" ht="15" x14ac:dyDescent="0.25">
      <c r="A9726" s="3">
        <f>9719</f>
        <v>9719</v>
      </c>
      <c r="B9726" s="3" t="s">
        <v>9728</v>
      </c>
      <c r="C9726" s="3" t="s">
        <v>9</v>
      </c>
      <c r="D9726" s="3" t="s">
        <v>9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/>
      <c r="P9726" s="3"/>
      <c r="Q9726" s="3"/>
    </row>
    <row r="9727" spans="1:17" ht="15" x14ac:dyDescent="0.25">
      <c r="A9727" s="3">
        <f>9720</f>
        <v>9720</v>
      </c>
      <c r="B9727" s="3" t="s">
        <v>9729</v>
      </c>
      <c r="C9727" s="3" t="s">
        <v>9</v>
      </c>
      <c r="D9727" s="3" t="s">
        <v>9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/>
      <c r="P9727" s="3"/>
      <c r="Q9727" s="3"/>
    </row>
    <row r="9728" spans="1:17" ht="15" x14ac:dyDescent="0.25">
      <c r="A9728" s="3">
        <f>9721</f>
        <v>9721</v>
      </c>
      <c r="B9728" s="3" t="s">
        <v>9730</v>
      </c>
      <c r="C9728" s="3" t="s">
        <v>9</v>
      </c>
      <c r="D9728" s="3" t="s">
        <v>9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/>
      <c r="P9728" s="3"/>
      <c r="Q9728" s="3"/>
    </row>
    <row r="9729" spans="1:17" ht="15" x14ac:dyDescent="0.25">
      <c r="A9729" s="3">
        <f>9722</f>
        <v>9722</v>
      </c>
      <c r="B9729" s="3" t="s">
        <v>9731</v>
      </c>
      <c r="C9729" s="3" t="s">
        <v>9</v>
      </c>
      <c r="D9729" s="3" t="s">
        <v>9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/>
      <c r="P9729" s="3"/>
      <c r="Q9729" s="3"/>
    </row>
    <row r="9730" spans="1:17" ht="15" x14ac:dyDescent="0.25">
      <c r="A9730" s="3">
        <f>9723</f>
        <v>9723</v>
      </c>
      <c r="B9730" s="3" t="s">
        <v>9732</v>
      </c>
      <c r="C9730" s="3" t="s">
        <v>9</v>
      </c>
      <c r="D9730" s="3" t="s">
        <v>9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/>
      <c r="P9730" s="3"/>
      <c r="Q9730" s="3"/>
    </row>
    <row r="9731" spans="1:17" ht="15" x14ac:dyDescent="0.25">
      <c r="A9731" s="3">
        <f>9724</f>
        <v>9724</v>
      </c>
      <c r="B9731" s="3" t="s">
        <v>9733</v>
      </c>
      <c r="C9731" s="3" t="s">
        <v>9</v>
      </c>
      <c r="D9731" s="3" t="s">
        <v>9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s="3"/>
      <c r="P9731" s="3"/>
      <c r="Q9731" s="3"/>
    </row>
    <row r="9732" spans="1:17" ht="15" x14ac:dyDescent="0.25">
      <c r="A9732" s="3">
        <f>9725</f>
        <v>9725</v>
      </c>
      <c r="B9732" s="3" t="s">
        <v>9734</v>
      </c>
      <c r="C9732" s="3" t="s">
        <v>9</v>
      </c>
      <c r="D9732" s="3" t="s">
        <v>9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/>
      <c r="P9732" s="3"/>
      <c r="Q9732" s="3"/>
    </row>
    <row r="9733" spans="1:17" ht="15" x14ac:dyDescent="0.25">
      <c r="A9733" s="3">
        <f>9726</f>
        <v>9726</v>
      </c>
      <c r="B9733" s="3" t="s">
        <v>9735</v>
      </c>
      <c r="C9733" s="3" t="s">
        <v>9</v>
      </c>
      <c r="D9733" s="3" t="s">
        <v>9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/>
      <c r="P9733" s="3"/>
      <c r="Q9733" s="3"/>
    </row>
    <row r="9734" spans="1:17" ht="15" x14ac:dyDescent="0.25">
      <c r="A9734" s="3">
        <f>9727</f>
        <v>9727</v>
      </c>
      <c r="B9734" s="3" t="s">
        <v>9736</v>
      </c>
      <c r="C9734" s="3" t="s">
        <v>9</v>
      </c>
      <c r="D9734" s="3" t="s">
        <v>9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/>
      <c r="P9734" s="3"/>
      <c r="Q9734" s="3"/>
    </row>
    <row r="9735" spans="1:17" ht="15" x14ac:dyDescent="0.25">
      <c r="A9735" s="3">
        <f>9728</f>
        <v>9728</v>
      </c>
      <c r="B9735" s="3" t="s">
        <v>9737</v>
      </c>
      <c r="C9735" s="3" t="s">
        <v>9</v>
      </c>
      <c r="D9735" s="3" t="s">
        <v>9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/>
      <c r="P9735" s="3"/>
      <c r="Q9735" s="3"/>
    </row>
    <row r="9736" spans="1:17" ht="15" x14ac:dyDescent="0.25">
      <c r="A9736" s="3">
        <f>9729</f>
        <v>9729</v>
      </c>
      <c r="B9736" s="3" t="s">
        <v>9738</v>
      </c>
      <c r="C9736" s="3" t="s">
        <v>9</v>
      </c>
      <c r="D9736" s="3" t="s">
        <v>9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/>
      <c r="P9736" s="3"/>
      <c r="Q9736" s="3"/>
    </row>
    <row r="9737" spans="1:17" ht="15" x14ac:dyDescent="0.25">
      <c r="A9737" s="3">
        <f>9730</f>
        <v>9730</v>
      </c>
      <c r="B9737" s="3" t="s">
        <v>9739</v>
      </c>
      <c r="C9737" s="3" t="s">
        <v>9</v>
      </c>
      <c r="D9737" s="3" t="s">
        <v>9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/>
      <c r="P9737" s="3"/>
      <c r="Q9737" s="3"/>
    </row>
    <row r="9738" spans="1:17" ht="15" x14ac:dyDescent="0.25">
      <c r="A9738" s="3">
        <f>9731</f>
        <v>9731</v>
      </c>
      <c r="B9738" s="3" t="s">
        <v>9740</v>
      </c>
      <c r="C9738" s="3" t="s">
        <v>9</v>
      </c>
      <c r="D9738" s="3" t="s">
        <v>9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/>
      <c r="P9738" s="3"/>
      <c r="Q9738" s="3"/>
    </row>
    <row r="9739" spans="1:17" ht="15" x14ac:dyDescent="0.25">
      <c r="A9739" s="3">
        <f>9732</f>
        <v>9732</v>
      </c>
      <c r="B9739" s="3" t="s">
        <v>9741</v>
      </c>
      <c r="C9739" s="3" t="s">
        <v>9</v>
      </c>
      <c r="D9739" s="3" t="s">
        <v>9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/>
      <c r="P9739" s="3"/>
      <c r="Q9739" s="3"/>
    </row>
    <row r="9740" spans="1:17" ht="15" x14ac:dyDescent="0.25">
      <c r="A9740" s="3">
        <f>9733</f>
        <v>9733</v>
      </c>
      <c r="B9740" s="3" t="s">
        <v>9742</v>
      </c>
      <c r="C9740" s="3" t="s">
        <v>9</v>
      </c>
      <c r="D9740" s="3" t="s">
        <v>9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/>
      <c r="P9740" s="3"/>
      <c r="Q9740" s="3"/>
    </row>
    <row r="9741" spans="1:17" ht="15" x14ac:dyDescent="0.25">
      <c r="A9741" s="3">
        <f>9734</f>
        <v>9734</v>
      </c>
      <c r="B9741" s="3" t="s">
        <v>9743</v>
      </c>
      <c r="C9741" s="3" t="s">
        <v>9</v>
      </c>
      <c r="D9741" s="3" t="s">
        <v>9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/>
      <c r="P9741" s="3"/>
      <c r="Q9741" s="3"/>
    </row>
    <row r="9742" spans="1:17" ht="15" x14ac:dyDescent="0.25">
      <c r="A9742" s="3">
        <f>9735</f>
        <v>9735</v>
      </c>
      <c r="B9742" s="3" t="s">
        <v>9744</v>
      </c>
      <c r="C9742" s="3" t="s">
        <v>9</v>
      </c>
      <c r="D9742" s="3" t="s">
        <v>9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/>
      <c r="P9742" s="3"/>
      <c r="Q9742" s="3"/>
    </row>
    <row r="9743" spans="1:17" ht="15" x14ac:dyDescent="0.25">
      <c r="A9743" s="3">
        <f>9736</f>
        <v>9736</v>
      </c>
      <c r="B9743" s="3" t="s">
        <v>9745</v>
      </c>
      <c r="C9743" s="3" t="s">
        <v>9</v>
      </c>
      <c r="D9743" s="3" t="s">
        <v>9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/>
      <c r="P9743" s="3"/>
      <c r="Q9743" s="3"/>
    </row>
    <row r="9744" spans="1:17" ht="15" x14ac:dyDescent="0.25">
      <c r="A9744" s="3">
        <f>9737</f>
        <v>9737</v>
      </c>
      <c r="B9744" s="3" t="s">
        <v>9746</v>
      </c>
      <c r="C9744" s="3" t="s">
        <v>9</v>
      </c>
      <c r="D9744" s="3" t="s">
        <v>9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/>
      <c r="P9744" s="3"/>
      <c r="Q9744" s="3"/>
    </row>
    <row r="9745" spans="1:17" ht="15" x14ac:dyDescent="0.25">
      <c r="A9745" s="3">
        <f>9738</f>
        <v>9738</v>
      </c>
      <c r="B9745" s="3" t="s">
        <v>9747</v>
      </c>
      <c r="C9745" s="3" t="s">
        <v>9</v>
      </c>
      <c r="D9745" s="3" t="s">
        <v>9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/>
      <c r="P9745" s="3"/>
      <c r="Q9745" s="3"/>
    </row>
    <row r="9746" spans="1:17" ht="15" x14ac:dyDescent="0.25">
      <c r="A9746" s="3">
        <f>9739</f>
        <v>9739</v>
      </c>
      <c r="B9746" s="3" t="s">
        <v>9748</v>
      </c>
      <c r="C9746" s="3" t="s">
        <v>9</v>
      </c>
      <c r="D9746" s="3" t="s">
        <v>9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/>
      <c r="P9746" s="3"/>
      <c r="Q9746" s="3"/>
    </row>
    <row r="9747" spans="1:17" ht="15" x14ac:dyDescent="0.25">
      <c r="A9747" s="3">
        <f>9740</f>
        <v>9740</v>
      </c>
      <c r="B9747" s="3" t="s">
        <v>9749</v>
      </c>
      <c r="C9747" s="3" t="s">
        <v>9</v>
      </c>
      <c r="D9747" s="3" t="s">
        <v>9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/>
      <c r="P9747" s="3"/>
      <c r="Q9747" s="3"/>
    </row>
    <row r="9748" spans="1:17" ht="15" x14ac:dyDescent="0.25">
      <c r="A9748" s="3">
        <f>9741</f>
        <v>9741</v>
      </c>
      <c r="B9748" s="3" t="s">
        <v>9750</v>
      </c>
      <c r="C9748" s="3" t="s">
        <v>9</v>
      </c>
      <c r="D9748" s="3" t="s">
        <v>9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/>
      <c r="P9748" s="3"/>
      <c r="Q9748" s="3"/>
    </row>
    <row r="9749" spans="1:17" ht="15" x14ac:dyDescent="0.25">
      <c r="A9749" s="3">
        <f>9742</f>
        <v>9742</v>
      </c>
      <c r="B9749" s="3" t="s">
        <v>9751</v>
      </c>
      <c r="C9749" s="3" t="s">
        <v>9</v>
      </c>
      <c r="D9749" s="3" t="s">
        <v>9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/>
      <c r="P9749" s="3"/>
      <c r="Q9749" s="3"/>
    </row>
    <row r="9750" spans="1:17" ht="15" x14ac:dyDescent="0.25">
      <c r="A9750" s="3">
        <f>9743</f>
        <v>9743</v>
      </c>
      <c r="B9750" s="3" t="s">
        <v>9752</v>
      </c>
      <c r="C9750" s="3" t="s">
        <v>9</v>
      </c>
      <c r="D9750" s="3" t="s">
        <v>9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/>
      <c r="P9750" s="3"/>
      <c r="Q9750" s="3"/>
    </row>
    <row r="9751" spans="1:17" ht="15" x14ac:dyDescent="0.25">
      <c r="A9751" s="3">
        <f>9744</f>
        <v>9744</v>
      </c>
      <c r="B9751" s="3" t="s">
        <v>9753</v>
      </c>
      <c r="C9751" s="3" t="s">
        <v>9</v>
      </c>
      <c r="D9751" s="3" t="s">
        <v>9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/>
      <c r="P9751" s="3"/>
      <c r="Q9751" s="3"/>
    </row>
    <row r="9752" spans="1:17" ht="15" x14ac:dyDescent="0.25">
      <c r="A9752" s="3">
        <f>9745</f>
        <v>9745</v>
      </c>
      <c r="B9752" s="3" t="s">
        <v>9754</v>
      </c>
      <c r="C9752" s="3" t="s">
        <v>9</v>
      </c>
      <c r="D9752" s="3" t="s">
        <v>9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/>
      <c r="P9752" s="3"/>
      <c r="Q9752" s="3"/>
    </row>
    <row r="9753" spans="1:17" ht="15" x14ac:dyDescent="0.25">
      <c r="A9753" s="3">
        <f>9746</f>
        <v>9746</v>
      </c>
      <c r="B9753" s="3" t="s">
        <v>9755</v>
      </c>
      <c r="C9753" s="3" t="s">
        <v>9</v>
      </c>
      <c r="D9753" s="3" t="s">
        <v>9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/>
      <c r="P9753" s="3"/>
      <c r="Q9753" s="3"/>
    </row>
    <row r="9754" spans="1:17" ht="15" x14ac:dyDescent="0.25">
      <c r="A9754" s="3">
        <f>9747</f>
        <v>9747</v>
      </c>
      <c r="B9754" s="3" t="s">
        <v>9756</v>
      </c>
      <c r="C9754" s="3" t="s">
        <v>9</v>
      </c>
      <c r="D9754" s="3" t="s">
        <v>9</v>
      </c>
      <c r="E9754" s="3">
        <v>0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/>
      <c r="P9754" s="3"/>
      <c r="Q9754" s="3"/>
    </row>
    <row r="9755" spans="1:17" ht="15" x14ac:dyDescent="0.25">
      <c r="A9755" s="3">
        <f>9748</f>
        <v>9748</v>
      </c>
      <c r="B9755" s="3" t="s">
        <v>9757</v>
      </c>
      <c r="C9755" s="3" t="s">
        <v>9</v>
      </c>
      <c r="D9755" s="3" t="s">
        <v>9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/>
      <c r="P9755" s="3"/>
      <c r="Q9755" s="3"/>
    </row>
    <row r="9756" spans="1:17" ht="15" x14ac:dyDescent="0.25">
      <c r="A9756" s="3">
        <f>9749</f>
        <v>9749</v>
      </c>
      <c r="B9756" s="3" t="s">
        <v>9758</v>
      </c>
      <c r="C9756" s="3" t="s">
        <v>9</v>
      </c>
      <c r="D9756" s="3" t="s">
        <v>9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/>
      <c r="P9756" s="3"/>
      <c r="Q9756" s="3"/>
    </row>
    <row r="9757" spans="1:17" ht="15" x14ac:dyDescent="0.25">
      <c r="A9757" s="3">
        <f>9750</f>
        <v>9750</v>
      </c>
      <c r="B9757" s="3" t="s">
        <v>9759</v>
      </c>
      <c r="C9757" s="3" t="s">
        <v>9</v>
      </c>
      <c r="D9757" s="3" t="s">
        <v>9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/>
      <c r="P9757" s="3"/>
      <c r="Q9757" s="3"/>
    </row>
    <row r="9758" spans="1:17" ht="15" x14ac:dyDescent="0.25">
      <c r="A9758" s="3">
        <f>9751</f>
        <v>9751</v>
      </c>
      <c r="B9758" s="3" t="s">
        <v>9760</v>
      </c>
      <c r="C9758" s="3" t="s">
        <v>9</v>
      </c>
      <c r="D9758" s="3" t="s">
        <v>9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s="3"/>
      <c r="P9758" s="3"/>
      <c r="Q9758" s="3"/>
    </row>
    <row r="9759" spans="1:17" ht="15" x14ac:dyDescent="0.25">
      <c r="A9759" s="3">
        <f>9752</f>
        <v>9752</v>
      </c>
      <c r="B9759" s="3" t="s">
        <v>9761</v>
      </c>
      <c r="C9759" s="3" t="s">
        <v>9</v>
      </c>
      <c r="D9759" s="3" t="s">
        <v>9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/>
      <c r="P9759" s="3"/>
      <c r="Q9759" s="3"/>
    </row>
    <row r="9760" spans="1:17" ht="15" x14ac:dyDescent="0.25">
      <c r="A9760" s="3">
        <f>9753</f>
        <v>9753</v>
      </c>
      <c r="B9760" s="3" t="s">
        <v>9762</v>
      </c>
      <c r="C9760" s="3" t="s">
        <v>9</v>
      </c>
      <c r="D9760" s="3" t="s">
        <v>9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/>
      <c r="P9760" s="3"/>
      <c r="Q9760" s="3"/>
    </row>
    <row r="9761" spans="1:17" ht="15" x14ac:dyDescent="0.25">
      <c r="A9761" s="3">
        <f>9754</f>
        <v>9754</v>
      </c>
      <c r="B9761" s="3" t="s">
        <v>9763</v>
      </c>
      <c r="C9761" s="3" t="s">
        <v>9</v>
      </c>
      <c r="D9761" s="3" t="s">
        <v>9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/>
      <c r="P9761" s="3"/>
      <c r="Q9761" s="3"/>
    </row>
    <row r="9762" spans="1:17" ht="15" x14ac:dyDescent="0.25">
      <c r="A9762" s="3">
        <f>9755</f>
        <v>9755</v>
      </c>
      <c r="B9762" s="3" t="s">
        <v>9764</v>
      </c>
      <c r="C9762" s="3" t="s">
        <v>9</v>
      </c>
      <c r="D9762" s="3" t="s">
        <v>9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/>
      <c r="P9762" s="3"/>
      <c r="Q9762" s="3"/>
    </row>
    <row r="9763" spans="1:17" ht="15" x14ac:dyDescent="0.25">
      <c r="A9763" s="3">
        <f>9756</f>
        <v>9756</v>
      </c>
      <c r="B9763" s="3" t="s">
        <v>9765</v>
      </c>
      <c r="C9763" s="3" t="s">
        <v>9</v>
      </c>
      <c r="D9763" s="3" t="s">
        <v>9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/>
      <c r="P9763" s="3"/>
      <c r="Q9763" s="3"/>
    </row>
    <row r="9764" spans="1:17" ht="15" x14ac:dyDescent="0.25">
      <c r="A9764" s="3">
        <f>9757</f>
        <v>9757</v>
      </c>
      <c r="B9764" s="3" t="s">
        <v>9766</v>
      </c>
      <c r="C9764" s="3" t="s">
        <v>9</v>
      </c>
      <c r="D9764" s="3" t="s">
        <v>9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/>
      <c r="P9764" s="3"/>
      <c r="Q9764" s="3"/>
    </row>
    <row r="9765" spans="1:17" ht="15" x14ac:dyDescent="0.25">
      <c r="A9765" s="3">
        <f>9758</f>
        <v>9758</v>
      </c>
      <c r="B9765" s="3" t="s">
        <v>9767</v>
      </c>
      <c r="C9765" s="3" t="s">
        <v>9</v>
      </c>
      <c r="D9765" s="3" t="s">
        <v>9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s="3"/>
      <c r="P9765" s="3"/>
      <c r="Q9765" s="3"/>
    </row>
    <row r="9766" spans="1:17" ht="15" x14ac:dyDescent="0.25">
      <c r="A9766" s="3">
        <f>9759</f>
        <v>9759</v>
      </c>
      <c r="B9766" s="3" t="s">
        <v>9768</v>
      </c>
      <c r="C9766" s="3" t="s">
        <v>9</v>
      </c>
      <c r="D9766" s="3" t="s">
        <v>9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/>
      <c r="P9766" s="3"/>
      <c r="Q9766" s="3"/>
    </row>
    <row r="9767" spans="1:17" ht="15" x14ac:dyDescent="0.25">
      <c r="A9767" s="3">
        <f>9760</f>
        <v>9760</v>
      </c>
      <c r="B9767" s="3" t="s">
        <v>9769</v>
      </c>
      <c r="C9767" s="3" t="s">
        <v>9</v>
      </c>
      <c r="D9767" s="3" t="s">
        <v>9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/>
      <c r="P9767" s="3"/>
      <c r="Q9767" s="3"/>
    </row>
    <row r="9768" spans="1:17" ht="15" x14ac:dyDescent="0.25">
      <c r="A9768" s="3">
        <f>9761</f>
        <v>9761</v>
      </c>
      <c r="B9768" s="3" t="s">
        <v>9770</v>
      </c>
      <c r="C9768" s="3" t="s">
        <v>9</v>
      </c>
      <c r="D9768" s="3" t="s">
        <v>9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/>
      <c r="P9768" s="3"/>
      <c r="Q9768" s="3"/>
    </row>
    <row r="9769" spans="1:17" ht="15" x14ac:dyDescent="0.25">
      <c r="A9769" s="3">
        <f>9762</f>
        <v>9762</v>
      </c>
      <c r="B9769" s="3" t="s">
        <v>9771</v>
      </c>
      <c r="C9769" s="3" t="s">
        <v>9</v>
      </c>
      <c r="D9769" s="3" t="s">
        <v>9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/>
      <c r="P9769" s="3"/>
      <c r="Q9769" s="3"/>
    </row>
    <row r="9770" spans="1:17" ht="15" x14ac:dyDescent="0.25">
      <c r="A9770" s="3">
        <f>9763</f>
        <v>9763</v>
      </c>
      <c r="B9770" s="3" t="s">
        <v>9772</v>
      </c>
      <c r="C9770" s="3" t="s">
        <v>9</v>
      </c>
      <c r="D9770" s="3" t="s">
        <v>9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/>
      <c r="P9770" s="3"/>
      <c r="Q9770" s="3"/>
    </row>
    <row r="9771" spans="1:17" ht="15" x14ac:dyDescent="0.25">
      <c r="A9771" s="3">
        <f>9764</f>
        <v>9764</v>
      </c>
      <c r="B9771" s="3" t="s">
        <v>9773</v>
      </c>
      <c r="C9771" s="3" t="s">
        <v>9</v>
      </c>
      <c r="D9771" s="3" t="s">
        <v>9</v>
      </c>
      <c r="E9771" s="3">
        <v>0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/>
      <c r="P9771" s="3"/>
      <c r="Q9771" s="3"/>
    </row>
    <row r="9772" spans="1:17" ht="15" x14ac:dyDescent="0.25">
      <c r="A9772" s="3">
        <f>9765</f>
        <v>9765</v>
      </c>
      <c r="B9772" s="3" t="s">
        <v>9774</v>
      </c>
      <c r="C9772" s="3" t="s">
        <v>9</v>
      </c>
      <c r="D9772" s="3" t="s">
        <v>9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s="3"/>
      <c r="P9772" s="3"/>
      <c r="Q9772" s="3"/>
    </row>
    <row r="9773" spans="1:17" ht="15" x14ac:dyDescent="0.25">
      <c r="A9773" s="3">
        <f>9766</f>
        <v>9766</v>
      </c>
      <c r="B9773" s="3" t="s">
        <v>9775</v>
      </c>
      <c r="C9773" s="3" t="s">
        <v>9</v>
      </c>
      <c r="D9773" s="3" t="s">
        <v>9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/>
      <c r="P9773" s="3"/>
      <c r="Q9773" s="3"/>
    </row>
    <row r="9774" spans="1:17" ht="15" x14ac:dyDescent="0.25">
      <c r="A9774" s="3">
        <f>9767</f>
        <v>9767</v>
      </c>
      <c r="B9774" s="3" t="s">
        <v>9776</v>
      </c>
      <c r="C9774" s="3" t="s">
        <v>9</v>
      </c>
      <c r="D9774" s="3" t="s">
        <v>9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/>
      <c r="P9774" s="3"/>
      <c r="Q9774" s="3"/>
    </row>
    <row r="9775" spans="1:17" ht="15" x14ac:dyDescent="0.25">
      <c r="A9775" s="3">
        <f>9768</f>
        <v>9768</v>
      </c>
      <c r="B9775" s="3" t="s">
        <v>9777</v>
      </c>
      <c r="C9775" s="3" t="s">
        <v>9</v>
      </c>
      <c r="D9775" s="3" t="s">
        <v>9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/>
      <c r="P9775" s="3"/>
      <c r="Q9775" s="3"/>
    </row>
    <row r="9776" spans="1:17" ht="15" x14ac:dyDescent="0.25">
      <c r="A9776" s="3">
        <f>9769</f>
        <v>9769</v>
      </c>
      <c r="B9776" s="3" t="s">
        <v>9778</v>
      </c>
      <c r="C9776" s="3" t="s">
        <v>9</v>
      </c>
      <c r="D9776" s="3" t="s">
        <v>9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/>
      <c r="P9776" s="3"/>
      <c r="Q9776" s="3"/>
    </row>
    <row r="9777" spans="1:17" ht="15" x14ac:dyDescent="0.25">
      <c r="A9777" s="3">
        <f>9770</f>
        <v>9770</v>
      </c>
      <c r="B9777" s="3" t="s">
        <v>9779</v>
      </c>
      <c r="C9777" s="3" t="s">
        <v>9</v>
      </c>
      <c r="D9777" s="3" t="s">
        <v>9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/>
      <c r="P9777" s="3"/>
      <c r="Q9777" s="3"/>
    </row>
    <row r="9778" spans="1:17" ht="15" x14ac:dyDescent="0.25">
      <c r="A9778" s="3">
        <f>9771</f>
        <v>9771</v>
      </c>
      <c r="B9778" s="3" t="s">
        <v>9780</v>
      </c>
      <c r="C9778" s="3" t="s">
        <v>9</v>
      </c>
      <c r="D9778" s="3" t="s">
        <v>9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s="3"/>
      <c r="P9778" s="3"/>
      <c r="Q9778" s="3"/>
    </row>
    <row r="9779" spans="1:17" ht="15" x14ac:dyDescent="0.25">
      <c r="A9779" s="3">
        <f>9772</f>
        <v>9772</v>
      </c>
      <c r="B9779" s="3" t="s">
        <v>9781</v>
      </c>
      <c r="C9779" s="3" t="s">
        <v>9</v>
      </c>
      <c r="D9779" s="3" t="s">
        <v>9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/>
      <c r="P9779" s="3"/>
      <c r="Q9779" s="3"/>
    </row>
    <row r="9780" spans="1:17" ht="15" x14ac:dyDescent="0.25">
      <c r="A9780" s="3">
        <f>9773</f>
        <v>9773</v>
      </c>
      <c r="B9780" s="3" t="s">
        <v>9782</v>
      </c>
      <c r="C9780" s="3" t="s">
        <v>9</v>
      </c>
      <c r="D9780" s="3" t="s">
        <v>9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/>
      <c r="P9780" s="3"/>
      <c r="Q9780" s="3"/>
    </row>
    <row r="9781" spans="1:17" ht="15" x14ac:dyDescent="0.25">
      <c r="A9781" s="3">
        <f>9774</f>
        <v>9774</v>
      </c>
      <c r="B9781" s="3" t="s">
        <v>9783</v>
      </c>
      <c r="C9781" s="3" t="s">
        <v>9</v>
      </c>
      <c r="D9781" s="3" t="s">
        <v>9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/>
      <c r="P9781" s="3"/>
      <c r="Q9781" s="3"/>
    </row>
    <row r="9782" spans="1:17" ht="15" x14ac:dyDescent="0.25">
      <c r="A9782" s="3">
        <f>9775</f>
        <v>9775</v>
      </c>
      <c r="B9782" s="3" t="s">
        <v>9784</v>
      </c>
      <c r="C9782" s="3" t="s">
        <v>9</v>
      </c>
      <c r="D9782" s="3" t="s">
        <v>9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/>
      <c r="P9782" s="3"/>
      <c r="Q9782" s="3"/>
    </row>
    <row r="9783" spans="1:17" ht="15" x14ac:dyDescent="0.25">
      <c r="A9783" s="3">
        <f>9776</f>
        <v>9776</v>
      </c>
      <c r="B9783" s="3" t="s">
        <v>9785</v>
      </c>
      <c r="C9783" s="3" t="s">
        <v>9</v>
      </c>
      <c r="D9783" s="3" t="s">
        <v>9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/>
      <c r="P9783" s="3"/>
      <c r="Q9783" s="3"/>
    </row>
    <row r="9784" spans="1:17" ht="15" x14ac:dyDescent="0.25">
      <c r="A9784" s="3">
        <f>9777</f>
        <v>9777</v>
      </c>
      <c r="B9784" s="3" t="s">
        <v>9786</v>
      </c>
      <c r="C9784" s="3" t="s">
        <v>9</v>
      </c>
      <c r="D9784" s="3" t="s">
        <v>9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/>
      <c r="P9784" s="3"/>
      <c r="Q9784" s="3"/>
    </row>
    <row r="9785" spans="1:17" ht="15" x14ac:dyDescent="0.25">
      <c r="A9785" s="3">
        <f>9778</f>
        <v>9778</v>
      </c>
      <c r="B9785" s="3" t="s">
        <v>9787</v>
      </c>
      <c r="C9785" s="3" t="s">
        <v>9</v>
      </c>
      <c r="D9785" s="3" t="s">
        <v>9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/>
      <c r="P9785" s="3"/>
      <c r="Q9785" s="3"/>
    </row>
    <row r="9786" spans="1:17" ht="15" x14ac:dyDescent="0.25">
      <c r="A9786" s="3">
        <f>9779</f>
        <v>9779</v>
      </c>
      <c r="B9786" s="3" t="s">
        <v>9788</v>
      </c>
      <c r="C9786" s="3" t="s">
        <v>9</v>
      </c>
      <c r="D9786" s="3" t="s">
        <v>9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/>
      <c r="P9786" s="3"/>
      <c r="Q9786" s="3"/>
    </row>
    <row r="9787" spans="1:17" ht="15" x14ac:dyDescent="0.25">
      <c r="A9787" s="3">
        <f>9780</f>
        <v>9780</v>
      </c>
      <c r="B9787" s="3" t="s">
        <v>9789</v>
      </c>
      <c r="C9787" s="3" t="s">
        <v>9</v>
      </c>
      <c r="D9787" s="3" t="s">
        <v>9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/>
      <c r="P9787" s="3"/>
      <c r="Q9787" s="3"/>
    </row>
    <row r="9788" spans="1:17" ht="15" x14ac:dyDescent="0.25">
      <c r="A9788" s="3">
        <f>9781</f>
        <v>9781</v>
      </c>
      <c r="B9788" s="3" t="s">
        <v>9790</v>
      </c>
      <c r="C9788" s="3" t="s">
        <v>9</v>
      </c>
      <c r="D9788" s="3" t="s">
        <v>9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/>
      <c r="P9788" s="3"/>
      <c r="Q9788" s="3"/>
    </row>
    <row r="9789" spans="1:17" ht="15" x14ac:dyDescent="0.25">
      <c r="A9789" s="3">
        <f>9782</f>
        <v>9782</v>
      </c>
      <c r="B9789" s="3" t="s">
        <v>9791</v>
      </c>
      <c r="C9789" s="3" t="s">
        <v>9</v>
      </c>
      <c r="D9789" s="3" t="s">
        <v>9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/>
      <c r="P9789" s="3"/>
      <c r="Q9789" s="3"/>
    </row>
    <row r="9790" spans="1:17" ht="15" x14ac:dyDescent="0.25">
      <c r="A9790" s="3">
        <f>9783</f>
        <v>9783</v>
      </c>
      <c r="B9790" s="3" t="s">
        <v>9792</v>
      </c>
      <c r="C9790" s="3" t="s">
        <v>9</v>
      </c>
      <c r="D9790" s="3" t="s">
        <v>9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/>
      <c r="P9790" s="3"/>
      <c r="Q9790" s="3"/>
    </row>
    <row r="9791" spans="1:17" ht="15" x14ac:dyDescent="0.25">
      <c r="A9791" s="3">
        <f>9784</f>
        <v>9784</v>
      </c>
      <c r="B9791" s="3" t="s">
        <v>9793</v>
      </c>
      <c r="C9791" s="3" t="s">
        <v>9</v>
      </c>
      <c r="D9791" s="3" t="s">
        <v>9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/>
      <c r="P9791" s="3"/>
      <c r="Q9791" s="3"/>
    </row>
    <row r="9792" spans="1:17" ht="15" x14ac:dyDescent="0.25">
      <c r="A9792" s="3">
        <f>9785</f>
        <v>9785</v>
      </c>
      <c r="B9792" s="3" t="s">
        <v>9794</v>
      </c>
      <c r="C9792" s="3" t="s">
        <v>9</v>
      </c>
      <c r="D9792" s="3" t="s">
        <v>9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/>
      <c r="P9792" s="3"/>
      <c r="Q9792" s="3"/>
    </row>
    <row r="9793" spans="1:17" ht="15" x14ac:dyDescent="0.25">
      <c r="A9793" s="3">
        <f>9786</f>
        <v>9786</v>
      </c>
      <c r="B9793" s="3" t="s">
        <v>9795</v>
      </c>
      <c r="C9793" s="3" t="s">
        <v>9</v>
      </c>
      <c r="D9793" s="3" t="s">
        <v>9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/>
      <c r="P9793" s="3"/>
      <c r="Q9793" s="3"/>
    </row>
    <row r="9794" spans="1:17" ht="15" x14ac:dyDescent="0.25">
      <c r="A9794" s="3">
        <f>9787</f>
        <v>9787</v>
      </c>
      <c r="B9794" s="3" t="s">
        <v>9796</v>
      </c>
      <c r="C9794" s="3" t="s">
        <v>9</v>
      </c>
      <c r="D9794" s="3" t="s">
        <v>9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/>
      <c r="P9794" s="3"/>
      <c r="Q9794" s="3"/>
    </row>
    <row r="9795" spans="1:17" ht="15" x14ac:dyDescent="0.25">
      <c r="A9795" s="3">
        <f>9788</f>
        <v>9788</v>
      </c>
      <c r="B9795" s="3" t="s">
        <v>9797</v>
      </c>
      <c r="C9795" s="3" t="s">
        <v>9</v>
      </c>
      <c r="D9795" s="3" t="s">
        <v>9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/>
      <c r="P9795" s="3"/>
      <c r="Q9795" s="3"/>
    </row>
    <row r="9796" spans="1:17" ht="15" x14ac:dyDescent="0.25">
      <c r="A9796" s="3">
        <f>9789</f>
        <v>9789</v>
      </c>
      <c r="B9796" s="3" t="s">
        <v>9798</v>
      </c>
      <c r="C9796" s="3" t="s">
        <v>9</v>
      </c>
      <c r="D9796" s="3" t="s">
        <v>9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/>
      <c r="P9796" s="3"/>
      <c r="Q9796" s="3"/>
    </row>
    <row r="9797" spans="1:17" ht="15" x14ac:dyDescent="0.25">
      <c r="A9797" s="3">
        <f>9790</f>
        <v>9790</v>
      </c>
      <c r="B9797" s="3" t="s">
        <v>9799</v>
      </c>
      <c r="C9797" s="3" t="s">
        <v>9</v>
      </c>
      <c r="D9797" s="3" t="s">
        <v>9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/>
      <c r="P9797" s="3"/>
      <c r="Q9797" s="3"/>
    </row>
    <row r="9798" spans="1:17" ht="15" x14ac:dyDescent="0.25">
      <c r="A9798" s="3">
        <f>9791</f>
        <v>9791</v>
      </c>
      <c r="B9798" s="3" t="s">
        <v>9800</v>
      </c>
      <c r="C9798" s="3" t="s">
        <v>9</v>
      </c>
      <c r="D9798" s="3" t="s">
        <v>9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/>
      <c r="P9798" s="3"/>
      <c r="Q9798" s="3"/>
    </row>
    <row r="9799" spans="1:17" ht="15" x14ac:dyDescent="0.25">
      <c r="A9799" s="3">
        <f>9792</f>
        <v>9792</v>
      </c>
      <c r="B9799" s="3" t="s">
        <v>9801</v>
      </c>
      <c r="C9799" s="3" t="s">
        <v>9</v>
      </c>
      <c r="D9799" s="3" t="s">
        <v>9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/>
      <c r="P9799" s="3"/>
      <c r="Q9799" s="3"/>
    </row>
    <row r="9800" spans="1:17" ht="15" x14ac:dyDescent="0.25">
      <c r="A9800" s="3">
        <f>9793</f>
        <v>9793</v>
      </c>
      <c r="B9800" s="3" t="s">
        <v>9802</v>
      </c>
      <c r="C9800" s="3" t="s">
        <v>9</v>
      </c>
      <c r="D9800" s="3" t="s">
        <v>9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/>
      <c r="P9800" s="3"/>
      <c r="Q9800" s="3"/>
    </row>
    <row r="9801" spans="1:17" ht="15" x14ac:dyDescent="0.25">
      <c r="A9801" s="3">
        <f>9794</f>
        <v>9794</v>
      </c>
      <c r="B9801" s="3" t="s">
        <v>9803</v>
      </c>
      <c r="C9801" s="3" t="s">
        <v>9</v>
      </c>
      <c r="D9801" s="3" t="s">
        <v>9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/>
      <c r="P9801" s="3"/>
      <c r="Q9801" s="3"/>
    </row>
    <row r="9802" spans="1:17" ht="15" x14ac:dyDescent="0.25">
      <c r="A9802" s="3">
        <f>9795</f>
        <v>9795</v>
      </c>
      <c r="B9802" s="3" t="s">
        <v>9804</v>
      </c>
      <c r="C9802" s="3" t="s">
        <v>9</v>
      </c>
      <c r="D9802" s="3" t="s">
        <v>9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/>
      <c r="P9802" s="3"/>
      <c r="Q9802" s="3"/>
    </row>
    <row r="9803" spans="1:17" ht="15" x14ac:dyDescent="0.25">
      <c r="A9803" s="3">
        <f>9796</f>
        <v>9796</v>
      </c>
      <c r="B9803" s="3" t="s">
        <v>9805</v>
      </c>
      <c r="C9803" s="3" t="s">
        <v>9</v>
      </c>
      <c r="D9803" s="3" t="s">
        <v>9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/>
      <c r="P9803" s="3"/>
      <c r="Q9803" s="3"/>
    </row>
    <row r="9804" spans="1:17" ht="15" x14ac:dyDescent="0.25">
      <c r="A9804" s="3">
        <f>9797</f>
        <v>9797</v>
      </c>
      <c r="B9804" s="3" t="s">
        <v>9806</v>
      </c>
      <c r="C9804" s="3" t="s">
        <v>9</v>
      </c>
      <c r="D9804" s="3" t="s">
        <v>9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/>
      <c r="P9804" s="3"/>
      <c r="Q9804" s="3"/>
    </row>
    <row r="9805" spans="1:17" ht="15" x14ac:dyDescent="0.25">
      <c r="A9805" s="3">
        <f>9798</f>
        <v>9798</v>
      </c>
      <c r="B9805" s="3" t="s">
        <v>9807</v>
      </c>
      <c r="C9805" s="3" t="s">
        <v>9</v>
      </c>
      <c r="D9805" s="3" t="s">
        <v>9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/>
      <c r="P9805" s="3"/>
      <c r="Q9805" s="3"/>
    </row>
    <row r="9806" spans="1:17" ht="15" x14ac:dyDescent="0.25">
      <c r="A9806" s="3">
        <f>9799</f>
        <v>9799</v>
      </c>
      <c r="B9806" s="3" t="s">
        <v>9808</v>
      </c>
      <c r="C9806" s="3" t="s">
        <v>9</v>
      </c>
      <c r="D9806" s="3" t="s">
        <v>9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/>
      <c r="P9806" s="3"/>
      <c r="Q9806" s="3"/>
    </row>
    <row r="9807" spans="1:17" ht="15" x14ac:dyDescent="0.25">
      <c r="A9807" s="3">
        <f>9800</f>
        <v>9800</v>
      </c>
      <c r="B9807" s="3" t="s">
        <v>9809</v>
      </c>
      <c r="C9807" s="3" t="s">
        <v>9</v>
      </c>
      <c r="D9807" s="3" t="s">
        <v>9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/>
      <c r="P9807" s="3"/>
      <c r="Q9807" s="3"/>
    </row>
    <row r="9808" spans="1:17" ht="15" x14ac:dyDescent="0.25">
      <c r="A9808" s="3">
        <f>9801</f>
        <v>9801</v>
      </c>
      <c r="B9808" s="3" t="s">
        <v>9810</v>
      </c>
      <c r="C9808" s="3" t="s">
        <v>9</v>
      </c>
      <c r="D9808" s="3" t="s">
        <v>9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/>
      <c r="P9808" s="3"/>
      <c r="Q9808" s="3"/>
    </row>
    <row r="9809" spans="1:17" ht="15" x14ac:dyDescent="0.25">
      <c r="A9809" s="3">
        <f>9802</f>
        <v>9802</v>
      </c>
      <c r="B9809" s="3" t="s">
        <v>9811</v>
      </c>
      <c r="C9809" s="3" t="s">
        <v>9</v>
      </c>
      <c r="D9809" s="3" t="s">
        <v>9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/>
      <c r="P9809" s="3"/>
      <c r="Q9809" s="3"/>
    </row>
    <row r="9810" spans="1:17" ht="15" x14ac:dyDescent="0.25">
      <c r="A9810" s="3">
        <f>9803</f>
        <v>9803</v>
      </c>
      <c r="B9810" s="3" t="s">
        <v>9812</v>
      </c>
      <c r="C9810" s="3" t="s">
        <v>9</v>
      </c>
      <c r="D9810" s="3" t="s">
        <v>9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/>
      <c r="P9810" s="3"/>
      <c r="Q9810" s="3"/>
    </row>
    <row r="9811" spans="1:17" ht="15" x14ac:dyDescent="0.25">
      <c r="A9811" s="3">
        <f>9804</f>
        <v>9804</v>
      </c>
      <c r="B9811" s="3" t="s">
        <v>9813</v>
      </c>
      <c r="C9811" s="3" t="s">
        <v>9</v>
      </c>
      <c r="D9811" s="3" t="s">
        <v>9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/>
      <c r="P9811" s="3"/>
      <c r="Q9811" s="3"/>
    </row>
    <row r="9812" spans="1:17" ht="15" x14ac:dyDescent="0.25">
      <c r="A9812" s="3">
        <f>9805</f>
        <v>9805</v>
      </c>
      <c r="B9812" s="3" t="s">
        <v>9814</v>
      </c>
      <c r="C9812" s="3" t="s">
        <v>9</v>
      </c>
      <c r="D9812" s="3" t="s">
        <v>9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/>
      <c r="P9812" s="3"/>
      <c r="Q9812" s="3"/>
    </row>
    <row r="9813" spans="1:17" ht="15" x14ac:dyDescent="0.25">
      <c r="A9813" s="3">
        <f>9806</f>
        <v>9806</v>
      </c>
      <c r="B9813" s="3" t="s">
        <v>9815</v>
      </c>
      <c r="C9813" s="3" t="s">
        <v>9</v>
      </c>
      <c r="D9813" s="3" t="s">
        <v>9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/>
      <c r="P9813" s="3"/>
      <c r="Q9813" s="3"/>
    </row>
    <row r="9814" spans="1:17" ht="15" x14ac:dyDescent="0.25">
      <c r="A9814" s="3">
        <f>9807</f>
        <v>9807</v>
      </c>
      <c r="B9814" s="3" t="s">
        <v>9816</v>
      </c>
      <c r="C9814" s="3" t="s">
        <v>9</v>
      </c>
      <c r="D9814" s="3" t="s">
        <v>9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/>
      <c r="P9814" s="3"/>
      <c r="Q9814" s="3"/>
    </row>
    <row r="9815" spans="1:17" ht="15" x14ac:dyDescent="0.25">
      <c r="A9815" s="3">
        <f>9808</f>
        <v>9808</v>
      </c>
      <c r="B9815" s="3" t="s">
        <v>9817</v>
      </c>
      <c r="C9815" s="3" t="s">
        <v>9</v>
      </c>
      <c r="D9815" s="3" t="s">
        <v>9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/>
      <c r="P9815" s="3"/>
      <c r="Q9815" s="3"/>
    </row>
    <row r="9816" spans="1:17" ht="15" x14ac:dyDescent="0.25">
      <c r="A9816" s="3">
        <f>9809</f>
        <v>9809</v>
      </c>
      <c r="B9816" s="3" t="s">
        <v>9818</v>
      </c>
      <c r="C9816" s="3" t="s">
        <v>9</v>
      </c>
      <c r="D9816" s="3" t="s">
        <v>9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/>
      <c r="P9816" s="3"/>
      <c r="Q9816" s="3"/>
    </row>
    <row r="9817" spans="1:17" ht="15" x14ac:dyDescent="0.25">
      <c r="A9817" s="3">
        <f>9810</f>
        <v>9810</v>
      </c>
      <c r="B9817" s="3" t="s">
        <v>9819</v>
      </c>
      <c r="C9817" s="3" t="s">
        <v>9</v>
      </c>
      <c r="D9817" s="3" t="s">
        <v>9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/>
      <c r="P9817" s="3"/>
      <c r="Q9817" s="3"/>
    </row>
    <row r="9818" spans="1:17" ht="15" x14ac:dyDescent="0.25">
      <c r="A9818" s="3">
        <f>9811</f>
        <v>9811</v>
      </c>
      <c r="B9818" s="3" t="s">
        <v>9820</v>
      </c>
      <c r="C9818" s="3" t="s">
        <v>9</v>
      </c>
      <c r="D9818" s="3" t="s">
        <v>9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/>
      <c r="P9818" s="3"/>
      <c r="Q9818" s="3"/>
    </row>
    <row r="9819" spans="1:17" ht="15" x14ac:dyDescent="0.25">
      <c r="A9819" s="3">
        <f>9812</f>
        <v>9812</v>
      </c>
      <c r="B9819" s="3" t="s">
        <v>9821</v>
      </c>
      <c r="C9819" s="3" t="s">
        <v>9</v>
      </c>
      <c r="D9819" s="3" t="s">
        <v>9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/>
      <c r="P9819" s="3"/>
      <c r="Q9819" s="3"/>
    </row>
    <row r="9820" spans="1:17" ht="15" x14ac:dyDescent="0.25">
      <c r="A9820" s="3">
        <f>9813</f>
        <v>9813</v>
      </c>
      <c r="B9820" s="3" t="s">
        <v>9822</v>
      </c>
      <c r="C9820" s="3" t="s">
        <v>9</v>
      </c>
      <c r="D9820" s="3" t="s">
        <v>9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/>
      <c r="P9820" s="3"/>
      <c r="Q9820" s="3"/>
    </row>
    <row r="9821" spans="1:17" ht="15" x14ac:dyDescent="0.25">
      <c r="A9821" s="3">
        <f>9814</f>
        <v>9814</v>
      </c>
      <c r="B9821" s="3" t="s">
        <v>9823</v>
      </c>
      <c r="C9821" s="3" t="s">
        <v>9</v>
      </c>
      <c r="D9821" s="3" t="s">
        <v>9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/>
      <c r="P9821" s="3"/>
      <c r="Q9821" s="3"/>
    </row>
    <row r="9822" spans="1:17" ht="15" x14ac:dyDescent="0.25">
      <c r="A9822" s="3">
        <f>9815</f>
        <v>9815</v>
      </c>
      <c r="B9822" s="3" t="s">
        <v>9824</v>
      </c>
      <c r="C9822" s="3" t="s">
        <v>9</v>
      </c>
      <c r="D9822" s="3" t="s">
        <v>9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/>
      <c r="P9822" s="3"/>
      <c r="Q9822" s="3"/>
    </row>
    <row r="9823" spans="1:17" ht="15" x14ac:dyDescent="0.25">
      <c r="A9823" s="3">
        <f>9816</f>
        <v>9816</v>
      </c>
      <c r="B9823" s="3" t="s">
        <v>9825</v>
      </c>
      <c r="C9823" s="3" t="s">
        <v>9</v>
      </c>
      <c r="D9823" s="3" t="s">
        <v>9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/>
      <c r="P9823" s="3"/>
      <c r="Q9823" s="3"/>
    </row>
    <row r="9824" spans="1:17" ht="15" x14ac:dyDescent="0.25">
      <c r="A9824" s="3">
        <f>9817</f>
        <v>9817</v>
      </c>
      <c r="B9824" s="3" t="s">
        <v>9826</v>
      </c>
      <c r="C9824" s="3" t="s">
        <v>9</v>
      </c>
      <c r="D9824" s="3" t="s">
        <v>9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/>
      <c r="P9824" s="3"/>
      <c r="Q9824" s="3"/>
    </row>
    <row r="9825" spans="1:17" ht="15" x14ac:dyDescent="0.25">
      <c r="A9825" s="3">
        <f>9818</f>
        <v>9818</v>
      </c>
      <c r="B9825" s="3" t="s">
        <v>9827</v>
      </c>
      <c r="C9825" s="3" t="s">
        <v>9</v>
      </c>
      <c r="D9825" s="3" t="s">
        <v>9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/>
      <c r="P9825" s="3"/>
      <c r="Q9825" s="3"/>
    </row>
    <row r="9826" spans="1:17" ht="15" x14ac:dyDescent="0.25">
      <c r="A9826" s="3">
        <f>9819</f>
        <v>9819</v>
      </c>
      <c r="B9826" s="3" t="s">
        <v>9828</v>
      </c>
      <c r="C9826" s="3" t="s">
        <v>9</v>
      </c>
      <c r="D9826" s="3" t="s">
        <v>9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/>
      <c r="P9826" s="3"/>
      <c r="Q9826" s="3"/>
    </row>
    <row r="9827" spans="1:17" ht="15" x14ac:dyDescent="0.25">
      <c r="A9827" s="3">
        <f>9820</f>
        <v>9820</v>
      </c>
      <c r="B9827" s="3" t="s">
        <v>9829</v>
      </c>
      <c r="C9827" s="3" t="s">
        <v>9</v>
      </c>
      <c r="D9827" s="3" t="s">
        <v>9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/>
      <c r="P9827" s="3"/>
      <c r="Q9827" s="3"/>
    </row>
    <row r="9828" spans="1:17" ht="15" x14ac:dyDescent="0.25">
      <c r="A9828" s="3">
        <f>9821</f>
        <v>9821</v>
      </c>
      <c r="B9828" s="3" t="s">
        <v>9830</v>
      </c>
      <c r="C9828" s="3" t="s">
        <v>9</v>
      </c>
      <c r="D9828" s="3" t="s">
        <v>9</v>
      </c>
      <c r="E9828" s="3">
        <v>0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/>
      <c r="P9828" s="3"/>
      <c r="Q9828" s="3"/>
    </row>
    <row r="9829" spans="1:17" ht="15" x14ac:dyDescent="0.25">
      <c r="A9829" s="3">
        <f>9822</f>
        <v>9822</v>
      </c>
      <c r="B9829" s="3" t="s">
        <v>9831</v>
      </c>
      <c r="C9829" s="3" t="s">
        <v>9</v>
      </c>
      <c r="D9829" s="3" t="s">
        <v>9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/>
      <c r="P9829" s="3"/>
      <c r="Q9829" s="3"/>
    </row>
    <row r="9830" spans="1:17" ht="15" x14ac:dyDescent="0.25">
      <c r="A9830" s="3">
        <f>9823</f>
        <v>9823</v>
      </c>
      <c r="B9830" s="3" t="s">
        <v>9832</v>
      </c>
      <c r="C9830" s="3" t="s">
        <v>9</v>
      </c>
      <c r="D9830" s="3" t="s">
        <v>9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/>
      <c r="P9830" s="3"/>
      <c r="Q9830" s="3"/>
    </row>
    <row r="9831" spans="1:17" ht="15" x14ac:dyDescent="0.25">
      <c r="A9831" s="3">
        <f>9824</f>
        <v>9824</v>
      </c>
      <c r="B9831" s="3" t="s">
        <v>9833</v>
      </c>
      <c r="C9831" s="3" t="s">
        <v>9</v>
      </c>
      <c r="D9831" s="3" t="s">
        <v>9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/>
      <c r="P9831" s="3"/>
      <c r="Q9831" s="3"/>
    </row>
    <row r="9832" spans="1:17" ht="15" x14ac:dyDescent="0.25">
      <c r="A9832" s="3">
        <f>9825</f>
        <v>9825</v>
      </c>
      <c r="B9832" s="3" t="s">
        <v>9834</v>
      </c>
      <c r="C9832" s="3" t="s">
        <v>9</v>
      </c>
      <c r="D9832" s="3" t="s">
        <v>9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/>
      <c r="P9832" s="3"/>
      <c r="Q9832" s="3"/>
    </row>
    <row r="9833" spans="1:17" ht="15" x14ac:dyDescent="0.25">
      <c r="A9833" s="3">
        <f>9826</f>
        <v>9826</v>
      </c>
      <c r="B9833" s="3" t="s">
        <v>9835</v>
      </c>
      <c r="C9833" s="3" t="s">
        <v>9</v>
      </c>
      <c r="D9833" s="3" t="s">
        <v>9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/>
      <c r="P9833" s="3"/>
      <c r="Q9833" s="3"/>
    </row>
    <row r="9834" spans="1:17" ht="15" x14ac:dyDescent="0.25">
      <c r="A9834" s="3">
        <f>9827</f>
        <v>9827</v>
      </c>
      <c r="B9834" s="3" t="s">
        <v>9836</v>
      </c>
      <c r="C9834" s="3" t="s">
        <v>9</v>
      </c>
      <c r="D9834" s="3" t="s">
        <v>9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/>
      <c r="P9834" s="3"/>
      <c r="Q9834" s="3"/>
    </row>
    <row r="9835" spans="1:17" ht="15" x14ac:dyDescent="0.25">
      <c r="A9835" s="3">
        <f>9828</f>
        <v>9828</v>
      </c>
      <c r="B9835" s="3" t="s">
        <v>9837</v>
      </c>
      <c r="C9835" s="3" t="s">
        <v>9</v>
      </c>
      <c r="D9835" s="3" t="s">
        <v>9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/>
      <c r="P9835" s="3"/>
      <c r="Q9835" s="3"/>
    </row>
    <row r="9836" spans="1:17" ht="15" x14ac:dyDescent="0.25">
      <c r="A9836" s="3">
        <f>9829</f>
        <v>9829</v>
      </c>
      <c r="B9836" s="3" t="s">
        <v>9838</v>
      </c>
      <c r="C9836" s="3" t="s">
        <v>9</v>
      </c>
      <c r="D9836" s="3" t="s">
        <v>9</v>
      </c>
      <c r="E9836" s="3">
        <v>0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/>
      <c r="P9836" s="3"/>
      <c r="Q9836" s="3"/>
    </row>
    <row r="9837" spans="1:17" ht="15" x14ac:dyDescent="0.25">
      <c r="A9837" s="3">
        <f>9830</f>
        <v>9830</v>
      </c>
      <c r="B9837" s="3" t="s">
        <v>9839</v>
      </c>
      <c r="C9837" s="3" t="s">
        <v>9</v>
      </c>
      <c r="D9837" s="3" t="s">
        <v>9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/>
      <c r="P9837" s="3"/>
      <c r="Q9837" s="3"/>
    </row>
    <row r="9838" spans="1:17" ht="15" x14ac:dyDescent="0.25">
      <c r="A9838" s="3">
        <f>9831</f>
        <v>9831</v>
      </c>
      <c r="B9838" s="3" t="s">
        <v>9840</v>
      </c>
      <c r="C9838" s="3" t="s">
        <v>9</v>
      </c>
      <c r="D9838" s="3" t="s">
        <v>9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/>
      <c r="P9838" s="3"/>
      <c r="Q9838" s="3"/>
    </row>
    <row r="9839" spans="1:17" ht="15" x14ac:dyDescent="0.25">
      <c r="A9839" s="3">
        <f>9832</f>
        <v>9832</v>
      </c>
      <c r="B9839" s="3" t="s">
        <v>9841</v>
      </c>
      <c r="C9839" s="3" t="s">
        <v>9</v>
      </c>
      <c r="D9839" s="3" t="s">
        <v>9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/>
      <c r="P9839" s="3"/>
      <c r="Q9839" s="3"/>
    </row>
    <row r="9840" spans="1:17" ht="15" x14ac:dyDescent="0.25">
      <c r="A9840" s="3">
        <f>9833</f>
        <v>9833</v>
      </c>
      <c r="B9840" s="3" t="s">
        <v>9842</v>
      </c>
      <c r="C9840" s="3" t="s">
        <v>9</v>
      </c>
      <c r="D9840" s="3" t="s">
        <v>9</v>
      </c>
      <c r="E9840" s="3">
        <v>0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/>
      <c r="P9840" s="3"/>
      <c r="Q9840" s="3"/>
    </row>
    <row r="9841" spans="1:17" ht="15" x14ac:dyDescent="0.25">
      <c r="A9841" s="3">
        <f>9834</f>
        <v>9834</v>
      </c>
      <c r="B9841" s="3" t="s">
        <v>9843</v>
      </c>
      <c r="C9841" s="3" t="s">
        <v>9</v>
      </c>
      <c r="D9841" s="3" t="s">
        <v>9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/>
      <c r="P9841" s="3"/>
      <c r="Q9841" s="3"/>
    </row>
    <row r="9842" spans="1:17" ht="15" x14ac:dyDescent="0.25">
      <c r="A9842" s="3">
        <f>9835</f>
        <v>9835</v>
      </c>
      <c r="B9842" s="3" t="s">
        <v>9844</v>
      </c>
      <c r="C9842" s="3" t="s">
        <v>9</v>
      </c>
      <c r="D9842" s="3" t="s">
        <v>9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/>
      <c r="P9842" s="3"/>
      <c r="Q9842" s="3"/>
    </row>
    <row r="9843" spans="1:17" ht="15" x14ac:dyDescent="0.25">
      <c r="A9843" s="3">
        <f>9836</f>
        <v>9836</v>
      </c>
      <c r="B9843" s="3" t="s">
        <v>9845</v>
      </c>
      <c r="C9843" s="3" t="s">
        <v>9</v>
      </c>
      <c r="D9843" s="3" t="s">
        <v>9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/>
      <c r="P9843" s="3"/>
      <c r="Q9843" s="3"/>
    </row>
    <row r="9844" spans="1:17" ht="15" x14ac:dyDescent="0.25">
      <c r="A9844" s="3">
        <f>9837</f>
        <v>9837</v>
      </c>
      <c r="B9844" s="3" t="s">
        <v>9846</v>
      </c>
      <c r="C9844" s="3" t="s">
        <v>9</v>
      </c>
      <c r="D9844" s="3" t="s">
        <v>9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/>
      <c r="P9844" s="3"/>
      <c r="Q9844" s="3"/>
    </row>
    <row r="9845" spans="1:17" ht="15" x14ac:dyDescent="0.25">
      <c r="A9845" s="3">
        <f>9838</f>
        <v>9838</v>
      </c>
      <c r="B9845" s="3" t="s">
        <v>9847</v>
      </c>
      <c r="C9845" s="3" t="s">
        <v>9</v>
      </c>
      <c r="D9845" s="3" t="s">
        <v>9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/>
      <c r="P9845" s="3"/>
      <c r="Q9845" s="3"/>
    </row>
    <row r="9846" spans="1:17" ht="15" x14ac:dyDescent="0.25">
      <c r="A9846" s="3">
        <f>9839</f>
        <v>9839</v>
      </c>
      <c r="B9846" s="3" t="s">
        <v>9848</v>
      </c>
      <c r="C9846" s="3" t="s">
        <v>9</v>
      </c>
      <c r="D9846" s="3" t="s">
        <v>9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/>
      <c r="P9846" s="3"/>
      <c r="Q9846" s="3"/>
    </row>
    <row r="9847" spans="1:17" ht="15" x14ac:dyDescent="0.25">
      <c r="A9847" s="3">
        <f>9840</f>
        <v>9840</v>
      </c>
      <c r="B9847" s="3" t="s">
        <v>9849</v>
      </c>
      <c r="C9847" s="3" t="s">
        <v>9</v>
      </c>
      <c r="D9847" s="3" t="s">
        <v>9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/>
      <c r="P9847" s="3"/>
      <c r="Q9847" s="3"/>
    </row>
    <row r="9848" spans="1:17" ht="15" x14ac:dyDescent="0.25">
      <c r="A9848" s="3">
        <f>9841</f>
        <v>9841</v>
      </c>
      <c r="B9848" s="3" t="s">
        <v>9850</v>
      </c>
      <c r="C9848" s="3" t="s">
        <v>9</v>
      </c>
      <c r="D9848" s="3" t="s">
        <v>9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/>
      <c r="P9848" s="3"/>
      <c r="Q9848" s="3"/>
    </row>
    <row r="9849" spans="1:17" ht="15" x14ac:dyDescent="0.25">
      <c r="A9849" s="3">
        <f>9842</f>
        <v>9842</v>
      </c>
      <c r="B9849" s="3" t="s">
        <v>9851</v>
      </c>
      <c r="C9849" s="3" t="s">
        <v>9</v>
      </c>
      <c r="D9849" s="3" t="s">
        <v>9</v>
      </c>
      <c r="E9849" s="3">
        <v>0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/>
      <c r="P9849" s="3"/>
      <c r="Q9849" s="3"/>
    </row>
    <row r="9850" spans="1:17" ht="15" x14ac:dyDescent="0.25">
      <c r="A9850" s="3">
        <f>9843</f>
        <v>9843</v>
      </c>
      <c r="B9850" s="3" t="s">
        <v>9852</v>
      </c>
      <c r="C9850" s="3" t="s">
        <v>10</v>
      </c>
      <c r="D9850" s="3" t="s">
        <v>9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/>
      <c r="P9850" s="3"/>
      <c r="Q9850" s="3"/>
    </row>
    <row r="9851" spans="1:17" ht="15" x14ac:dyDescent="0.25">
      <c r="A9851" s="3">
        <f>9844</f>
        <v>9844</v>
      </c>
      <c r="B9851" s="3" t="s">
        <v>9853</v>
      </c>
      <c r="C9851" s="3" t="s">
        <v>9</v>
      </c>
      <c r="D9851" s="3" t="s">
        <v>10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/>
      <c r="P9851" s="3"/>
      <c r="Q9851" s="3"/>
    </row>
    <row r="9852" spans="1:17" ht="15" x14ac:dyDescent="0.25">
      <c r="A9852" s="3">
        <f>9845</f>
        <v>9845</v>
      </c>
      <c r="B9852" s="3" t="s">
        <v>9854</v>
      </c>
      <c r="C9852" s="3" t="s">
        <v>9</v>
      </c>
      <c r="D9852" s="3" t="s">
        <v>10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/>
      <c r="P9852" s="3"/>
      <c r="Q9852" s="3"/>
    </row>
    <row r="9853" spans="1:17" ht="15" x14ac:dyDescent="0.25">
      <c r="A9853" s="3">
        <f>9846</f>
        <v>9846</v>
      </c>
      <c r="B9853" s="3" t="s">
        <v>9855</v>
      </c>
      <c r="C9853" s="3" t="s">
        <v>9</v>
      </c>
      <c r="D9853" s="3" t="s">
        <v>10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/>
      <c r="P9853" s="3"/>
      <c r="Q9853" s="3"/>
    </row>
    <row r="9854" spans="1:17" ht="15" x14ac:dyDescent="0.25">
      <c r="A9854" s="3">
        <f>9847</f>
        <v>9847</v>
      </c>
      <c r="B9854" s="3" t="s">
        <v>9856</v>
      </c>
      <c r="C9854" s="3" t="s">
        <v>9</v>
      </c>
      <c r="D9854" s="3" t="s">
        <v>10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/>
      <c r="P9854" s="3"/>
      <c r="Q9854" s="3"/>
    </row>
    <row r="9855" spans="1:17" ht="15" x14ac:dyDescent="0.25">
      <c r="A9855" s="3">
        <f>9848</f>
        <v>9848</v>
      </c>
      <c r="B9855" s="3" t="s">
        <v>9857</v>
      </c>
      <c r="C9855" s="3" t="s">
        <v>10</v>
      </c>
      <c r="D9855" s="3" t="s">
        <v>9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s="3"/>
      <c r="P9855" s="3"/>
      <c r="Q9855" s="3"/>
    </row>
    <row r="9856" spans="1:17" ht="15" x14ac:dyDescent="0.25">
      <c r="A9856" s="3">
        <f>9849</f>
        <v>9849</v>
      </c>
      <c r="B9856" s="3" t="s">
        <v>9858</v>
      </c>
      <c r="C9856" s="3" t="s">
        <v>9</v>
      </c>
      <c r="D9856" s="3" t="s">
        <v>10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/>
      <c r="P9856" s="3"/>
      <c r="Q9856" s="3"/>
    </row>
    <row r="9857" spans="1:17" ht="15" x14ac:dyDescent="0.25">
      <c r="A9857" s="3">
        <f>9850</f>
        <v>9850</v>
      </c>
      <c r="B9857" s="3" t="s">
        <v>9859</v>
      </c>
      <c r="C9857" s="3" t="s">
        <v>9</v>
      </c>
      <c r="D9857" s="3" t="s">
        <v>10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/>
      <c r="P9857" s="3"/>
      <c r="Q9857" s="3"/>
    </row>
    <row r="9858" spans="1:17" ht="15" x14ac:dyDescent="0.25">
      <c r="A9858" s="3">
        <f>9851</f>
        <v>9851</v>
      </c>
      <c r="B9858" s="3" t="s">
        <v>9860</v>
      </c>
      <c r="C9858" s="3" t="s">
        <v>10</v>
      </c>
      <c r="D9858" s="3" t="s">
        <v>9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/>
      <c r="P9858" s="3"/>
      <c r="Q9858" s="3"/>
    </row>
    <row r="9859" spans="1:17" ht="15" x14ac:dyDescent="0.25">
      <c r="A9859" s="3">
        <f>9852</f>
        <v>9852</v>
      </c>
      <c r="B9859" s="3" t="s">
        <v>9861</v>
      </c>
      <c r="C9859" s="3" t="s">
        <v>9</v>
      </c>
      <c r="D9859" s="3" t="s">
        <v>10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/>
      <c r="P9859" s="3"/>
      <c r="Q9859" s="3"/>
    </row>
    <row r="9860" spans="1:17" ht="15" x14ac:dyDescent="0.25">
      <c r="A9860" s="3">
        <f>9853</f>
        <v>9853</v>
      </c>
      <c r="B9860" s="3" t="s">
        <v>9862</v>
      </c>
      <c r="C9860" s="3" t="s">
        <v>9</v>
      </c>
      <c r="D9860" s="3" t="s">
        <v>10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/>
      <c r="P9860" s="3"/>
      <c r="Q9860" s="3"/>
    </row>
    <row r="9861" spans="1:17" ht="15" x14ac:dyDescent="0.25">
      <c r="A9861" s="3">
        <f>9854</f>
        <v>9854</v>
      </c>
      <c r="B9861" s="3" t="s">
        <v>9863</v>
      </c>
      <c r="C9861" s="3" t="s">
        <v>9</v>
      </c>
      <c r="D9861" s="3" t="s">
        <v>10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/>
      <c r="P9861" s="3"/>
      <c r="Q9861" s="3"/>
    </row>
    <row r="9862" spans="1:17" ht="15" x14ac:dyDescent="0.25">
      <c r="A9862" s="3">
        <f>9855</f>
        <v>9855</v>
      </c>
      <c r="B9862" s="3" t="s">
        <v>9864</v>
      </c>
      <c r="C9862" s="3" t="s">
        <v>10</v>
      </c>
      <c r="D9862" s="3" t="s">
        <v>9</v>
      </c>
      <c r="E9862" s="3">
        <v>0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/>
      <c r="P9862" s="3"/>
      <c r="Q9862" s="3"/>
    </row>
    <row r="9863" spans="1:17" ht="15" x14ac:dyDescent="0.25">
      <c r="A9863" s="3">
        <f>9856</f>
        <v>9856</v>
      </c>
      <c r="B9863" s="3" t="s">
        <v>9865</v>
      </c>
      <c r="C9863" s="3" t="s">
        <v>9</v>
      </c>
      <c r="D9863" s="3" t="s">
        <v>10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/>
      <c r="P9863" s="3"/>
      <c r="Q9863" s="3"/>
    </row>
    <row r="9864" spans="1:17" ht="15" x14ac:dyDescent="0.25">
      <c r="A9864" s="3">
        <f>9857</f>
        <v>9857</v>
      </c>
      <c r="B9864" s="3" t="s">
        <v>9866</v>
      </c>
      <c r="C9864" s="3" t="s">
        <v>10</v>
      </c>
      <c r="D9864" s="3" t="s">
        <v>9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/>
      <c r="P9864" s="3"/>
      <c r="Q9864" s="3"/>
    </row>
    <row r="9865" spans="1:17" ht="15" x14ac:dyDescent="0.25">
      <c r="A9865" s="3">
        <f>9858</f>
        <v>9858</v>
      </c>
      <c r="B9865" s="3" t="s">
        <v>9867</v>
      </c>
      <c r="C9865" s="3" t="s">
        <v>10</v>
      </c>
      <c r="D9865" s="3" t="s">
        <v>9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/>
      <c r="P9865" s="3"/>
      <c r="Q9865" s="3"/>
    </row>
    <row r="9866" spans="1:17" ht="15" x14ac:dyDescent="0.25">
      <c r="A9866" s="3">
        <f>9859</f>
        <v>9859</v>
      </c>
      <c r="B9866" s="3" t="s">
        <v>9868</v>
      </c>
      <c r="C9866" s="3" t="s">
        <v>10</v>
      </c>
      <c r="D9866" s="3" t="s">
        <v>9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/>
      <c r="P9866" s="3"/>
      <c r="Q9866" s="3"/>
    </row>
    <row r="9867" spans="1:17" ht="15" x14ac:dyDescent="0.25">
      <c r="A9867" s="3">
        <f>9860</f>
        <v>9860</v>
      </c>
      <c r="B9867" s="3" t="s">
        <v>9869</v>
      </c>
      <c r="C9867" s="3" t="s">
        <v>10</v>
      </c>
      <c r="D9867" s="3" t="s">
        <v>9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/>
      <c r="P9867" s="3"/>
      <c r="Q9867" s="3"/>
    </row>
    <row r="9868" spans="1:17" ht="15" x14ac:dyDescent="0.25">
      <c r="A9868" s="3">
        <f>9861</f>
        <v>9861</v>
      </c>
      <c r="B9868" s="3" t="s">
        <v>9870</v>
      </c>
      <c r="C9868" s="3" t="s">
        <v>10</v>
      </c>
      <c r="D9868" s="3" t="s">
        <v>9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/>
      <c r="P9868" s="3"/>
      <c r="Q9868" s="3"/>
    </row>
    <row r="9869" spans="1:17" ht="15" x14ac:dyDescent="0.25">
      <c r="A9869" s="3">
        <f>9862</f>
        <v>9862</v>
      </c>
      <c r="B9869" s="3" t="s">
        <v>9871</v>
      </c>
      <c r="C9869" s="3" t="s">
        <v>10</v>
      </c>
      <c r="D9869" s="3" t="s">
        <v>9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/>
      <c r="P9869" s="3"/>
      <c r="Q9869" s="3"/>
    </row>
    <row r="9870" spans="1:17" ht="15" x14ac:dyDescent="0.25">
      <c r="A9870" s="3">
        <f>9863</f>
        <v>9863</v>
      </c>
      <c r="B9870" s="3" t="s">
        <v>9872</v>
      </c>
      <c r="C9870" s="3" t="s">
        <v>10</v>
      </c>
      <c r="D9870" s="3" t="s">
        <v>9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/>
      <c r="P9870" s="3"/>
      <c r="Q9870" s="3"/>
    </row>
    <row r="9871" spans="1:17" ht="15" x14ac:dyDescent="0.25">
      <c r="A9871" s="3">
        <f>9864</f>
        <v>9864</v>
      </c>
      <c r="B9871" s="3" t="s">
        <v>9873</v>
      </c>
      <c r="C9871" s="3" t="s">
        <v>10</v>
      </c>
      <c r="D9871" s="3" t="s">
        <v>9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/>
      <c r="P9871" s="3"/>
      <c r="Q9871" s="3"/>
    </row>
    <row r="9872" spans="1:17" ht="15" x14ac:dyDescent="0.25">
      <c r="A9872" s="3">
        <f>9865</f>
        <v>9865</v>
      </c>
      <c r="B9872" s="3" t="s">
        <v>9874</v>
      </c>
      <c r="C9872" s="3" t="s">
        <v>10</v>
      </c>
      <c r="D9872" s="3" t="s">
        <v>9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/>
      <c r="P9872" s="3"/>
      <c r="Q9872" s="3"/>
    </row>
    <row r="9873" spans="1:17" ht="15" x14ac:dyDescent="0.25">
      <c r="A9873" s="3">
        <f>9866</f>
        <v>9866</v>
      </c>
      <c r="B9873" s="3" t="s">
        <v>9875</v>
      </c>
      <c r="C9873" s="3" t="s">
        <v>10</v>
      </c>
      <c r="D9873" s="3" t="s">
        <v>9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/>
      <c r="P9873" s="3"/>
      <c r="Q9873" s="3"/>
    </row>
    <row r="9874" spans="1:17" ht="15" x14ac:dyDescent="0.25">
      <c r="A9874" s="3">
        <f>9867</f>
        <v>9867</v>
      </c>
      <c r="B9874" s="3" t="s">
        <v>9876</v>
      </c>
      <c r="C9874" s="3" t="s">
        <v>10</v>
      </c>
      <c r="D9874" s="3" t="s">
        <v>9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/>
      <c r="P9874" s="3"/>
      <c r="Q9874" s="3"/>
    </row>
    <row r="9875" spans="1:17" ht="15" x14ac:dyDescent="0.25">
      <c r="A9875" s="3">
        <f>9868</f>
        <v>9868</v>
      </c>
      <c r="B9875" s="3" t="s">
        <v>9877</v>
      </c>
      <c r="C9875" s="3" t="s">
        <v>10</v>
      </c>
      <c r="D9875" s="3" t="s">
        <v>9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/>
      <c r="P9875" s="3"/>
      <c r="Q9875" s="3"/>
    </row>
    <row r="9876" spans="1:17" ht="15" x14ac:dyDescent="0.25">
      <c r="A9876" s="3">
        <f>9869</f>
        <v>9869</v>
      </c>
      <c r="B9876" s="3" t="s">
        <v>9878</v>
      </c>
      <c r="C9876" s="3" t="s">
        <v>10</v>
      </c>
      <c r="D9876" s="3" t="s">
        <v>9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/>
      <c r="P9876" s="3"/>
      <c r="Q9876" s="3"/>
    </row>
    <row r="9877" spans="1:17" ht="15" x14ac:dyDescent="0.25">
      <c r="A9877" s="3">
        <f>9870</f>
        <v>9870</v>
      </c>
      <c r="B9877" s="3" t="s">
        <v>9879</v>
      </c>
      <c r="C9877" s="3" t="s">
        <v>10</v>
      </c>
      <c r="D9877" s="3" t="s">
        <v>9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/>
      <c r="P9877" s="3"/>
      <c r="Q9877" s="3"/>
    </row>
    <row r="9878" spans="1:17" ht="15" x14ac:dyDescent="0.25">
      <c r="A9878" s="3">
        <f>9871</f>
        <v>9871</v>
      </c>
      <c r="B9878" s="3" t="s">
        <v>9880</v>
      </c>
      <c r="C9878" s="3" t="s">
        <v>10</v>
      </c>
      <c r="D9878" s="3" t="s">
        <v>9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/>
      <c r="P9878" s="3"/>
      <c r="Q9878" s="3"/>
    </row>
    <row r="9879" spans="1:17" ht="15" x14ac:dyDescent="0.25">
      <c r="A9879" s="3">
        <f>9872</f>
        <v>9872</v>
      </c>
      <c r="B9879" s="3" t="s">
        <v>9881</v>
      </c>
      <c r="C9879" s="3" t="s">
        <v>10</v>
      </c>
      <c r="D9879" s="3" t="s">
        <v>9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/>
      <c r="P9879" s="3"/>
      <c r="Q9879" s="3"/>
    </row>
    <row r="9880" spans="1:17" ht="15" x14ac:dyDescent="0.25">
      <c r="A9880" s="3">
        <f>9873</f>
        <v>9873</v>
      </c>
      <c r="B9880" s="3" t="s">
        <v>9882</v>
      </c>
      <c r="C9880" s="3" t="s">
        <v>9</v>
      </c>
      <c r="D9880" s="3" t="s">
        <v>10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/>
      <c r="P9880" s="3"/>
      <c r="Q9880" s="3"/>
    </row>
    <row r="9881" spans="1:17" ht="15" x14ac:dyDescent="0.25">
      <c r="A9881" s="3">
        <f>9874</f>
        <v>9874</v>
      </c>
      <c r="B9881" s="3" t="s">
        <v>9883</v>
      </c>
      <c r="C9881" s="3" t="s">
        <v>9</v>
      </c>
      <c r="D9881" s="3" t="s">
        <v>10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/>
      <c r="P9881" s="3"/>
      <c r="Q9881" s="3"/>
    </row>
    <row r="9882" spans="1:17" ht="15" x14ac:dyDescent="0.25">
      <c r="A9882" s="3">
        <f>9875</f>
        <v>9875</v>
      </c>
      <c r="B9882" s="3" t="s">
        <v>9884</v>
      </c>
      <c r="C9882" s="3" t="s">
        <v>9</v>
      </c>
      <c r="D9882" s="3" t="s">
        <v>10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/>
      <c r="P9882" s="3"/>
      <c r="Q9882" s="3"/>
    </row>
    <row r="9883" spans="1:17" ht="15" x14ac:dyDescent="0.25">
      <c r="A9883" s="3">
        <f>9876</f>
        <v>9876</v>
      </c>
      <c r="B9883" s="3" t="s">
        <v>9885</v>
      </c>
      <c r="C9883" s="3" t="s">
        <v>9</v>
      </c>
      <c r="D9883" s="3" t="s">
        <v>10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/>
      <c r="P9883" s="3"/>
      <c r="Q9883" s="3"/>
    </row>
    <row r="9884" spans="1:17" ht="15" x14ac:dyDescent="0.25">
      <c r="A9884" s="3">
        <f>9877</f>
        <v>9877</v>
      </c>
      <c r="B9884" s="3" t="s">
        <v>9886</v>
      </c>
      <c r="C9884" s="3" t="s">
        <v>9</v>
      </c>
      <c r="D9884" s="3" t="s">
        <v>10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/>
      <c r="P9884" s="3"/>
      <c r="Q9884" s="3"/>
    </row>
    <row r="9885" spans="1:17" ht="15" x14ac:dyDescent="0.25">
      <c r="A9885" s="3">
        <f>9878</f>
        <v>9878</v>
      </c>
      <c r="B9885" s="3" t="s">
        <v>9887</v>
      </c>
      <c r="C9885" s="3" t="s">
        <v>9</v>
      </c>
      <c r="D9885" s="3" t="s">
        <v>10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/>
      <c r="P9885" s="3"/>
      <c r="Q9885" s="3"/>
    </row>
    <row r="9886" spans="1:17" ht="15" x14ac:dyDescent="0.25">
      <c r="A9886" s="3">
        <f>9879</f>
        <v>9879</v>
      </c>
      <c r="B9886" s="3" t="s">
        <v>9888</v>
      </c>
      <c r="C9886" s="3" t="s">
        <v>9</v>
      </c>
      <c r="D9886" s="3" t="s">
        <v>10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/>
      <c r="P9886" s="3"/>
      <c r="Q9886" s="3"/>
    </row>
    <row r="9887" spans="1:17" ht="15" x14ac:dyDescent="0.25">
      <c r="A9887" s="3">
        <f>9880</f>
        <v>9880</v>
      </c>
      <c r="B9887" s="3" t="s">
        <v>9889</v>
      </c>
      <c r="C9887" s="3" t="s">
        <v>9</v>
      </c>
      <c r="D9887" s="3" t="s">
        <v>10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/>
      <c r="P9887" s="3"/>
      <c r="Q9887" s="3"/>
    </row>
    <row r="9888" spans="1:17" ht="15" x14ac:dyDescent="0.25">
      <c r="A9888" s="3">
        <f>9881</f>
        <v>9881</v>
      </c>
      <c r="B9888" s="3" t="s">
        <v>9890</v>
      </c>
      <c r="C9888" s="3" t="s">
        <v>9</v>
      </c>
      <c r="D9888" s="3" t="s">
        <v>10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/>
      <c r="P9888" s="3"/>
      <c r="Q9888" s="3"/>
    </row>
    <row r="9889" spans="1:17" ht="15" x14ac:dyDescent="0.25">
      <c r="A9889" s="3">
        <f>9882</f>
        <v>9882</v>
      </c>
      <c r="B9889" s="3" t="s">
        <v>9891</v>
      </c>
      <c r="C9889" s="3" t="s">
        <v>9</v>
      </c>
      <c r="D9889" s="3" t="s">
        <v>10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/>
      <c r="P9889" s="3"/>
      <c r="Q9889" s="3"/>
    </row>
    <row r="9890" spans="1:17" ht="15" x14ac:dyDescent="0.25">
      <c r="A9890" s="3">
        <f>9883</f>
        <v>9883</v>
      </c>
      <c r="B9890" s="3" t="s">
        <v>9892</v>
      </c>
      <c r="C9890" s="3" t="s">
        <v>9</v>
      </c>
      <c r="D9890" s="3" t="s">
        <v>10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/>
      <c r="P9890" s="3"/>
      <c r="Q9890" s="3"/>
    </row>
    <row r="9891" spans="1:17" ht="15" x14ac:dyDescent="0.25">
      <c r="A9891" s="3">
        <f>9884</f>
        <v>9884</v>
      </c>
      <c r="B9891" s="3" t="s">
        <v>9893</v>
      </c>
      <c r="C9891" s="3" t="s">
        <v>10</v>
      </c>
      <c r="D9891" s="3" t="s">
        <v>9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/>
      <c r="P9891" s="3"/>
      <c r="Q9891" s="3"/>
    </row>
    <row r="9892" spans="1:17" ht="15" x14ac:dyDescent="0.25">
      <c r="A9892" s="3">
        <f>9885</f>
        <v>9885</v>
      </c>
      <c r="B9892" s="3" t="s">
        <v>9894</v>
      </c>
      <c r="C9892" s="3" t="s">
        <v>9</v>
      </c>
      <c r="D9892" s="3" t="s">
        <v>10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/>
      <c r="P9892" s="3"/>
      <c r="Q9892" s="3"/>
    </row>
    <row r="9893" spans="1:17" ht="15" x14ac:dyDescent="0.25">
      <c r="A9893" s="3">
        <f>9886</f>
        <v>9886</v>
      </c>
      <c r="B9893" s="3" t="s">
        <v>9895</v>
      </c>
      <c r="C9893" s="3" t="s">
        <v>9</v>
      </c>
      <c r="D9893" s="3" t="s">
        <v>10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/>
      <c r="P9893" s="3"/>
      <c r="Q9893" s="3"/>
    </row>
    <row r="9894" spans="1:17" ht="15" x14ac:dyDescent="0.25">
      <c r="A9894" s="3">
        <f>9887</f>
        <v>9887</v>
      </c>
      <c r="B9894" s="3" t="s">
        <v>9896</v>
      </c>
      <c r="C9894" s="3" t="s">
        <v>9</v>
      </c>
      <c r="D9894" s="3" t="s">
        <v>10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/>
      <c r="P9894" s="3"/>
      <c r="Q9894" s="3"/>
    </row>
    <row r="9895" spans="1:17" ht="15" x14ac:dyDescent="0.25">
      <c r="A9895" s="3">
        <f>9888</f>
        <v>9888</v>
      </c>
      <c r="B9895" s="3" t="s">
        <v>9897</v>
      </c>
      <c r="C9895" s="3" t="s">
        <v>9</v>
      </c>
      <c r="D9895" s="3" t="s">
        <v>10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/>
      <c r="P9895" s="3"/>
      <c r="Q9895" s="3"/>
    </row>
    <row r="9896" spans="1:17" ht="15" x14ac:dyDescent="0.25">
      <c r="A9896" s="3">
        <f>9889</f>
        <v>9889</v>
      </c>
      <c r="B9896" s="3" t="s">
        <v>9898</v>
      </c>
      <c r="C9896" s="3" t="s">
        <v>9</v>
      </c>
      <c r="D9896" s="3" t="s">
        <v>10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/>
      <c r="P9896" s="3"/>
      <c r="Q9896" s="3"/>
    </row>
    <row r="9897" spans="1:17" ht="15" x14ac:dyDescent="0.25">
      <c r="A9897" s="3">
        <f>9890</f>
        <v>9890</v>
      </c>
      <c r="B9897" s="3" t="s">
        <v>9899</v>
      </c>
      <c r="C9897" s="3" t="s">
        <v>9</v>
      </c>
      <c r="D9897" s="3" t="s">
        <v>10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/>
      <c r="P9897" s="3"/>
      <c r="Q9897" s="3"/>
    </row>
    <row r="9898" spans="1:17" ht="15" x14ac:dyDescent="0.25">
      <c r="A9898" s="3">
        <f>9891</f>
        <v>9891</v>
      </c>
      <c r="B9898" s="3" t="s">
        <v>9900</v>
      </c>
      <c r="C9898" s="3" t="s">
        <v>10</v>
      </c>
      <c r="D9898" s="3" t="s">
        <v>9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/>
      <c r="P9898" s="3"/>
      <c r="Q9898" s="3"/>
    </row>
    <row r="9899" spans="1:17" ht="15" x14ac:dyDescent="0.25">
      <c r="A9899" s="3">
        <f>9892</f>
        <v>9892</v>
      </c>
      <c r="B9899" s="3" t="s">
        <v>9901</v>
      </c>
      <c r="C9899" s="3" t="s">
        <v>10</v>
      </c>
      <c r="D9899" s="3" t="s">
        <v>9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/>
      <c r="P9899" s="3"/>
      <c r="Q9899" s="3"/>
    </row>
    <row r="9900" spans="1:17" ht="15" x14ac:dyDescent="0.25">
      <c r="A9900" s="3">
        <f>9893</f>
        <v>9893</v>
      </c>
      <c r="B9900" s="3" t="s">
        <v>9902</v>
      </c>
      <c r="C9900" s="3" t="s">
        <v>10</v>
      </c>
      <c r="D9900" s="3" t="s">
        <v>9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/>
      <c r="P9900" s="3"/>
      <c r="Q9900" s="3"/>
    </row>
    <row r="9901" spans="1:17" ht="15" x14ac:dyDescent="0.25">
      <c r="A9901" s="3">
        <f>9894</f>
        <v>9894</v>
      </c>
      <c r="B9901" s="3" t="s">
        <v>9903</v>
      </c>
      <c r="C9901" s="3" t="s">
        <v>10</v>
      </c>
      <c r="D9901" s="3" t="s">
        <v>9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/>
      <c r="P9901" s="3"/>
      <c r="Q9901" s="3"/>
    </row>
    <row r="9902" spans="1:17" ht="15" x14ac:dyDescent="0.25">
      <c r="A9902" s="3">
        <f>9895</f>
        <v>9895</v>
      </c>
      <c r="B9902" s="3" t="s">
        <v>9904</v>
      </c>
      <c r="C9902" s="3" t="s">
        <v>10</v>
      </c>
      <c r="D9902" s="3" t="s">
        <v>9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/>
      <c r="P9902" s="3"/>
      <c r="Q9902" s="3"/>
    </row>
    <row r="9903" spans="1:17" ht="15" x14ac:dyDescent="0.25">
      <c r="A9903" s="3">
        <f>9896</f>
        <v>9896</v>
      </c>
      <c r="B9903" s="3" t="s">
        <v>9905</v>
      </c>
      <c r="C9903" s="3" t="s">
        <v>9</v>
      </c>
      <c r="D9903" s="3" t="s">
        <v>10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/>
      <c r="P9903" s="3"/>
      <c r="Q9903" s="3"/>
    </row>
    <row r="9904" spans="1:17" ht="15" x14ac:dyDescent="0.25">
      <c r="A9904" s="3">
        <f>9897</f>
        <v>9897</v>
      </c>
      <c r="B9904" s="3" t="s">
        <v>9906</v>
      </c>
      <c r="C9904" s="3" t="s">
        <v>9</v>
      </c>
      <c r="D9904" s="3" t="s">
        <v>10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/>
      <c r="P9904" s="3"/>
      <c r="Q9904" s="3"/>
    </row>
    <row r="9905" spans="1:17" ht="15" x14ac:dyDescent="0.25">
      <c r="A9905" s="3">
        <f>9898</f>
        <v>9898</v>
      </c>
      <c r="B9905" s="3" t="s">
        <v>9907</v>
      </c>
      <c r="C9905" s="3" t="s">
        <v>9</v>
      </c>
      <c r="D9905" s="3" t="s">
        <v>10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/>
      <c r="P9905" s="3"/>
      <c r="Q9905" s="3"/>
    </row>
    <row r="9906" spans="1:17" ht="15" x14ac:dyDescent="0.25">
      <c r="A9906" s="3">
        <f>9899</f>
        <v>9899</v>
      </c>
      <c r="B9906" s="3" t="s">
        <v>9908</v>
      </c>
      <c r="C9906" s="3" t="s">
        <v>9</v>
      </c>
      <c r="D9906" s="3" t="s">
        <v>10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/>
      <c r="P9906" s="3"/>
      <c r="Q9906" s="3"/>
    </row>
    <row r="9907" spans="1:17" ht="15" x14ac:dyDescent="0.25">
      <c r="A9907" s="3">
        <f>9900</f>
        <v>9900</v>
      </c>
      <c r="B9907" s="3" t="s">
        <v>9909</v>
      </c>
      <c r="C9907" s="3" t="s">
        <v>9</v>
      </c>
      <c r="D9907" s="3" t="s">
        <v>10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/>
      <c r="P9907" s="3"/>
      <c r="Q9907" s="3"/>
    </row>
    <row r="9908" spans="1:17" ht="15" x14ac:dyDescent="0.25">
      <c r="A9908" s="3">
        <f>9901</f>
        <v>9901</v>
      </c>
      <c r="B9908" s="3" t="s">
        <v>9910</v>
      </c>
      <c r="C9908" s="3" t="s">
        <v>9</v>
      </c>
      <c r="D9908" s="3" t="s">
        <v>10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/>
      <c r="P9908" s="3"/>
      <c r="Q9908" s="3"/>
    </row>
    <row r="9909" spans="1:17" ht="15" x14ac:dyDescent="0.25">
      <c r="A9909" s="3">
        <f>9902</f>
        <v>9902</v>
      </c>
      <c r="B9909" s="3" t="s">
        <v>9911</v>
      </c>
      <c r="C9909" s="3" t="s">
        <v>9</v>
      </c>
      <c r="D9909" s="3" t="s">
        <v>10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/>
      <c r="P9909" s="3"/>
      <c r="Q9909" s="3"/>
    </row>
    <row r="9910" spans="1:17" ht="15" x14ac:dyDescent="0.25">
      <c r="A9910" s="3">
        <f>9903</f>
        <v>9903</v>
      </c>
      <c r="B9910" s="3" t="s">
        <v>9912</v>
      </c>
      <c r="C9910" s="3" t="s">
        <v>9</v>
      </c>
      <c r="D9910" s="3" t="s">
        <v>10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/>
      <c r="P9910" s="3"/>
      <c r="Q9910" s="3"/>
    </row>
    <row r="9911" spans="1:17" ht="15" x14ac:dyDescent="0.25">
      <c r="A9911" s="3">
        <f>9904</f>
        <v>9904</v>
      </c>
      <c r="B9911" s="3" t="s">
        <v>9913</v>
      </c>
      <c r="C9911" s="3" t="s">
        <v>9</v>
      </c>
      <c r="D9911" s="3" t="s">
        <v>10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/>
      <c r="P9911" s="3"/>
      <c r="Q9911" s="3"/>
    </row>
    <row r="9912" spans="1:17" ht="15" x14ac:dyDescent="0.25">
      <c r="A9912" s="3">
        <f>9905</f>
        <v>9905</v>
      </c>
      <c r="B9912" s="3" t="s">
        <v>9914</v>
      </c>
      <c r="C9912" s="3" t="s">
        <v>9</v>
      </c>
      <c r="D9912" s="3" t="s">
        <v>10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/>
      <c r="P9912" s="3"/>
      <c r="Q9912" s="3"/>
    </row>
    <row r="9913" spans="1:17" ht="15" x14ac:dyDescent="0.25">
      <c r="A9913" s="3">
        <f>9906</f>
        <v>9906</v>
      </c>
      <c r="B9913" s="3" t="s">
        <v>9915</v>
      </c>
      <c r="C9913" s="3" t="s">
        <v>9</v>
      </c>
      <c r="D9913" s="3" t="s">
        <v>10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/>
      <c r="P9913" s="3"/>
      <c r="Q9913" s="3"/>
    </row>
    <row r="9914" spans="1:17" ht="15" x14ac:dyDescent="0.25">
      <c r="A9914" s="3">
        <f>9907</f>
        <v>9907</v>
      </c>
      <c r="B9914" s="3" t="s">
        <v>9916</v>
      </c>
      <c r="C9914" s="3" t="s">
        <v>9</v>
      </c>
      <c r="D9914" s="3" t="s">
        <v>10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/>
      <c r="P9914" s="3"/>
      <c r="Q9914" s="3"/>
    </row>
    <row r="9915" spans="1:17" ht="15" x14ac:dyDescent="0.25">
      <c r="A9915" s="3">
        <f>9908</f>
        <v>9908</v>
      </c>
      <c r="B9915" s="3" t="s">
        <v>9917</v>
      </c>
      <c r="C9915" s="3" t="s">
        <v>9</v>
      </c>
      <c r="D9915" s="3" t="s">
        <v>10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/>
      <c r="P9915" s="3"/>
      <c r="Q9915" s="3"/>
    </row>
    <row r="9916" spans="1:17" ht="15" x14ac:dyDescent="0.25">
      <c r="A9916" s="3">
        <f>9909</f>
        <v>9909</v>
      </c>
      <c r="B9916" s="3" t="s">
        <v>9918</v>
      </c>
      <c r="C9916" s="3" t="s">
        <v>9</v>
      </c>
      <c r="D9916" s="3" t="s">
        <v>10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/>
      <c r="P9916" s="3"/>
      <c r="Q9916" s="3"/>
    </row>
    <row r="9917" spans="1:17" ht="15" x14ac:dyDescent="0.25">
      <c r="A9917" s="3">
        <f>9910</f>
        <v>9910</v>
      </c>
      <c r="B9917" s="3" t="s">
        <v>9919</v>
      </c>
      <c r="C9917" s="3" t="s">
        <v>9</v>
      </c>
      <c r="D9917" s="3" t="s">
        <v>10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/>
      <c r="P9917" s="3"/>
      <c r="Q9917" s="3"/>
    </row>
    <row r="9918" spans="1:17" ht="15" x14ac:dyDescent="0.25">
      <c r="A9918" s="3">
        <f>9911</f>
        <v>9911</v>
      </c>
      <c r="B9918" s="3" t="s">
        <v>9920</v>
      </c>
      <c r="C9918" s="3" t="s">
        <v>9</v>
      </c>
      <c r="D9918" s="3" t="s">
        <v>10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/>
      <c r="P9918" s="3"/>
      <c r="Q9918" s="3"/>
    </row>
    <row r="9919" spans="1:17" ht="15" x14ac:dyDescent="0.25">
      <c r="A9919" s="3">
        <f>9912</f>
        <v>9912</v>
      </c>
      <c r="B9919" s="3" t="s">
        <v>9921</v>
      </c>
      <c r="C9919" s="3" t="s">
        <v>9</v>
      </c>
      <c r="D9919" s="3" t="s">
        <v>10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/>
      <c r="P9919" s="3"/>
      <c r="Q9919" s="3"/>
    </row>
    <row r="9920" spans="1:17" ht="15" x14ac:dyDescent="0.25">
      <c r="A9920" s="3">
        <f>9913</f>
        <v>9913</v>
      </c>
      <c r="B9920" s="3" t="s">
        <v>9922</v>
      </c>
      <c r="C9920" s="3" t="s">
        <v>9</v>
      </c>
      <c r="D9920" s="3" t="s">
        <v>10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/>
      <c r="P9920" s="3"/>
      <c r="Q9920" s="3"/>
    </row>
    <row r="9921" spans="1:17" ht="15" x14ac:dyDescent="0.25">
      <c r="A9921" s="3">
        <f>9914</f>
        <v>9914</v>
      </c>
      <c r="B9921" s="3" t="s">
        <v>9923</v>
      </c>
      <c r="C9921" s="3" t="s">
        <v>9</v>
      </c>
      <c r="D9921" s="3" t="s">
        <v>10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/>
      <c r="P9921" s="3"/>
      <c r="Q9921" s="3"/>
    </row>
    <row r="9922" spans="1:17" ht="15" x14ac:dyDescent="0.25">
      <c r="A9922" s="3">
        <f>9915</f>
        <v>9915</v>
      </c>
      <c r="B9922" s="3" t="s">
        <v>9924</v>
      </c>
      <c r="C9922" s="3" t="s">
        <v>9</v>
      </c>
      <c r="D9922" s="3" t="s">
        <v>10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/>
      <c r="P9922" s="3"/>
      <c r="Q9922" s="3"/>
    </row>
    <row r="9923" spans="1:17" ht="15" x14ac:dyDescent="0.25">
      <c r="A9923" s="3">
        <f>9916</f>
        <v>9916</v>
      </c>
      <c r="B9923" s="3" t="s">
        <v>9925</v>
      </c>
      <c r="C9923" s="3" t="s">
        <v>9</v>
      </c>
      <c r="D9923" s="3" t="s">
        <v>10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/>
      <c r="P9923" s="3"/>
      <c r="Q9923" s="3"/>
    </row>
    <row r="9924" spans="1:17" ht="15" x14ac:dyDescent="0.25">
      <c r="A9924" s="3">
        <f>9917</f>
        <v>9917</v>
      </c>
      <c r="B9924" s="3" t="s">
        <v>9926</v>
      </c>
      <c r="C9924" s="3" t="s">
        <v>9</v>
      </c>
      <c r="D9924" s="3" t="s">
        <v>10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/>
      <c r="P9924" s="3"/>
      <c r="Q9924" s="3"/>
    </row>
    <row r="9925" spans="1:17" ht="15" x14ac:dyDescent="0.25">
      <c r="A9925" s="3">
        <f>9918</f>
        <v>9918</v>
      </c>
      <c r="B9925" s="3" t="s">
        <v>9927</v>
      </c>
      <c r="C9925" s="3" t="s">
        <v>9</v>
      </c>
      <c r="D9925" s="3" t="s">
        <v>10</v>
      </c>
      <c r="E9925" s="3">
        <v>0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/>
      <c r="P9925" s="3"/>
      <c r="Q9925" s="3"/>
    </row>
    <row r="9926" spans="1:17" ht="15" x14ac:dyDescent="0.25">
      <c r="A9926" s="3">
        <f>9919</f>
        <v>9919</v>
      </c>
      <c r="B9926" s="3" t="s">
        <v>9928</v>
      </c>
      <c r="C9926" s="3" t="s">
        <v>9</v>
      </c>
      <c r="D9926" s="3" t="s">
        <v>10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/>
      <c r="P9926" s="3"/>
      <c r="Q9926" s="3"/>
    </row>
    <row r="9927" spans="1:17" ht="15" x14ac:dyDescent="0.25">
      <c r="A9927" s="3">
        <f>9920</f>
        <v>9920</v>
      </c>
      <c r="B9927" s="3" t="s">
        <v>9929</v>
      </c>
      <c r="C9927" s="3" t="s">
        <v>9</v>
      </c>
      <c r="D9927" s="3" t="s">
        <v>10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/>
      <c r="P9927" s="3"/>
      <c r="Q9927" s="3"/>
    </row>
    <row r="9928" spans="1:17" ht="15" x14ac:dyDescent="0.25">
      <c r="A9928" s="3">
        <f>9921</f>
        <v>9921</v>
      </c>
      <c r="B9928" s="3" t="s">
        <v>9930</v>
      </c>
      <c r="C9928" s="3" t="s">
        <v>9</v>
      </c>
      <c r="D9928" s="3" t="s">
        <v>10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/>
      <c r="P9928" s="3"/>
      <c r="Q9928" s="3"/>
    </row>
    <row r="9929" spans="1:17" ht="15" x14ac:dyDescent="0.25">
      <c r="A9929" s="3">
        <f>9922</f>
        <v>9922</v>
      </c>
      <c r="B9929" s="3" t="s">
        <v>9931</v>
      </c>
      <c r="C9929" s="3" t="s">
        <v>9</v>
      </c>
      <c r="D9929" s="3" t="s">
        <v>10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/>
      <c r="P9929" s="3"/>
      <c r="Q9929" s="3"/>
    </row>
    <row r="9930" spans="1:17" ht="15" x14ac:dyDescent="0.25">
      <c r="A9930" s="3">
        <f>9923</f>
        <v>9923</v>
      </c>
      <c r="B9930" s="3" t="s">
        <v>9932</v>
      </c>
      <c r="C9930" s="3" t="s">
        <v>9</v>
      </c>
      <c r="D9930" s="3" t="s">
        <v>10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/>
      <c r="P9930" s="3"/>
      <c r="Q9930" s="3"/>
    </row>
    <row r="9931" spans="1:17" ht="15" x14ac:dyDescent="0.25">
      <c r="A9931" s="3">
        <f>9924</f>
        <v>9924</v>
      </c>
      <c r="B9931" s="3" t="s">
        <v>9933</v>
      </c>
      <c r="C9931" s="3" t="s">
        <v>9</v>
      </c>
      <c r="D9931" s="3" t="s">
        <v>10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/>
      <c r="P9931" s="3"/>
      <c r="Q9931" s="3"/>
    </row>
    <row r="9932" spans="1:17" ht="15" x14ac:dyDescent="0.25">
      <c r="A9932" s="3">
        <f>9925</f>
        <v>9925</v>
      </c>
      <c r="B9932" s="3" t="s">
        <v>9934</v>
      </c>
      <c r="C9932" s="3" t="s">
        <v>9</v>
      </c>
      <c r="D9932" s="3" t="s">
        <v>10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/>
      <c r="P9932" s="3"/>
      <c r="Q9932" s="3"/>
    </row>
    <row r="9933" spans="1:17" ht="15" x14ac:dyDescent="0.25">
      <c r="A9933" s="3">
        <f>9926</f>
        <v>9926</v>
      </c>
      <c r="B9933" s="3" t="s">
        <v>9935</v>
      </c>
      <c r="C9933" s="3" t="s">
        <v>9</v>
      </c>
      <c r="D9933" s="3" t="s">
        <v>10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/>
      <c r="P9933" s="3"/>
      <c r="Q9933" s="3"/>
    </row>
    <row r="9934" spans="1:17" ht="15" x14ac:dyDescent="0.25">
      <c r="A9934" s="3">
        <f>9927</f>
        <v>9927</v>
      </c>
      <c r="B9934" s="3" t="s">
        <v>9936</v>
      </c>
      <c r="C9934" s="3" t="s">
        <v>9</v>
      </c>
      <c r="D9934" s="3" t="s">
        <v>10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/>
      <c r="P9934" s="3"/>
      <c r="Q9934" s="3"/>
    </row>
    <row r="9935" spans="1:17" ht="15" x14ac:dyDescent="0.25">
      <c r="A9935" s="3">
        <f>9928</f>
        <v>9928</v>
      </c>
      <c r="B9935" s="3" t="s">
        <v>9937</v>
      </c>
      <c r="C9935" s="3" t="s">
        <v>9</v>
      </c>
      <c r="D9935" s="3" t="s">
        <v>10</v>
      </c>
      <c r="E9935" s="3">
        <v>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/>
      <c r="P9935" s="3"/>
      <c r="Q9935" s="3"/>
    </row>
    <row r="9936" spans="1:17" ht="15" x14ac:dyDescent="0.25">
      <c r="A9936" s="3">
        <f>9929</f>
        <v>9929</v>
      </c>
      <c r="B9936" s="3" t="s">
        <v>9938</v>
      </c>
      <c r="C9936" s="3" t="s">
        <v>9</v>
      </c>
      <c r="D9936" s="3" t="s">
        <v>10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/>
      <c r="P9936" s="3"/>
      <c r="Q9936" s="3"/>
    </row>
    <row r="9937" spans="1:17" ht="15" x14ac:dyDescent="0.25">
      <c r="A9937" s="3">
        <f>9930</f>
        <v>9930</v>
      </c>
      <c r="B9937" s="3" t="s">
        <v>9939</v>
      </c>
      <c r="C9937" s="3" t="s">
        <v>10</v>
      </c>
      <c r="D9937" s="3" t="s">
        <v>9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/>
      <c r="P9937" s="3"/>
      <c r="Q9937" s="3"/>
    </row>
    <row r="9938" spans="1:17" ht="15" x14ac:dyDescent="0.25">
      <c r="A9938" s="3">
        <f>9931</f>
        <v>9931</v>
      </c>
      <c r="B9938" s="3" t="s">
        <v>9940</v>
      </c>
      <c r="C9938" s="3" t="s">
        <v>9</v>
      </c>
      <c r="D9938" s="3" t="s">
        <v>10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/>
      <c r="P9938" s="3"/>
      <c r="Q9938" s="3"/>
    </row>
    <row r="9939" spans="1:17" ht="15" x14ac:dyDescent="0.25">
      <c r="A9939" s="3">
        <f>9932</f>
        <v>9932</v>
      </c>
      <c r="B9939" s="3" t="s">
        <v>9941</v>
      </c>
      <c r="C9939" s="3" t="s">
        <v>9</v>
      </c>
      <c r="D9939" s="3" t="s">
        <v>10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/>
      <c r="P9939" s="3"/>
      <c r="Q9939" s="3"/>
    </row>
    <row r="9940" spans="1:17" ht="15" x14ac:dyDescent="0.25">
      <c r="A9940" s="3">
        <f>9933</f>
        <v>9933</v>
      </c>
      <c r="B9940" s="3" t="s">
        <v>9942</v>
      </c>
      <c r="C9940" s="3" t="s">
        <v>9</v>
      </c>
      <c r="D9940" s="3" t="s">
        <v>10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/>
      <c r="P9940" s="3"/>
      <c r="Q9940" s="3"/>
    </row>
    <row r="9941" spans="1:17" ht="15" x14ac:dyDescent="0.25">
      <c r="A9941" s="3">
        <f>9934</f>
        <v>9934</v>
      </c>
      <c r="B9941" s="3" t="s">
        <v>9943</v>
      </c>
      <c r="C9941" s="3" t="s">
        <v>10</v>
      </c>
      <c r="D9941" s="3" t="s">
        <v>9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/>
      <c r="P9941" s="3"/>
      <c r="Q9941" s="3"/>
    </row>
    <row r="9942" spans="1:17" ht="15" x14ac:dyDescent="0.25">
      <c r="A9942" s="3">
        <f>9935</f>
        <v>9935</v>
      </c>
      <c r="B9942" s="3" t="s">
        <v>9944</v>
      </c>
      <c r="C9942" s="3" t="s">
        <v>10</v>
      </c>
      <c r="D9942" s="3" t="s">
        <v>9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/>
      <c r="P9942" s="3"/>
      <c r="Q9942" s="3"/>
    </row>
    <row r="9943" spans="1:17" ht="15" x14ac:dyDescent="0.25">
      <c r="A9943" s="3">
        <f>9936</f>
        <v>9936</v>
      </c>
      <c r="B9943" s="3" t="s">
        <v>9945</v>
      </c>
      <c r="C9943" s="3" t="s">
        <v>10</v>
      </c>
      <c r="D9943" s="3" t="s">
        <v>9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/>
      <c r="P9943" s="3"/>
      <c r="Q9943" s="3"/>
    </row>
    <row r="9944" spans="1:17" ht="15" x14ac:dyDescent="0.25">
      <c r="A9944" s="3">
        <f>9937</f>
        <v>9937</v>
      </c>
      <c r="B9944" s="3" t="s">
        <v>9946</v>
      </c>
      <c r="C9944" s="3" t="s">
        <v>9</v>
      </c>
      <c r="D9944" s="3" t="s">
        <v>10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/>
      <c r="P9944" s="3"/>
      <c r="Q9944" s="3"/>
    </row>
    <row r="9945" spans="1:17" ht="15" x14ac:dyDescent="0.25">
      <c r="A9945" s="3">
        <f>9938</f>
        <v>9938</v>
      </c>
      <c r="B9945" s="3" t="s">
        <v>9947</v>
      </c>
      <c r="C9945" s="3" t="s">
        <v>9</v>
      </c>
      <c r="D9945" s="3" t="s">
        <v>10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/>
      <c r="P9945" s="3"/>
      <c r="Q9945" s="3"/>
    </row>
    <row r="9946" spans="1:17" ht="15" x14ac:dyDescent="0.25">
      <c r="A9946" s="3">
        <f>9939</f>
        <v>9939</v>
      </c>
      <c r="B9946" s="3" t="s">
        <v>9948</v>
      </c>
      <c r="C9946" s="3" t="s">
        <v>9</v>
      </c>
      <c r="D9946" s="3" t="s">
        <v>10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/>
      <c r="P9946" s="3"/>
      <c r="Q9946" s="3"/>
    </row>
    <row r="9947" spans="1:17" ht="15" x14ac:dyDescent="0.25">
      <c r="A9947" s="3">
        <f>9940</f>
        <v>9940</v>
      </c>
      <c r="B9947" s="3" t="s">
        <v>9949</v>
      </c>
      <c r="C9947" s="3" t="s">
        <v>9</v>
      </c>
      <c r="D9947" s="3" t="s">
        <v>10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/>
      <c r="P9947" s="3"/>
      <c r="Q9947" s="3"/>
    </row>
    <row r="9948" spans="1:17" ht="15" x14ac:dyDescent="0.25">
      <c r="A9948" s="3">
        <f>9941</f>
        <v>9941</v>
      </c>
      <c r="B9948" s="3" t="s">
        <v>9950</v>
      </c>
      <c r="C9948" s="3" t="s">
        <v>9</v>
      </c>
      <c r="D9948" s="3" t="s">
        <v>10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/>
      <c r="P9948" s="3"/>
      <c r="Q9948" s="3"/>
    </row>
    <row r="9949" spans="1:17" ht="15" x14ac:dyDescent="0.25">
      <c r="A9949" s="3">
        <f>9942</f>
        <v>9942</v>
      </c>
      <c r="B9949" s="3" t="s">
        <v>9951</v>
      </c>
      <c r="C9949" s="3" t="s">
        <v>9</v>
      </c>
      <c r="D9949" s="3" t="s">
        <v>10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/>
      <c r="P9949" s="3"/>
      <c r="Q9949" s="3"/>
    </row>
    <row r="9950" spans="1:17" ht="15" x14ac:dyDescent="0.25">
      <c r="A9950" s="3">
        <f>9943</f>
        <v>9943</v>
      </c>
      <c r="B9950" s="3" t="s">
        <v>9952</v>
      </c>
      <c r="C9950" s="3" t="s">
        <v>9</v>
      </c>
      <c r="D9950" s="3" t="s">
        <v>10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/>
      <c r="P9950" s="3"/>
      <c r="Q9950" s="3"/>
    </row>
    <row r="9951" spans="1:17" ht="15" x14ac:dyDescent="0.25">
      <c r="A9951" s="3">
        <f>9944</f>
        <v>9944</v>
      </c>
      <c r="B9951" s="3" t="s">
        <v>9953</v>
      </c>
      <c r="C9951" s="3" t="s">
        <v>9</v>
      </c>
      <c r="D9951" s="3" t="s">
        <v>10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/>
      <c r="P9951" s="3"/>
      <c r="Q9951" s="3"/>
    </row>
    <row r="9952" spans="1:17" ht="15" x14ac:dyDescent="0.25">
      <c r="A9952" s="3">
        <f>9945</f>
        <v>9945</v>
      </c>
      <c r="B9952" s="3" t="s">
        <v>9954</v>
      </c>
      <c r="C9952" s="3" t="s">
        <v>9</v>
      </c>
      <c r="D9952" s="3" t="s">
        <v>10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/>
      <c r="P9952" s="3"/>
      <c r="Q9952" s="3"/>
    </row>
    <row r="9953" spans="1:17" ht="15" x14ac:dyDescent="0.25">
      <c r="A9953" s="3">
        <f>9946</f>
        <v>9946</v>
      </c>
      <c r="B9953" s="3" t="s">
        <v>9955</v>
      </c>
      <c r="C9953" s="3" t="s">
        <v>9</v>
      </c>
      <c r="D9953" s="3" t="s">
        <v>10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/>
      <c r="P9953" s="3"/>
      <c r="Q9953" s="3"/>
    </row>
    <row r="9954" spans="1:17" ht="15" x14ac:dyDescent="0.25">
      <c r="A9954" s="3">
        <f>9947</f>
        <v>9947</v>
      </c>
      <c r="B9954" s="3" t="s">
        <v>9956</v>
      </c>
      <c r="C9954" s="3" t="s">
        <v>9</v>
      </c>
      <c r="D9954" s="3" t="s">
        <v>10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/>
      <c r="P9954" s="3"/>
      <c r="Q9954" s="3"/>
    </row>
    <row r="9955" spans="1:17" ht="15" x14ac:dyDescent="0.25">
      <c r="A9955" s="3">
        <f>9948</f>
        <v>9948</v>
      </c>
      <c r="B9955" s="3" t="s">
        <v>9957</v>
      </c>
      <c r="C9955" s="3" t="s">
        <v>9</v>
      </c>
      <c r="D9955" s="3" t="s">
        <v>10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/>
      <c r="P9955" s="3"/>
      <c r="Q9955" s="3"/>
    </row>
    <row r="9956" spans="1:17" ht="15" x14ac:dyDescent="0.25">
      <c r="A9956" s="3">
        <f>9949</f>
        <v>9949</v>
      </c>
      <c r="B9956" s="3" t="s">
        <v>9958</v>
      </c>
      <c r="C9956" s="3" t="s">
        <v>9</v>
      </c>
      <c r="D9956" s="3" t="s">
        <v>10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/>
      <c r="P9956" s="3"/>
      <c r="Q9956" s="3"/>
    </row>
    <row r="9957" spans="1:17" ht="15" x14ac:dyDescent="0.25">
      <c r="A9957" s="3">
        <f>9950</f>
        <v>9950</v>
      </c>
      <c r="B9957" s="3" t="s">
        <v>9959</v>
      </c>
      <c r="C9957" s="3" t="s">
        <v>9</v>
      </c>
      <c r="D9957" s="3" t="s">
        <v>10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/>
      <c r="P9957" s="3"/>
      <c r="Q9957" s="3"/>
    </row>
    <row r="9958" spans="1:17" ht="15" x14ac:dyDescent="0.25">
      <c r="A9958" s="3">
        <f>9951</f>
        <v>9951</v>
      </c>
      <c r="B9958" s="3" t="s">
        <v>9960</v>
      </c>
      <c r="C9958" s="3" t="s">
        <v>9</v>
      </c>
      <c r="D9958" s="3" t="s">
        <v>10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/>
      <c r="P9958" s="3"/>
      <c r="Q9958" s="3"/>
    </row>
    <row r="9959" spans="1:17" ht="15" x14ac:dyDescent="0.25">
      <c r="A9959" s="3">
        <f>9952</f>
        <v>9952</v>
      </c>
      <c r="B9959" s="3" t="s">
        <v>9961</v>
      </c>
      <c r="C9959" s="3" t="s">
        <v>9</v>
      </c>
      <c r="D9959" s="3" t="s">
        <v>10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/>
      <c r="P9959" s="3"/>
      <c r="Q9959" s="3"/>
    </row>
    <row r="9960" spans="1:17" ht="15" x14ac:dyDescent="0.25">
      <c r="A9960" s="3">
        <f>9953</f>
        <v>9953</v>
      </c>
      <c r="B9960" s="3" t="s">
        <v>9962</v>
      </c>
      <c r="C9960" s="3" t="s">
        <v>9</v>
      </c>
      <c r="D9960" s="3" t="s">
        <v>10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/>
      <c r="P9960" s="3"/>
      <c r="Q9960" s="3"/>
    </row>
    <row r="9961" spans="1:17" ht="15" x14ac:dyDescent="0.25">
      <c r="A9961" s="3">
        <f>9954</f>
        <v>9954</v>
      </c>
      <c r="B9961" s="3" t="s">
        <v>9963</v>
      </c>
      <c r="C9961" s="3" t="s">
        <v>9</v>
      </c>
      <c r="D9961" s="3" t="s">
        <v>10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/>
      <c r="P9961" s="3"/>
      <c r="Q9961" s="3"/>
    </row>
    <row r="9962" spans="1:17" ht="15" x14ac:dyDescent="0.25">
      <c r="A9962" s="3">
        <f>9955</f>
        <v>9955</v>
      </c>
      <c r="B9962" s="3" t="s">
        <v>9964</v>
      </c>
      <c r="C9962" s="3" t="s">
        <v>9</v>
      </c>
      <c r="D9962" s="3" t="s">
        <v>10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/>
      <c r="P9962" s="3"/>
      <c r="Q9962" s="3"/>
    </row>
    <row r="9963" spans="1:17" ht="15" x14ac:dyDescent="0.25">
      <c r="A9963" s="3">
        <f>9956</f>
        <v>9956</v>
      </c>
      <c r="B9963" s="3" t="s">
        <v>9965</v>
      </c>
      <c r="C9963" s="3" t="s">
        <v>9</v>
      </c>
      <c r="D9963" s="3" t="s">
        <v>10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/>
      <c r="P9963" s="3"/>
      <c r="Q9963" s="3"/>
    </row>
    <row r="9964" spans="1:17" ht="15" x14ac:dyDescent="0.25">
      <c r="A9964" s="3">
        <f>9957</f>
        <v>9957</v>
      </c>
      <c r="B9964" s="3" t="s">
        <v>9966</v>
      </c>
      <c r="C9964" s="3" t="s">
        <v>9</v>
      </c>
      <c r="D9964" s="3" t="s">
        <v>10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/>
      <c r="P9964" s="3"/>
      <c r="Q9964" s="3"/>
    </row>
    <row r="9965" spans="1:17" ht="15" x14ac:dyDescent="0.25">
      <c r="A9965" s="3">
        <f>9958</f>
        <v>9958</v>
      </c>
      <c r="B9965" s="3" t="s">
        <v>9967</v>
      </c>
      <c r="C9965" s="3" t="s">
        <v>9</v>
      </c>
      <c r="D9965" s="3" t="s">
        <v>10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/>
      <c r="P9965" s="3"/>
      <c r="Q9965" s="3"/>
    </row>
    <row r="9966" spans="1:17" ht="15" x14ac:dyDescent="0.25">
      <c r="A9966" s="3">
        <f>9959</f>
        <v>9959</v>
      </c>
      <c r="B9966" s="3" t="s">
        <v>9968</v>
      </c>
      <c r="C9966" s="3" t="s">
        <v>9</v>
      </c>
      <c r="D9966" s="3" t="s">
        <v>10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/>
      <c r="P9966" s="3"/>
      <c r="Q9966" s="3"/>
    </row>
    <row r="9967" spans="1:17" ht="15" x14ac:dyDescent="0.25">
      <c r="A9967" s="3">
        <f>9960</f>
        <v>9960</v>
      </c>
      <c r="B9967" s="3" t="s">
        <v>9969</v>
      </c>
      <c r="C9967" s="3" t="s">
        <v>9</v>
      </c>
      <c r="D9967" s="3" t="s">
        <v>10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/>
      <c r="P9967" s="3"/>
      <c r="Q9967" s="3"/>
    </row>
    <row r="9968" spans="1:17" ht="15" x14ac:dyDescent="0.25">
      <c r="A9968" s="3">
        <f>9961</f>
        <v>9961</v>
      </c>
      <c r="B9968" s="3" t="s">
        <v>9970</v>
      </c>
      <c r="C9968" s="3" t="s">
        <v>9</v>
      </c>
      <c r="D9968" s="3" t="s">
        <v>10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/>
      <c r="P9968" s="3"/>
      <c r="Q9968" s="3"/>
    </row>
    <row r="9969" spans="1:17" ht="15" x14ac:dyDescent="0.25">
      <c r="A9969" s="3">
        <f>9962</f>
        <v>9962</v>
      </c>
      <c r="B9969" s="3" t="s">
        <v>9971</v>
      </c>
      <c r="C9969" s="3" t="s">
        <v>9</v>
      </c>
      <c r="D9969" s="3" t="s">
        <v>10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/>
      <c r="P9969" s="3"/>
      <c r="Q9969" s="3"/>
    </row>
    <row r="9970" spans="1:17" ht="15" x14ac:dyDescent="0.25">
      <c r="A9970" s="3">
        <f>9963</f>
        <v>9963</v>
      </c>
      <c r="B9970" s="3" t="s">
        <v>9972</v>
      </c>
      <c r="C9970" s="3" t="s">
        <v>9</v>
      </c>
      <c r="D9970" s="3" t="s">
        <v>10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/>
      <c r="P9970" s="3"/>
      <c r="Q9970" s="3"/>
    </row>
    <row r="9971" spans="1:17" ht="15" x14ac:dyDescent="0.25">
      <c r="A9971" s="3">
        <f>9964</f>
        <v>9964</v>
      </c>
      <c r="B9971" s="3" t="s">
        <v>9973</v>
      </c>
      <c r="C9971" s="3" t="s">
        <v>9</v>
      </c>
      <c r="D9971" s="3" t="s">
        <v>10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/>
      <c r="P9971" s="3"/>
      <c r="Q9971" s="3"/>
    </row>
    <row r="9972" spans="1:17" ht="15" x14ac:dyDescent="0.25">
      <c r="A9972" s="3">
        <f>9965</f>
        <v>9965</v>
      </c>
      <c r="B9972" s="3" t="s">
        <v>9974</v>
      </c>
      <c r="C9972" s="3" t="s">
        <v>9</v>
      </c>
      <c r="D9972" s="3" t="s">
        <v>10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/>
      <c r="P9972" s="3"/>
      <c r="Q9972" s="3"/>
    </row>
    <row r="9973" spans="1:17" ht="15" x14ac:dyDescent="0.25">
      <c r="A9973" s="3">
        <f>9966</f>
        <v>9966</v>
      </c>
      <c r="B9973" s="3" t="s">
        <v>9975</v>
      </c>
      <c r="C9973" s="3" t="s">
        <v>9</v>
      </c>
      <c r="D9973" s="3" t="s">
        <v>10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/>
      <c r="P9973" s="3"/>
      <c r="Q9973" s="3"/>
    </row>
    <row r="9974" spans="1:17" ht="15" x14ac:dyDescent="0.25">
      <c r="A9974" s="3">
        <f>9967</f>
        <v>9967</v>
      </c>
      <c r="B9974" s="3" t="s">
        <v>9976</v>
      </c>
      <c r="C9974" s="3" t="s">
        <v>9</v>
      </c>
      <c r="D9974" s="3" t="s">
        <v>10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/>
      <c r="P9974" s="3"/>
      <c r="Q9974" s="3"/>
    </row>
    <row r="9975" spans="1:17" ht="15" x14ac:dyDescent="0.25">
      <c r="A9975" s="3">
        <f>9968</f>
        <v>9968</v>
      </c>
      <c r="B9975" s="3" t="s">
        <v>9977</v>
      </c>
      <c r="C9975" s="3" t="s">
        <v>9</v>
      </c>
      <c r="D9975" s="3" t="s">
        <v>10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/>
      <c r="P9975" s="3"/>
      <c r="Q9975" s="3"/>
    </row>
    <row r="9976" spans="1:17" ht="15" x14ac:dyDescent="0.25">
      <c r="A9976" s="3">
        <f>9969</f>
        <v>9969</v>
      </c>
      <c r="B9976" s="3" t="s">
        <v>9978</v>
      </c>
      <c r="C9976" s="3" t="s">
        <v>9</v>
      </c>
      <c r="D9976" s="3" t="s">
        <v>10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/>
      <c r="P9976" s="3"/>
      <c r="Q9976" s="3"/>
    </row>
    <row r="9977" spans="1:17" ht="15" x14ac:dyDescent="0.25">
      <c r="A9977" s="3">
        <f>9970</f>
        <v>9970</v>
      </c>
      <c r="B9977" s="3" t="s">
        <v>9979</v>
      </c>
      <c r="C9977" s="3" t="s">
        <v>9</v>
      </c>
      <c r="D9977" s="3" t="s">
        <v>10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/>
      <c r="P9977" s="3"/>
      <c r="Q9977" s="3"/>
    </row>
    <row r="9978" spans="1:17" ht="15" x14ac:dyDescent="0.25">
      <c r="A9978" s="3">
        <f>9971</f>
        <v>9971</v>
      </c>
      <c r="B9978" s="3" t="s">
        <v>9980</v>
      </c>
      <c r="C9978" s="3" t="s">
        <v>9</v>
      </c>
      <c r="D9978" s="3" t="s">
        <v>10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/>
      <c r="P9978" s="3"/>
      <c r="Q9978" s="3"/>
    </row>
    <row r="9979" spans="1:17" ht="15" x14ac:dyDescent="0.25">
      <c r="A9979" s="3">
        <f>9972</f>
        <v>9972</v>
      </c>
      <c r="B9979" s="3" t="s">
        <v>9981</v>
      </c>
      <c r="C9979" s="3" t="s">
        <v>9</v>
      </c>
      <c r="D9979" s="3" t="s">
        <v>10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/>
      <c r="P9979" s="3"/>
      <c r="Q9979" s="3"/>
    </row>
    <row r="9980" spans="1:17" ht="15" x14ac:dyDescent="0.25">
      <c r="A9980" s="3">
        <f>9973</f>
        <v>9973</v>
      </c>
      <c r="B9980" s="3" t="s">
        <v>9982</v>
      </c>
      <c r="C9980" s="3" t="s">
        <v>9</v>
      </c>
      <c r="D9980" s="3" t="s">
        <v>10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/>
      <c r="P9980" s="3"/>
      <c r="Q9980" s="3"/>
    </row>
    <row r="9981" spans="1:17" ht="15" x14ac:dyDescent="0.25">
      <c r="A9981" s="3">
        <f>9974</f>
        <v>9974</v>
      </c>
      <c r="B9981" s="3" t="s">
        <v>9983</v>
      </c>
      <c r="C9981" s="3" t="s">
        <v>9</v>
      </c>
      <c r="D9981" s="3" t="s">
        <v>10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/>
      <c r="P9981" s="3"/>
      <c r="Q9981" s="3"/>
    </row>
    <row r="9982" spans="1:17" ht="15" x14ac:dyDescent="0.25">
      <c r="A9982" s="3">
        <f>9975</f>
        <v>9975</v>
      </c>
      <c r="B9982" s="3" t="s">
        <v>9984</v>
      </c>
      <c r="C9982" s="3" t="s">
        <v>9</v>
      </c>
      <c r="D9982" s="3" t="s">
        <v>10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/>
      <c r="P9982" s="3"/>
      <c r="Q9982" s="3"/>
    </row>
    <row r="9983" spans="1:17" ht="15" x14ac:dyDescent="0.25">
      <c r="A9983" s="3">
        <f>9976</f>
        <v>9976</v>
      </c>
      <c r="B9983" s="3" t="s">
        <v>9985</v>
      </c>
      <c r="C9983" s="3" t="s">
        <v>9</v>
      </c>
      <c r="D9983" s="3" t="s">
        <v>10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/>
      <c r="P9983" s="3"/>
      <c r="Q9983" s="3"/>
    </row>
    <row r="9984" spans="1:17" ht="15" x14ac:dyDescent="0.25">
      <c r="A9984" s="3">
        <f>9977</f>
        <v>9977</v>
      </c>
      <c r="B9984" s="3" t="s">
        <v>9986</v>
      </c>
      <c r="C9984" s="3" t="s">
        <v>9</v>
      </c>
      <c r="D9984" s="3" t="s">
        <v>10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/>
      <c r="P9984" s="3"/>
      <c r="Q9984" s="3"/>
    </row>
    <row r="9985" spans="1:17" ht="15" x14ac:dyDescent="0.25">
      <c r="A9985" s="3">
        <f>9978</f>
        <v>9978</v>
      </c>
      <c r="B9985" s="3" t="s">
        <v>9987</v>
      </c>
      <c r="C9985" s="3" t="s">
        <v>9</v>
      </c>
      <c r="D9985" s="3" t="s">
        <v>10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/>
      <c r="P9985" s="3"/>
      <c r="Q9985" s="3"/>
    </row>
    <row r="9986" spans="1:17" ht="15" x14ac:dyDescent="0.25">
      <c r="A9986" s="3">
        <f>9979</f>
        <v>9979</v>
      </c>
      <c r="B9986" s="3" t="s">
        <v>9988</v>
      </c>
      <c r="C9986" s="3" t="s">
        <v>9</v>
      </c>
      <c r="D9986" s="3" t="s">
        <v>10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/>
      <c r="P9986" s="3"/>
      <c r="Q9986" s="3"/>
    </row>
    <row r="9987" spans="1:17" ht="15" x14ac:dyDescent="0.25">
      <c r="A9987" s="3">
        <f>9980</f>
        <v>9980</v>
      </c>
      <c r="B9987" s="3" t="s">
        <v>9989</v>
      </c>
      <c r="C9987" s="3" t="s">
        <v>9</v>
      </c>
      <c r="D9987" s="3" t="s">
        <v>10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/>
      <c r="P9987" s="3"/>
      <c r="Q9987" s="3"/>
    </row>
    <row r="9988" spans="1:17" ht="15" x14ac:dyDescent="0.25">
      <c r="A9988" s="3">
        <f>9981</f>
        <v>9981</v>
      </c>
      <c r="B9988" s="3" t="s">
        <v>9990</v>
      </c>
      <c r="C9988" s="3" t="s">
        <v>9</v>
      </c>
      <c r="D9988" s="3" t="s">
        <v>10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/>
      <c r="P9988" s="3"/>
      <c r="Q9988" s="3"/>
    </row>
    <row r="9989" spans="1:17" ht="15" x14ac:dyDescent="0.25">
      <c r="A9989" s="3">
        <f>9982</f>
        <v>9982</v>
      </c>
      <c r="B9989" s="3" t="s">
        <v>9991</v>
      </c>
      <c r="C9989" s="3" t="s">
        <v>9</v>
      </c>
      <c r="D9989" s="3" t="s">
        <v>10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/>
      <c r="P9989" s="3"/>
      <c r="Q9989" s="3"/>
    </row>
    <row r="9990" spans="1:17" ht="15" x14ac:dyDescent="0.25">
      <c r="A9990" s="3">
        <f>9983</f>
        <v>9983</v>
      </c>
      <c r="B9990" s="3" t="s">
        <v>9992</v>
      </c>
      <c r="C9990" s="3" t="s">
        <v>9</v>
      </c>
      <c r="D9990" s="3" t="s">
        <v>10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/>
      <c r="P9990" s="3"/>
      <c r="Q9990" s="3"/>
    </row>
    <row r="9991" spans="1:17" ht="15" x14ac:dyDescent="0.25">
      <c r="A9991" s="3">
        <f>9984</f>
        <v>9984</v>
      </c>
      <c r="B9991" s="3" t="s">
        <v>9993</v>
      </c>
      <c r="C9991" s="3" t="s">
        <v>9</v>
      </c>
      <c r="D9991" s="3" t="s">
        <v>10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/>
      <c r="P9991" s="3"/>
      <c r="Q9991" s="3"/>
    </row>
    <row r="9992" spans="1:17" ht="15" x14ac:dyDescent="0.25">
      <c r="A9992" s="3">
        <f>9985</f>
        <v>9985</v>
      </c>
      <c r="B9992" s="3" t="s">
        <v>9994</v>
      </c>
      <c r="C9992" s="3" t="s">
        <v>9</v>
      </c>
      <c r="D9992" s="3" t="s">
        <v>10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/>
      <c r="P9992" s="3"/>
      <c r="Q9992" s="3"/>
    </row>
    <row r="9993" spans="1:17" ht="15" x14ac:dyDescent="0.25">
      <c r="A9993" s="3">
        <f>9986</f>
        <v>9986</v>
      </c>
      <c r="B9993" s="3" t="s">
        <v>9995</v>
      </c>
      <c r="C9993" s="3" t="s">
        <v>9</v>
      </c>
      <c r="D9993" s="3" t="s">
        <v>10</v>
      </c>
      <c r="E9993" s="3">
        <v>0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/>
      <c r="P9993" s="3"/>
      <c r="Q9993" s="3"/>
    </row>
    <row r="9994" spans="1:17" ht="15" x14ac:dyDescent="0.25">
      <c r="A9994" s="3">
        <f>9987</f>
        <v>9987</v>
      </c>
      <c r="B9994" s="3" t="s">
        <v>9996</v>
      </c>
      <c r="C9994" s="3" t="s">
        <v>9</v>
      </c>
      <c r="D9994" s="3" t="s">
        <v>10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/>
      <c r="P9994" s="3"/>
      <c r="Q9994" s="3"/>
    </row>
    <row r="9995" spans="1:17" ht="15" x14ac:dyDescent="0.25">
      <c r="A9995" s="3">
        <f>9988</f>
        <v>9988</v>
      </c>
      <c r="B9995" s="3" t="s">
        <v>9997</v>
      </c>
      <c r="C9995" s="3" t="s">
        <v>9</v>
      </c>
      <c r="D9995" s="3" t="s">
        <v>10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/>
      <c r="P9995" s="3"/>
      <c r="Q9995" s="3"/>
    </row>
    <row r="9996" spans="1:17" ht="15" x14ac:dyDescent="0.25">
      <c r="A9996" s="3">
        <f>9989</f>
        <v>9989</v>
      </c>
      <c r="B9996" s="3" t="s">
        <v>9998</v>
      </c>
      <c r="C9996" s="3" t="s">
        <v>9</v>
      </c>
      <c r="D9996" s="3" t="s">
        <v>10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/>
      <c r="P9996" s="3"/>
      <c r="Q9996" s="3"/>
    </row>
    <row r="9997" spans="1:17" ht="15" x14ac:dyDescent="0.25">
      <c r="A9997" s="3">
        <f>9990</f>
        <v>9990</v>
      </c>
      <c r="B9997" s="3" t="s">
        <v>9999</v>
      </c>
      <c r="C9997" s="3" t="s">
        <v>9</v>
      </c>
      <c r="D9997" s="3" t="s">
        <v>10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/>
      <c r="P9997" s="3"/>
      <c r="Q9997" s="3"/>
    </row>
    <row r="9998" spans="1:17" ht="15" x14ac:dyDescent="0.25">
      <c r="A9998" s="3">
        <f>9991</f>
        <v>9991</v>
      </c>
      <c r="B9998" s="3" t="s">
        <v>10000</v>
      </c>
      <c r="C9998" s="3" t="s">
        <v>9</v>
      </c>
      <c r="D9998" s="3" t="s">
        <v>10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/>
      <c r="P9998" s="3"/>
      <c r="Q9998" s="3"/>
    </row>
    <row r="9999" spans="1:17" ht="15" x14ac:dyDescent="0.25">
      <c r="A9999" s="3">
        <f>9992</f>
        <v>9992</v>
      </c>
      <c r="B9999" s="3" t="s">
        <v>10001</v>
      </c>
      <c r="C9999" s="3" t="s">
        <v>9</v>
      </c>
      <c r="D9999" s="3" t="s">
        <v>10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/>
      <c r="P9999" s="3"/>
      <c r="Q9999" s="3"/>
    </row>
    <row r="10000" spans="1:17" ht="15" x14ac:dyDescent="0.25">
      <c r="A10000" s="3">
        <f>9993</f>
        <v>9993</v>
      </c>
      <c r="B10000" s="3" t="s">
        <v>10002</v>
      </c>
      <c r="C10000" s="3" t="s">
        <v>9</v>
      </c>
      <c r="D10000" s="3" t="s">
        <v>10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/>
      <c r="P10000" s="3"/>
      <c r="Q10000" s="3"/>
    </row>
    <row r="10001" spans="1:17" ht="15" x14ac:dyDescent="0.25">
      <c r="A10001" s="3">
        <f>9994</f>
        <v>9994</v>
      </c>
      <c r="B10001" s="3" t="s">
        <v>10003</v>
      </c>
      <c r="C10001" s="3" t="s">
        <v>9</v>
      </c>
      <c r="D10001" s="3" t="s">
        <v>10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/>
      <c r="P10001" s="3"/>
      <c r="Q10001" s="3"/>
    </row>
    <row r="10002" spans="1:17" ht="15" x14ac:dyDescent="0.25">
      <c r="A10002" s="3">
        <f>9995</f>
        <v>9995</v>
      </c>
      <c r="B10002" s="3" t="s">
        <v>10004</v>
      </c>
      <c r="C10002" s="3" t="s">
        <v>9</v>
      </c>
      <c r="D10002" s="3" t="s">
        <v>10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/>
      <c r="P10002" s="3"/>
      <c r="Q10002" s="3"/>
    </row>
    <row r="10003" spans="1:17" ht="15" x14ac:dyDescent="0.25">
      <c r="A10003" s="3">
        <f>9996</f>
        <v>9996</v>
      </c>
      <c r="B10003" s="3" t="s">
        <v>10005</v>
      </c>
      <c r="C10003" s="3" t="s">
        <v>9</v>
      </c>
      <c r="D10003" s="3" t="s">
        <v>10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/>
      <c r="P10003" s="3"/>
      <c r="Q10003" s="3"/>
    </row>
    <row r="10004" spans="1:17" ht="15" x14ac:dyDescent="0.25">
      <c r="A10004" s="3">
        <f>9997</f>
        <v>9997</v>
      </c>
      <c r="B10004" s="3" t="s">
        <v>10006</v>
      </c>
      <c r="C10004" s="3" t="s">
        <v>9</v>
      </c>
      <c r="D10004" s="3" t="s">
        <v>10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/>
      <c r="P10004" s="3"/>
      <c r="Q10004" s="3"/>
    </row>
    <row r="10005" spans="1:17" ht="15" x14ac:dyDescent="0.25">
      <c r="A10005" s="3">
        <f>9998</f>
        <v>9998</v>
      </c>
      <c r="B10005" s="3" t="s">
        <v>10007</v>
      </c>
      <c r="C10005" s="3" t="s">
        <v>9</v>
      </c>
      <c r="D10005" s="3" t="s">
        <v>10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/>
      <c r="P10005" s="3"/>
      <c r="Q10005" s="3"/>
    </row>
    <row r="10006" spans="1:17" ht="15" x14ac:dyDescent="0.25">
      <c r="A10006" s="3">
        <f>9999</f>
        <v>9999</v>
      </c>
      <c r="B10006" s="3" t="s">
        <v>10008</v>
      </c>
      <c r="C10006" s="3" t="s">
        <v>9</v>
      </c>
      <c r="D10006" s="3" t="s">
        <v>10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/>
      <c r="P10006" s="3"/>
      <c r="Q10006" s="3"/>
    </row>
    <row r="10007" spans="1:17" ht="15" x14ac:dyDescent="0.25">
      <c r="A10007" s="3">
        <f>10000</f>
        <v>10000</v>
      </c>
      <c r="B10007" s="3" t="s">
        <v>10009</v>
      </c>
      <c r="C10007" s="3" t="s">
        <v>9</v>
      </c>
      <c r="D10007" s="3" t="s">
        <v>10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/>
      <c r="P10007" s="3"/>
      <c r="Q10007" s="3"/>
    </row>
    <row r="10008" spans="1:17" ht="15" x14ac:dyDescent="0.25">
      <c r="A10008" s="3">
        <f>10001</f>
        <v>10001</v>
      </c>
      <c r="B10008" s="3" t="s">
        <v>10010</v>
      </c>
      <c r="C10008" s="3" t="s">
        <v>9</v>
      </c>
      <c r="D10008" s="3" t="s">
        <v>10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/>
      <c r="P10008" s="3"/>
      <c r="Q10008" s="3"/>
    </row>
    <row r="10009" spans="1:17" ht="15" x14ac:dyDescent="0.25">
      <c r="A10009" s="3">
        <f>10002</f>
        <v>10002</v>
      </c>
      <c r="B10009" s="3" t="s">
        <v>10011</v>
      </c>
      <c r="C10009" s="3" t="s">
        <v>9</v>
      </c>
      <c r="D10009" s="3" t="s">
        <v>10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/>
      <c r="P10009" s="3"/>
      <c r="Q10009" s="3"/>
    </row>
    <row r="10010" spans="1:17" ht="15" x14ac:dyDescent="0.25">
      <c r="A10010" s="3">
        <f>10003</f>
        <v>10003</v>
      </c>
      <c r="B10010" s="3" t="s">
        <v>10012</v>
      </c>
      <c r="C10010" s="3" t="s">
        <v>9</v>
      </c>
      <c r="D10010" s="3" t="s">
        <v>10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/>
      <c r="P10010" s="3"/>
      <c r="Q10010" s="3"/>
    </row>
    <row r="10011" spans="1:17" ht="15" x14ac:dyDescent="0.25">
      <c r="A10011" s="3">
        <f>10004</f>
        <v>10004</v>
      </c>
      <c r="B10011" s="3" t="s">
        <v>10013</v>
      </c>
      <c r="C10011" s="3" t="s">
        <v>9</v>
      </c>
      <c r="D10011" s="3" t="s">
        <v>10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/>
      <c r="P10011" s="3"/>
      <c r="Q10011" s="3"/>
    </row>
    <row r="10012" spans="1:17" ht="15" x14ac:dyDescent="0.25">
      <c r="A10012" s="3">
        <f>10005</f>
        <v>10005</v>
      </c>
      <c r="B10012" s="3" t="s">
        <v>10014</v>
      </c>
      <c r="C10012" s="3" t="s">
        <v>9</v>
      </c>
      <c r="D10012" s="3" t="s">
        <v>10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/>
      <c r="P10012" s="3"/>
      <c r="Q10012" s="3"/>
    </row>
    <row r="10013" spans="1:17" ht="15" x14ac:dyDescent="0.25">
      <c r="A10013" s="3">
        <f>10006</f>
        <v>10006</v>
      </c>
      <c r="B10013" s="3" t="s">
        <v>10015</v>
      </c>
      <c r="C10013" s="3" t="s">
        <v>9</v>
      </c>
      <c r="D10013" s="3" t="s">
        <v>10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/>
      <c r="P10013" s="3"/>
      <c r="Q10013" s="3"/>
    </row>
    <row r="10014" spans="1:17" ht="15" x14ac:dyDescent="0.25">
      <c r="A10014" s="3">
        <f>10007</f>
        <v>10007</v>
      </c>
      <c r="B10014" s="3" t="s">
        <v>10016</v>
      </c>
      <c r="C10014" s="3" t="s">
        <v>9</v>
      </c>
      <c r="D10014" s="3" t="s">
        <v>10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/>
      <c r="P10014" s="3"/>
      <c r="Q10014" s="3"/>
    </row>
    <row r="10015" spans="1:17" ht="15" x14ac:dyDescent="0.25">
      <c r="A10015" s="3">
        <f>10008</f>
        <v>10008</v>
      </c>
      <c r="B10015" s="3" t="s">
        <v>10017</v>
      </c>
      <c r="C10015" s="3" t="s">
        <v>9</v>
      </c>
      <c r="D10015" s="3" t="s">
        <v>10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/>
      <c r="P10015" s="3"/>
      <c r="Q10015" s="3"/>
    </row>
    <row r="10016" spans="1:17" ht="15" x14ac:dyDescent="0.25">
      <c r="A10016" s="3">
        <f>10009</f>
        <v>10009</v>
      </c>
      <c r="B10016" s="3" t="s">
        <v>10018</v>
      </c>
      <c r="C10016" s="3" t="s">
        <v>9</v>
      </c>
      <c r="D10016" s="3" t="s">
        <v>10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/>
      <c r="P10016" s="3"/>
      <c r="Q10016" s="3"/>
    </row>
    <row r="10017" spans="1:17" ht="15" x14ac:dyDescent="0.25">
      <c r="A10017" s="3">
        <f>10010</f>
        <v>10010</v>
      </c>
      <c r="B10017" s="3" t="s">
        <v>10019</v>
      </c>
      <c r="C10017" s="3" t="s">
        <v>9</v>
      </c>
      <c r="D10017" s="3" t="s">
        <v>10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/>
      <c r="P10017" s="3"/>
      <c r="Q10017" s="3"/>
    </row>
    <row r="10018" spans="1:17" ht="15" x14ac:dyDescent="0.25">
      <c r="A10018" s="3">
        <f>10011</f>
        <v>10011</v>
      </c>
      <c r="B10018" s="3" t="s">
        <v>10020</v>
      </c>
      <c r="C10018" s="3" t="s">
        <v>9</v>
      </c>
      <c r="D10018" s="3" t="s">
        <v>10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/>
      <c r="P10018" s="3"/>
      <c r="Q10018" s="3"/>
    </row>
    <row r="10019" spans="1:17" ht="15" x14ac:dyDescent="0.25">
      <c r="A10019" s="3">
        <f>10012</f>
        <v>10012</v>
      </c>
      <c r="B10019" s="3" t="s">
        <v>10021</v>
      </c>
      <c r="C10019" s="3" t="s">
        <v>9</v>
      </c>
      <c r="D10019" s="3" t="s">
        <v>10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/>
      <c r="P10019" s="3"/>
      <c r="Q10019" s="3"/>
    </row>
    <row r="10020" spans="1:17" ht="15" x14ac:dyDescent="0.25">
      <c r="A10020" s="3">
        <f>10013</f>
        <v>10013</v>
      </c>
      <c r="B10020" s="3" t="s">
        <v>10022</v>
      </c>
      <c r="C10020" s="3" t="s">
        <v>9</v>
      </c>
      <c r="D10020" s="3" t="s">
        <v>10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/>
      <c r="P10020" s="3"/>
      <c r="Q10020" s="3"/>
    </row>
    <row r="10021" spans="1:17" ht="15" x14ac:dyDescent="0.25">
      <c r="A10021" s="3">
        <f>10014</f>
        <v>10014</v>
      </c>
      <c r="B10021" s="3" t="s">
        <v>10023</v>
      </c>
      <c r="C10021" s="3" t="s">
        <v>9</v>
      </c>
      <c r="D10021" s="3" t="s">
        <v>10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/>
      <c r="P10021" s="3"/>
      <c r="Q10021" s="3"/>
    </row>
    <row r="10022" spans="1:17" ht="15" x14ac:dyDescent="0.25">
      <c r="A10022" s="3">
        <f>10015</f>
        <v>10015</v>
      </c>
      <c r="B10022" s="3" t="s">
        <v>10024</v>
      </c>
      <c r="C10022" s="3" t="s">
        <v>9</v>
      </c>
      <c r="D10022" s="3" t="s">
        <v>10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/>
      <c r="P10022" s="3"/>
      <c r="Q10022" s="3"/>
    </row>
    <row r="10023" spans="1:17" ht="15" x14ac:dyDescent="0.25">
      <c r="A10023" s="3">
        <f>10016</f>
        <v>10016</v>
      </c>
      <c r="B10023" s="3" t="s">
        <v>10025</v>
      </c>
      <c r="C10023" s="3" t="s">
        <v>9</v>
      </c>
      <c r="D10023" s="3" t="s">
        <v>10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/>
      <c r="P10023" s="3"/>
      <c r="Q10023" s="3"/>
    </row>
    <row r="10024" spans="1:17" ht="15" x14ac:dyDescent="0.25">
      <c r="A10024" s="3">
        <f>10017</f>
        <v>10017</v>
      </c>
      <c r="B10024" s="3" t="s">
        <v>10026</v>
      </c>
      <c r="C10024" s="3" t="s">
        <v>9</v>
      </c>
      <c r="D10024" s="3" t="s">
        <v>10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/>
      <c r="P10024" s="3"/>
      <c r="Q10024" s="3"/>
    </row>
    <row r="10025" spans="1:17" ht="15" x14ac:dyDescent="0.25">
      <c r="A10025" s="3">
        <f>10018</f>
        <v>10018</v>
      </c>
      <c r="B10025" s="3" t="s">
        <v>10027</v>
      </c>
      <c r="C10025" s="3" t="s">
        <v>9</v>
      </c>
      <c r="D10025" s="3" t="s">
        <v>10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/>
      <c r="P10025" s="3"/>
      <c r="Q10025" s="3"/>
    </row>
    <row r="10026" spans="1:17" ht="15" x14ac:dyDescent="0.25">
      <c r="A10026" s="3">
        <f>10019</f>
        <v>10019</v>
      </c>
      <c r="B10026" s="3" t="s">
        <v>10028</v>
      </c>
      <c r="C10026" s="3" t="s">
        <v>9</v>
      </c>
      <c r="D10026" s="3" t="s">
        <v>10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/>
      <c r="P10026" s="3"/>
      <c r="Q10026" s="3"/>
    </row>
    <row r="10027" spans="1:17" ht="15" x14ac:dyDescent="0.25">
      <c r="A10027" s="3">
        <f>10020</f>
        <v>10020</v>
      </c>
      <c r="B10027" s="3" t="s">
        <v>10029</v>
      </c>
      <c r="C10027" s="3" t="s">
        <v>9</v>
      </c>
      <c r="D10027" s="3" t="s">
        <v>10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/>
      <c r="P10027" s="3"/>
      <c r="Q10027" s="3"/>
    </row>
    <row r="10028" spans="1:17" ht="15" x14ac:dyDescent="0.25">
      <c r="A10028" s="3">
        <f>10021</f>
        <v>10021</v>
      </c>
      <c r="B10028" s="3" t="s">
        <v>10030</v>
      </c>
      <c r="C10028" s="3" t="s">
        <v>9</v>
      </c>
      <c r="D10028" s="3" t="s">
        <v>10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/>
      <c r="P10028" s="3"/>
      <c r="Q10028" s="3"/>
    </row>
    <row r="10029" spans="1:17" ht="15" x14ac:dyDescent="0.25">
      <c r="A10029" s="3">
        <f>10022</f>
        <v>10022</v>
      </c>
      <c r="B10029" s="3" t="s">
        <v>10031</v>
      </c>
      <c r="C10029" s="3" t="s">
        <v>9</v>
      </c>
      <c r="D10029" s="3" t="s">
        <v>10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/>
      <c r="P10029" s="3"/>
      <c r="Q10029" s="3"/>
    </row>
    <row r="10030" spans="1:17" ht="15" x14ac:dyDescent="0.25">
      <c r="A10030" s="3">
        <f>10023</f>
        <v>10023</v>
      </c>
      <c r="B10030" s="3" t="s">
        <v>10032</v>
      </c>
      <c r="C10030" s="3" t="s">
        <v>9</v>
      </c>
      <c r="D10030" s="3" t="s">
        <v>10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/>
      <c r="P10030" s="3"/>
      <c r="Q10030" s="3"/>
    </row>
    <row r="10031" spans="1:17" ht="15" x14ac:dyDescent="0.25">
      <c r="A10031" s="3">
        <f>10024</f>
        <v>10024</v>
      </c>
      <c r="B10031" s="3" t="s">
        <v>10033</v>
      </c>
      <c r="C10031" s="3" t="s">
        <v>9</v>
      </c>
      <c r="D10031" s="3" t="s">
        <v>10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/>
      <c r="P10031" s="3"/>
      <c r="Q10031" s="3"/>
    </row>
    <row r="10032" spans="1:17" ht="15" x14ac:dyDescent="0.25">
      <c r="A10032" s="3">
        <f>10025</f>
        <v>10025</v>
      </c>
      <c r="B10032" s="3" t="s">
        <v>10034</v>
      </c>
      <c r="C10032" s="3" t="s">
        <v>9</v>
      </c>
      <c r="D10032" s="3" t="s">
        <v>10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/>
      <c r="P10032" s="3"/>
      <c r="Q10032" s="3"/>
    </row>
    <row r="10033" spans="1:17" ht="15" x14ac:dyDescent="0.25">
      <c r="A10033" s="3">
        <f>10026</f>
        <v>10026</v>
      </c>
      <c r="B10033" s="3" t="s">
        <v>10035</v>
      </c>
      <c r="C10033" s="3" t="s">
        <v>9</v>
      </c>
      <c r="D10033" s="3" t="s">
        <v>10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/>
      <c r="P10033" s="3"/>
      <c r="Q10033" s="3"/>
    </row>
    <row r="10034" spans="1:17" ht="15" x14ac:dyDescent="0.25">
      <c r="A10034" s="3">
        <f>10027</f>
        <v>10027</v>
      </c>
      <c r="B10034" s="3" t="s">
        <v>10036</v>
      </c>
      <c r="C10034" s="3" t="s">
        <v>9</v>
      </c>
      <c r="D10034" s="3" t="s">
        <v>10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/>
      <c r="P10034" s="3"/>
      <c r="Q10034" s="3"/>
    </row>
    <row r="10035" spans="1:17" ht="15" x14ac:dyDescent="0.25">
      <c r="A10035" s="3">
        <f>10028</f>
        <v>10028</v>
      </c>
      <c r="B10035" s="3" t="s">
        <v>10037</v>
      </c>
      <c r="C10035" s="3" t="s">
        <v>9</v>
      </c>
      <c r="D10035" s="3" t="s">
        <v>10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/>
      <c r="P10035" s="3"/>
      <c r="Q10035" s="3"/>
    </row>
    <row r="10036" spans="1:17" ht="15" x14ac:dyDescent="0.25">
      <c r="A10036" s="3">
        <f>10029</f>
        <v>10029</v>
      </c>
      <c r="B10036" s="3" t="s">
        <v>10038</v>
      </c>
      <c r="C10036" s="3" t="s">
        <v>9</v>
      </c>
      <c r="D10036" s="3" t="s">
        <v>10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/>
      <c r="P10036" s="3"/>
      <c r="Q10036" s="3"/>
    </row>
    <row r="10037" spans="1:17" ht="15" x14ac:dyDescent="0.25">
      <c r="A10037" s="3">
        <f>10030</f>
        <v>10030</v>
      </c>
      <c r="B10037" s="3" t="s">
        <v>10039</v>
      </c>
      <c r="C10037" s="3" t="s">
        <v>9</v>
      </c>
      <c r="D10037" s="3" t="s">
        <v>10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/>
      <c r="P10037" s="3"/>
      <c r="Q10037" s="3"/>
    </row>
    <row r="10038" spans="1:17" ht="15" x14ac:dyDescent="0.25">
      <c r="A10038" s="3">
        <f>10031</f>
        <v>10031</v>
      </c>
      <c r="B10038" s="3" t="s">
        <v>10040</v>
      </c>
      <c r="C10038" s="3" t="s">
        <v>9</v>
      </c>
      <c r="D10038" s="3" t="s">
        <v>10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/>
      <c r="P10038" s="3"/>
      <c r="Q10038" s="3"/>
    </row>
    <row r="10039" spans="1:17" ht="15" x14ac:dyDescent="0.25">
      <c r="A10039" s="3">
        <f>10032</f>
        <v>10032</v>
      </c>
      <c r="B10039" s="3" t="s">
        <v>10041</v>
      </c>
      <c r="C10039" s="3" t="s">
        <v>9</v>
      </c>
      <c r="D10039" s="3" t="s">
        <v>10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/>
      <c r="P10039" s="3"/>
      <c r="Q10039" s="3"/>
    </row>
    <row r="10040" spans="1:17" ht="15" x14ac:dyDescent="0.25">
      <c r="A10040" s="3">
        <f>10033</f>
        <v>10033</v>
      </c>
      <c r="B10040" s="3" t="s">
        <v>10042</v>
      </c>
      <c r="C10040" s="3" t="s">
        <v>9</v>
      </c>
      <c r="D10040" s="3" t="s">
        <v>10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/>
      <c r="P10040" s="3"/>
      <c r="Q10040" s="3"/>
    </row>
    <row r="10041" spans="1:17" ht="15" x14ac:dyDescent="0.25">
      <c r="A10041" s="3">
        <f>10034</f>
        <v>10034</v>
      </c>
      <c r="B10041" s="3" t="s">
        <v>10043</v>
      </c>
      <c r="C10041" s="3" t="s">
        <v>9</v>
      </c>
      <c r="D10041" s="3" t="s">
        <v>10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/>
      <c r="P10041" s="3"/>
      <c r="Q10041" s="3"/>
    </row>
    <row r="10042" spans="1:17" ht="15" x14ac:dyDescent="0.25">
      <c r="A10042" s="3">
        <f>10035</f>
        <v>10035</v>
      </c>
      <c r="B10042" s="3" t="s">
        <v>10044</v>
      </c>
      <c r="C10042" s="3" t="s">
        <v>9</v>
      </c>
      <c r="D10042" s="3" t="s">
        <v>10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/>
      <c r="P10042" s="3"/>
      <c r="Q10042" s="3"/>
    </row>
    <row r="10043" spans="1:17" ht="15" x14ac:dyDescent="0.25">
      <c r="A10043" s="3">
        <f>10036</f>
        <v>10036</v>
      </c>
      <c r="B10043" s="3" t="s">
        <v>10045</v>
      </c>
      <c r="C10043" s="3" t="s">
        <v>9</v>
      </c>
      <c r="D10043" s="3" t="s">
        <v>10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/>
      <c r="P10043" s="3"/>
      <c r="Q10043" s="3"/>
    </row>
    <row r="10044" spans="1:17" ht="15" x14ac:dyDescent="0.25">
      <c r="A10044" s="3">
        <f>10037</f>
        <v>10037</v>
      </c>
      <c r="B10044" s="3" t="s">
        <v>10046</v>
      </c>
      <c r="C10044" s="3" t="s">
        <v>9</v>
      </c>
      <c r="D10044" s="3" t="s">
        <v>10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/>
      <c r="P10044" s="3"/>
      <c r="Q10044" s="3"/>
    </row>
    <row r="10045" spans="1:17" ht="15" x14ac:dyDescent="0.25">
      <c r="A10045" s="3">
        <f>10038</f>
        <v>10038</v>
      </c>
      <c r="B10045" s="3" t="s">
        <v>10047</v>
      </c>
      <c r="C10045" s="3" t="s">
        <v>9</v>
      </c>
      <c r="D10045" s="3" t="s">
        <v>10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/>
      <c r="P10045" s="3"/>
      <c r="Q10045" s="3"/>
    </row>
    <row r="10046" spans="1:17" ht="15" x14ac:dyDescent="0.25">
      <c r="A10046" s="3">
        <f>10039</f>
        <v>10039</v>
      </c>
      <c r="B10046" s="3" t="s">
        <v>10048</v>
      </c>
      <c r="C10046" s="3" t="s">
        <v>9</v>
      </c>
      <c r="D10046" s="3" t="s">
        <v>10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/>
      <c r="P10046" s="3"/>
      <c r="Q10046" s="3"/>
    </row>
    <row r="10047" spans="1:17" ht="15" x14ac:dyDescent="0.25">
      <c r="A10047" s="3">
        <f>10040</f>
        <v>10040</v>
      </c>
      <c r="B10047" s="3" t="s">
        <v>10049</v>
      </c>
      <c r="C10047" s="3" t="s">
        <v>9</v>
      </c>
      <c r="D10047" s="3" t="s">
        <v>10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/>
      <c r="P10047" s="3"/>
      <c r="Q10047" s="3"/>
    </row>
    <row r="10048" spans="1:17" ht="15" x14ac:dyDescent="0.25">
      <c r="A10048" s="3">
        <f>10041</f>
        <v>10041</v>
      </c>
      <c r="B10048" s="3" t="s">
        <v>10050</v>
      </c>
      <c r="C10048" s="3" t="s">
        <v>9</v>
      </c>
      <c r="D10048" s="3" t="s">
        <v>10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/>
      <c r="P10048" s="3"/>
      <c r="Q10048" s="3"/>
    </row>
    <row r="10049" spans="1:17" ht="15" x14ac:dyDescent="0.25">
      <c r="A10049" s="3">
        <f>10042</f>
        <v>10042</v>
      </c>
      <c r="B10049" s="3" t="s">
        <v>10051</v>
      </c>
      <c r="C10049" s="3" t="s">
        <v>9</v>
      </c>
      <c r="D10049" s="3" t="s">
        <v>10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/>
      <c r="P10049" s="3"/>
      <c r="Q10049" s="3"/>
    </row>
    <row r="10050" spans="1:17" ht="15" x14ac:dyDescent="0.25">
      <c r="A10050" s="3">
        <f>10043</f>
        <v>10043</v>
      </c>
      <c r="B10050" s="3" t="s">
        <v>10052</v>
      </c>
      <c r="C10050" s="3" t="s">
        <v>9</v>
      </c>
      <c r="D10050" s="3" t="s">
        <v>10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/>
      <c r="P10050" s="3"/>
      <c r="Q10050" s="3"/>
    </row>
    <row r="10051" spans="1:17" ht="15" x14ac:dyDescent="0.25">
      <c r="A10051" s="3">
        <f>10044</f>
        <v>10044</v>
      </c>
      <c r="B10051" s="3" t="s">
        <v>10053</v>
      </c>
      <c r="C10051" s="3" t="s">
        <v>9</v>
      </c>
      <c r="D10051" s="3" t="s">
        <v>10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/>
      <c r="P10051" s="3"/>
      <c r="Q10051" s="3"/>
    </row>
    <row r="10052" spans="1:17" ht="15" x14ac:dyDescent="0.25">
      <c r="A10052" s="3">
        <f>10045</f>
        <v>10045</v>
      </c>
      <c r="B10052" s="3" t="s">
        <v>10054</v>
      </c>
      <c r="C10052" s="3" t="s">
        <v>9</v>
      </c>
      <c r="D10052" s="3" t="s">
        <v>10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/>
      <c r="P10052" s="3"/>
      <c r="Q10052" s="3"/>
    </row>
    <row r="10053" spans="1:17" ht="15" x14ac:dyDescent="0.25">
      <c r="A10053" s="3">
        <f>10046</f>
        <v>10046</v>
      </c>
      <c r="B10053" s="3" t="s">
        <v>10055</v>
      </c>
      <c r="C10053" s="3" t="s">
        <v>9</v>
      </c>
      <c r="D10053" s="3" t="s">
        <v>10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/>
      <c r="P10053" s="3"/>
      <c r="Q10053" s="3"/>
    </row>
    <row r="10054" spans="1:17" ht="15" x14ac:dyDescent="0.25">
      <c r="A10054" s="3">
        <f>10047</f>
        <v>10047</v>
      </c>
      <c r="B10054" s="3" t="s">
        <v>10056</v>
      </c>
      <c r="C10054" s="3" t="s">
        <v>9</v>
      </c>
      <c r="D10054" s="3" t="s">
        <v>10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/>
      <c r="P10054" s="3"/>
      <c r="Q10054" s="3"/>
    </row>
    <row r="10055" spans="1:17" ht="15" x14ac:dyDescent="0.25">
      <c r="A10055" s="3">
        <f>10048</f>
        <v>10048</v>
      </c>
      <c r="B10055" s="3" t="s">
        <v>10057</v>
      </c>
      <c r="C10055" s="3" t="s">
        <v>9</v>
      </c>
      <c r="D10055" s="3" t="s">
        <v>10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/>
      <c r="P10055" s="3"/>
      <c r="Q10055" s="3"/>
    </row>
    <row r="10056" spans="1:17" ht="15" x14ac:dyDescent="0.25">
      <c r="A10056" s="3">
        <f>10049</f>
        <v>10049</v>
      </c>
      <c r="B10056" s="3" t="s">
        <v>10058</v>
      </c>
      <c r="C10056" s="3" t="s">
        <v>9</v>
      </c>
      <c r="D10056" s="3" t="s">
        <v>10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/>
      <c r="P10056" s="3"/>
      <c r="Q10056" s="3"/>
    </row>
    <row r="10057" spans="1:17" ht="15" x14ac:dyDescent="0.25">
      <c r="A10057" s="3">
        <f>10050</f>
        <v>10050</v>
      </c>
      <c r="B10057" s="3" t="s">
        <v>10059</v>
      </c>
      <c r="C10057" s="3" t="s">
        <v>9</v>
      </c>
      <c r="D10057" s="3" t="s">
        <v>10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/>
      <c r="P10057" s="3"/>
      <c r="Q10057" s="3"/>
    </row>
    <row r="10058" spans="1:17" ht="15" x14ac:dyDescent="0.25">
      <c r="A10058" s="3">
        <f>10051</f>
        <v>10051</v>
      </c>
      <c r="B10058" s="3" t="s">
        <v>10060</v>
      </c>
      <c r="C10058" s="3" t="s">
        <v>9</v>
      </c>
      <c r="D10058" s="3" t="s">
        <v>10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/>
      <c r="P10058" s="3"/>
      <c r="Q10058" s="3"/>
    </row>
    <row r="10059" spans="1:17" ht="15" x14ac:dyDescent="0.25">
      <c r="A10059" s="3">
        <f>10052</f>
        <v>10052</v>
      </c>
      <c r="B10059" s="3" t="s">
        <v>10061</v>
      </c>
      <c r="C10059" s="3" t="s">
        <v>9</v>
      </c>
      <c r="D10059" s="3" t="s">
        <v>10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/>
      <c r="P10059" s="3"/>
      <c r="Q10059" s="3"/>
    </row>
    <row r="10060" spans="1:17" ht="15" x14ac:dyDescent="0.25">
      <c r="A10060" s="3">
        <f>10053</f>
        <v>10053</v>
      </c>
      <c r="B10060" s="3" t="s">
        <v>10062</v>
      </c>
      <c r="C10060" s="3" t="s">
        <v>9</v>
      </c>
      <c r="D10060" s="3" t="s">
        <v>10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/>
      <c r="P10060" s="3"/>
      <c r="Q10060" s="3"/>
    </row>
    <row r="10061" spans="1:17" ht="15" x14ac:dyDescent="0.25">
      <c r="A10061" s="3">
        <f>10054</f>
        <v>10054</v>
      </c>
      <c r="B10061" s="3" t="s">
        <v>10063</v>
      </c>
      <c r="C10061" s="3" t="s">
        <v>9</v>
      </c>
      <c r="D10061" s="3" t="s">
        <v>10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/>
      <c r="P10061" s="3"/>
      <c r="Q10061" s="3"/>
    </row>
    <row r="10062" spans="1:17" ht="15" x14ac:dyDescent="0.25">
      <c r="A10062" s="3">
        <f>10055</f>
        <v>10055</v>
      </c>
      <c r="B10062" s="3" t="s">
        <v>10064</v>
      </c>
      <c r="C10062" s="3" t="s">
        <v>9</v>
      </c>
      <c r="D10062" s="3" t="s">
        <v>10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/>
      <c r="P10062" s="3"/>
      <c r="Q10062" s="3"/>
    </row>
    <row r="10063" spans="1:17" ht="15" x14ac:dyDescent="0.25">
      <c r="A10063" s="3">
        <f>10056</f>
        <v>10056</v>
      </c>
      <c r="B10063" s="3" t="s">
        <v>10065</v>
      </c>
      <c r="C10063" s="3" t="s">
        <v>9</v>
      </c>
      <c r="D10063" s="3" t="s">
        <v>10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/>
      <c r="P10063" s="3"/>
      <c r="Q10063" s="3"/>
    </row>
    <row r="10064" spans="1:17" ht="15" x14ac:dyDescent="0.25">
      <c r="A10064" s="3">
        <f>10057</f>
        <v>10057</v>
      </c>
      <c r="B10064" s="3" t="s">
        <v>10066</v>
      </c>
      <c r="C10064" s="3" t="s">
        <v>9</v>
      </c>
      <c r="D10064" s="3" t="s">
        <v>10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/>
      <c r="P10064" s="3"/>
      <c r="Q10064" s="3"/>
    </row>
    <row r="10065" spans="1:17" ht="15" x14ac:dyDescent="0.25">
      <c r="A10065" s="3">
        <f>10058</f>
        <v>10058</v>
      </c>
      <c r="B10065" s="3" t="s">
        <v>10067</v>
      </c>
      <c r="C10065" s="3" t="s">
        <v>9</v>
      </c>
      <c r="D10065" s="3" t="s">
        <v>10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/>
      <c r="P10065" s="3"/>
      <c r="Q10065" s="3"/>
    </row>
    <row r="10066" spans="1:17" ht="15" x14ac:dyDescent="0.25">
      <c r="A10066" s="3">
        <f>10059</f>
        <v>10059</v>
      </c>
      <c r="B10066" s="3" t="s">
        <v>10068</v>
      </c>
      <c r="C10066" s="3" t="s">
        <v>9</v>
      </c>
      <c r="D10066" s="3" t="s">
        <v>10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/>
      <c r="P10066" s="3"/>
      <c r="Q10066" s="3"/>
    </row>
    <row r="10067" spans="1:17" ht="15" x14ac:dyDescent="0.25">
      <c r="A10067" s="3">
        <f>10060</f>
        <v>10060</v>
      </c>
      <c r="B10067" s="3" t="s">
        <v>10069</v>
      </c>
      <c r="C10067" s="3" t="s">
        <v>9</v>
      </c>
      <c r="D10067" s="3" t="s">
        <v>10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/>
      <c r="P10067" s="3"/>
      <c r="Q10067" s="3"/>
    </row>
    <row r="10068" spans="1:17" ht="15" x14ac:dyDescent="0.25">
      <c r="A10068" s="3">
        <f>10061</f>
        <v>10061</v>
      </c>
      <c r="B10068" s="3" t="s">
        <v>10070</v>
      </c>
      <c r="C10068" s="3" t="s">
        <v>9</v>
      </c>
      <c r="D10068" s="3" t="s">
        <v>10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/>
      <c r="P10068" s="3"/>
      <c r="Q10068" s="3"/>
    </row>
    <row r="10069" spans="1:17" ht="15" x14ac:dyDescent="0.25">
      <c r="A10069" s="3">
        <f>10062</f>
        <v>10062</v>
      </c>
      <c r="B10069" s="3" t="s">
        <v>10071</v>
      </c>
      <c r="C10069" s="3" t="s">
        <v>9</v>
      </c>
      <c r="D10069" s="3" t="s">
        <v>10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/>
      <c r="P10069" s="3"/>
      <c r="Q10069" s="3"/>
    </row>
    <row r="10070" spans="1:17" ht="15" x14ac:dyDescent="0.25">
      <c r="A10070" s="3">
        <f>10063</f>
        <v>10063</v>
      </c>
      <c r="B10070" s="3" t="s">
        <v>10072</v>
      </c>
      <c r="C10070" s="3" t="s">
        <v>9</v>
      </c>
      <c r="D10070" s="3" t="s">
        <v>10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/>
      <c r="P10070" s="3"/>
      <c r="Q10070" s="3"/>
    </row>
    <row r="10071" spans="1:17" ht="15" x14ac:dyDescent="0.25">
      <c r="A10071" s="3">
        <f>10064</f>
        <v>10064</v>
      </c>
      <c r="B10071" s="3" t="s">
        <v>10073</v>
      </c>
      <c r="C10071" s="3" t="s">
        <v>9</v>
      </c>
      <c r="D10071" s="3" t="s">
        <v>10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/>
      <c r="P10071" s="3"/>
      <c r="Q10071" s="3"/>
    </row>
    <row r="10072" spans="1:17" ht="15" x14ac:dyDescent="0.25">
      <c r="A10072" s="3">
        <f>10065</f>
        <v>10065</v>
      </c>
      <c r="B10072" s="3" t="s">
        <v>10074</v>
      </c>
      <c r="C10072" s="3" t="s">
        <v>9</v>
      </c>
      <c r="D10072" s="3" t="s">
        <v>10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/>
      <c r="P10072" s="3"/>
      <c r="Q10072" s="3"/>
    </row>
    <row r="10073" spans="1:17" ht="15" x14ac:dyDescent="0.25">
      <c r="A10073" s="3">
        <f>10066</f>
        <v>10066</v>
      </c>
      <c r="B10073" s="3" t="s">
        <v>10075</v>
      </c>
      <c r="C10073" s="3" t="s">
        <v>9</v>
      </c>
      <c r="D10073" s="3" t="s">
        <v>10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/>
      <c r="P10073" s="3"/>
      <c r="Q10073" s="3"/>
    </row>
    <row r="10074" spans="1:17" ht="15" x14ac:dyDescent="0.25">
      <c r="A10074" s="3">
        <f>10067</f>
        <v>10067</v>
      </c>
      <c r="B10074" s="3" t="s">
        <v>10076</v>
      </c>
      <c r="C10074" s="3" t="s">
        <v>9</v>
      </c>
      <c r="D10074" s="3" t="s">
        <v>10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/>
      <c r="P10074" s="3"/>
      <c r="Q10074" s="3"/>
    </row>
    <row r="10075" spans="1:17" ht="15" x14ac:dyDescent="0.25">
      <c r="A10075" s="3">
        <f>10068</f>
        <v>10068</v>
      </c>
      <c r="B10075" s="3" t="s">
        <v>10077</v>
      </c>
      <c r="C10075" s="3" t="s">
        <v>9</v>
      </c>
      <c r="D10075" s="3" t="s">
        <v>10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/>
      <c r="P10075" s="3"/>
      <c r="Q10075" s="3"/>
    </row>
    <row r="10076" spans="1:17" ht="15" x14ac:dyDescent="0.25">
      <c r="A10076" s="3">
        <f>10069</f>
        <v>10069</v>
      </c>
      <c r="B10076" s="3" t="s">
        <v>10078</v>
      </c>
      <c r="C10076" s="3" t="s">
        <v>9</v>
      </c>
      <c r="D10076" s="3" t="s">
        <v>10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/>
      <c r="P10076" s="3"/>
      <c r="Q10076" s="3"/>
    </row>
    <row r="10077" spans="1:17" ht="15" x14ac:dyDescent="0.25">
      <c r="A10077" s="3">
        <f>10070</f>
        <v>10070</v>
      </c>
      <c r="B10077" s="3" t="s">
        <v>10079</v>
      </c>
      <c r="C10077" s="3" t="s">
        <v>9</v>
      </c>
      <c r="D10077" s="3" t="s">
        <v>10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/>
      <c r="P10077" s="3"/>
      <c r="Q10077" s="3"/>
    </row>
    <row r="10078" spans="1:17" ht="15" x14ac:dyDescent="0.25">
      <c r="A10078" s="3">
        <f>10071</f>
        <v>10071</v>
      </c>
      <c r="B10078" s="3" t="s">
        <v>10080</v>
      </c>
      <c r="C10078" s="3" t="s">
        <v>9</v>
      </c>
      <c r="D10078" s="3" t="s">
        <v>10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/>
      <c r="P10078" s="3"/>
      <c r="Q10078" s="3"/>
    </row>
    <row r="10079" spans="1:17" ht="15" x14ac:dyDescent="0.25">
      <c r="A10079" s="3">
        <f>10072</f>
        <v>10072</v>
      </c>
      <c r="B10079" s="3" t="s">
        <v>10081</v>
      </c>
      <c r="C10079" s="3" t="s">
        <v>9</v>
      </c>
      <c r="D10079" s="3" t="s">
        <v>10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/>
      <c r="P10079" s="3"/>
      <c r="Q10079" s="3"/>
    </row>
    <row r="10080" spans="1:17" ht="15" x14ac:dyDescent="0.25">
      <c r="A10080" s="3">
        <f>10073</f>
        <v>10073</v>
      </c>
      <c r="B10080" s="3" t="s">
        <v>10082</v>
      </c>
      <c r="C10080" s="3" t="s">
        <v>9</v>
      </c>
      <c r="D10080" s="3" t="s">
        <v>10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/>
      <c r="P10080" s="3"/>
      <c r="Q10080" s="3"/>
    </row>
    <row r="10081" spans="1:17" ht="15" x14ac:dyDescent="0.25">
      <c r="A10081" s="3">
        <f>10074</f>
        <v>10074</v>
      </c>
      <c r="B10081" s="3" t="s">
        <v>10083</v>
      </c>
      <c r="C10081" s="3" t="s">
        <v>9</v>
      </c>
      <c r="D10081" s="3" t="s">
        <v>10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/>
      <c r="P10081" s="3"/>
      <c r="Q10081" s="3"/>
    </row>
    <row r="10082" spans="1:17" ht="15" x14ac:dyDescent="0.25">
      <c r="A10082" s="3">
        <f>10075</f>
        <v>10075</v>
      </c>
      <c r="B10082" s="3" t="s">
        <v>10084</v>
      </c>
      <c r="C10082" s="3" t="s">
        <v>9</v>
      </c>
      <c r="D10082" s="3" t="s">
        <v>10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/>
      <c r="P10082" s="3"/>
      <c r="Q10082" s="3"/>
    </row>
    <row r="10083" spans="1:17" ht="15" x14ac:dyDescent="0.25">
      <c r="A10083" s="3">
        <f>10076</f>
        <v>10076</v>
      </c>
      <c r="B10083" s="3" t="s">
        <v>10085</v>
      </c>
      <c r="C10083" s="3" t="s">
        <v>9</v>
      </c>
      <c r="D10083" s="3" t="s">
        <v>10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/>
      <c r="P10083" s="3"/>
      <c r="Q10083" s="3"/>
    </row>
    <row r="10084" spans="1:17" ht="15" x14ac:dyDescent="0.25">
      <c r="A10084" s="3">
        <f>10077</f>
        <v>10077</v>
      </c>
      <c r="B10084" s="3" t="s">
        <v>10086</v>
      </c>
      <c r="C10084" s="3" t="s">
        <v>9</v>
      </c>
      <c r="D10084" s="3" t="s">
        <v>10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/>
      <c r="P10084" s="3"/>
      <c r="Q10084" s="3"/>
    </row>
    <row r="10085" spans="1:17" ht="15" x14ac:dyDescent="0.25">
      <c r="A10085" s="3">
        <f>10078</f>
        <v>10078</v>
      </c>
      <c r="B10085" s="3" t="s">
        <v>10087</v>
      </c>
      <c r="C10085" s="3" t="s">
        <v>10</v>
      </c>
      <c r="D10085" s="3" t="s">
        <v>9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/>
      <c r="P10085" s="3"/>
      <c r="Q10085" s="3"/>
    </row>
    <row r="10086" spans="1:17" ht="15" x14ac:dyDescent="0.25">
      <c r="A10086" s="3">
        <f>10079</f>
        <v>10079</v>
      </c>
      <c r="B10086" s="3" t="s">
        <v>10088</v>
      </c>
      <c r="C10086" s="3" t="s">
        <v>10</v>
      </c>
      <c r="D10086" s="3" t="s">
        <v>9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/>
      <c r="P10086" s="3"/>
      <c r="Q10086" s="3"/>
    </row>
    <row r="10087" spans="1:17" ht="15" x14ac:dyDescent="0.25">
      <c r="A10087" s="3">
        <f>10080</f>
        <v>10080</v>
      </c>
      <c r="B10087" s="3" t="s">
        <v>10089</v>
      </c>
      <c r="C10087" s="3" t="s">
        <v>10</v>
      </c>
      <c r="D10087" s="3" t="s">
        <v>9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/>
      <c r="P10087" s="3"/>
      <c r="Q10087" s="3"/>
    </row>
    <row r="10088" spans="1:17" ht="15" x14ac:dyDescent="0.25">
      <c r="A10088" s="3">
        <f>10081</f>
        <v>10081</v>
      </c>
      <c r="B10088" s="3" t="s">
        <v>10090</v>
      </c>
      <c r="C10088" s="3" t="s">
        <v>10</v>
      </c>
      <c r="D10088" s="3" t="s">
        <v>9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/>
      <c r="P10088" s="3"/>
      <c r="Q10088" s="3"/>
    </row>
    <row r="10089" spans="1:17" ht="15" x14ac:dyDescent="0.25">
      <c r="A10089" s="3">
        <f>10082</f>
        <v>10082</v>
      </c>
      <c r="B10089" s="3" t="s">
        <v>10091</v>
      </c>
      <c r="C10089" s="3" t="s">
        <v>10</v>
      </c>
      <c r="D10089" s="3" t="s">
        <v>9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/>
      <c r="P10089" s="3"/>
      <c r="Q10089" s="3"/>
    </row>
    <row r="10090" spans="1:17" ht="15" x14ac:dyDescent="0.25">
      <c r="A10090" s="3">
        <f>10083</f>
        <v>10083</v>
      </c>
      <c r="B10090" s="3" t="s">
        <v>10092</v>
      </c>
      <c r="C10090" s="3" t="s">
        <v>10</v>
      </c>
      <c r="D10090" s="3" t="s">
        <v>9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/>
      <c r="P10090" s="3"/>
      <c r="Q10090" s="3"/>
    </row>
    <row r="10091" spans="1:17" ht="15" x14ac:dyDescent="0.25">
      <c r="A10091" s="3">
        <f>10084</f>
        <v>10084</v>
      </c>
      <c r="B10091" s="3" t="s">
        <v>10093</v>
      </c>
      <c r="C10091" s="3" t="s">
        <v>10</v>
      </c>
      <c r="D10091" s="3" t="s">
        <v>9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/>
      <c r="P10091" s="3"/>
      <c r="Q10091" s="3"/>
    </row>
    <row r="10092" spans="1:17" ht="15" x14ac:dyDescent="0.25">
      <c r="A10092" s="3">
        <f>10085</f>
        <v>10085</v>
      </c>
      <c r="B10092" s="3" t="s">
        <v>10094</v>
      </c>
      <c r="C10092" s="3" t="s">
        <v>10</v>
      </c>
      <c r="D10092" s="3" t="s">
        <v>9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/>
      <c r="P10092" s="3"/>
      <c r="Q10092" s="3"/>
    </row>
    <row r="10093" spans="1:17" ht="15" x14ac:dyDescent="0.25">
      <c r="A10093" s="3">
        <f>10086</f>
        <v>10086</v>
      </c>
      <c r="B10093" s="3" t="s">
        <v>10095</v>
      </c>
      <c r="C10093" s="3" t="s">
        <v>10</v>
      </c>
      <c r="D10093" s="3" t="s">
        <v>9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/>
      <c r="P10093" s="3"/>
      <c r="Q10093" s="3"/>
    </row>
    <row r="10094" spans="1:17" ht="15" x14ac:dyDescent="0.25">
      <c r="A10094" s="3">
        <f>10087</f>
        <v>10087</v>
      </c>
      <c r="B10094" s="3" t="s">
        <v>10096</v>
      </c>
      <c r="C10094" s="3" t="s">
        <v>10</v>
      </c>
      <c r="D10094" s="3" t="s">
        <v>9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/>
      <c r="P10094" s="3"/>
      <c r="Q10094" s="3"/>
    </row>
    <row r="10095" spans="1:17" ht="15" x14ac:dyDescent="0.25">
      <c r="A10095" s="3">
        <f>10088</f>
        <v>10088</v>
      </c>
      <c r="B10095" s="3" t="s">
        <v>10097</v>
      </c>
      <c r="C10095" s="3" t="s">
        <v>10</v>
      </c>
      <c r="D10095" s="3" t="s">
        <v>9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/>
      <c r="P10095" s="3"/>
      <c r="Q10095" s="3"/>
    </row>
    <row r="10096" spans="1:17" ht="15" x14ac:dyDescent="0.25">
      <c r="A10096" s="3">
        <f>10089</f>
        <v>10089</v>
      </c>
      <c r="B10096" s="3" t="s">
        <v>10098</v>
      </c>
      <c r="C10096" s="3" t="s">
        <v>10</v>
      </c>
      <c r="D10096" s="3" t="s">
        <v>9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/>
      <c r="P10096" s="3"/>
      <c r="Q10096" s="3"/>
    </row>
    <row r="10097" spans="1:17" ht="15" x14ac:dyDescent="0.25">
      <c r="A10097" s="3">
        <f>10090</f>
        <v>10090</v>
      </c>
      <c r="B10097" s="3" t="s">
        <v>10099</v>
      </c>
      <c r="C10097" s="3" t="s">
        <v>10</v>
      </c>
      <c r="D10097" s="3" t="s">
        <v>9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/>
      <c r="P10097" s="3"/>
      <c r="Q10097" s="3"/>
    </row>
    <row r="10098" spans="1:17" ht="15" x14ac:dyDescent="0.25">
      <c r="A10098" s="3">
        <f>10091</f>
        <v>10091</v>
      </c>
      <c r="B10098" s="3" t="s">
        <v>10100</v>
      </c>
      <c r="C10098" s="3" t="s">
        <v>10</v>
      </c>
      <c r="D10098" s="3" t="s">
        <v>9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/>
      <c r="P10098" s="3"/>
      <c r="Q10098" s="3"/>
    </row>
    <row r="10099" spans="1:17" ht="15" x14ac:dyDescent="0.25">
      <c r="A10099" s="3">
        <f>10092</f>
        <v>10092</v>
      </c>
      <c r="B10099" s="3" t="s">
        <v>10101</v>
      </c>
      <c r="C10099" s="3" t="s">
        <v>10</v>
      </c>
      <c r="D10099" s="3" t="s">
        <v>9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/>
      <c r="P10099" s="3"/>
      <c r="Q10099" s="3"/>
    </row>
    <row r="10100" spans="1:17" ht="15" x14ac:dyDescent="0.25">
      <c r="A10100" s="3">
        <f>10093</f>
        <v>10093</v>
      </c>
      <c r="B10100" s="3" t="s">
        <v>10102</v>
      </c>
      <c r="C10100" s="3" t="s">
        <v>10</v>
      </c>
      <c r="D10100" s="3" t="s">
        <v>9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/>
      <c r="P10100" s="3"/>
      <c r="Q10100" s="3"/>
    </row>
    <row r="10101" spans="1:17" ht="15" x14ac:dyDescent="0.25">
      <c r="A10101" s="3">
        <f>10094</f>
        <v>10094</v>
      </c>
      <c r="B10101" s="3" t="s">
        <v>10103</v>
      </c>
      <c r="C10101" s="3" t="s">
        <v>10</v>
      </c>
      <c r="D10101" s="3" t="s">
        <v>9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/>
      <c r="P10101" s="3"/>
      <c r="Q10101" s="3"/>
    </row>
    <row r="10102" spans="1:17" ht="15" x14ac:dyDescent="0.25">
      <c r="A10102" s="3">
        <f>10095</f>
        <v>10095</v>
      </c>
      <c r="B10102" s="3" t="s">
        <v>10104</v>
      </c>
      <c r="C10102" s="3" t="s">
        <v>10</v>
      </c>
      <c r="D10102" s="3" t="s">
        <v>9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/>
      <c r="P10102" s="3"/>
      <c r="Q10102" s="3"/>
    </row>
    <row r="10103" spans="1:17" ht="15" x14ac:dyDescent="0.25">
      <c r="A10103" s="3">
        <f>10096</f>
        <v>10096</v>
      </c>
      <c r="B10103" s="3" t="s">
        <v>10105</v>
      </c>
      <c r="C10103" s="3" t="s">
        <v>10</v>
      </c>
      <c r="D10103" s="3" t="s">
        <v>9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/>
      <c r="P10103" s="3"/>
      <c r="Q10103" s="3"/>
    </row>
    <row r="10104" spans="1:17" ht="15" x14ac:dyDescent="0.25">
      <c r="A10104" s="3">
        <f>10097</f>
        <v>10097</v>
      </c>
      <c r="B10104" s="3" t="s">
        <v>10106</v>
      </c>
      <c r="C10104" s="3" t="s">
        <v>10</v>
      </c>
      <c r="D10104" s="3" t="s">
        <v>9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/>
      <c r="P10104" s="3"/>
      <c r="Q10104" s="3"/>
    </row>
    <row r="10105" spans="1:17" ht="15" x14ac:dyDescent="0.25">
      <c r="A10105" s="3">
        <f>10098</f>
        <v>10098</v>
      </c>
      <c r="B10105" s="3" t="s">
        <v>10107</v>
      </c>
      <c r="C10105" s="3" t="s">
        <v>10</v>
      </c>
      <c r="D10105" s="3" t="s">
        <v>9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/>
      <c r="P10105" s="3"/>
      <c r="Q10105" s="3"/>
    </row>
    <row r="10106" spans="1:17" ht="15" x14ac:dyDescent="0.25">
      <c r="A10106" s="3">
        <f>10099</f>
        <v>10099</v>
      </c>
      <c r="B10106" s="3" t="s">
        <v>10108</v>
      </c>
      <c r="C10106" s="3" t="s">
        <v>10</v>
      </c>
      <c r="D10106" s="3" t="s">
        <v>9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/>
      <c r="P10106" s="3"/>
      <c r="Q10106" s="3"/>
    </row>
    <row r="10107" spans="1:17" ht="15" x14ac:dyDescent="0.25">
      <c r="A10107" s="3">
        <f>10100</f>
        <v>10100</v>
      </c>
      <c r="B10107" s="3" t="s">
        <v>10109</v>
      </c>
      <c r="C10107" s="3" t="s">
        <v>10</v>
      </c>
      <c r="D10107" s="3" t="s">
        <v>9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/>
      <c r="P10107" s="3"/>
      <c r="Q10107" s="3"/>
    </row>
    <row r="10108" spans="1:17" ht="15" x14ac:dyDescent="0.25">
      <c r="A10108" s="3">
        <f>10101</f>
        <v>10101</v>
      </c>
      <c r="B10108" s="3" t="s">
        <v>10110</v>
      </c>
      <c r="C10108" s="3" t="s">
        <v>10</v>
      </c>
      <c r="D10108" s="3" t="s">
        <v>9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/>
      <c r="P10108" s="3"/>
      <c r="Q10108" s="3"/>
    </row>
    <row r="10109" spans="1:17" ht="15" x14ac:dyDescent="0.25">
      <c r="A10109" s="3">
        <f>10102</f>
        <v>10102</v>
      </c>
      <c r="B10109" s="3" t="s">
        <v>10111</v>
      </c>
      <c r="C10109" s="3" t="s">
        <v>10</v>
      </c>
      <c r="D10109" s="3" t="s">
        <v>9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/>
      <c r="P10109" s="3"/>
      <c r="Q10109" s="3"/>
    </row>
    <row r="10110" spans="1:17" ht="15" x14ac:dyDescent="0.25">
      <c r="A10110" s="3">
        <f>10103</f>
        <v>10103</v>
      </c>
      <c r="B10110" s="3" t="s">
        <v>10112</v>
      </c>
      <c r="C10110" s="3" t="s">
        <v>10</v>
      </c>
      <c r="D10110" s="3" t="s">
        <v>9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/>
      <c r="P10110" s="3"/>
      <c r="Q10110" s="3"/>
    </row>
    <row r="10111" spans="1:17" ht="15" x14ac:dyDescent="0.25">
      <c r="A10111" s="3">
        <f>10104</f>
        <v>10104</v>
      </c>
      <c r="B10111" s="3" t="s">
        <v>10113</v>
      </c>
      <c r="C10111" s="3" t="s">
        <v>10</v>
      </c>
      <c r="D10111" s="3" t="s">
        <v>9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/>
      <c r="P10111" s="3"/>
      <c r="Q10111" s="3"/>
    </row>
    <row r="10112" spans="1:17" ht="15" x14ac:dyDescent="0.25">
      <c r="A10112" s="3">
        <f>10105</f>
        <v>10105</v>
      </c>
      <c r="B10112" s="3" t="s">
        <v>10114</v>
      </c>
      <c r="C10112" s="3" t="s">
        <v>10</v>
      </c>
      <c r="D10112" s="3" t="s">
        <v>9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/>
      <c r="P10112" s="3"/>
      <c r="Q10112" s="3"/>
    </row>
    <row r="10113" spans="1:17" ht="15" x14ac:dyDescent="0.25">
      <c r="A10113" s="3">
        <f>10106</f>
        <v>10106</v>
      </c>
      <c r="B10113" s="3" t="s">
        <v>10115</v>
      </c>
      <c r="C10113" s="3" t="s">
        <v>10</v>
      </c>
      <c r="D10113" s="3" t="s">
        <v>9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/>
      <c r="P10113" s="3"/>
      <c r="Q10113" s="3"/>
    </row>
    <row r="10114" spans="1:17" ht="15" x14ac:dyDescent="0.25">
      <c r="A10114" s="3">
        <f>10107</f>
        <v>10107</v>
      </c>
      <c r="B10114" s="3" t="s">
        <v>10116</v>
      </c>
      <c r="C10114" s="3" t="s">
        <v>10</v>
      </c>
      <c r="D10114" s="3" t="s">
        <v>9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/>
      <c r="P10114" s="3"/>
      <c r="Q10114" s="3"/>
    </row>
    <row r="10115" spans="1:17" ht="15" x14ac:dyDescent="0.25">
      <c r="A10115" s="3">
        <f>10108</f>
        <v>10108</v>
      </c>
      <c r="B10115" s="3" t="s">
        <v>10117</v>
      </c>
      <c r="C10115" s="3" t="s">
        <v>10</v>
      </c>
      <c r="D10115" s="3" t="s">
        <v>9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/>
      <c r="P10115" s="3"/>
      <c r="Q10115" s="3"/>
    </row>
    <row r="10116" spans="1:17" ht="15" x14ac:dyDescent="0.25">
      <c r="A10116" s="3">
        <f>10109</f>
        <v>10109</v>
      </c>
      <c r="B10116" s="3" t="s">
        <v>10118</v>
      </c>
      <c r="C10116" s="3" t="s">
        <v>10</v>
      </c>
      <c r="D10116" s="3" t="s">
        <v>9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/>
      <c r="P10116" s="3"/>
      <c r="Q10116" s="3"/>
    </row>
    <row r="10117" spans="1:17" ht="15" x14ac:dyDescent="0.25">
      <c r="A10117" s="3">
        <f>10110</f>
        <v>10110</v>
      </c>
      <c r="B10117" s="3" t="s">
        <v>10119</v>
      </c>
      <c r="C10117" s="3" t="s">
        <v>10</v>
      </c>
      <c r="D10117" s="3" t="s">
        <v>9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/>
      <c r="P10117" s="3"/>
      <c r="Q10117" s="3"/>
    </row>
    <row r="10118" spans="1:17" ht="15" x14ac:dyDescent="0.25">
      <c r="A10118" s="3">
        <f>10111</f>
        <v>10111</v>
      </c>
      <c r="B10118" s="3" t="s">
        <v>10120</v>
      </c>
      <c r="C10118" s="3" t="s">
        <v>10</v>
      </c>
      <c r="D10118" s="3" t="s">
        <v>9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/>
      <c r="P10118" s="3"/>
      <c r="Q10118" s="3"/>
    </row>
    <row r="10119" spans="1:17" ht="15" x14ac:dyDescent="0.25">
      <c r="A10119" s="3">
        <f>10112</f>
        <v>10112</v>
      </c>
      <c r="B10119" s="3" t="s">
        <v>10121</v>
      </c>
      <c r="C10119" s="3" t="s">
        <v>10</v>
      </c>
      <c r="D10119" s="3" t="s">
        <v>9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/>
      <c r="P10119" s="3"/>
      <c r="Q10119" s="3"/>
    </row>
    <row r="10120" spans="1:17" ht="15" x14ac:dyDescent="0.25">
      <c r="A10120" s="3">
        <f>10113</f>
        <v>10113</v>
      </c>
      <c r="B10120" s="3" t="s">
        <v>10122</v>
      </c>
      <c r="C10120" s="3" t="s">
        <v>10</v>
      </c>
      <c r="D10120" s="3" t="s">
        <v>9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/>
      <c r="P10120" s="3"/>
      <c r="Q10120" s="3"/>
    </row>
    <row r="10121" spans="1:17" ht="15" x14ac:dyDescent="0.25">
      <c r="A10121" s="3">
        <f>10114</f>
        <v>10114</v>
      </c>
      <c r="B10121" s="3" t="s">
        <v>10123</v>
      </c>
      <c r="C10121" s="3" t="s">
        <v>10</v>
      </c>
      <c r="D10121" s="3" t="s">
        <v>9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/>
      <c r="P10121" s="3"/>
      <c r="Q10121" s="3"/>
    </row>
    <row r="10122" spans="1:17" ht="15" x14ac:dyDescent="0.25">
      <c r="A10122" s="3">
        <f>10115</f>
        <v>10115</v>
      </c>
      <c r="B10122" s="3" t="s">
        <v>10124</v>
      </c>
      <c r="C10122" s="3" t="s">
        <v>10</v>
      </c>
      <c r="D10122" s="3" t="s">
        <v>9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/>
      <c r="P10122" s="3"/>
      <c r="Q10122" s="3"/>
    </row>
    <row r="10123" spans="1:17" ht="15" x14ac:dyDescent="0.25">
      <c r="A10123" s="3">
        <f>10116</f>
        <v>10116</v>
      </c>
      <c r="B10123" s="3" t="s">
        <v>10125</v>
      </c>
      <c r="C10123" s="3" t="s">
        <v>10</v>
      </c>
      <c r="D10123" s="3" t="s">
        <v>9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/>
      <c r="P10123" s="3"/>
      <c r="Q10123" s="3"/>
    </row>
    <row r="10124" spans="1:17" ht="15" x14ac:dyDescent="0.25">
      <c r="A10124" s="3">
        <f>10117</f>
        <v>10117</v>
      </c>
      <c r="B10124" s="3" t="s">
        <v>10126</v>
      </c>
      <c r="C10124" s="3" t="s">
        <v>10</v>
      </c>
      <c r="D10124" s="3" t="s">
        <v>9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/>
      <c r="P10124" s="3"/>
      <c r="Q10124" s="3"/>
    </row>
    <row r="10125" spans="1:17" ht="15" x14ac:dyDescent="0.25">
      <c r="A10125" s="3">
        <f>10118</f>
        <v>10118</v>
      </c>
      <c r="B10125" s="3" t="s">
        <v>10127</v>
      </c>
      <c r="C10125" s="3" t="s">
        <v>10</v>
      </c>
      <c r="D10125" s="3" t="s">
        <v>9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/>
      <c r="P10125" s="3"/>
      <c r="Q10125" s="3"/>
    </row>
    <row r="10126" spans="1:17" ht="15" x14ac:dyDescent="0.25">
      <c r="A10126" s="3">
        <f>10119</f>
        <v>10119</v>
      </c>
      <c r="B10126" s="3" t="s">
        <v>10128</v>
      </c>
      <c r="C10126" s="3" t="s">
        <v>10</v>
      </c>
      <c r="D10126" s="3" t="s">
        <v>9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/>
      <c r="P10126" s="3"/>
      <c r="Q10126" s="3"/>
    </row>
    <row r="10127" spans="1:17" ht="15" x14ac:dyDescent="0.25">
      <c r="A10127" s="3">
        <f>10120</f>
        <v>10120</v>
      </c>
      <c r="B10127" s="3" t="s">
        <v>10129</v>
      </c>
      <c r="C10127" s="3" t="s">
        <v>10</v>
      </c>
      <c r="D10127" s="3" t="s">
        <v>9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/>
      <c r="P10127" s="3"/>
      <c r="Q10127" s="3"/>
    </row>
    <row r="10128" spans="1:17" ht="15" x14ac:dyDescent="0.25">
      <c r="A10128" s="3">
        <f>10121</f>
        <v>10121</v>
      </c>
      <c r="B10128" s="3" t="s">
        <v>10130</v>
      </c>
      <c r="C10128" s="3" t="s">
        <v>10</v>
      </c>
      <c r="D10128" s="3" t="s">
        <v>9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/>
      <c r="P10128" s="3"/>
      <c r="Q10128" s="3"/>
    </row>
    <row r="10129" spans="1:17" ht="15" x14ac:dyDescent="0.25">
      <c r="A10129" s="3">
        <f>10122</f>
        <v>10122</v>
      </c>
      <c r="B10129" s="3" t="s">
        <v>10131</v>
      </c>
      <c r="C10129" s="3" t="s">
        <v>10</v>
      </c>
      <c r="D10129" s="3" t="s">
        <v>9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/>
      <c r="P10129" s="3"/>
      <c r="Q10129" s="3"/>
    </row>
    <row r="10130" spans="1:17" ht="15" x14ac:dyDescent="0.25">
      <c r="A10130" s="3">
        <f>10123</f>
        <v>10123</v>
      </c>
      <c r="B10130" s="3" t="s">
        <v>10132</v>
      </c>
      <c r="C10130" s="3" t="s">
        <v>10</v>
      </c>
      <c r="D10130" s="3" t="s">
        <v>9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/>
      <c r="P10130" s="3"/>
      <c r="Q10130" s="3"/>
    </row>
    <row r="10131" spans="1:17" ht="15" x14ac:dyDescent="0.25">
      <c r="A10131" s="3">
        <f>10124</f>
        <v>10124</v>
      </c>
      <c r="B10131" s="3" t="s">
        <v>10133</v>
      </c>
      <c r="C10131" s="3" t="s">
        <v>10</v>
      </c>
      <c r="D10131" s="3" t="s">
        <v>9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/>
      <c r="P10131" s="3"/>
      <c r="Q10131" s="3"/>
    </row>
    <row r="10132" spans="1:17" ht="15" x14ac:dyDescent="0.25">
      <c r="A10132" s="3">
        <f>10125</f>
        <v>10125</v>
      </c>
      <c r="B10132" s="3" t="s">
        <v>10134</v>
      </c>
      <c r="C10132" s="3" t="s">
        <v>10</v>
      </c>
      <c r="D10132" s="3" t="s">
        <v>9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/>
      <c r="P10132" s="3"/>
      <c r="Q10132" s="3"/>
    </row>
    <row r="10133" spans="1:17" ht="15" x14ac:dyDescent="0.25">
      <c r="A10133" s="3">
        <f>10126</f>
        <v>10126</v>
      </c>
      <c r="B10133" s="3" t="s">
        <v>10135</v>
      </c>
      <c r="C10133" s="3" t="s">
        <v>10</v>
      </c>
      <c r="D10133" s="3" t="s">
        <v>9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/>
      <c r="P10133" s="3"/>
      <c r="Q10133" s="3"/>
    </row>
    <row r="10134" spans="1:17" ht="15" x14ac:dyDescent="0.25">
      <c r="A10134" s="3">
        <f>10127</f>
        <v>10127</v>
      </c>
      <c r="B10134" s="3" t="s">
        <v>10136</v>
      </c>
      <c r="C10134" s="3" t="s">
        <v>10</v>
      </c>
      <c r="D10134" s="3" t="s">
        <v>9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/>
      <c r="P10134" s="3"/>
      <c r="Q10134" s="3"/>
    </row>
    <row r="10135" spans="1:17" ht="15" x14ac:dyDescent="0.25">
      <c r="A10135" s="3">
        <f>10128</f>
        <v>10128</v>
      </c>
      <c r="B10135" s="3" t="s">
        <v>10137</v>
      </c>
      <c r="C10135" s="3" t="s">
        <v>10</v>
      </c>
      <c r="D10135" s="3" t="s">
        <v>9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/>
      <c r="P10135" s="3"/>
      <c r="Q10135" s="3"/>
    </row>
    <row r="10136" spans="1:17" ht="15" x14ac:dyDescent="0.25">
      <c r="A10136" s="3">
        <f>10129</f>
        <v>10129</v>
      </c>
      <c r="B10136" s="3" t="s">
        <v>10138</v>
      </c>
      <c r="C10136" s="3" t="s">
        <v>10</v>
      </c>
      <c r="D10136" s="3" t="s">
        <v>9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/>
      <c r="P10136" s="3"/>
      <c r="Q10136" s="3"/>
    </row>
    <row r="10137" spans="1:17" ht="15" x14ac:dyDescent="0.25">
      <c r="A10137" s="3">
        <f>10130</f>
        <v>10130</v>
      </c>
      <c r="B10137" s="3" t="s">
        <v>10139</v>
      </c>
      <c r="C10137" s="3" t="s">
        <v>10</v>
      </c>
      <c r="D10137" s="3" t="s">
        <v>9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/>
      <c r="P10137" s="3"/>
      <c r="Q10137" s="3"/>
    </row>
    <row r="10138" spans="1:17" ht="15" x14ac:dyDescent="0.25">
      <c r="A10138" s="3">
        <f>10131</f>
        <v>10131</v>
      </c>
      <c r="B10138" s="3" t="s">
        <v>10140</v>
      </c>
      <c r="C10138" s="3" t="s">
        <v>10</v>
      </c>
      <c r="D10138" s="3" t="s">
        <v>9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/>
      <c r="P10138" s="3"/>
      <c r="Q10138" s="3"/>
    </row>
    <row r="10139" spans="1:17" ht="15" x14ac:dyDescent="0.25">
      <c r="A10139" s="3">
        <f>10132</f>
        <v>10132</v>
      </c>
      <c r="B10139" s="3" t="s">
        <v>10141</v>
      </c>
      <c r="C10139" s="3" t="s">
        <v>10</v>
      </c>
      <c r="D10139" s="3" t="s">
        <v>9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/>
      <c r="P10139" s="3"/>
      <c r="Q10139" s="3"/>
    </row>
    <row r="10140" spans="1:17" ht="15" x14ac:dyDescent="0.25">
      <c r="A10140" s="3">
        <f>10133</f>
        <v>10133</v>
      </c>
      <c r="B10140" s="3" t="s">
        <v>10142</v>
      </c>
      <c r="C10140" s="3" t="s">
        <v>10</v>
      </c>
      <c r="D10140" s="3" t="s">
        <v>9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/>
      <c r="P10140" s="3"/>
      <c r="Q10140" s="3"/>
    </row>
    <row r="10141" spans="1:17" ht="15" x14ac:dyDescent="0.25">
      <c r="A10141" s="3">
        <f>10134</f>
        <v>10134</v>
      </c>
      <c r="B10141" s="3" t="s">
        <v>10143</v>
      </c>
      <c r="C10141" s="3" t="s">
        <v>10</v>
      </c>
      <c r="D10141" s="3" t="s">
        <v>9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/>
      <c r="P10141" s="3"/>
      <c r="Q10141" s="3"/>
    </row>
    <row r="10142" spans="1:17" ht="15" x14ac:dyDescent="0.25">
      <c r="A10142" s="3">
        <f>10135</f>
        <v>10135</v>
      </c>
      <c r="B10142" s="3" t="s">
        <v>10144</v>
      </c>
      <c r="C10142" s="3" t="s">
        <v>10</v>
      </c>
      <c r="D10142" s="3" t="s">
        <v>9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/>
      <c r="P10142" s="3"/>
      <c r="Q10142" s="3"/>
    </row>
    <row r="10143" spans="1:17" ht="15" x14ac:dyDescent="0.25">
      <c r="A10143" s="3">
        <f>10136</f>
        <v>10136</v>
      </c>
      <c r="B10143" s="3" t="s">
        <v>10145</v>
      </c>
      <c r="C10143" s="3" t="s">
        <v>10</v>
      </c>
      <c r="D10143" s="3" t="s">
        <v>9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/>
      <c r="P10143" s="3"/>
      <c r="Q10143" s="3"/>
    </row>
    <row r="10144" spans="1:17" ht="15" x14ac:dyDescent="0.25">
      <c r="A10144" s="3">
        <f>10137</f>
        <v>10137</v>
      </c>
      <c r="B10144" s="3" t="s">
        <v>10146</v>
      </c>
      <c r="C10144" s="3" t="s">
        <v>10</v>
      </c>
      <c r="D10144" s="3" t="s">
        <v>9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/>
      <c r="P10144" s="3"/>
      <c r="Q10144" s="3"/>
    </row>
    <row r="10145" spans="1:17" ht="15" x14ac:dyDescent="0.25">
      <c r="A10145" s="3">
        <f>10138</f>
        <v>10138</v>
      </c>
      <c r="B10145" s="3" t="s">
        <v>10147</v>
      </c>
      <c r="C10145" s="3" t="s">
        <v>10</v>
      </c>
      <c r="D10145" s="3" t="s">
        <v>9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/>
      <c r="P10145" s="3"/>
      <c r="Q10145" s="3"/>
    </row>
    <row r="10146" spans="1:17" ht="15" x14ac:dyDescent="0.25">
      <c r="A10146" s="3">
        <f>10139</f>
        <v>10139</v>
      </c>
      <c r="B10146" s="3" t="s">
        <v>10148</v>
      </c>
      <c r="C10146" s="3" t="s">
        <v>10</v>
      </c>
      <c r="D10146" s="3" t="s">
        <v>9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/>
      <c r="P10146" s="3"/>
      <c r="Q10146" s="3"/>
    </row>
    <row r="10147" spans="1:17" ht="15" x14ac:dyDescent="0.25">
      <c r="A10147" s="3">
        <f>10140</f>
        <v>10140</v>
      </c>
      <c r="B10147" s="3" t="s">
        <v>10149</v>
      </c>
      <c r="C10147" s="3" t="s">
        <v>10</v>
      </c>
      <c r="D10147" s="3" t="s">
        <v>9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/>
      <c r="P10147" s="3"/>
      <c r="Q10147" s="3"/>
    </row>
    <row r="10148" spans="1:17" ht="15" x14ac:dyDescent="0.25">
      <c r="A10148" s="3">
        <f>10141</f>
        <v>10141</v>
      </c>
      <c r="B10148" s="3" t="s">
        <v>10150</v>
      </c>
      <c r="C10148" s="3" t="s">
        <v>10</v>
      </c>
      <c r="D10148" s="3" t="s">
        <v>9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/>
      <c r="P10148" s="3"/>
      <c r="Q10148" s="3"/>
    </row>
    <row r="10149" spans="1:17" ht="15" x14ac:dyDescent="0.25">
      <c r="A10149" s="3">
        <f>10142</f>
        <v>10142</v>
      </c>
      <c r="B10149" s="3" t="s">
        <v>10151</v>
      </c>
      <c r="C10149" s="3" t="s">
        <v>10</v>
      </c>
      <c r="D10149" s="3" t="s">
        <v>9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/>
      <c r="P10149" s="3"/>
      <c r="Q10149" s="3"/>
    </row>
    <row r="10150" spans="1:17" ht="15" x14ac:dyDescent="0.25">
      <c r="A10150" s="3">
        <f>10143</f>
        <v>10143</v>
      </c>
      <c r="B10150" s="3" t="s">
        <v>10152</v>
      </c>
      <c r="C10150" s="3" t="s">
        <v>10</v>
      </c>
      <c r="D10150" s="3" t="s">
        <v>9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/>
      <c r="P10150" s="3"/>
      <c r="Q10150" s="3"/>
    </row>
    <row r="10151" spans="1:17" ht="15" x14ac:dyDescent="0.25">
      <c r="A10151" s="3">
        <f>10144</f>
        <v>10144</v>
      </c>
      <c r="B10151" s="3" t="s">
        <v>10153</v>
      </c>
      <c r="C10151" s="3" t="s">
        <v>10</v>
      </c>
      <c r="D10151" s="3" t="s">
        <v>9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/>
      <c r="P10151" s="3"/>
      <c r="Q10151" s="3"/>
    </row>
    <row r="10152" spans="1:17" ht="15" x14ac:dyDescent="0.25">
      <c r="A10152" s="3">
        <f>10145</f>
        <v>10145</v>
      </c>
      <c r="B10152" s="3" t="s">
        <v>10154</v>
      </c>
      <c r="C10152" s="3" t="s">
        <v>10</v>
      </c>
      <c r="D10152" s="3" t="s">
        <v>9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/>
      <c r="P10152" s="3"/>
      <c r="Q10152" s="3"/>
    </row>
    <row r="10153" spans="1:17" ht="15" x14ac:dyDescent="0.25">
      <c r="A10153" s="3">
        <f>10146</f>
        <v>10146</v>
      </c>
      <c r="B10153" s="3" t="s">
        <v>10155</v>
      </c>
      <c r="C10153" s="3" t="s">
        <v>10</v>
      </c>
      <c r="D10153" s="3" t="s">
        <v>9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/>
      <c r="P10153" s="3"/>
      <c r="Q10153" s="3"/>
    </row>
    <row r="10154" spans="1:17" ht="15" x14ac:dyDescent="0.25">
      <c r="A10154" s="3">
        <f>10147</f>
        <v>10147</v>
      </c>
      <c r="B10154" s="3" t="s">
        <v>10156</v>
      </c>
      <c r="C10154" s="3" t="s">
        <v>10</v>
      </c>
      <c r="D10154" s="3" t="s">
        <v>9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/>
      <c r="P10154" s="3"/>
      <c r="Q10154" s="3"/>
    </row>
    <row r="10155" spans="1:17" ht="15" x14ac:dyDescent="0.25">
      <c r="A10155" s="3">
        <f>10148</f>
        <v>10148</v>
      </c>
      <c r="B10155" s="3" t="s">
        <v>10157</v>
      </c>
      <c r="C10155" s="3" t="s">
        <v>10</v>
      </c>
      <c r="D10155" s="3" t="s">
        <v>9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/>
      <c r="P10155" s="3"/>
      <c r="Q10155" s="3"/>
    </row>
    <row r="10156" spans="1:17" ht="15" x14ac:dyDescent="0.25">
      <c r="A10156" s="3">
        <f>10149</f>
        <v>10149</v>
      </c>
      <c r="B10156" s="3" t="s">
        <v>10158</v>
      </c>
      <c r="C10156" s="3" t="s">
        <v>10</v>
      </c>
      <c r="D10156" s="3" t="s">
        <v>9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/>
      <c r="P10156" s="3"/>
      <c r="Q10156" s="3"/>
    </row>
    <row r="10157" spans="1:17" ht="15" x14ac:dyDescent="0.25">
      <c r="A10157" s="3">
        <f>10150</f>
        <v>10150</v>
      </c>
      <c r="B10157" s="3" t="s">
        <v>10159</v>
      </c>
      <c r="C10157" s="3" t="s">
        <v>10</v>
      </c>
      <c r="D10157" s="3" t="s">
        <v>9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/>
      <c r="P10157" s="3"/>
      <c r="Q10157" s="3"/>
    </row>
    <row r="10158" spans="1:17" ht="15" x14ac:dyDescent="0.25">
      <c r="A10158" s="3">
        <f>10151</f>
        <v>10151</v>
      </c>
      <c r="B10158" s="3" t="s">
        <v>10160</v>
      </c>
      <c r="C10158" s="3" t="s">
        <v>10</v>
      </c>
      <c r="D10158" s="3" t="s">
        <v>9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/>
      <c r="P10158" s="3"/>
      <c r="Q10158" s="3"/>
    </row>
    <row r="10159" spans="1:17" ht="15" x14ac:dyDescent="0.25">
      <c r="A10159" s="3">
        <f>10152</f>
        <v>10152</v>
      </c>
      <c r="B10159" s="3" t="s">
        <v>10161</v>
      </c>
      <c r="C10159" s="3" t="s">
        <v>10</v>
      </c>
      <c r="D10159" s="3" t="s">
        <v>9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/>
      <c r="P10159" s="3"/>
      <c r="Q10159" s="3"/>
    </row>
    <row r="10160" spans="1:17" ht="15" x14ac:dyDescent="0.25">
      <c r="A10160" s="3">
        <f>10153</f>
        <v>10153</v>
      </c>
      <c r="B10160" s="3" t="s">
        <v>10162</v>
      </c>
      <c r="C10160" s="3" t="s">
        <v>10</v>
      </c>
      <c r="D10160" s="3" t="s">
        <v>9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/>
      <c r="P10160" s="3"/>
      <c r="Q10160" s="3"/>
    </row>
    <row r="10161" spans="1:17" ht="15" x14ac:dyDescent="0.25">
      <c r="A10161" s="3">
        <f>10154</f>
        <v>10154</v>
      </c>
      <c r="B10161" s="3" t="s">
        <v>10163</v>
      </c>
      <c r="C10161" s="3" t="s">
        <v>10</v>
      </c>
      <c r="D10161" s="3" t="s">
        <v>9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/>
      <c r="P10161" s="3"/>
      <c r="Q10161" s="3"/>
    </row>
    <row r="10162" spans="1:17" ht="15" x14ac:dyDescent="0.25">
      <c r="A10162" s="3">
        <f>10155</f>
        <v>10155</v>
      </c>
      <c r="B10162" s="3" t="s">
        <v>10164</v>
      </c>
      <c r="C10162" s="3" t="s">
        <v>10</v>
      </c>
      <c r="D10162" s="3" t="s">
        <v>9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/>
      <c r="P10162" s="3"/>
      <c r="Q10162" s="3"/>
    </row>
    <row r="10163" spans="1:17" ht="15" x14ac:dyDescent="0.25">
      <c r="A10163" s="3">
        <f>10156</f>
        <v>10156</v>
      </c>
      <c r="B10163" s="3" t="s">
        <v>10165</v>
      </c>
      <c r="C10163" s="3" t="s">
        <v>10</v>
      </c>
      <c r="D10163" s="3" t="s">
        <v>9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/>
      <c r="P10163" s="3"/>
      <c r="Q10163" s="3"/>
    </row>
    <row r="10164" spans="1:17" ht="15" x14ac:dyDescent="0.25">
      <c r="A10164" s="3">
        <f>10157</f>
        <v>10157</v>
      </c>
      <c r="B10164" s="3" t="s">
        <v>10166</v>
      </c>
      <c r="C10164" s="3" t="s">
        <v>10</v>
      </c>
      <c r="D10164" s="3" t="s">
        <v>9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/>
      <c r="P10164" s="3"/>
      <c r="Q10164" s="3"/>
    </row>
    <row r="10165" spans="1:17" ht="15" x14ac:dyDescent="0.25">
      <c r="A10165" s="3">
        <f>10158</f>
        <v>10158</v>
      </c>
      <c r="B10165" s="3" t="s">
        <v>10167</v>
      </c>
      <c r="C10165" s="3" t="s">
        <v>10</v>
      </c>
      <c r="D10165" s="3" t="s">
        <v>9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/>
      <c r="P10165" s="3"/>
      <c r="Q10165" s="3"/>
    </row>
    <row r="10166" spans="1:17" ht="15" x14ac:dyDescent="0.25">
      <c r="A10166" s="3">
        <f>10159</f>
        <v>10159</v>
      </c>
      <c r="B10166" s="3" t="s">
        <v>10168</v>
      </c>
      <c r="C10166" s="3" t="s">
        <v>10</v>
      </c>
      <c r="D10166" s="3" t="s">
        <v>9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/>
      <c r="P10166" s="3"/>
      <c r="Q10166" s="3"/>
    </row>
    <row r="10167" spans="1:17" ht="15" x14ac:dyDescent="0.25">
      <c r="A10167" s="3">
        <f>10160</f>
        <v>10160</v>
      </c>
      <c r="B10167" s="3" t="s">
        <v>10169</v>
      </c>
      <c r="C10167" s="3" t="s">
        <v>10</v>
      </c>
      <c r="D10167" s="3" t="s">
        <v>9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/>
      <c r="P10167" s="3"/>
      <c r="Q10167" s="3"/>
    </row>
    <row r="10168" spans="1:17" ht="15" x14ac:dyDescent="0.25">
      <c r="A10168" s="3">
        <f>10161</f>
        <v>10161</v>
      </c>
      <c r="B10168" s="3" t="s">
        <v>10170</v>
      </c>
      <c r="C10168" s="3" t="s">
        <v>10</v>
      </c>
      <c r="D10168" s="3" t="s">
        <v>9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/>
      <c r="P10168" s="3"/>
      <c r="Q10168" s="3"/>
    </row>
    <row r="10169" spans="1:17" ht="15" x14ac:dyDescent="0.25">
      <c r="A10169" s="3">
        <f>10162</f>
        <v>10162</v>
      </c>
      <c r="B10169" s="3" t="s">
        <v>10171</v>
      </c>
      <c r="C10169" s="3" t="s">
        <v>10</v>
      </c>
      <c r="D10169" s="3" t="s">
        <v>9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/>
      <c r="P10169" s="3"/>
      <c r="Q10169" s="3"/>
    </row>
    <row r="10170" spans="1:17" ht="15" x14ac:dyDescent="0.25">
      <c r="A10170" s="3">
        <f>10163</f>
        <v>10163</v>
      </c>
      <c r="B10170" s="3" t="s">
        <v>10172</v>
      </c>
      <c r="C10170" s="3" t="s">
        <v>10</v>
      </c>
      <c r="D10170" s="3" t="s">
        <v>9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/>
      <c r="P10170" s="3"/>
      <c r="Q10170" s="3"/>
    </row>
    <row r="10171" spans="1:17" ht="15" x14ac:dyDescent="0.25">
      <c r="A10171" s="3">
        <f>10164</f>
        <v>10164</v>
      </c>
      <c r="B10171" s="3" t="s">
        <v>10173</v>
      </c>
      <c r="C10171" s="3" t="s">
        <v>10</v>
      </c>
      <c r="D10171" s="3" t="s">
        <v>9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/>
      <c r="P10171" s="3"/>
      <c r="Q10171" s="3"/>
    </row>
    <row r="10172" spans="1:17" ht="15" x14ac:dyDescent="0.25">
      <c r="A10172" s="3">
        <f>10165</f>
        <v>10165</v>
      </c>
      <c r="B10172" s="3" t="s">
        <v>10174</v>
      </c>
      <c r="C10172" s="3" t="s">
        <v>10</v>
      </c>
      <c r="D10172" s="3" t="s">
        <v>9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/>
      <c r="P10172" s="3"/>
      <c r="Q10172" s="3"/>
    </row>
    <row r="10173" spans="1:17" ht="15" x14ac:dyDescent="0.25">
      <c r="A10173" s="3">
        <f>10166</f>
        <v>10166</v>
      </c>
      <c r="B10173" s="3" t="s">
        <v>10175</v>
      </c>
      <c r="C10173" s="3" t="s">
        <v>10</v>
      </c>
      <c r="D10173" s="3" t="s">
        <v>9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/>
      <c r="P10173" s="3"/>
      <c r="Q10173" s="3"/>
    </row>
    <row r="10174" spans="1:17" ht="15" x14ac:dyDescent="0.25">
      <c r="A10174" s="3">
        <f>10167</f>
        <v>10167</v>
      </c>
      <c r="B10174" s="3" t="s">
        <v>10176</v>
      </c>
      <c r="C10174" s="3" t="s">
        <v>10</v>
      </c>
      <c r="D10174" s="3" t="s">
        <v>9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/>
      <c r="P10174" s="3"/>
      <c r="Q10174" s="3"/>
    </row>
    <row r="10175" spans="1:17" ht="15" x14ac:dyDescent="0.25">
      <c r="A10175" s="3">
        <f>10168</f>
        <v>10168</v>
      </c>
      <c r="B10175" s="3" t="s">
        <v>10177</v>
      </c>
      <c r="C10175" s="3" t="s">
        <v>10</v>
      </c>
      <c r="D10175" s="3" t="s">
        <v>9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/>
      <c r="P10175" s="3"/>
      <c r="Q10175" s="3"/>
    </row>
    <row r="10176" spans="1:17" ht="15" x14ac:dyDescent="0.25">
      <c r="A10176" s="3">
        <f>10169</f>
        <v>10169</v>
      </c>
      <c r="B10176" s="3" t="s">
        <v>10178</v>
      </c>
      <c r="C10176" s="3" t="s">
        <v>10</v>
      </c>
      <c r="D10176" s="3" t="s">
        <v>9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/>
      <c r="P10176" s="3"/>
      <c r="Q10176" s="3"/>
    </row>
    <row r="10177" spans="1:17" ht="15" x14ac:dyDescent="0.25">
      <c r="A10177" s="3">
        <f>10170</f>
        <v>10170</v>
      </c>
      <c r="B10177" s="3" t="s">
        <v>10179</v>
      </c>
      <c r="C10177" s="3" t="s">
        <v>10</v>
      </c>
      <c r="D10177" s="3" t="s">
        <v>9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/>
      <c r="P10177" s="3"/>
      <c r="Q10177" s="3"/>
    </row>
    <row r="10178" spans="1:17" ht="15" x14ac:dyDescent="0.25">
      <c r="A10178" s="3">
        <f>10171</f>
        <v>10171</v>
      </c>
      <c r="B10178" s="3" t="s">
        <v>10180</v>
      </c>
      <c r="C10178" s="3" t="s">
        <v>10</v>
      </c>
      <c r="D10178" s="3" t="s">
        <v>9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/>
      <c r="P10178" s="3"/>
      <c r="Q10178" s="3"/>
    </row>
    <row r="10179" spans="1:17" ht="15" x14ac:dyDescent="0.25">
      <c r="A10179" s="3">
        <f>10172</f>
        <v>10172</v>
      </c>
      <c r="B10179" s="3" t="s">
        <v>10181</v>
      </c>
      <c r="C10179" s="3" t="s">
        <v>10</v>
      </c>
      <c r="D10179" s="3" t="s">
        <v>9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/>
      <c r="P10179" s="3"/>
      <c r="Q10179" s="3"/>
    </row>
    <row r="10180" spans="1:17" ht="15" x14ac:dyDescent="0.25">
      <c r="A10180" s="3">
        <f>10173</f>
        <v>10173</v>
      </c>
      <c r="B10180" s="3" t="s">
        <v>10182</v>
      </c>
      <c r="C10180" s="3" t="s">
        <v>10</v>
      </c>
      <c r="D10180" s="3" t="s">
        <v>9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/>
      <c r="P10180" s="3"/>
      <c r="Q10180" s="3"/>
    </row>
    <row r="10181" spans="1:17" ht="15" x14ac:dyDescent="0.25">
      <c r="A10181" s="3">
        <f>10174</f>
        <v>10174</v>
      </c>
      <c r="B10181" s="3" t="s">
        <v>10183</v>
      </c>
      <c r="C10181" s="3" t="s">
        <v>10</v>
      </c>
      <c r="D10181" s="3" t="s">
        <v>9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/>
      <c r="P10181" s="3"/>
      <c r="Q10181" s="3"/>
    </row>
    <row r="10182" spans="1:17" ht="15" x14ac:dyDescent="0.25">
      <c r="A10182" s="3">
        <f>10175</f>
        <v>10175</v>
      </c>
      <c r="B10182" s="3" t="s">
        <v>10184</v>
      </c>
      <c r="C10182" s="3" t="s">
        <v>10</v>
      </c>
      <c r="D10182" s="3" t="s">
        <v>9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/>
      <c r="P10182" s="3"/>
      <c r="Q10182" s="3"/>
    </row>
    <row r="10183" spans="1:17" ht="15" x14ac:dyDescent="0.25">
      <c r="A10183" s="3">
        <f>10176</f>
        <v>10176</v>
      </c>
      <c r="B10183" s="3" t="s">
        <v>10185</v>
      </c>
      <c r="C10183" s="3" t="s">
        <v>10</v>
      </c>
      <c r="D10183" s="3" t="s">
        <v>9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/>
      <c r="P10183" s="3"/>
      <c r="Q10183" s="3"/>
    </row>
    <row r="10184" spans="1:17" ht="15" x14ac:dyDescent="0.25">
      <c r="A10184" s="3">
        <f>10177</f>
        <v>10177</v>
      </c>
      <c r="B10184" s="3" t="s">
        <v>10186</v>
      </c>
      <c r="C10184" s="3" t="s">
        <v>10</v>
      </c>
      <c r="D10184" s="3" t="s">
        <v>9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/>
      <c r="P10184" s="3"/>
      <c r="Q10184" s="3"/>
    </row>
    <row r="10185" spans="1:17" ht="15" x14ac:dyDescent="0.25">
      <c r="A10185" s="3">
        <f>10178</f>
        <v>10178</v>
      </c>
      <c r="B10185" s="3" t="s">
        <v>10187</v>
      </c>
      <c r="C10185" s="3" t="s">
        <v>10</v>
      </c>
      <c r="D10185" s="3" t="s">
        <v>9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/>
      <c r="P10185" s="3"/>
      <c r="Q10185" s="3"/>
    </row>
    <row r="10186" spans="1:17" ht="15" x14ac:dyDescent="0.25">
      <c r="A10186" s="3">
        <f>10179</f>
        <v>10179</v>
      </c>
      <c r="B10186" s="3" t="s">
        <v>10188</v>
      </c>
      <c r="C10186" s="3" t="s">
        <v>10</v>
      </c>
      <c r="D10186" s="3" t="s">
        <v>9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/>
      <c r="P10186" s="3"/>
      <c r="Q10186" s="3"/>
    </row>
    <row r="10187" spans="1:17" ht="15" x14ac:dyDescent="0.25">
      <c r="A10187" s="3">
        <f>10180</f>
        <v>10180</v>
      </c>
      <c r="B10187" s="3" t="s">
        <v>10189</v>
      </c>
      <c r="C10187" s="3" t="s">
        <v>10</v>
      </c>
      <c r="D10187" s="3" t="s">
        <v>9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/>
      <c r="P10187" s="3"/>
      <c r="Q10187" s="3"/>
    </row>
    <row r="10188" spans="1:17" ht="15" x14ac:dyDescent="0.25">
      <c r="A10188" s="3">
        <f>10181</f>
        <v>10181</v>
      </c>
      <c r="B10188" s="3" t="s">
        <v>10190</v>
      </c>
      <c r="C10188" s="3" t="s">
        <v>10</v>
      </c>
      <c r="D10188" s="3" t="s">
        <v>9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/>
      <c r="P10188" s="3"/>
      <c r="Q10188" s="3"/>
    </row>
    <row r="10189" spans="1:17" ht="15" x14ac:dyDescent="0.25">
      <c r="A10189" s="3">
        <f>10182</f>
        <v>10182</v>
      </c>
      <c r="B10189" s="3" t="s">
        <v>10191</v>
      </c>
      <c r="C10189" s="3" t="s">
        <v>10</v>
      </c>
      <c r="D10189" s="3" t="s">
        <v>9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/>
      <c r="P10189" s="3"/>
      <c r="Q10189" s="3"/>
    </row>
    <row r="10190" spans="1:17" ht="15" x14ac:dyDescent="0.25">
      <c r="A10190" s="3">
        <f>10183</f>
        <v>10183</v>
      </c>
      <c r="B10190" s="3" t="s">
        <v>10192</v>
      </c>
      <c r="C10190" s="3" t="s">
        <v>10</v>
      </c>
      <c r="D10190" s="3" t="s">
        <v>9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/>
      <c r="P10190" s="3"/>
      <c r="Q10190" s="3"/>
    </row>
    <row r="10191" spans="1:17" ht="15" x14ac:dyDescent="0.25">
      <c r="A10191" s="3">
        <f>10184</f>
        <v>10184</v>
      </c>
      <c r="B10191" s="3" t="s">
        <v>10193</v>
      </c>
      <c r="C10191" s="3" t="s">
        <v>10</v>
      </c>
      <c r="D10191" s="3" t="s">
        <v>9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/>
      <c r="P10191" s="3"/>
      <c r="Q10191" s="3"/>
    </row>
    <row r="10192" spans="1:17" ht="15" x14ac:dyDescent="0.25">
      <c r="A10192" s="3">
        <f>10185</f>
        <v>10185</v>
      </c>
      <c r="B10192" s="3" t="s">
        <v>10194</v>
      </c>
      <c r="C10192" s="3" t="s">
        <v>10</v>
      </c>
      <c r="D10192" s="3" t="s">
        <v>9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/>
      <c r="P10192" s="3"/>
      <c r="Q10192" s="3"/>
    </row>
    <row r="10193" spans="1:17" ht="15" x14ac:dyDescent="0.25">
      <c r="A10193" s="3">
        <f>10186</f>
        <v>10186</v>
      </c>
      <c r="B10193" s="3" t="s">
        <v>10195</v>
      </c>
      <c r="C10193" s="3" t="s">
        <v>10</v>
      </c>
      <c r="D10193" s="3" t="s">
        <v>9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/>
      <c r="P10193" s="3"/>
      <c r="Q10193" s="3"/>
    </row>
    <row r="10194" spans="1:17" ht="15" x14ac:dyDescent="0.25">
      <c r="A10194" s="3">
        <f>10187</f>
        <v>10187</v>
      </c>
      <c r="B10194" s="3" t="s">
        <v>10196</v>
      </c>
      <c r="C10194" s="3" t="s">
        <v>10</v>
      </c>
      <c r="D10194" s="3" t="s">
        <v>9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/>
      <c r="P10194" s="3"/>
      <c r="Q10194" s="3"/>
    </row>
    <row r="10195" spans="1:17" ht="15" x14ac:dyDescent="0.25">
      <c r="A10195" s="3">
        <f>10188</f>
        <v>10188</v>
      </c>
      <c r="B10195" s="3" t="s">
        <v>10197</v>
      </c>
      <c r="C10195" s="3" t="s">
        <v>10</v>
      </c>
      <c r="D10195" s="3" t="s">
        <v>9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/>
      <c r="P10195" s="3"/>
      <c r="Q10195" s="3"/>
    </row>
    <row r="10196" spans="1:17" ht="15" x14ac:dyDescent="0.25">
      <c r="A10196" s="3">
        <f>10189</f>
        <v>10189</v>
      </c>
      <c r="B10196" s="3" t="s">
        <v>10198</v>
      </c>
      <c r="C10196" s="3" t="s">
        <v>10</v>
      </c>
      <c r="D10196" s="3" t="s">
        <v>9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/>
      <c r="P10196" s="3"/>
      <c r="Q10196" s="3"/>
    </row>
    <row r="10197" spans="1:17" ht="15" x14ac:dyDescent="0.25">
      <c r="A10197" s="3">
        <f>10190</f>
        <v>10190</v>
      </c>
      <c r="B10197" s="3" t="s">
        <v>10199</v>
      </c>
      <c r="C10197" s="3" t="s">
        <v>10</v>
      </c>
      <c r="D10197" s="3" t="s">
        <v>9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/>
      <c r="P10197" s="3"/>
      <c r="Q10197" s="3"/>
    </row>
    <row r="10198" spans="1:17" ht="15" x14ac:dyDescent="0.25">
      <c r="A10198" s="3">
        <f>10191</f>
        <v>10191</v>
      </c>
      <c r="B10198" s="3" t="s">
        <v>10200</v>
      </c>
      <c r="C10198" s="3" t="s">
        <v>10</v>
      </c>
      <c r="D10198" s="3" t="s">
        <v>9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/>
      <c r="P10198" s="3"/>
      <c r="Q10198" s="3"/>
    </row>
    <row r="10199" spans="1:17" ht="15" x14ac:dyDescent="0.25">
      <c r="A10199" s="3">
        <f>10192</f>
        <v>10192</v>
      </c>
      <c r="B10199" s="3" t="s">
        <v>10201</v>
      </c>
      <c r="C10199" s="3" t="s">
        <v>10</v>
      </c>
      <c r="D10199" s="3" t="s">
        <v>9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/>
      <c r="P10199" s="3"/>
      <c r="Q10199" s="3"/>
    </row>
    <row r="10200" spans="1:17" ht="15" x14ac:dyDescent="0.25">
      <c r="A10200" s="3">
        <f>10193</f>
        <v>10193</v>
      </c>
      <c r="B10200" s="3" t="s">
        <v>10202</v>
      </c>
      <c r="C10200" s="3" t="s">
        <v>10</v>
      </c>
      <c r="D10200" s="3" t="s">
        <v>9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/>
      <c r="P10200" s="3"/>
      <c r="Q10200" s="3"/>
    </row>
    <row r="10201" spans="1:17" ht="15" x14ac:dyDescent="0.25">
      <c r="A10201" s="3">
        <f>10194</f>
        <v>10194</v>
      </c>
      <c r="B10201" s="3" t="s">
        <v>10203</v>
      </c>
      <c r="C10201" s="3" t="s">
        <v>10</v>
      </c>
      <c r="D10201" s="3" t="s">
        <v>9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/>
      <c r="P10201" s="3"/>
      <c r="Q10201" s="3"/>
    </row>
    <row r="10202" spans="1:17" ht="15" x14ac:dyDescent="0.25">
      <c r="A10202" s="3">
        <f>10195</f>
        <v>10195</v>
      </c>
      <c r="B10202" s="3" t="s">
        <v>10204</v>
      </c>
      <c r="C10202" s="3" t="s">
        <v>10</v>
      </c>
      <c r="D10202" s="3" t="s">
        <v>9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/>
      <c r="P10202" s="3"/>
      <c r="Q10202" s="3"/>
    </row>
    <row r="10203" spans="1:17" ht="15" x14ac:dyDescent="0.25">
      <c r="A10203" s="3">
        <f>10196</f>
        <v>10196</v>
      </c>
      <c r="B10203" s="3" t="s">
        <v>10205</v>
      </c>
      <c r="C10203" s="3" t="s">
        <v>10</v>
      </c>
      <c r="D10203" s="3" t="s">
        <v>9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/>
      <c r="P10203" s="3"/>
      <c r="Q10203" s="3"/>
    </row>
    <row r="10204" spans="1:17" ht="15" x14ac:dyDescent="0.25">
      <c r="A10204" s="3">
        <f>10197</f>
        <v>10197</v>
      </c>
      <c r="B10204" s="3" t="s">
        <v>10206</v>
      </c>
      <c r="C10204" s="3" t="s">
        <v>10</v>
      </c>
      <c r="D10204" s="3" t="s">
        <v>9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/>
      <c r="P10204" s="3"/>
      <c r="Q10204" s="3"/>
    </row>
    <row r="10205" spans="1:17" ht="15" x14ac:dyDescent="0.25">
      <c r="A10205" s="3">
        <f>10198</f>
        <v>10198</v>
      </c>
      <c r="B10205" s="3" t="s">
        <v>10207</v>
      </c>
      <c r="C10205" s="3" t="s">
        <v>10</v>
      </c>
      <c r="D10205" s="3" t="s">
        <v>9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/>
      <c r="P10205" s="3"/>
      <c r="Q10205" s="3"/>
    </row>
    <row r="10206" spans="1:17" ht="15" x14ac:dyDescent="0.25">
      <c r="A10206" s="3">
        <f>10199</f>
        <v>10199</v>
      </c>
      <c r="B10206" s="3" t="s">
        <v>10208</v>
      </c>
      <c r="C10206" s="3" t="s">
        <v>10</v>
      </c>
      <c r="D10206" s="3" t="s">
        <v>9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/>
      <c r="P10206" s="3"/>
      <c r="Q10206" s="3"/>
    </row>
    <row r="10207" spans="1:17" ht="15" x14ac:dyDescent="0.25">
      <c r="A10207" s="3">
        <f>10200</f>
        <v>10200</v>
      </c>
      <c r="B10207" s="3" t="s">
        <v>10209</v>
      </c>
      <c r="C10207" s="3" t="s">
        <v>10</v>
      </c>
      <c r="D10207" s="3" t="s">
        <v>9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/>
      <c r="P10207" s="3"/>
      <c r="Q10207" s="3"/>
    </row>
    <row r="10208" spans="1:17" ht="15" x14ac:dyDescent="0.25">
      <c r="A10208" s="3">
        <f>10201</f>
        <v>10201</v>
      </c>
      <c r="B10208" s="3" t="s">
        <v>10210</v>
      </c>
      <c r="C10208" s="3" t="s">
        <v>10</v>
      </c>
      <c r="D10208" s="3" t="s">
        <v>9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/>
      <c r="P10208" s="3"/>
      <c r="Q10208" s="3"/>
    </row>
    <row r="10209" spans="1:17" ht="15" x14ac:dyDescent="0.25">
      <c r="A10209" s="3">
        <f>10202</f>
        <v>10202</v>
      </c>
      <c r="B10209" s="3" t="s">
        <v>10211</v>
      </c>
      <c r="C10209" s="3" t="s">
        <v>10</v>
      </c>
      <c r="D10209" s="3" t="s">
        <v>9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/>
      <c r="P10209" s="3"/>
      <c r="Q10209" s="3"/>
    </row>
    <row r="10210" spans="1:17" ht="15" x14ac:dyDescent="0.25">
      <c r="A10210" s="3">
        <f>10203</f>
        <v>10203</v>
      </c>
      <c r="B10210" s="3" t="s">
        <v>10212</v>
      </c>
      <c r="C10210" s="3" t="s">
        <v>10</v>
      </c>
      <c r="D10210" s="3" t="s">
        <v>9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/>
      <c r="P10210" s="3"/>
      <c r="Q10210" s="3"/>
    </row>
    <row r="10211" spans="1:17" ht="15" x14ac:dyDescent="0.25">
      <c r="A10211" s="3">
        <f>10204</f>
        <v>10204</v>
      </c>
      <c r="B10211" s="3" t="s">
        <v>10213</v>
      </c>
      <c r="C10211" s="3" t="s">
        <v>10</v>
      </c>
      <c r="D10211" s="3" t="s">
        <v>9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/>
      <c r="P10211" s="3"/>
      <c r="Q10211" s="3"/>
    </row>
    <row r="10212" spans="1:17" ht="15" x14ac:dyDescent="0.25">
      <c r="A10212" s="3">
        <f>10205</f>
        <v>10205</v>
      </c>
      <c r="B10212" s="3" t="s">
        <v>10214</v>
      </c>
      <c r="C10212" s="3" t="s">
        <v>10</v>
      </c>
      <c r="D10212" s="3" t="s">
        <v>9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/>
      <c r="P10212" s="3"/>
      <c r="Q10212" s="3"/>
    </row>
    <row r="10213" spans="1:17" ht="15" x14ac:dyDescent="0.25">
      <c r="A10213" s="3">
        <f>10206</f>
        <v>10206</v>
      </c>
      <c r="B10213" s="3" t="s">
        <v>10215</v>
      </c>
      <c r="C10213" s="3" t="s">
        <v>10</v>
      </c>
      <c r="D10213" s="3" t="s">
        <v>9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/>
      <c r="P10213" s="3"/>
      <c r="Q10213" s="3"/>
    </row>
    <row r="10214" spans="1:17" ht="15" x14ac:dyDescent="0.25">
      <c r="A10214" s="3">
        <f>10207</f>
        <v>10207</v>
      </c>
      <c r="B10214" s="3" t="s">
        <v>10216</v>
      </c>
      <c r="C10214" s="3" t="s">
        <v>10</v>
      </c>
      <c r="D10214" s="3" t="s">
        <v>9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/>
      <c r="P10214" s="3"/>
      <c r="Q10214" s="3"/>
    </row>
    <row r="10215" spans="1:17" ht="15" x14ac:dyDescent="0.25">
      <c r="A10215" s="3">
        <f>10208</f>
        <v>10208</v>
      </c>
      <c r="B10215" s="3" t="s">
        <v>10217</v>
      </c>
      <c r="C10215" s="3" t="s">
        <v>10</v>
      </c>
      <c r="D10215" s="3" t="s">
        <v>9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/>
      <c r="P10215" s="3"/>
      <c r="Q10215" s="3"/>
    </row>
    <row r="10216" spans="1:17" ht="15" x14ac:dyDescent="0.25">
      <c r="A10216" s="3">
        <f>10209</f>
        <v>10209</v>
      </c>
      <c r="B10216" s="3" t="s">
        <v>10218</v>
      </c>
      <c r="C10216" s="3" t="s">
        <v>10</v>
      </c>
      <c r="D10216" s="3" t="s">
        <v>9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/>
      <c r="P10216" s="3"/>
      <c r="Q10216" s="3"/>
    </row>
    <row r="10217" spans="1:17" ht="15" x14ac:dyDescent="0.25">
      <c r="A10217" s="3">
        <f>10210</f>
        <v>10210</v>
      </c>
      <c r="B10217" s="3" t="s">
        <v>10219</v>
      </c>
      <c r="C10217" s="3" t="s">
        <v>10</v>
      </c>
      <c r="D10217" s="3" t="s">
        <v>9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/>
      <c r="P10217" s="3"/>
      <c r="Q10217" s="3"/>
    </row>
    <row r="10218" spans="1:17" ht="15" x14ac:dyDescent="0.25">
      <c r="A10218" s="3">
        <f>10211</f>
        <v>10211</v>
      </c>
      <c r="B10218" s="3" t="s">
        <v>10220</v>
      </c>
      <c r="C10218" s="3" t="s">
        <v>10</v>
      </c>
      <c r="D10218" s="3" t="s">
        <v>9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/>
      <c r="P10218" s="3"/>
      <c r="Q10218" s="3"/>
    </row>
    <row r="10219" spans="1:17" ht="15" x14ac:dyDescent="0.25">
      <c r="A10219" s="3">
        <f>10212</f>
        <v>10212</v>
      </c>
      <c r="B10219" s="3" t="s">
        <v>10221</v>
      </c>
      <c r="C10219" s="3" t="s">
        <v>10</v>
      </c>
      <c r="D10219" s="3" t="s">
        <v>9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/>
      <c r="P10219" s="3"/>
      <c r="Q10219" s="3"/>
    </row>
    <row r="10220" spans="1:17" ht="15" x14ac:dyDescent="0.25">
      <c r="A10220" s="3">
        <f>10213</f>
        <v>10213</v>
      </c>
      <c r="B10220" s="3" t="s">
        <v>10222</v>
      </c>
      <c r="C10220" s="3" t="s">
        <v>10</v>
      </c>
      <c r="D10220" s="3" t="s">
        <v>9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/>
      <c r="P10220" s="3"/>
      <c r="Q10220" s="3"/>
    </row>
    <row r="10221" spans="1:17" ht="15" x14ac:dyDescent="0.25">
      <c r="A10221" s="3">
        <f>10214</f>
        <v>10214</v>
      </c>
      <c r="B10221" s="3" t="s">
        <v>10223</v>
      </c>
      <c r="C10221" s="3" t="s">
        <v>10</v>
      </c>
      <c r="D10221" s="3" t="s">
        <v>9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/>
      <c r="P10221" s="3"/>
      <c r="Q10221" s="3"/>
    </row>
    <row r="10222" spans="1:17" ht="15" x14ac:dyDescent="0.25">
      <c r="A10222" s="3">
        <f>10215</f>
        <v>10215</v>
      </c>
      <c r="B10222" s="3" t="s">
        <v>10224</v>
      </c>
      <c r="C10222" s="3" t="s">
        <v>9</v>
      </c>
      <c r="D10222" s="3" t="s">
        <v>9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/>
      <c r="P10222" s="3"/>
      <c r="Q10222" s="3"/>
    </row>
    <row r="10223" spans="1:17" ht="15" x14ac:dyDescent="0.25">
      <c r="A10223" s="3">
        <f>10216</f>
        <v>10216</v>
      </c>
      <c r="B10223" s="3" t="s">
        <v>10225</v>
      </c>
      <c r="C10223" s="3" t="s">
        <v>9</v>
      </c>
      <c r="D10223" s="3" t="s">
        <v>9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/>
      <c r="P10223" s="3"/>
      <c r="Q10223" s="3"/>
    </row>
    <row r="10224" spans="1:17" ht="15" x14ac:dyDescent="0.25">
      <c r="A10224" s="3">
        <f>10217</f>
        <v>10217</v>
      </c>
      <c r="B10224" s="3" t="s">
        <v>10226</v>
      </c>
      <c r="C10224" s="3" t="s">
        <v>9</v>
      </c>
      <c r="D10224" s="3" t="s">
        <v>10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/>
      <c r="P10224" s="3"/>
      <c r="Q10224" s="3"/>
    </row>
    <row r="10225" spans="1:17" ht="15" x14ac:dyDescent="0.25">
      <c r="A10225" s="3">
        <f>10218</f>
        <v>10218</v>
      </c>
      <c r="B10225" s="3" t="s">
        <v>10227</v>
      </c>
      <c r="C10225" s="3" t="s">
        <v>10</v>
      </c>
      <c r="D10225" s="3" t="s">
        <v>9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/>
      <c r="P10225" s="3"/>
      <c r="Q10225" s="3"/>
    </row>
    <row r="10226" spans="1:17" ht="15" x14ac:dyDescent="0.25">
      <c r="A10226" s="3">
        <f>10219</f>
        <v>10219</v>
      </c>
      <c r="B10226" s="3" t="s">
        <v>10228</v>
      </c>
      <c r="C10226" s="3" t="s">
        <v>10</v>
      </c>
      <c r="D10226" s="3" t="s">
        <v>9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/>
      <c r="P10226" s="3"/>
      <c r="Q10226" s="3"/>
    </row>
    <row r="10227" spans="1:17" ht="15" x14ac:dyDescent="0.25">
      <c r="A10227" s="3">
        <f>10220</f>
        <v>10220</v>
      </c>
      <c r="B10227" s="3" t="s">
        <v>10229</v>
      </c>
      <c r="C10227" s="3" t="s">
        <v>10</v>
      </c>
      <c r="D10227" s="3" t="s">
        <v>9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/>
      <c r="P10227" s="3"/>
      <c r="Q10227" s="3"/>
    </row>
    <row r="10228" spans="1:17" ht="15" x14ac:dyDescent="0.25">
      <c r="A10228" s="3">
        <f>10221</f>
        <v>10221</v>
      </c>
      <c r="B10228" s="3" t="s">
        <v>10230</v>
      </c>
      <c r="C10228" s="3" t="s">
        <v>10</v>
      </c>
      <c r="D10228" s="3" t="s">
        <v>9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/>
      <c r="P10228" s="3"/>
      <c r="Q10228" s="3"/>
    </row>
    <row r="10229" spans="1:17" ht="15" x14ac:dyDescent="0.25">
      <c r="A10229" s="3">
        <f>10222</f>
        <v>10222</v>
      </c>
      <c r="B10229" s="3" t="s">
        <v>10231</v>
      </c>
      <c r="C10229" s="3" t="s">
        <v>10</v>
      </c>
      <c r="D10229" s="3" t="s">
        <v>9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/>
      <c r="P10229" s="3"/>
      <c r="Q10229" s="3"/>
    </row>
    <row r="10230" spans="1:17" ht="15" x14ac:dyDescent="0.25">
      <c r="A10230" s="3">
        <f>10223</f>
        <v>10223</v>
      </c>
      <c r="B10230" s="3" t="s">
        <v>10232</v>
      </c>
      <c r="C10230" s="3" t="s">
        <v>10</v>
      </c>
      <c r="D10230" s="3" t="s">
        <v>9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/>
      <c r="P10230" s="3"/>
      <c r="Q10230" s="3"/>
    </row>
    <row r="10231" spans="1:17" ht="15" x14ac:dyDescent="0.25">
      <c r="A10231" s="3">
        <f>10224</f>
        <v>10224</v>
      </c>
      <c r="B10231" s="3" t="s">
        <v>10233</v>
      </c>
      <c r="C10231" s="3" t="s">
        <v>10</v>
      </c>
      <c r="D10231" s="3" t="s">
        <v>9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/>
      <c r="P10231" s="3"/>
      <c r="Q10231" s="3"/>
    </row>
    <row r="10232" spans="1:17" ht="15" x14ac:dyDescent="0.25">
      <c r="A10232" s="3">
        <f>10225</f>
        <v>10225</v>
      </c>
      <c r="B10232" s="3" t="s">
        <v>10234</v>
      </c>
      <c r="C10232" s="3" t="s">
        <v>10</v>
      </c>
      <c r="D10232" s="3" t="s">
        <v>9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/>
      <c r="P10232" s="3"/>
      <c r="Q10232" s="3"/>
    </row>
    <row r="10233" spans="1:17" ht="15" x14ac:dyDescent="0.25">
      <c r="A10233" s="3">
        <f>10226</f>
        <v>10226</v>
      </c>
      <c r="B10233" s="3" t="s">
        <v>10235</v>
      </c>
      <c r="C10233" s="3" t="s">
        <v>10</v>
      </c>
      <c r="D10233" s="3" t="s">
        <v>9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/>
      <c r="P10233" s="3"/>
      <c r="Q10233" s="3"/>
    </row>
    <row r="10234" spans="1:17" ht="15" x14ac:dyDescent="0.25">
      <c r="A10234" s="3">
        <f>10227</f>
        <v>10227</v>
      </c>
      <c r="B10234" s="3" t="s">
        <v>10236</v>
      </c>
      <c r="C10234" s="3" t="s">
        <v>10</v>
      </c>
      <c r="D10234" s="3" t="s">
        <v>9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/>
      <c r="P10234" s="3"/>
      <c r="Q10234" s="3"/>
    </row>
    <row r="10235" spans="1:17" ht="15" x14ac:dyDescent="0.25">
      <c r="A10235" s="3">
        <f>10228</f>
        <v>10228</v>
      </c>
      <c r="B10235" s="3" t="s">
        <v>10237</v>
      </c>
      <c r="C10235" s="3" t="s">
        <v>10</v>
      </c>
      <c r="D10235" s="3" t="s">
        <v>9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/>
      <c r="P10235" s="3"/>
      <c r="Q10235" s="3"/>
    </row>
    <row r="10236" spans="1:17" ht="15" x14ac:dyDescent="0.25">
      <c r="A10236" s="3">
        <f>10229</f>
        <v>10229</v>
      </c>
      <c r="B10236" s="3" t="s">
        <v>10238</v>
      </c>
      <c r="C10236" s="3" t="s">
        <v>10</v>
      </c>
      <c r="D10236" s="3" t="s">
        <v>9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/>
      <c r="P10236" s="3"/>
      <c r="Q10236" s="3"/>
    </row>
    <row r="10237" spans="1:17" ht="15" x14ac:dyDescent="0.25">
      <c r="A10237" s="3">
        <f>10230</f>
        <v>10230</v>
      </c>
      <c r="B10237" s="3" t="s">
        <v>10239</v>
      </c>
      <c r="C10237" s="3" t="s">
        <v>10</v>
      </c>
      <c r="D10237" s="3" t="s">
        <v>9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/>
      <c r="P10237" s="3"/>
      <c r="Q10237" s="3"/>
    </row>
    <row r="10238" spans="1:17" ht="15" x14ac:dyDescent="0.25">
      <c r="A10238" s="3">
        <f>10231</f>
        <v>10231</v>
      </c>
      <c r="B10238" s="3" t="s">
        <v>10240</v>
      </c>
      <c r="C10238" s="3" t="s">
        <v>10</v>
      </c>
      <c r="D10238" s="3" t="s">
        <v>9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/>
      <c r="P10238" s="3"/>
      <c r="Q10238" s="3"/>
    </row>
    <row r="10239" spans="1:17" ht="15" x14ac:dyDescent="0.25">
      <c r="A10239" s="3">
        <f>10232</f>
        <v>10232</v>
      </c>
      <c r="B10239" s="3" t="s">
        <v>10241</v>
      </c>
      <c r="C10239" s="3" t="s">
        <v>10</v>
      </c>
      <c r="D10239" s="3" t="s">
        <v>9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/>
      <c r="P10239" s="3"/>
      <c r="Q10239" s="3"/>
    </row>
    <row r="10240" spans="1:17" ht="15" x14ac:dyDescent="0.25">
      <c r="A10240" s="3">
        <f>10233</f>
        <v>10233</v>
      </c>
      <c r="B10240" s="3" t="s">
        <v>10242</v>
      </c>
      <c r="C10240" s="3" t="s">
        <v>10</v>
      </c>
      <c r="D10240" s="3" t="s">
        <v>9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/>
      <c r="P10240" s="3"/>
      <c r="Q10240" s="3"/>
    </row>
    <row r="10241" spans="1:17" ht="15" x14ac:dyDescent="0.25">
      <c r="A10241" s="3">
        <f>10234</f>
        <v>10234</v>
      </c>
      <c r="B10241" s="3" t="s">
        <v>10243</v>
      </c>
      <c r="C10241" s="3" t="s">
        <v>10</v>
      </c>
      <c r="D10241" s="3" t="s">
        <v>9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/>
      <c r="P10241" s="3"/>
      <c r="Q10241" s="3"/>
    </row>
    <row r="10242" spans="1:17" ht="15" x14ac:dyDescent="0.25">
      <c r="A10242" s="3">
        <f>10235</f>
        <v>10235</v>
      </c>
      <c r="B10242" s="3" t="s">
        <v>10244</v>
      </c>
      <c r="C10242" s="3" t="s">
        <v>10</v>
      </c>
      <c r="D10242" s="3" t="s">
        <v>9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/>
      <c r="P10242" s="3"/>
      <c r="Q10242" s="3"/>
    </row>
    <row r="10243" spans="1:17" ht="15" x14ac:dyDescent="0.25">
      <c r="A10243" s="3">
        <f>10236</f>
        <v>10236</v>
      </c>
      <c r="B10243" s="3" t="s">
        <v>10245</v>
      </c>
      <c r="C10243" s="3" t="s">
        <v>10</v>
      </c>
      <c r="D10243" s="3" t="s">
        <v>9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/>
      <c r="P10243" s="3"/>
      <c r="Q10243" s="3"/>
    </row>
    <row r="10244" spans="1:17" ht="15" x14ac:dyDescent="0.25">
      <c r="A10244" s="3">
        <f>10237</f>
        <v>10237</v>
      </c>
      <c r="B10244" s="3" t="s">
        <v>10246</v>
      </c>
      <c r="C10244" s="3" t="s">
        <v>10</v>
      </c>
      <c r="D10244" s="3" t="s">
        <v>9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/>
      <c r="P10244" s="3"/>
      <c r="Q10244" s="3"/>
    </row>
    <row r="10245" spans="1:17" ht="15" x14ac:dyDescent="0.25">
      <c r="A10245" s="3">
        <f>10238</f>
        <v>10238</v>
      </c>
      <c r="B10245" s="3" t="s">
        <v>10247</v>
      </c>
      <c r="C10245" s="3" t="s">
        <v>10</v>
      </c>
      <c r="D10245" s="3" t="s">
        <v>9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/>
      <c r="P10245" s="3"/>
      <c r="Q10245" s="3"/>
    </row>
    <row r="10246" spans="1:17" ht="15" x14ac:dyDescent="0.25">
      <c r="A10246" s="3">
        <f>10239</f>
        <v>10239</v>
      </c>
      <c r="B10246" s="3" t="s">
        <v>10248</v>
      </c>
      <c r="C10246" s="3" t="s">
        <v>10</v>
      </c>
      <c r="D10246" s="3" t="s">
        <v>9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/>
      <c r="P10246" s="3"/>
      <c r="Q10246" s="3"/>
    </row>
    <row r="10247" spans="1:17" ht="15" x14ac:dyDescent="0.25">
      <c r="A10247" s="3">
        <f>10240</f>
        <v>10240</v>
      </c>
      <c r="B10247" s="3" t="s">
        <v>10249</v>
      </c>
      <c r="C10247" s="3" t="s">
        <v>10</v>
      </c>
      <c r="D10247" s="3" t="s">
        <v>9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/>
      <c r="P10247" s="3"/>
      <c r="Q10247" s="3"/>
    </row>
    <row r="10248" spans="1:17" ht="15" x14ac:dyDescent="0.25">
      <c r="A10248" s="3">
        <f>10241</f>
        <v>10241</v>
      </c>
      <c r="B10248" s="3" t="s">
        <v>10250</v>
      </c>
      <c r="C10248" s="3" t="s">
        <v>10</v>
      </c>
      <c r="D10248" s="3" t="s">
        <v>9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/>
      <c r="P10248" s="3"/>
      <c r="Q10248" s="3"/>
    </row>
    <row r="10249" spans="1:17" ht="15" x14ac:dyDescent="0.25">
      <c r="A10249" s="3">
        <f>10242</f>
        <v>10242</v>
      </c>
      <c r="B10249" s="3" t="s">
        <v>10251</v>
      </c>
      <c r="C10249" s="3" t="s">
        <v>10</v>
      </c>
      <c r="D10249" s="3" t="s">
        <v>9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/>
      <c r="P10249" s="3"/>
      <c r="Q10249" s="3"/>
    </row>
    <row r="10250" spans="1:17" ht="15" x14ac:dyDescent="0.25">
      <c r="A10250" s="3">
        <f>10243</f>
        <v>10243</v>
      </c>
      <c r="B10250" s="3" t="s">
        <v>10252</v>
      </c>
      <c r="C10250" s="3" t="s">
        <v>10</v>
      </c>
      <c r="D10250" s="3" t="s">
        <v>9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/>
      <c r="P10250" s="3"/>
      <c r="Q10250" s="3"/>
    </row>
    <row r="10251" spans="1:17" ht="15" x14ac:dyDescent="0.25">
      <c r="A10251" s="3">
        <f>10244</f>
        <v>10244</v>
      </c>
      <c r="B10251" s="3" t="s">
        <v>10253</v>
      </c>
      <c r="C10251" s="3" t="s">
        <v>10</v>
      </c>
      <c r="D10251" s="3" t="s">
        <v>9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/>
      <c r="P10251" s="3"/>
      <c r="Q10251" s="3"/>
    </row>
    <row r="10252" spans="1:17" ht="15" x14ac:dyDescent="0.25">
      <c r="A10252" s="3">
        <f>10245</f>
        <v>10245</v>
      </c>
      <c r="B10252" s="3" t="s">
        <v>10254</v>
      </c>
      <c r="C10252" s="3" t="s">
        <v>10</v>
      </c>
      <c r="D10252" s="3" t="s">
        <v>9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/>
      <c r="P10252" s="3"/>
      <c r="Q10252" s="3"/>
    </row>
    <row r="10253" spans="1:17" ht="15" x14ac:dyDescent="0.25">
      <c r="A10253" s="3">
        <f>10246</f>
        <v>10246</v>
      </c>
      <c r="B10253" s="3" t="s">
        <v>10255</v>
      </c>
      <c r="C10253" s="3" t="s">
        <v>10</v>
      </c>
      <c r="D10253" s="3" t="s">
        <v>9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/>
      <c r="P10253" s="3"/>
      <c r="Q10253" s="3"/>
    </row>
    <row r="10254" spans="1:17" ht="15" x14ac:dyDescent="0.25">
      <c r="A10254" s="3">
        <f>10247</f>
        <v>10247</v>
      </c>
      <c r="B10254" s="3" t="s">
        <v>10256</v>
      </c>
      <c r="C10254" s="3" t="s">
        <v>10</v>
      </c>
      <c r="D10254" s="3" t="s">
        <v>9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/>
      <c r="P10254" s="3"/>
      <c r="Q10254" s="3"/>
    </row>
    <row r="10255" spans="1:17" ht="15" x14ac:dyDescent="0.25">
      <c r="A10255" s="3">
        <f>10248</f>
        <v>10248</v>
      </c>
      <c r="B10255" s="3" t="s">
        <v>10257</v>
      </c>
      <c r="C10255" s="3" t="s">
        <v>10</v>
      </c>
      <c r="D10255" s="3" t="s">
        <v>9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/>
      <c r="P10255" s="3"/>
      <c r="Q10255" s="3"/>
    </row>
    <row r="10256" spans="1:17" ht="15" x14ac:dyDescent="0.25">
      <c r="A10256" s="3">
        <f>10249</f>
        <v>10249</v>
      </c>
      <c r="B10256" s="3" t="s">
        <v>10258</v>
      </c>
      <c r="C10256" s="3" t="s">
        <v>10</v>
      </c>
      <c r="D10256" s="3" t="s">
        <v>9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/>
      <c r="P10256" s="3"/>
      <c r="Q10256" s="3"/>
    </row>
    <row r="10257" spans="1:17" ht="15" x14ac:dyDescent="0.25">
      <c r="A10257" s="3">
        <f>10250</f>
        <v>10250</v>
      </c>
      <c r="B10257" s="3" t="s">
        <v>10259</v>
      </c>
      <c r="C10257" s="3" t="s">
        <v>10</v>
      </c>
      <c r="D10257" s="3" t="s">
        <v>9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/>
      <c r="P10257" s="3"/>
      <c r="Q10257" s="3"/>
    </row>
    <row r="10258" spans="1:17" ht="15" x14ac:dyDescent="0.25">
      <c r="A10258" s="3">
        <f>10251</f>
        <v>10251</v>
      </c>
      <c r="B10258" s="3" t="s">
        <v>10260</v>
      </c>
      <c r="C10258" s="3" t="s">
        <v>10</v>
      </c>
      <c r="D10258" s="3" t="s">
        <v>9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/>
      <c r="P10258" s="3"/>
      <c r="Q10258" s="3"/>
    </row>
    <row r="10259" spans="1:17" ht="15" x14ac:dyDescent="0.25">
      <c r="A10259" s="3">
        <f>10252</f>
        <v>10252</v>
      </c>
      <c r="B10259" s="3" t="s">
        <v>10261</v>
      </c>
      <c r="C10259" s="3" t="s">
        <v>10</v>
      </c>
      <c r="D10259" s="3" t="s">
        <v>9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/>
      <c r="P10259" s="3"/>
      <c r="Q10259" s="3"/>
    </row>
    <row r="10260" spans="1:17" ht="15" x14ac:dyDescent="0.25">
      <c r="A10260" s="3">
        <f>10253</f>
        <v>10253</v>
      </c>
      <c r="B10260" s="3" t="s">
        <v>10262</v>
      </c>
      <c r="C10260" s="3" t="s">
        <v>10</v>
      </c>
      <c r="D10260" s="3" t="s">
        <v>9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/>
      <c r="P10260" s="3"/>
      <c r="Q10260" s="3"/>
    </row>
    <row r="10261" spans="1:17" ht="15" x14ac:dyDescent="0.25">
      <c r="A10261" s="3">
        <f>10254</f>
        <v>10254</v>
      </c>
      <c r="B10261" s="3" t="s">
        <v>10263</v>
      </c>
      <c r="C10261" s="3" t="s">
        <v>10</v>
      </c>
      <c r="D10261" s="3" t="s">
        <v>9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/>
      <c r="P10261" s="3"/>
      <c r="Q10261" s="3"/>
    </row>
    <row r="10262" spans="1:17" ht="15" x14ac:dyDescent="0.25">
      <c r="A10262" s="3">
        <f>10255</f>
        <v>10255</v>
      </c>
      <c r="B10262" s="3" t="s">
        <v>10264</v>
      </c>
      <c r="C10262" s="3" t="s">
        <v>10</v>
      </c>
      <c r="D10262" s="3" t="s">
        <v>9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/>
      <c r="P10262" s="3"/>
      <c r="Q10262" s="3"/>
    </row>
    <row r="10263" spans="1:17" ht="15" x14ac:dyDescent="0.25">
      <c r="A10263" s="3">
        <f>10256</f>
        <v>10256</v>
      </c>
      <c r="B10263" s="3" t="s">
        <v>10265</v>
      </c>
      <c r="C10263" s="3" t="s">
        <v>10</v>
      </c>
      <c r="D10263" s="3" t="s">
        <v>9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/>
      <c r="P10263" s="3"/>
      <c r="Q10263" s="3"/>
    </row>
    <row r="10264" spans="1:17" ht="15" x14ac:dyDescent="0.25">
      <c r="A10264" s="3">
        <f>10257</f>
        <v>10257</v>
      </c>
      <c r="B10264" s="3" t="s">
        <v>10266</v>
      </c>
      <c r="C10264" s="3" t="s">
        <v>10</v>
      </c>
      <c r="D10264" s="3" t="s">
        <v>9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/>
      <c r="P10264" s="3"/>
      <c r="Q10264" s="3"/>
    </row>
    <row r="10265" spans="1:17" ht="15" x14ac:dyDescent="0.25">
      <c r="A10265" s="3">
        <f>10258</f>
        <v>10258</v>
      </c>
      <c r="B10265" s="3" t="s">
        <v>10267</v>
      </c>
      <c r="C10265" s="3" t="s">
        <v>10</v>
      </c>
      <c r="D10265" s="3" t="s">
        <v>9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/>
      <c r="P10265" s="3"/>
      <c r="Q10265" s="3"/>
    </row>
    <row r="10266" spans="1:17" ht="15" x14ac:dyDescent="0.25">
      <c r="A10266" s="3">
        <f>10259</f>
        <v>10259</v>
      </c>
      <c r="B10266" s="3" t="s">
        <v>10268</v>
      </c>
      <c r="C10266" s="3" t="s">
        <v>10</v>
      </c>
      <c r="D10266" s="3" t="s">
        <v>9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/>
      <c r="P10266" s="3"/>
      <c r="Q10266" s="3"/>
    </row>
    <row r="10267" spans="1:17" ht="15" x14ac:dyDescent="0.25">
      <c r="A10267" s="3">
        <f>10260</f>
        <v>10260</v>
      </c>
      <c r="B10267" s="3" t="s">
        <v>10269</v>
      </c>
      <c r="C10267" s="3" t="s">
        <v>10</v>
      </c>
      <c r="D10267" s="3" t="s">
        <v>9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/>
      <c r="P10267" s="3"/>
      <c r="Q10267" s="3"/>
    </row>
    <row r="10268" spans="1:17" ht="15" x14ac:dyDescent="0.25">
      <c r="A10268" s="3">
        <f>10261</f>
        <v>10261</v>
      </c>
      <c r="B10268" s="3" t="s">
        <v>10270</v>
      </c>
      <c r="C10268" s="3" t="s">
        <v>10</v>
      </c>
      <c r="D10268" s="3" t="s">
        <v>9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/>
      <c r="P10268" s="3"/>
      <c r="Q10268" s="3"/>
    </row>
    <row r="10269" spans="1:17" ht="15" x14ac:dyDescent="0.25">
      <c r="A10269" s="3">
        <f>10262</f>
        <v>10262</v>
      </c>
      <c r="B10269" s="3" t="s">
        <v>10271</v>
      </c>
      <c r="C10269" s="3" t="s">
        <v>10</v>
      </c>
      <c r="D10269" s="3" t="s">
        <v>9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/>
      <c r="P10269" s="3"/>
      <c r="Q10269" s="3"/>
    </row>
    <row r="10270" spans="1:17" ht="15" x14ac:dyDescent="0.25">
      <c r="A10270" s="3">
        <f>10263</f>
        <v>10263</v>
      </c>
      <c r="B10270" s="3" t="s">
        <v>10272</v>
      </c>
      <c r="C10270" s="3" t="s">
        <v>10</v>
      </c>
      <c r="D10270" s="3" t="s">
        <v>9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/>
      <c r="P10270" s="3"/>
      <c r="Q10270" s="3"/>
    </row>
    <row r="10271" spans="1:17" ht="15" x14ac:dyDescent="0.25">
      <c r="A10271" s="3">
        <f>10264</f>
        <v>10264</v>
      </c>
      <c r="B10271" s="3" t="s">
        <v>10273</v>
      </c>
      <c r="C10271" s="3" t="s">
        <v>10</v>
      </c>
      <c r="D10271" s="3" t="s">
        <v>9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/>
      <c r="P10271" s="3"/>
      <c r="Q10271" s="3"/>
    </row>
    <row r="10272" spans="1:17" ht="15" x14ac:dyDescent="0.25">
      <c r="A10272" s="3">
        <f>10265</f>
        <v>10265</v>
      </c>
      <c r="B10272" s="3" t="s">
        <v>10274</v>
      </c>
      <c r="C10272" s="3" t="s">
        <v>10</v>
      </c>
      <c r="D10272" s="3" t="s">
        <v>9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/>
      <c r="P10272" s="3"/>
      <c r="Q10272" s="3"/>
    </row>
    <row r="10273" spans="1:17" ht="15" x14ac:dyDescent="0.25">
      <c r="A10273" s="3">
        <f>10266</f>
        <v>10266</v>
      </c>
      <c r="B10273" s="3" t="s">
        <v>10275</v>
      </c>
      <c r="C10273" s="3" t="s">
        <v>10</v>
      </c>
      <c r="D10273" s="3" t="s">
        <v>9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/>
      <c r="P10273" s="3"/>
      <c r="Q10273" s="3"/>
    </row>
    <row r="10274" spans="1:17" ht="15" x14ac:dyDescent="0.25">
      <c r="A10274" s="3">
        <f>10267</f>
        <v>10267</v>
      </c>
      <c r="B10274" s="3" t="s">
        <v>10276</v>
      </c>
      <c r="C10274" s="3" t="s">
        <v>10</v>
      </c>
      <c r="D10274" s="3" t="s">
        <v>9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/>
      <c r="P10274" s="3"/>
      <c r="Q10274" s="3"/>
    </row>
    <row r="10275" spans="1:17" ht="15" x14ac:dyDescent="0.25">
      <c r="A10275" s="3">
        <f>10268</f>
        <v>10268</v>
      </c>
      <c r="B10275" s="3" t="s">
        <v>10277</v>
      </c>
      <c r="C10275" s="3" t="s">
        <v>10</v>
      </c>
      <c r="D10275" s="3" t="s">
        <v>9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/>
      <c r="P10275" s="3"/>
      <c r="Q10275" s="3"/>
    </row>
    <row r="10276" spans="1:17" ht="15" x14ac:dyDescent="0.25">
      <c r="A10276" s="3">
        <f>10269</f>
        <v>10269</v>
      </c>
      <c r="B10276" s="3" t="s">
        <v>10278</v>
      </c>
      <c r="C10276" s="3" t="s">
        <v>10</v>
      </c>
      <c r="D10276" s="3" t="s">
        <v>9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/>
      <c r="P10276" s="3"/>
      <c r="Q10276" s="3"/>
    </row>
    <row r="10277" spans="1:17" ht="15" x14ac:dyDescent="0.25">
      <c r="A10277" s="3">
        <f>10270</f>
        <v>10270</v>
      </c>
      <c r="B10277" s="3" t="s">
        <v>10279</v>
      </c>
      <c r="C10277" s="3" t="s">
        <v>10</v>
      </c>
      <c r="D10277" s="3" t="s">
        <v>9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/>
      <c r="P10277" s="3"/>
      <c r="Q10277" s="3"/>
    </row>
    <row r="10278" spans="1:17" ht="15" x14ac:dyDescent="0.25">
      <c r="A10278" s="3">
        <f>10271</f>
        <v>10271</v>
      </c>
      <c r="B10278" s="3" t="s">
        <v>10280</v>
      </c>
      <c r="C10278" s="3" t="s">
        <v>10</v>
      </c>
      <c r="D10278" s="3" t="s">
        <v>9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/>
      <c r="P10278" s="3"/>
      <c r="Q10278" s="3"/>
    </row>
    <row r="10279" spans="1:17" ht="15" x14ac:dyDescent="0.25">
      <c r="A10279" s="3">
        <f>10272</f>
        <v>10272</v>
      </c>
      <c r="B10279" s="3" t="s">
        <v>10281</v>
      </c>
      <c r="C10279" s="3" t="s">
        <v>10</v>
      </c>
      <c r="D10279" s="3" t="s">
        <v>9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/>
      <c r="P10279" s="3"/>
      <c r="Q10279" s="3"/>
    </row>
    <row r="10280" spans="1:17" ht="15" x14ac:dyDescent="0.25">
      <c r="A10280" s="3">
        <f>10273</f>
        <v>10273</v>
      </c>
      <c r="B10280" s="3" t="s">
        <v>10282</v>
      </c>
      <c r="C10280" s="3" t="s">
        <v>10</v>
      </c>
      <c r="D10280" s="3" t="s">
        <v>9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/>
      <c r="P10280" s="3"/>
      <c r="Q10280" s="3"/>
    </row>
    <row r="10281" spans="1:17" ht="15" x14ac:dyDescent="0.25">
      <c r="A10281" s="3">
        <f>10274</f>
        <v>10274</v>
      </c>
      <c r="B10281" s="3" t="s">
        <v>10283</v>
      </c>
      <c r="C10281" s="3" t="s">
        <v>10</v>
      </c>
      <c r="D10281" s="3" t="s">
        <v>9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/>
      <c r="P10281" s="3"/>
      <c r="Q10281" s="3"/>
    </row>
    <row r="10282" spans="1:17" ht="15" x14ac:dyDescent="0.25">
      <c r="A10282" s="3">
        <f>10275</f>
        <v>10275</v>
      </c>
      <c r="B10282" s="3" t="s">
        <v>10284</v>
      </c>
      <c r="C10282" s="3" t="s">
        <v>10</v>
      </c>
      <c r="D10282" s="3" t="s">
        <v>9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/>
      <c r="P10282" s="3"/>
      <c r="Q10282" s="3"/>
    </row>
    <row r="10283" spans="1:17" ht="15" x14ac:dyDescent="0.25">
      <c r="A10283" s="3">
        <f>10276</f>
        <v>10276</v>
      </c>
      <c r="B10283" s="3" t="s">
        <v>10285</v>
      </c>
      <c r="C10283" s="3" t="s">
        <v>10</v>
      </c>
      <c r="D10283" s="3" t="s">
        <v>9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/>
      <c r="P10283" s="3"/>
      <c r="Q10283" s="3"/>
    </row>
    <row r="10284" spans="1:17" ht="15" x14ac:dyDescent="0.25">
      <c r="A10284" s="3">
        <f>10277</f>
        <v>10277</v>
      </c>
      <c r="B10284" s="3" t="s">
        <v>10286</v>
      </c>
      <c r="C10284" s="3" t="s">
        <v>10</v>
      </c>
      <c r="D10284" s="3" t="s">
        <v>9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/>
      <c r="P10284" s="3"/>
      <c r="Q10284" s="3"/>
    </row>
    <row r="10285" spans="1:17" ht="15" x14ac:dyDescent="0.25">
      <c r="A10285" s="3">
        <f>10278</f>
        <v>10278</v>
      </c>
      <c r="B10285" s="3" t="s">
        <v>10287</v>
      </c>
      <c r="C10285" s="3" t="s">
        <v>10</v>
      </c>
      <c r="D10285" s="3" t="s">
        <v>9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/>
      <c r="P10285" s="3"/>
      <c r="Q10285" s="3"/>
    </row>
    <row r="10286" spans="1:17" ht="15" x14ac:dyDescent="0.25">
      <c r="A10286" s="3">
        <f>10279</f>
        <v>10279</v>
      </c>
      <c r="B10286" s="3" t="s">
        <v>10288</v>
      </c>
      <c r="C10286" s="3" t="s">
        <v>10</v>
      </c>
      <c r="D10286" s="3" t="s">
        <v>9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/>
      <c r="P10286" s="3"/>
      <c r="Q10286" s="3"/>
    </row>
    <row r="10287" spans="1:17" ht="15" x14ac:dyDescent="0.25">
      <c r="A10287" s="3">
        <f>10280</f>
        <v>10280</v>
      </c>
      <c r="B10287" s="3" t="s">
        <v>10289</v>
      </c>
      <c r="C10287" s="3" t="s">
        <v>10</v>
      </c>
      <c r="D10287" s="3" t="s">
        <v>9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/>
      <c r="P10287" s="3"/>
      <c r="Q10287" s="3"/>
    </row>
    <row r="10288" spans="1:17" ht="15" x14ac:dyDescent="0.25">
      <c r="A10288" s="3">
        <f>10281</f>
        <v>10281</v>
      </c>
      <c r="B10288" s="3" t="s">
        <v>10290</v>
      </c>
      <c r="C10288" s="3" t="s">
        <v>10</v>
      </c>
      <c r="D10288" s="3" t="s">
        <v>9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/>
      <c r="P10288" s="3"/>
      <c r="Q10288" s="3"/>
    </row>
    <row r="10289" spans="1:17" ht="15" x14ac:dyDescent="0.25">
      <c r="A10289" s="3">
        <f>10282</f>
        <v>10282</v>
      </c>
      <c r="B10289" s="3" t="s">
        <v>10291</v>
      </c>
      <c r="C10289" s="3" t="s">
        <v>10</v>
      </c>
      <c r="D10289" s="3" t="s">
        <v>9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/>
      <c r="P10289" s="3"/>
      <c r="Q10289" s="3"/>
    </row>
    <row r="10290" spans="1:17" ht="15" x14ac:dyDescent="0.25">
      <c r="A10290" s="3">
        <f>10283</f>
        <v>10283</v>
      </c>
      <c r="B10290" s="3" t="s">
        <v>10292</v>
      </c>
      <c r="C10290" s="3" t="s">
        <v>10</v>
      </c>
      <c r="D10290" s="3" t="s">
        <v>9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/>
      <c r="P10290" s="3"/>
      <c r="Q10290" s="3"/>
    </row>
    <row r="10291" spans="1:17" ht="15" x14ac:dyDescent="0.25">
      <c r="A10291" s="3">
        <f>10284</f>
        <v>10284</v>
      </c>
      <c r="B10291" s="3" t="s">
        <v>10293</v>
      </c>
      <c r="C10291" s="3" t="s">
        <v>10</v>
      </c>
      <c r="D10291" s="3" t="s">
        <v>9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/>
      <c r="P10291" s="3"/>
      <c r="Q10291" s="3"/>
    </row>
    <row r="10292" spans="1:17" ht="15" x14ac:dyDescent="0.25">
      <c r="A10292" s="3">
        <f>10285</f>
        <v>10285</v>
      </c>
      <c r="B10292" s="3" t="s">
        <v>10294</v>
      </c>
      <c r="C10292" s="3" t="s">
        <v>10</v>
      </c>
      <c r="D10292" s="3" t="s">
        <v>9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/>
      <c r="P10292" s="3"/>
      <c r="Q10292" s="3"/>
    </row>
    <row r="10293" spans="1:17" ht="15" x14ac:dyDescent="0.25">
      <c r="A10293" s="3">
        <f>10286</f>
        <v>10286</v>
      </c>
      <c r="B10293" s="3" t="s">
        <v>10295</v>
      </c>
      <c r="C10293" s="3" t="s">
        <v>10</v>
      </c>
      <c r="D10293" s="3" t="s">
        <v>9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/>
      <c r="P10293" s="3"/>
      <c r="Q10293" s="3"/>
    </row>
    <row r="10294" spans="1:17" ht="15" x14ac:dyDescent="0.25">
      <c r="A10294" s="3">
        <f>10287</f>
        <v>10287</v>
      </c>
      <c r="B10294" s="3" t="s">
        <v>10296</v>
      </c>
      <c r="C10294" s="3" t="s">
        <v>10</v>
      </c>
      <c r="D10294" s="3" t="s">
        <v>9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/>
      <c r="P10294" s="3"/>
      <c r="Q10294" s="3"/>
    </row>
    <row r="10295" spans="1:17" ht="15" x14ac:dyDescent="0.25">
      <c r="A10295" s="3">
        <f>10288</f>
        <v>10288</v>
      </c>
      <c r="B10295" s="3" t="s">
        <v>10297</v>
      </c>
      <c r="C10295" s="3" t="s">
        <v>10</v>
      </c>
      <c r="D10295" s="3" t="s">
        <v>9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/>
      <c r="P10295" s="3"/>
      <c r="Q10295" s="3"/>
    </row>
    <row r="10296" spans="1:17" ht="15" x14ac:dyDescent="0.25">
      <c r="A10296" s="3">
        <f>10289</f>
        <v>10289</v>
      </c>
      <c r="B10296" s="3" t="s">
        <v>10298</v>
      </c>
      <c r="C10296" s="3" t="s">
        <v>10</v>
      </c>
      <c r="D10296" s="3" t="s">
        <v>9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/>
      <c r="P10296" s="3"/>
      <c r="Q10296" s="3"/>
    </row>
    <row r="10297" spans="1:17" ht="15" x14ac:dyDescent="0.25">
      <c r="A10297" s="3">
        <f>10290</f>
        <v>10290</v>
      </c>
      <c r="B10297" s="3" t="s">
        <v>10299</v>
      </c>
      <c r="C10297" s="3" t="s">
        <v>10</v>
      </c>
      <c r="D10297" s="3" t="s">
        <v>9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/>
      <c r="P10297" s="3"/>
      <c r="Q10297" s="3"/>
    </row>
    <row r="10298" spans="1:17" ht="15" x14ac:dyDescent="0.25">
      <c r="A10298" s="3">
        <f>10291</f>
        <v>10291</v>
      </c>
      <c r="B10298" s="3" t="s">
        <v>10300</v>
      </c>
      <c r="C10298" s="3" t="s">
        <v>10</v>
      </c>
      <c r="D10298" s="3" t="s">
        <v>9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/>
      <c r="P10298" s="3"/>
      <c r="Q10298" s="3"/>
    </row>
    <row r="10299" spans="1:17" ht="15" x14ac:dyDescent="0.25">
      <c r="A10299" s="3">
        <f>10292</f>
        <v>10292</v>
      </c>
      <c r="B10299" s="3" t="s">
        <v>10301</v>
      </c>
      <c r="C10299" s="3" t="s">
        <v>10</v>
      </c>
      <c r="D10299" s="3" t="s">
        <v>9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/>
      <c r="P10299" s="3"/>
      <c r="Q10299" s="3"/>
    </row>
    <row r="10300" spans="1:17" ht="15" x14ac:dyDescent="0.25">
      <c r="A10300" s="3">
        <f>10293</f>
        <v>10293</v>
      </c>
      <c r="B10300" s="3" t="s">
        <v>10302</v>
      </c>
      <c r="C10300" s="3" t="s">
        <v>10</v>
      </c>
      <c r="D10300" s="3" t="s">
        <v>9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/>
      <c r="P10300" s="3"/>
      <c r="Q10300" s="3"/>
    </row>
    <row r="10301" spans="1:17" ht="15" x14ac:dyDescent="0.25">
      <c r="A10301" s="3">
        <f>10294</f>
        <v>10294</v>
      </c>
      <c r="B10301" s="3" t="s">
        <v>10303</v>
      </c>
      <c r="C10301" s="3" t="s">
        <v>10</v>
      </c>
      <c r="D10301" s="3" t="s">
        <v>9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/>
      <c r="P10301" s="3"/>
      <c r="Q10301" s="3"/>
    </row>
    <row r="10302" spans="1:17" ht="15" x14ac:dyDescent="0.25">
      <c r="A10302" s="3">
        <f>10295</f>
        <v>10295</v>
      </c>
      <c r="B10302" s="3" t="s">
        <v>10304</v>
      </c>
      <c r="C10302" s="3" t="s">
        <v>10</v>
      </c>
      <c r="D10302" s="3" t="s">
        <v>9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/>
      <c r="P10302" s="3"/>
      <c r="Q10302" s="3"/>
    </row>
    <row r="10303" spans="1:17" ht="15" x14ac:dyDescent="0.25">
      <c r="A10303" s="3">
        <f>10296</f>
        <v>10296</v>
      </c>
      <c r="B10303" s="3" t="s">
        <v>10305</v>
      </c>
      <c r="C10303" s="3" t="s">
        <v>10</v>
      </c>
      <c r="D10303" s="3" t="s">
        <v>9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/>
      <c r="P10303" s="3"/>
      <c r="Q10303" s="3"/>
    </row>
    <row r="10304" spans="1:17" ht="15" x14ac:dyDescent="0.25">
      <c r="A10304" s="3">
        <f>10297</f>
        <v>10297</v>
      </c>
      <c r="B10304" s="3" t="s">
        <v>10306</v>
      </c>
      <c r="C10304" s="3" t="s">
        <v>10</v>
      </c>
      <c r="D10304" s="3" t="s">
        <v>9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/>
      <c r="P10304" s="3"/>
      <c r="Q10304" s="3"/>
    </row>
    <row r="10305" spans="1:17" ht="15" x14ac:dyDescent="0.25">
      <c r="A10305" s="3">
        <f>10298</f>
        <v>10298</v>
      </c>
      <c r="B10305" s="3" t="s">
        <v>10307</v>
      </c>
      <c r="C10305" s="3" t="s">
        <v>10</v>
      </c>
      <c r="D10305" s="3" t="s">
        <v>9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/>
      <c r="P10305" s="3"/>
      <c r="Q10305" s="3"/>
    </row>
    <row r="10306" spans="1:17" ht="15" x14ac:dyDescent="0.25">
      <c r="A10306" s="3">
        <f>10299</f>
        <v>10299</v>
      </c>
      <c r="B10306" s="3" t="s">
        <v>10308</v>
      </c>
      <c r="C10306" s="3" t="s">
        <v>10</v>
      </c>
      <c r="D10306" s="3" t="s">
        <v>9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/>
      <c r="P10306" s="3"/>
      <c r="Q10306" s="3"/>
    </row>
    <row r="10307" spans="1:17" ht="15" x14ac:dyDescent="0.25">
      <c r="A10307" s="3">
        <f>10300</f>
        <v>10300</v>
      </c>
      <c r="B10307" s="3" t="s">
        <v>10309</v>
      </c>
      <c r="C10307" s="3" t="s">
        <v>10</v>
      </c>
      <c r="D10307" s="3" t="s">
        <v>9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/>
      <c r="P10307" s="3"/>
      <c r="Q10307" s="3"/>
    </row>
    <row r="10308" spans="1:17" ht="15" x14ac:dyDescent="0.25">
      <c r="A10308" s="3">
        <f>10301</f>
        <v>10301</v>
      </c>
      <c r="B10308" s="3" t="s">
        <v>10310</v>
      </c>
      <c r="C10308" s="3" t="s">
        <v>10</v>
      </c>
      <c r="D10308" s="3" t="s">
        <v>9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/>
      <c r="P10308" s="3"/>
      <c r="Q10308" s="3"/>
    </row>
    <row r="10309" spans="1:17" ht="15" x14ac:dyDescent="0.25">
      <c r="A10309" s="3">
        <f>10302</f>
        <v>10302</v>
      </c>
      <c r="B10309" s="3" t="s">
        <v>10311</v>
      </c>
      <c r="C10309" s="3" t="s">
        <v>10</v>
      </c>
      <c r="D10309" s="3" t="s">
        <v>9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/>
      <c r="P10309" s="3"/>
      <c r="Q10309" s="3"/>
    </row>
    <row r="10310" spans="1:17" ht="15" x14ac:dyDescent="0.25">
      <c r="A10310" s="3">
        <f>10303</f>
        <v>10303</v>
      </c>
      <c r="B10310" s="3" t="s">
        <v>10312</v>
      </c>
      <c r="C10310" s="3" t="s">
        <v>10</v>
      </c>
      <c r="D10310" s="3" t="s">
        <v>9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/>
      <c r="P10310" s="3"/>
      <c r="Q10310" s="3"/>
    </row>
    <row r="10311" spans="1:17" ht="15" x14ac:dyDescent="0.25">
      <c r="A10311" s="3">
        <f>10304</f>
        <v>10304</v>
      </c>
      <c r="B10311" s="3" t="s">
        <v>10313</v>
      </c>
      <c r="C10311" s="3" t="s">
        <v>10</v>
      </c>
      <c r="D10311" s="3" t="s">
        <v>9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/>
      <c r="P10311" s="3"/>
      <c r="Q10311" s="3"/>
    </row>
    <row r="10312" spans="1:17" ht="15" x14ac:dyDescent="0.25">
      <c r="A10312" s="3">
        <f>10305</f>
        <v>10305</v>
      </c>
      <c r="B10312" s="3" t="s">
        <v>10314</v>
      </c>
      <c r="C10312" s="3" t="s">
        <v>10</v>
      </c>
      <c r="D10312" s="3" t="s">
        <v>9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/>
      <c r="P10312" s="3"/>
      <c r="Q10312" s="3"/>
    </row>
    <row r="10313" spans="1:17" ht="15" x14ac:dyDescent="0.25">
      <c r="A10313" s="3">
        <f>10306</f>
        <v>10306</v>
      </c>
      <c r="B10313" s="3" t="s">
        <v>10315</v>
      </c>
      <c r="C10313" s="3" t="s">
        <v>10</v>
      </c>
      <c r="D10313" s="3" t="s">
        <v>9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/>
      <c r="P10313" s="3"/>
      <c r="Q10313" s="3"/>
    </row>
    <row r="10314" spans="1:17" ht="15" x14ac:dyDescent="0.25">
      <c r="A10314" s="3">
        <f>10307</f>
        <v>10307</v>
      </c>
      <c r="B10314" s="3" t="s">
        <v>10316</v>
      </c>
      <c r="C10314" s="3" t="s">
        <v>10</v>
      </c>
      <c r="D10314" s="3" t="s">
        <v>9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/>
      <c r="P10314" s="3"/>
      <c r="Q10314" s="3"/>
    </row>
    <row r="10315" spans="1:17" ht="15" x14ac:dyDescent="0.25">
      <c r="A10315" s="3">
        <f>10308</f>
        <v>10308</v>
      </c>
      <c r="B10315" s="3" t="s">
        <v>10317</v>
      </c>
      <c r="C10315" s="3" t="s">
        <v>10</v>
      </c>
      <c r="D10315" s="3" t="s">
        <v>9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/>
      <c r="P10315" s="3"/>
      <c r="Q10315" s="3"/>
    </row>
    <row r="10316" spans="1:17" ht="15" x14ac:dyDescent="0.25">
      <c r="A10316" s="3">
        <f>10309</f>
        <v>10309</v>
      </c>
      <c r="B10316" s="3" t="s">
        <v>10318</v>
      </c>
      <c r="C10316" s="3" t="s">
        <v>10</v>
      </c>
      <c r="D10316" s="3" t="s">
        <v>9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/>
      <c r="P10316" s="3"/>
      <c r="Q10316" s="3"/>
    </row>
    <row r="10317" spans="1:17" ht="15" x14ac:dyDescent="0.25">
      <c r="A10317" s="3">
        <f>10310</f>
        <v>10310</v>
      </c>
      <c r="B10317" s="3" t="s">
        <v>10319</v>
      </c>
      <c r="C10317" s="3" t="s">
        <v>10</v>
      </c>
      <c r="D10317" s="3" t="s">
        <v>9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/>
      <c r="P10317" s="3"/>
      <c r="Q10317" s="3"/>
    </row>
    <row r="10318" spans="1:17" ht="15" x14ac:dyDescent="0.25">
      <c r="A10318" s="3">
        <f>10311</f>
        <v>10311</v>
      </c>
      <c r="B10318" s="3" t="s">
        <v>10320</v>
      </c>
      <c r="C10318" s="3" t="s">
        <v>10</v>
      </c>
      <c r="D10318" s="3" t="s">
        <v>9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/>
      <c r="P10318" s="3"/>
      <c r="Q10318" s="3"/>
    </row>
    <row r="10319" spans="1:17" ht="15" x14ac:dyDescent="0.25">
      <c r="A10319" s="3">
        <f>10312</f>
        <v>10312</v>
      </c>
      <c r="B10319" s="3" t="s">
        <v>10321</v>
      </c>
      <c r="C10319" s="3" t="s">
        <v>10</v>
      </c>
      <c r="D10319" s="3" t="s">
        <v>9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/>
      <c r="P10319" s="3"/>
      <c r="Q10319" s="3"/>
    </row>
    <row r="10320" spans="1:17" ht="15" x14ac:dyDescent="0.25">
      <c r="A10320" s="3">
        <f>10313</f>
        <v>10313</v>
      </c>
      <c r="B10320" s="3" t="s">
        <v>10322</v>
      </c>
      <c r="C10320" s="3" t="s">
        <v>10</v>
      </c>
      <c r="D10320" s="3" t="s">
        <v>9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/>
      <c r="P10320" s="3"/>
      <c r="Q10320" s="3"/>
    </row>
    <row r="10321" spans="1:17" ht="15" x14ac:dyDescent="0.25">
      <c r="A10321" s="3">
        <f>10314</f>
        <v>10314</v>
      </c>
      <c r="B10321" s="3" t="s">
        <v>10323</v>
      </c>
      <c r="C10321" s="3" t="s">
        <v>10</v>
      </c>
      <c r="D10321" s="3" t="s">
        <v>9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/>
      <c r="P10321" s="3"/>
      <c r="Q10321" s="3"/>
    </row>
    <row r="10322" spans="1:17" ht="15" x14ac:dyDescent="0.25">
      <c r="A10322" s="3">
        <f>10315</f>
        <v>10315</v>
      </c>
      <c r="B10322" s="3" t="s">
        <v>10324</v>
      </c>
      <c r="C10322" s="3" t="s">
        <v>10</v>
      </c>
      <c r="D10322" s="3" t="s">
        <v>9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/>
      <c r="P10322" s="3"/>
      <c r="Q10322" s="3"/>
    </row>
    <row r="10323" spans="1:17" ht="15" x14ac:dyDescent="0.25">
      <c r="A10323" s="3">
        <f>10316</f>
        <v>10316</v>
      </c>
      <c r="B10323" s="3" t="s">
        <v>10325</v>
      </c>
      <c r="C10323" s="3" t="s">
        <v>10</v>
      </c>
      <c r="D10323" s="3" t="s">
        <v>9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/>
      <c r="P10323" s="3"/>
      <c r="Q10323" s="3"/>
    </row>
    <row r="10324" spans="1:17" ht="15" x14ac:dyDescent="0.25">
      <c r="A10324" s="3">
        <f>10317</f>
        <v>10317</v>
      </c>
      <c r="B10324" s="3" t="s">
        <v>10326</v>
      </c>
      <c r="C10324" s="3" t="s">
        <v>10</v>
      </c>
      <c r="D10324" s="3" t="s">
        <v>9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/>
      <c r="P10324" s="3"/>
      <c r="Q10324" s="3"/>
    </row>
    <row r="10325" spans="1:17" ht="15" x14ac:dyDescent="0.25">
      <c r="A10325" s="3">
        <f>10318</f>
        <v>10318</v>
      </c>
      <c r="B10325" s="3" t="s">
        <v>10327</v>
      </c>
      <c r="C10325" s="3" t="s">
        <v>10</v>
      </c>
      <c r="D10325" s="3" t="s">
        <v>9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/>
      <c r="P10325" s="3"/>
      <c r="Q10325" s="3"/>
    </row>
    <row r="10326" spans="1:17" ht="15" x14ac:dyDescent="0.25">
      <c r="A10326" s="3">
        <f>10319</f>
        <v>10319</v>
      </c>
      <c r="B10326" s="3" t="s">
        <v>10328</v>
      </c>
      <c r="C10326" s="3" t="s">
        <v>10</v>
      </c>
      <c r="D10326" s="3" t="s">
        <v>9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/>
      <c r="P10326" s="3"/>
      <c r="Q10326" s="3"/>
    </row>
    <row r="10327" spans="1:17" ht="15" x14ac:dyDescent="0.25">
      <c r="A10327" s="3">
        <f>10320</f>
        <v>10320</v>
      </c>
      <c r="B10327" s="3" t="s">
        <v>10329</v>
      </c>
      <c r="C10327" s="3" t="s">
        <v>10</v>
      </c>
      <c r="D10327" s="3" t="s">
        <v>9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/>
      <c r="P10327" s="3"/>
      <c r="Q10327" s="3"/>
    </row>
    <row r="10328" spans="1:17" ht="15" x14ac:dyDescent="0.25">
      <c r="A10328" s="3">
        <f>10321</f>
        <v>10321</v>
      </c>
      <c r="B10328" s="3" t="s">
        <v>10330</v>
      </c>
      <c r="C10328" s="3" t="s">
        <v>10</v>
      </c>
      <c r="D10328" s="3" t="s">
        <v>9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/>
      <c r="P10328" s="3"/>
      <c r="Q10328" s="3"/>
    </row>
    <row r="10329" spans="1:17" ht="15" x14ac:dyDescent="0.25">
      <c r="A10329" s="3">
        <f>10322</f>
        <v>10322</v>
      </c>
      <c r="B10329" s="3" t="s">
        <v>10331</v>
      </c>
      <c r="C10329" s="3" t="s">
        <v>10</v>
      </c>
      <c r="D10329" s="3" t="s">
        <v>9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/>
      <c r="P10329" s="3"/>
      <c r="Q10329" s="3"/>
    </row>
    <row r="10330" spans="1:17" ht="15" x14ac:dyDescent="0.25">
      <c r="A10330" s="3">
        <f>10323</f>
        <v>10323</v>
      </c>
      <c r="B10330" s="3" t="s">
        <v>10332</v>
      </c>
      <c r="C10330" s="3" t="s">
        <v>10</v>
      </c>
      <c r="D10330" s="3" t="s">
        <v>9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/>
      <c r="P10330" s="3"/>
      <c r="Q10330" s="3"/>
    </row>
    <row r="10331" spans="1:17" ht="15" x14ac:dyDescent="0.25">
      <c r="A10331" s="3">
        <f>10324</f>
        <v>10324</v>
      </c>
      <c r="B10331" s="3" t="s">
        <v>10333</v>
      </c>
      <c r="C10331" s="3" t="s">
        <v>10</v>
      </c>
      <c r="D10331" s="3" t="s">
        <v>9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/>
      <c r="P10331" s="3"/>
      <c r="Q10331" s="3"/>
    </row>
    <row r="10332" spans="1:17" ht="15" x14ac:dyDescent="0.25">
      <c r="A10332" s="3">
        <f>10325</f>
        <v>10325</v>
      </c>
      <c r="B10332" s="3" t="s">
        <v>10334</v>
      </c>
      <c r="C10332" s="3" t="s">
        <v>10</v>
      </c>
      <c r="D10332" s="3" t="s">
        <v>9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/>
      <c r="P10332" s="3"/>
      <c r="Q10332" s="3"/>
    </row>
    <row r="10333" spans="1:17" ht="15" x14ac:dyDescent="0.25">
      <c r="A10333" s="3">
        <f>10326</f>
        <v>10326</v>
      </c>
      <c r="B10333" s="3" t="s">
        <v>10335</v>
      </c>
      <c r="C10333" s="3" t="s">
        <v>10</v>
      </c>
      <c r="D10333" s="3" t="s">
        <v>9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/>
      <c r="P10333" s="3"/>
      <c r="Q10333" s="3"/>
    </row>
    <row r="10334" spans="1:17" ht="15" x14ac:dyDescent="0.25">
      <c r="A10334" s="3">
        <f>10327</f>
        <v>10327</v>
      </c>
      <c r="B10334" s="3" t="s">
        <v>10336</v>
      </c>
      <c r="C10334" s="3" t="s">
        <v>10</v>
      </c>
      <c r="D10334" s="3" t="s">
        <v>9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/>
      <c r="P10334" s="3"/>
      <c r="Q10334" s="3"/>
    </row>
    <row r="10335" spans="1:17" ht="15" x14ac:dyDescent="0.25">
      <c r="A10335" s="3">
        <f>10328</f>
        <v>10328</v>
      </c>
      <c r="B10335" s="3" t="s">
        <v>10337</v>
      </c>
      <c r="C10335" s="3" t="s">
        <v>10</v>
      </c>
      <c r="D10335" s="3" t="s">
        <v>9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/>
      <c r="P10335" s="3"/>
      <c r="Q10335" s="3"/>
    </row>
    <row r="10336" spans="1:17" ht="15" x14ac:dyDescent="0.25">
      <c r="A10336" s="3">
        <f>10329</f>
        <v>10329</v>
      </c>
      <c r="B10336" s="3" t="s">
        <v>10338</v>
      </c>
      <c r="C10336" s="3" t="s">
        <v>10</v>
      </c>
      <c r="D10336" s="3" t="s">
        <v>9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/>
      <c r="P10336" s="3"/>
      <c r="Q10336" s="3"/>
    </row>
    <row r="10337" spans="1:17" ht="15" x14ac:dyDescent="0.25">
      <c r="A10337" s="3">
        <f>10330</f>
        <v>10330</v>
      </c>
      <c r="B10337" s="3" t="s">
        <v>10339</v>
      </c>
      <c r="C10337" s="3" t="s">
        <v>10</v>
      </c>
      <c r="D10337" s="3" t="s">
        <v>9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/>
      <c r="P10337" s="3"/>
      <c r="Q10337" s="3"/>
    </row>
    <row r="10338" spans="1:17" ht="15" x14ac:dyDescent="0.25">
      <c r="A10338" s="3">
        <f>10331</f>
        <v>10331</v>
      </c>
      <c r="B10338" s="3" t="s">
        <v>10340</v>
      </c>
      <c r="C10338" s="3" t="s">
        <v>10</v>
      </c>
      <c r="D10338" s="3" t="s">
        <v>9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/>
      <c r="P10338" s="3"/>
      <c r="Q10338" s="3"/>
    </row>
    <row r="10339" spans="1:17" ht="15" x14ac:dyDescent="0.25">
      <c r="A10339" s="3">
        <f>10332</f>
        <v>10332</v>
      </c>
      <c r="B10339" s="3" t="s">
        <v>10341</v>
      </c>
      <c r="C10339" s="3" t="s">
        <v>10</v>
      </c>
      <c r="D10339" s="3" t="s">
        <v>9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/>
      <c r="P10339" s="3"/>
      <c r="Q10339" s="3"/>
    </row>
    <row r="10340" spans="1:17" ht="15" x14ac:dyDescent="0.25">
      <c r="A10340" s="3">
        <f>10333</f>
        <v>10333</v>
      </c>
      <c r="B10340" s="3" t="s">
        <v>10342</v>
      </c>
      <c r="C10340" s="3" t="s">
        <v>10</v>
      </c>
      <c r="D10340" s="3" t="s">
        <v>9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/>
      <c r="P10340" s="3"/>
      <c r="Q10340" s="3"/>
    </row>
    <row r="10341" spans="1:17" ht="15" x14ac:dyDescent="0.25">
      <c r="A10341" s="3">
        <f>10334</f>
        <v>10334</v>
      </c>
      <c r="B10341" s="3" t="s">
        <v>10343</v>
      </c>
      <c r="C10341" s="3" t="s">
        <v>10</v>
      </c>
      <c r="D10341" s="3" t="s">
        <v>9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/>
      <c r="P10341" s="3"/>
      <c r="Q10341" s="3"/>
    </row>
    <row r="10342" spans="1:17" ht="15" x14ac:dyDescent="0.25">
      <c r="A10342" s="3">
        <f>10335</f>
        <v>10335</v>
      </c>
      <c r="B10342" s="3" t="s">
        <v>10344</v>
      </c>
      <c r="C10342" s="3" t="s">
        <v>10</v>
      </c>
      <c r="D10342" s="3" t="s">
        <v>9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/>
      <c r="P10342" s="3"/>
      <c r="Q10342" s="3"/>
    </row>
    <row r="10343" spans="1:17" ht="15" x14ac:dyDescent="0.25">
      <c r="A10343" s="3">
        <f>10336</f>
        <v>10336</v>
      </c>
      <c r="B10343" s="3" t="s">
        <v>10345</v>
      </c>
      <c r="C10343" s="3" t="s">
        <v>10</v>
      </c>
      <c r="D10343" s="3" t="s">
        <v>9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/>
      <c r="P10343" s="3"/>
      <c r="Q10343" s="3"/>
    </row>
    <row r="10344" spans="1:17" ht="15" x14ac:dyDescent="0.25">
      <c r="A10344" s="3">
        <f>10337</f>
        <v>10337</v>
      </c>
      <c r="B10344" s="3" t="s">
        <v>10346</v>
      </c>
      <c r="C10344" s="3" t="s">
        <v>10</v>
      </c>
      <c r="D10344" s="3" t="s">
        <v>9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/>
      <c r="P10344" s="3"/>
      <c r="Q10344" s="3"/>
    </row>
    <row r="10345" spans="1:17" ht="15" x14ac:dyDescent="0.25">
      <c r="A10345" s="3">
        <f>10338</f>
        <v>10338</v>
      </c>
      <c r="B10345" s="3" t="s">
        <v>10347</v>
      </c>
      <c r="C10345" s="3" t="s">
        <v>10</v>
      </c>
      <c r="D10345" s="3" t="s">
        <v>9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/>
      <c r="P10345" s="3"/>
      <c r="Q10345" s="3"/>
    </row>
    <row r="10346" spans="1:17" ht="15" x14ac:dyDescent="0.25">
      <c r="A10346" s="3">
        <f>10339</f>
        <v>10339</v>
      </c>
      <c r="B10346" s="3" t="s">
        <v>10348</v>
      </c>
      <c r="C10346" s="3" t="s">
        <v>10</v>
      </c>
      <c r="D10346" s="3" t="s">
        <v>9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/>
      <c r="P10346" s="3"/>
      <c r="Q10346" s="3"/>
    </row>
    <row r="10347" spans="1:17" ht="15" x14ac:dyDescent="0.25">
      <c r="A10347" s="3">
        <f>10340</f>
        <v>10340</v>
      </c>
      <c r="B10347" s="3" t="s">
        <v>10349</v>
      </c>
      <c r="C10347" s="3" t="s">
        <v>10</v>
      </c>
      <c r="D10347" s="3" t="s">
        <v>9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/>
      <c r="P10347" s="3"/>
      <c r="Q10347" s="3"/>
    </row>
    <row r="10348" spans="1:17" ht="15" x14ac:dyDescent="0.25">
      <c r="A10348" s="3">
        <f>10341</f>
        <v>10341</v>
      </c>
      <c r="B10348" s="3" t="s">
        <v>10350</v>
      </c>
      <c r="C10348" s="3" t="s">
        <v>10</v>
      </c>
      <c r="D10348" s="3" t="s">
        <v>9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/>
      <c r="P10348" s="3"/>
      <c r="Q10348" s="3"/>
    </row>
    <row r="10349" spans="1:17" ht="15" x14ac:dyDescent="0.25">
      <c r="A10349" s="3">
        <f>10342</f>
        <v>10342</v>
      </c>
      <c r="B10349" s="3" t="s">
        <v>10351</v>
      </c>
      <c r="C10349" s="3" t="s">
        <v>10</v>
      </c>
      <c r="D10349" s="3" t="s">
        <v>9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/>
      <c r="P10349" s="3"/>
      <c r="Q10349" s="3"/>
    </row>
    <row r="10350" spans="1:17" ht="15" x14ac:dyDescent="0.25">
      <c r="A10350" s="3">
        <f>10343</f>
        <v>10343</v>
      </c>
      <c r="B10350" s="3" t="s">
        <v>10352</v>
      </c>
      <c r="C10350" s="3" t="s">
        <v>10</v>
      </c>
      <c r="D10350" s="3" t="s">
        <v>9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/>
      <c r="P10350" s="3"/>
      <c r="Q10350" s="3"/>
    </row>
    <row r="10351" spans="1:17" ht="15" x14ac:dyDescent="0.25">
      <c r="A10351" s="3">
        <f>10344</f>
        <v>10344</v>
      </c>
      <c r="B10351" s="3" t="s">
        <v>10353</v>
      </c>
      <c r="C10351" s="3" t="s">
        <v>10</v>
      </c>
      <c r="D10351" s="3" t="s">
        <v>9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/>
      <c r="P10351" s="3"/>
      <c r="Q10351" s="3"/>
    </row>
    <row r="10352" spans="1:17" ht="15" x14ac:dyDescent="0.25">
      <c r="A10352" s="3">
        <f>10345</f>
        <v>10345</v>
      </c>
      <c r="B10352" s="3" t="s">
        <v>10354</v>
      </c>
      <c r="C10352" s="3" t="s">
        <v>10</v>
      </c>
      <c r="D10352" s="3" t="s">
        <v>9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/>
      <c r="P10352" s="3"/>
      <c r="Q10352" s="3"/>
    </row>
    <row r="10353" spans="1:17" ht="15" x14ac:dyDescent="0.25">
      <c r="A10353" s="3">
        <f>10346</f>
        <v>10346</v>
      </c>
      <c r="B10353" s="3" t="s">
        <v>10355</v>
      </c>
      <c r="C10353" s="3" t="s">
        <v>10</v>
      </c>
      <c r="D10353" s="3" t="s">
        <v>9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/>
      <c r="P10353" s="3"/>
      <c r="Q10353" s="3"/>
    </row>
    <row r="10354" spans="1:17" ht="15" x14ac:dyDescent="0.25">
      <c r="A10354" s="3">
        <f>10347</f>
        <v>10347</v>
      </c>
      <c r="B10354" s="3" t="s">
        <v>10356</v>
      </c>
      <c r="C10354" s="3" t="s">
        <v>10</v>
      </c>
      <c r="D10354" s="3" t="s">
        <v>9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/>
      <c r="P10354" s="3"/>
      <c r="Q10354" s="3"/>
    </row>
    <row r="10355" spans="1:17" ht="15" x14ac:dyDescent="0.25">
      <c r="A10355" s="3">
        <f>10348</f>
        <v>10348</v>
      </c>
      <c r="B10355" s="3" t="s">
        <v>10357</v>
      </c>
      <c r="C10355" s="3" t="s">
        <v>10</v>
      </c>
      <c r="D10355" s="3" t="s">
        <v>9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/>
      <c r="P10355" s="3"/>
      <c r="Q10355" s="3"/>
    </row>
    <row r="10356" spans="1:17" ht="15" x14ac:dyDescent="0.25">
      <c r="A10356" s="3">
        <f>10349</f>
        <v>10349</v>
      </c>
      <c r="B10356" s="3" t="s">
        <v>10358</v>
      </c>
      <c r="C10356" s="3" t="s">
        <v>10</v>
      </c>
      <c r="D10356" s="3" t="s">
        <v>9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/>
      <c r="P10356" s="3"/>
      <c r="Q10356" s="3"/>
    </row>
    <row r="10357" spans="1:17" ht="15" x14ac:dyDescent="0.25">
      <c r="A10357" s="3">
        <f>10350</f>
        <v>10350</v>
      </c>
      <c r="B10357" s="3" t="s">
        <v>10359</v>
      </c>
      <c r="C10357" s="3" t="s">
        <v>10</v>
      </c>
      <c r="D10357" s="3" t="s">
        <v>9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/>
      <c r="P10357" s="3"/>
      <c r="Q10357" s="3"/>
    </row>
    <row r="10358" spans="1:17" ht="15" x14ac:dyDescent="0.25">
      <c r="A10358" s="3">
        <f>10351</f>
        <v>10351</v>
      </c>
      <c r="B10358" s="3" t="s">
        <v>10360</v>
      </c>
      <c r="C10358" s="3" t="s">
        <v>10</v>
      </c>
      <c r="D10358" s="3" t="s">
        <v>9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/>
      <c r="P10358" s="3"/>
      <c r="Q10358" s="3"/>
    </row>
    <row r="10359" spans="1:17" ht="15" x14ac:dyDescent="0.25">
      <c r="A10359" s="3">
        <f>10352</f>
        <v>10352</v>
      </c>
      <c r="B10359" s="3" t="s">
        <v>10361</v>
      </c>
      <c r="C10359" s="3" t="s">
        <v>10</v>
      </c>
      <c r="D10359" s="3" t="s">
        <v>9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/>
      <c r="P10359" s="3"/>
      <c r="Q10359" s="3"/>
    </row>
    <row r="10360" spans="1:17" ht="15" x14ac:dyDescent="0.25">
      <c r="A10360" s="3">
        <f>10353</f>
        <v>10353</v>
      </c>
      <c r="B10360" s="3" t="s">
        <v>10362</v>
      </c>
      <c r="C10360" s="3" t="s">
        <v>10</v>
      </c>
      <c r="D10360" s="3" t="s">
        <v>9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/>
      <c r="P10360" s="3"/>
      <c r="Q10360" s="3"/>
    </row>
    <row r="10361" spans="1:17" ht="15" x14ac:dyDescent="0.25">
      <c r="A10361" s="3">
        <f>10354</f>
        <v>10354</v>
      </c>
      <c r="B10361" s="3" t="s">
        <v>10363</v>
      </c>
      <c r="C10361" s="3" t="s">
        <v>10</v>
      </c>
      <c r="D10361" s="3" t="s">
        <v>9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/>
      <c r="P10361" s="3"/>
      <c r="Q10361" s="3"/>
    </row>
    <row r="10362" spans="1:17" ht="15" x14ac:dyDescent="0.25">
      <c r="A10362" s="3">
        <f>10355</f>
        <v>10355</v>
      </c>
      <c r="B10362" s="3" t="s">
        <v>10364</v>
      </c>
      <c r="C10362" s="3" t="s">
        <v>10</v>
      </c>
      <c r="D10362" s="3" t="s">
        <v>9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/>
      <c r="P10362" s="3"/>
      <c r="Q10362" s="3"/>
    </row>
    <row r="10363" spans="1:17" ht="15" x14ac:dyDescent="0.25">
      <c r="A10363" s="3">
        <f>10356</f>
        <v>10356</v>
      </c>
      <c r="B10363" s="3" t="s">
        <v>10365</v>
      </c>
      <c r="C10363" s="3" t="s">
        <v>10</v>
      </c>
      <c r="D10363" s="3" t="s">
        <v>9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/>
      <c r="P10363" s="3"/>
      <c r="Q10363" s="3"/>
    </row>
    <row r="10364" spans="1:17" ht="15" x14ac:dyDescent="0.25">
      <c r="A10364" s="3">
        <f>10357</f>
        <v>10357</v>
      </c>
      <c r="B10364" s="3" t="s">
        <v>10366</v>
      </c>
      <c r="C10364" s="3" t="s">
        <v>10</v>
      </c>
      <c r="D10364" s="3" t="s">
        <v>9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/>
      <c r="P10364" s="3"/>
      <c r="Q10364" s="3"/>
    </row>
    <row r="10365" spans="1:17" ht="15" x14ac:dyDescent="0.25">
      <c r="A10365" s="3">
        <f>10358</f>
        <v>10358</v>
      </c>
      <c r="B10365" s="3" t="s">
        <v>10367</v>
      </c>
      <c r="C10365" s="3" t="s">
        <v>10</v>
      </c>
      <c r="D10365" s="3" t="s">
        <v>9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/>
      <c r="P10365" s="3"/>
      <c r="Q10365" s="3"/>
    </row>
    <row r="10366" spans="1:17" ht="15" x14ac:dyDescent="0.25">
      <c r="A10366" s="3">
        <f>10359</f>
        <v>10359</v>
      </c>
      <c r="B10366" s="3" t="s">
        <v>10368</v>
      </c>
      <c r="C10366" s="3" t="s">
        <v>10</v>
      </c>
      <c r="D10366" s="3" t="s">
        <v>9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/>
      <c r="P10366" s="3"/>
      <c r="Q10366" s="3"/>
    </row>
    <row r="10367" spans="1:17" ht="15" x14ac:dyDescent="0.25">
      <c r="A10367" s="3">
        <f>10360</f>
        <v>10360</v>
      </c>
      <c r="B10367" s="3" t="s">
        <v>10369</v>
      </c>
      <c r="C10367" s="3" t="s">
        <v>10</v>
      </c>
      <c r="D10367" s="3" t="s">
        <v>9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/>
      <c r="P10367" s="3"/>
      <c r="Q10367" s="3"/>
    </row>
    <row r="10368" spans="1:17" ht="15" x14ac:dyDescent="0.25">
      <c r="A10368" s="3">
        <f>10361</f>
        <v>10361</v>
      </c>
      <c r="B10368" s="3" t="s">
        <v>10370</v>
      </c>
      <c r="C10368" s="3" t="s">
        <v>10</v>
      </c>
      <c r="D10368" s="3" t="s">
        <v>9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/>
      <c r="P10368" s="3"/>
      <c r="Q10368" s="3"/>
    </row>
    <row r="10369" spans="1:17" ht="15" x14ac:dyDescent="0.25">
      <c r="A10369" s="3">
        <f>10362</f>
        <v>10362</v>
      </c>
      <c r="B10369" s="3" t="s">
        <v>10371</v>
      </c>
      <c r="C10369" s="3" t="s">
        <v>10</v>
      </c>
      <c r="D10369" s="3" t="s">
        <v>9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/>
      <c r="P10369" s="3"/>
      <c r="Q10369" s="3"/>
    </row>
    <row r="10370" spans="1:17" ht="15" x14ac:dyDescent="0.25">
      <c r="A10370" s="3">
        <f>10363</f>
        <v>10363</v>
      </c>
      <c r="B10370" s="3" t="s">
        <v>10372</v>
      </c>
      <c r="C10370" s="3" t="s">
        <v>10</v>
      </c>
      <c r="D10370" s="3" t="s">
        <v>9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/>
      <c r="P10370" s="3"/>
      <c r="Q10370" s="3"/>
    </row>
    <row r="10371" spans="1:17" ht="15" x14ac:dyDescent="0.25">
      <c r="A10371" s="3">
        <f>10364</f>
        <v>10364</v>
      </c>
      <c r="B10371" s="3" t="s">
        <v>10373</v>
      </c>
      <c r="C10371" s="3" t="s">
        <v>10</v>
      </c>
      <c r="D10371" s="3" t="s">
        <v>9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/>
      <c r="P10371" s="3"/>
      <c r="Q10371" s="3"/>
    </row>
    <row r="10372" spans="1:17" ht="15" x14ac:dyDescent="0.25">
      <c r="A10372" s="3">
        <f>10365</f>
        <v>10365</v>
      </c>
      <c r="B10372" s="3" t="s">
        <v>10374</v>
      </c>
      <c r="C10372" s="3" t="s">
        <v>10</v>
      </c>
      <c r="D10372" s="3" t="s">
        <v>9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/>
      <c r="P10372" s="3"/>
      <c r="Q10372" s="3"/>
    </row>
    <row r="10373" spans="1:17" ht="15" x14ac:dyDescent="0.25">
      <c r="A10373" s="3">
        <f>10366</f>
        <v>10366</v>
      </c>
      <c r="B10373" s="3" t="s">
        <v>10375</v>
      </c>
      <c r="C10373" s="3" t="s">
        <v>10</v>
      </c>
      <c r="D10373" s="3" t="s">
        <v>9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/>
      <c r="P10373" s="3"/>
      <c r="Q10373" s="3"/>
    </row>
    <row r="10374" spans="1:17" ht="15" x14ac:dyDescent="0.25">
      <c r="A10374" s="3">
        <f>10367</f>
        <v>10367</v>
      </c>
      <c r="B10374" s="3" t="s">
        <v>10376</v>
      </c>
      <c r="C10374" s="3" t="s">
        <v>10</v>
      </c>
      <c r="D10374" s="3" t="s">
        <v>9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/>
      <c r="P10374" s="3"/>
      <c r="Q10374" s="3"/>
    </row>
    <row r="10375" spans="1:17" ht="15" x14ac:dyDescent="0.25">
      <c r="A10375" s="3">
        <f>10368</f>
        <v>10368</v>
      </c>
      <c r="B10375" s="3" t="s">
        <v>10377</v>
      </c>
      <c r="C10375" s="3" t="s">
        <v>10</v>
      </c>
      <c r="D10375" s="3" t="s">
        <v>9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/>
      <c r="P10375" s="3"/>
      <c r="Q10375" s="3"/>
    </row>
    <row r="10376" spans="1:17" ht="15" x14ac:dyDescent="0.25">
      <c r="A10376" s="3">
        <f>10369</f>
        <v>10369</v>
      </c>
      <c r="B10376" s="3" t="s">
        <v>10378</v>
      </c>
      <c r="C10376" s="3" t="s">
        <v>10</v>
      </c>
      <c r="D10376" s="3" t="s">
        <v>9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/>
      <c r="P10376" s="3"/>
      <c r="Q10376" s="3"/>
    </row>
    <row r="10377" spans="1:17" ht="15" x14ac:dyDescent="0.25">
      <c r="A10377" s="3">
        <f>10370</f>
        <v>10370</v>
      </c>
      <c r="B10377" s="3" t="s">
        <v>10379</v>
      </c>
      <c r="C10377" s="3" t="s">
        <v>10</v>
      </c>
      <c r="D10377" s="3" t="s">
        <v>9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/>
      <c r="P10377" s="3"/>
      <c r="Q10377" s="3"/>
    </row>
    <row r="10378" spans="1:17" ht="15" x14ac:dyDescent="0.25">
      <c r="A10378" s="3">
        <f>10371</f>
        <v>10371</v>
      </c>
      <c r="B10378" s="3" t="s">
        <v>10380</v>
      </c>
      <c r="C10378" s="3" t="s">
        <v>10</v>
      </c>
      <c r="D10378" s="3" t="s">
        <v>9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/>
      <c r="P10378" s="3"/>
      <c r="Q10378" s="3"/>
    </row>
    <row r="10379" spans="1:17" ht="15" x14ac:dyDescent="0.25">
      <c r="A10379" s="3">
        <f>10372</f>
        <v>10372</v>
      </c>
      <c r="B10379" s="3" t="s">
        <v>10381</v>
      </c>
      <c r="C10379" s="3" t="s">
        <v>10</v>
      </c>
      <c r="D10379" s="3" t="s">
        <v>9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/>
      <c r="P10379" s="3"/>
      <c r="Q10379" s="3"/>
    </row>
    <row r="10380" spans="1:17" ht="15" x14ac:dyDescent="0.25">
      <c r="A10380" s="3">
        <f>10373</f>
        <v>10373</v>
      </c>
      <c r="B10380" s="3" t="s">
        <v>10382</v>
      </c>
      <c r="C10380" s="3" t="s">
        <v>10</v>
      </c>
      <c r="D10380" s="3" t="s">
        <v>9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/>
      <c r="P10380" s="3"/>
      <c r="Q10380" s="3"/>
    </row>
    <row r="10381" spans="1:17" ht="15" x14ac:dyDescent="0.25">
      <c r="A10381" s="3">
        <f>10374</f>
        <v>10374</v>
      </c>
      <c r="B10381" s="3" t="s">
        <v>10383</v>
      </c>
      <c r="C10381" s="3" t="s">
        <v>10</v>
      </c>
      <c r="D10381" s="3" t="s">
        <v>9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/>
      <c r="P10381" s="3"/>
      <c r="Q10381" s="3"/>
    </row>
    <row r="10382" spans="1:17" ht="15" x14ac:dyDescent="0.25">
      <c r="A10382" s="3">
        <f>10375</f>
        <v>10375</v>
      </c>
      <c r="B10382" s="3" t="s">
        <v>10384</v>
      </c>
      <c r="C10382" s="3" t="s">
        <v>10</v>
      </c>
      <c r="D10382" s="3" t="s">
        <v>9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/>
      <c r="P10382" s="3"/>
      <c r="Q10382" s="3"/>
    </row>
    <row r="10383" spans="1:17" ht="15" x14ac:dyDescent="0.25">
      <c r="A10383" s="3">
        <f>10376</f>
        <v>10376</v>
      </c>
      <c r="B10383" s="3" t="s">
        <v>10385</v>
      </c>
      <c r="C10383" s="3" t="s">
        <v>10</v>
      </c>
      <c r="D10383" s="3" t="s">
        <v>9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/>
      <c r="P10383" s="3"/>
      <c r="Q10383" s="3"/>
    </row>
    <row r="10384" spans="1:17" ht="15" x14ac:dyDescent="0.25">
      <c r="A10384" s="3">
        <f>10377</f>
        <v>10377</v>
      </c>
      <c r="B10384" s="3" t="s">
        <v>10386</v>
      </c>
      <c r="C10384" s="3" t="s">
        <v>10</v>
      </c>
      <c r="D10384" s="3" t="s">
        <v>9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/>
      <c r="P10384" s="3"/>
      <c r="Q10384" s="3"/>
    </row>
    <row r="10385" spans="1:17" ht="15" x14ac:dyDescent="0.25">
      <c r="A10385" s="3">
        <f>10378</f>
        <v>10378</v>
      </c>
      <c r="B10385" s="3" t="s">
        <v>10387</v>
      </c>
      <c r="C10385" s="3" t="s">
        <v>10</v>
      </c>
      <c r="D10385" s="3" t="s">
        <v>9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/>
      <c r="P10385" s="3"/>
      <c r="Q10385" s="3"/>
    </row>
    <row r="10386" spans="1:17" ht="15" x14ac:dyDescent="0.25">
      <c r="A10386" s="3">
        <f>10379</f>
        <v>10379</v>
      </c>
      <c r="B10386" s="3" t="s">
        <v>10388</v>
      </c>
      <c r="C10386" s="3" t="s">
        <v>10</v>
      </c>
      <c r="D10386" s="3" t="s">
        <v>9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/>
      <c r="P10386" s="3"/>
      <c r="Q10386" s="3"/>
    </row>
    <row r="10387" spans="1:17" ht="15" x14ac:dyDescent="0.25">
      <c r="A10387" s="3">
        <f>10380</f>
        <v>10380</v>
      </c>
      <c r="B10387" s="3" t="s">
        <v>10389</v>
      </c>
      <c r="C10387" s="3" t="s">
        <v>10</v>
      </c>
      <c r="D10387" s="3" t="s">
        <v>9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/>
      <c r="P10387" s="3"/>
      <c r="Q10387" s="3"/>
    </row>
    <row r="10388" spans="1:17" ht="15" x14ac:dyDescent="0.25">
      <c r="A10388" s="3">
        <f>10381</f>
        <v>10381</v>
      </c>
      <c r="B10388" s="3" t="s">
        <v>10390</v>
      </c>
      <c r="C10388" s="3" t="s">
        <v>10</v>
      </c>
      <c r="D10388" s="3" t="s">
        <v>9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/>
      <c r="P10388" s="3"/>
      <c r="Q10388" s="3"/>
    </row>
    <row r="10389" spans="1:17" ht="15" x14ac:dyDescent="0.25">
      <c r="A10389" s="3">
        <f>10382</f>
        <v>10382</v>
      </c>
      <c r="B10389" s="3" t="s">
        <v>10391</v>
      </c>
      <c r="C10389" s="3" t="s">
        <v>10</v>
      </c>
      <c r="D10389" s="3" t="s">
        <v>9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/>
      <c r="P10389" s="3"/>
      <c r="Q10389" s="3"/>
    </row>
    <row r="10390" spans="1:17" ht="15" x14ac:dyDescent="0.25">
      <c r="A10390" s="3">
        <f>10383</f>
        <v>10383</v>
      </c>
      <c r="B10390" s="3" t="s">
        <v>10392</v>
      </c>
      <c r="C10390" s="3" t="s">
        <v>10</v>
      </c>
      <c r="D10390" s="3" t="s">
        <v>9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/>
      <c r="P10390" s="3"/>
      <c r="Q10390" s="3"/>
    </row>
    <row r="10391" spans="1:17" ht="15" x14ac:dyDescent="0.25">
      <c r="A10391" s="3">
        <f>10384</f>
        <v>10384</v>
      </c>
      <c r="B10391" s="3" t="s">
        <v>10393</v>
      </c>
      <c r="C10391" s="3" t="s">
        <v>10</v>
      </c>
      <c r="D10391" s="3" t="s">
        <v>9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/>
      <c r="P10391" s="3"/>
      <c r="Q10391" s="3"/>
    </row>
    <row r="10392" spans="1:17" ht="15" x14ac:dyDescent="0.25">
      <c r="A10392" s="3">
        <f>10385</f>
        <v>10385</v>
      </c>
      <c r="B10392" s="3" t="s">
        <v>10394</v>
      </c>
      <c r="C10392" s="3" t="s">
        <v>10</v>
      </c>
      <c r="D10392" s="3" t="s">
        <v>9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/>
      <c r="P10392" s="3"/>
      <c r="Q10392" s="3"/>
    </row>
    <row r="10393" spans="1:17" ht="15" x14ac:dyDescent="0.25">
      <c r="A10393" s="3">
        <f>10386</f>
        <v>10386</v>
      </c>
      <c r="B10393" s="3" t="s">
        <v>10395</v>
      </c>
      <c r="C10393" s="3" t="s">
        <v>10</v>
      </c>
      <c r="D10393" s="3" t="s">
        <v>9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/>
      <c r="P10393" s="3"/>
      <c r="Q10393" s="3"/>
    </row>
    <row r="10394" spans="1:17" ht="15" x14ac:dyDescent="0.25">
      <c r="A10394" s="3">
        <f>10387</f>
        <v>10387</v>
      </c>
      <c r="B10394" s="3" t="s">
        <v>10396</v>
      </c>
      <c r="C10394" s="3" t="s">
        <v>10</v>
      </c>
      <c r="D10394" s="3" t="s">
        <v>9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/>
      <c r="P10394" s="3"/>
      <c r="Q10394" s="3"/>
    </row>
    <row r="10395" spans="1:17" ht="15" x14ac:dyDescent="0.25">
      <c r="A10395" s="3">
        <f>10388</f>
        <v>10388</v>
      </c>
      <c r="B10395" s="3" t="s">
        <v>10397</v>
      </c>
      <c r="C10395" s="3" t="s">
        <v>10</v>
      </c>
      <c r="D10395" s="3" t="s">
        <v>9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/>
      <c r="P10395" s="3"/>
      <c r="Q10395" s="3"/>
    </row>
    <row r="10396" spans="1:17" ht="15" x14ac:dyDescent="0.25">
      <c r="A10396" s="3">
        <f>10389</f>
        <v>10389</v>
      </c>
      <c r="B10396" s="3" t="s">
        <v>10398</v>
      </c>
      <c r="C10396" s="3" t="s">
        <v>10</v>
      </c>
      <c r="D10396" s="3" t="s">
        <v>9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/>
      <c r="P10396" s="3"/>
      <c r="Q10396" s="3"/>
    </row>
    <row r="10397" spans="1:17" ht="15" x14ac:dyDescent="0.25">
      <c r="A10397" s="3">
        <f>10390</f>
        <v>10390</v>
      </c>
      <c r="B10397" s="3" t="s">
        <v>10399</v>
      </c>
      <c r="C10397" s="3" t="s">
        <v>10</v>
      </c>
      <c r="D10397" s="3" t="s">
        <v>9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/>
      <c r="P10397" s="3"/>
      <c r="Q10397" s="3"/>
    </row>
    <row r="10398" spans="1:17" ht="15" x14ac:dyDescent="0.25">
      <c r="A10398" s="3">
        <f>10391</f>
        <v>10391</v>
      </c>
      <c r="B10398" s="3" t="s">
        <v>10400</v>
      </c>
      <c r="C10398" s="3" t="s">
        <v>10</v>
      </c>
      <c r="D10398" s="3" t="s">
        <v>9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/>
      <c r="P10398" s="3"/>
      <c r="Q10398" s="3"/>
    </row>
    <row r="10399" spans="1:17" ht="15" x14ac:dyDescent="0.25">
      <c r="A10399" s="3">
        <f>10392</f>
        <v>10392</v>
      </c>
      <c r="B10399" s="3" t="s">
        <v>10401</v>
      </c>
      <c r="C10399" s="3" t="s">
        <v>10</v>
      </c>
      <c r="D10399" s="3" t="s">
        <v>9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/>
      <c r="P10399" s="3"/>
      <c r="Q10399" s="3"/>
    </row>
    <row r="10400" spans="1:17" ht="15" x14ac:dyDescent="0.25">
      <c r="A10400" s="3">
        <f>10393</f>
        <v>10393</v>
      </c>
      <c r="B10400" s="3" t="s">
        <v>10402</v>
      </c>
      <c r="C10400" s="3" t="s">
        <v>10</v>
      </c>
      <c r="D10400" s="3" t="s">
        <v>9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/>
      <c r="P10400" s="3"/>
      <c r="Q10400" s="3"/>
    </row>
    <row r="10401" spans="1:17" ht="15" x14ac:dyDescent="0.25">
      <c r="A10401" s="3">
        <f>10394</f>
        <v>10394</v>
      </c>
      <c r="B10401" s="3" t="s">
        <v>10403</v>
      </c>
      <c r="C10401" s="3" t="s">
        <v>10</v>
      </c>
      <c r="D10401" s="3" t="s">
        <v>9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/>
      <c r="P10401" s="3"/>
      <c r="Q10401" s="3"/>
    </row>
    <row r="10402" spans="1:17" ht="15" x14ac:dyDescent="0.25">
      <c r="A10402" s="3">
        <f>10395</f>
        <v>10395</v>
      </c>
      <c r="B10402" s="3" t="s">
        <v>10404</v>
      </c>
      <c r="C10402" s="3" t="s">
        <v>10</v>
      </c>
      <c r="D10402" s="3" t="s">
        <v>9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/>
      <c r="P10402" s="3"/>
      <c r="Q10402" s="3"/>
    </row>
    <row r="10403" spans="1:17" ht="15" x14ac:dyDescent="0.25">
      <c r="A10403" s="3">
        <f>10396</f>
        <v>10396</v>
      </c>
      <c r="B10403" s="3" t="s">
        <v>10405</v>
      </c>
      <c r="C10403" s="3" t="s">
        <v>10</v>
      </c>
      <c r="D10403" s="3" t="s">
        <v>9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/>
      <c r="P10403" s="3"/>
      <c r="Q10403" s="3"/>
    </row>
    <row r="10404" spans="1:17" ht="15" x14ac:dyDescent="0.25">
      <c r="A10404" s="3">
        <f>10397</f>
        <v>10397</v>
      </c>
      <c r="B10404" s="3" t="s">
        <v>10406</v>
      </c>
      <c r="C10404" s="3" t="s">
        <v>10</v>
      </c>
      <c r="D10404" s="3" t="s">
        <v>9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/>
      <c r="P10404" s="3"/>
      <c r="Q10404" s="3"/>
    </row>
    <row r="10405" spans="1:17" ht="15" x14ac:dyDescent="0.25">
      <c r="A10405" s="3">
        <f>10398</f>
        <v>10398</v>
      </c>
      <c r="B10405" s="3" t="s">
        <v>10407</v>
      </c>
      <c r="C10405" s="3" t="s">
        <v>10</v>
      </c>
      <c r="D10405" s="3" t="s">
        <v>9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/>
      <c r="P10405" s="3"/>
      <c r="Q10405" s="3"/>
    </row>
    <row r="10406" spans="1:17" ht="15" x14ac:dyDescent="0.25">
      <c r="A10406" s="3">
        <f>10399</f>
        <v>10399</v>
      </c>
      <c r="B10406" s="3" t="s">
        <v>10408</v>
      </c>
      <c r="C10406" s="3" t="s">
        <v>10</v>
      </c>
      <c r="D10406" s="3" t="s">
        <v>9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/>
      <c r="P10406" s="3"/>
      <c r="Q10406" s="3"/>
    </row>
    <row r="10407" spans="1:17" ht="15" x14ac:dyDescent="0.25">
      <c r="A10407" s="3">
        <f>10400</f>
        <v>10400</v>
      </c>
      <c r="B10407" s="3" t="s">
        <v>10409</v>
      </c>
      <c r="C10407" s="3" t="s">
        <v>10</v>
      </c>
      <c r="D10407" s="3" t="s">
        <v>9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/>
      <c r="P10407" s="3"/>
      <c r="Q10407" s="3"/>
    </row>
    <row r="10408" spans="1:17" ht="15" x14ac:dyDescent="0.25">
      <c r="A10408" s="3">
        <f>10401</f>
        <v>10401</v>
      </c>
      <c r="B10408" s="3" t="s">
        <v>10410</v>
      </c>
      <c r="C10408" s="3" t="s">
        <v>10</v>
      </c>
      <c r="D10408" s="3" t="s">
        <v>9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/>
      <c r="P10408" s="3"/>
      <c r="Q10408" s="3"/>
    </row>
    <row r="10409" spans="1:17" ht="15" x14ac:dyDescent="0.25">
      <c r="A10409" s="3">
        <f>10402</f>
        <v>10402</v>
      </c>
      <c r="B10409" s="3" t="s">
        <v>10411</v>
      </c>
      <c r="C10409" s="3" t="s">
        <v>10</v>
      </c>
      <c r="D10409" s="3" t="s">
        <v>9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/>
      <c r="P10409" s="3"/>
      <c r="Q10409" s="3"/>
    </row>
    <row r="10410" spans="1:17" ht="15" x14ac:dyDescent="0.25">
      <c r="A10410" s="3">
        <f>10403</f>
        <v>10403</v>
      </c>
      <c r="B10410" s="3" t="s">
        <v>10412</v>
      </c>
      <c r="C10410" s="3" t="s">
        <v>10</v>
      </c>
      <c r="D10410" s="3" t="s">
        <v>9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/>
      <c r="P10410" s="3"/>
      <c r="Q10410" s="3"/>
    </row>
    <row r="10411" spans="1:17" ht="15" x14ac:dyDescent="0.25">
      <c r="A10411" s="3">
        <f>10404</f>
        <v>10404</v>
      </c>
      <c r="B10411" s="3" t="s">
        <v>10413</v>
      </c>
      <c r="C10411" s="3" t="s">
        <v>10</v>
      </c>
      <c r="D10411" s="3" t="s">
        <v>9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/>
      <c r="P10411" s="3"/>
      <c r="Q10411" s="3"/>
    </row>
    <row r="10412" spans="1:17" ht="15" x14ac:dyDescent="0.25">
      <c r="A10412" s="3">
        <f>10405</f>
        <v>10405</v>
      </c>
      <c r="B10412" s="3" t="s">
        <v>10414</v>
      </c>
      <c r="C10412" s="3" t="s">
        <v>10</v>
      </c>
      <c r="D10412" s="3" t="s">
        <v>9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/>
      <c r="P10412" s="3"/>
      <c r="Q10412" s="3"/>
    </row>
    <row r="10413" spans="1:17" ht="15" x14ac:dyDescent="0.25">
      <c r="A10413" s="3">
        <f>10406</f>
        <v>10406</v>
      </c>
      <c r="B10413" s="3" t="s">
        <v>10415</v>
      </c>
      <c r="C10413" s="3" t="s">
        <v>10</v>
      </c>
      <c r="D10413" s="3" t="s">
        <v>9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/>
      <c r="P10413" s="3"/>
      <c r="Q10413" s="3"/>
    </row>
    <row r="10414" spans="1:17" ht="15" x14ac:dyDescent="0.25">
      <c r="A10414" s="3">
        <f>10407</f>
        <v>10407</v>
      </c>
      <c r="B10414" s="3" t="s">
        <v>10416</v>
      </c>
      <c r="C10414" s="3" t="s">
        <v>10</v>
      </c>
      <c r="D10414" s="3" t="s">
        <v>9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/>
      <c r="P10414" s="3"/>
      <c r="Q10414" s="3"/>
    </row>
    <row r="10415" spans="1:17" ht="15" x14ac:dyDescent="0.25">
      <c r="A10415" s="3">
        <f>10408</f>
        <v>10408</v>
      </c>
      <c r="B10415" s="3" t="s">
        <v>10417</v>
      </c>
      <c r="C10415" s="3" t="s">
        <v>10</v>
      </c>
      <c r="D10415" s="3" t="s">
        <v>9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/>
      <c r="P10415" s="3"/>
      <c r="Q10415" s="3"/>
    </row>
    <row r="10416" spans="1:17" ht="15" x14ac:dyDescent="0.25">
      <c r="A10416" s="3">
        <f>10409</f>
        <v>10409</v>
      </c>
      <c r="B10416" s="3" t="s">
        <v>10418</v>
      </c>
      <c r="C10416" s="3" t="s">
        <v>10</v>
      </c>
      <c r="D10416" s="3" t="s">
        <v>9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/>
      <c r="P10416" s="3"/>
      <c r="Q10416" s="3"/>
    </row>
    <row r="10417" spans="1:17" ht="15" x14ac:dyDescent="0.25">
      <c r="A10417" s="3">
        <f>10410</f>
        <v>10410</v>
      </c>
      <c r="B10417" s="3" t="s">
        <v>10419</v>
      </c>
      <c r="C10417" s="3" t="s">
        <v>10</v>
      </c>
      <c r="D10417" s="3" t="s">
        <v>9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/>
      <c r="P10417" s="3"/>
      <c r="Q10417" s="3"/>
    </row>
    <row r="10418" spans="1:17" ht="15" x14ac:dyDescent="0.25">
      <c r="A10418" s="3">
        <f>10411</f>
        <v>10411</v>
      </c>
      <c r="B10418" s="3" t="s">
        <v>10420</v>
      </c>
      <c r="C10418" s="3" t="s">
        <v>10</v>
      </c>
      <c r="D10418" s="3" t="s">
        <v>9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/>
      <c r="P10418" s="3"/>
      <c r="Q10418" s="3"/>
    </row>
    <row r="10419" spans="1:17" ht="15" x14ac:dyDescent="0.25">
      <c r="A10419" s="3">
        <f>10412</f>
        <v>10412</v>
      </c>
      <c r="B10419" s="3" t="s">
        <v>10421</v>
      </c>
      <c r="C10419" s="3" t="s">
        <v>10</v>
      </c>
      <c r="D10419" s="3" t="s">
        <v>9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/>
      <c r="P10419" s="3"/>
      <c r="Q10419" s="3"/>
    </row>
    <row r="10420" spans="1:17" ht="15" x14ac:dyDescent="0.25">
      <c r="A10420" s="3">
        <f>10413</f>
        <v>10413</v>
      </c>
      <c r="B10420" s="3" t="s">
        <v>10422</v>
      </c>
      <c r="C10420" s="3" t="s">
        <v>10</v>
      </c>
      <c r="D10420" s="3" t="s">
        <v>9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/>
      <c r="P10420" s="3"/>
      <c r="Q10420" s="3"/>
    </row>
    <row r="10421" spans="1:17" ht="15" x14ac:dyDescent="0.25">
      <c r="A10421" s="3">
        <f>10414</f>
        <v>10414</v>
      </c>
      <c r="B10421" s="3" t="s">
        <v>10423</v>
      </c>
      <c r="C10421" s="3" t="s">
        <v>10</v>
      </c>
      <c r="D10421" s="3" t="s">
        <v>9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/>
      <c r="P10421" s="3"/>
      <c r="Q10421" s="3"/>
    </row>
    <row r="10422" spans="1:17" ht="15" x14ac:dyDescent="0.25">
      <c r="A10422" s="3">
        <f>10415</f>
        <v>10415</v>
      </c>
      <c r="B10422" s="3" t="s">
        <v>10424</v>
      </c>
      <c r="C10422" s="3" t="s">
        <v>10</v>
      </c>
      <c r="D10422" s="3" t="s">
        <v>9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/>
      <c r="P10422" s="3"/>
      <c r="Q10422" s="3"/>
    </row>
    <row r="10423" spans="1:17" ht="15" x14ac:dyDescent="0.25">
      <c r="A10423" s="3">
        <f>10416</f>
        <v>10416</v>
      </c>
      <c r="B10423" s="3" t="s">
        <v>10425</v>
      </c>
      <c r="C10423" s="3" t="s">
        <v>10</v>
      </c>
      <c r="D10423" s="3" t="s">
        <v>9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/>
      <c r="P10423" s="3"/>
      <c r="Q10423" s="3"/>
    </row>
    <row r="10424" spans="1:17" ht="15" x14ac:dyDescent="0.25">
      <c r="A10424" s="3">
        <f>10417</f>
        <v>10417</v>
      </c>
      <c r="B10424" s="3" t="s">
        <v>10426</v>
      </c>
      <c r="C10424" s="3" t="s">
        <v>10</v>
      </c>
      <c r="D10424" s="3" t="s">
        <v>9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/>
      <c r="P10424" s="3"/>
      <c r="Q10424" s="3"/>
    </row>
    <row r="10425" spans="1:17" ht="15" x14ac:dyDescent="0.25">
      <c r="A10425" s="3">
        <f>10418</f>
        <v>10418</v>
      </c>
      <c r="B10425" s="3" t="s">
        <v>10427</v>
      </c>
      <c r="C10425" s="3" t="s">
        <v>10</v>
      </c>
      <c r="D10425" s="3" t="s">
        <v>9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/>
      <c r="P10425" s="3"/>
      <c r="Q10425" s="3"/>
    </row>
    <row r="10426" spans="1:17" ht="15" x14ac:dyDescent="0.25">
      <c r="A10426" s="3">
        <f>10419</f>
        <v>10419</v>
      </c>
      <c r="B10426" s="3" t="s">
        <v>10428</v>
      </c>
      <c r="C10426" s="3" t="s">
        <v>10</v>
      </c>
      <c r="D10426" s="3" t="s">
        <v>9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/>
      <c r="P10426" s="3"/>
      <c r="Q10426" s="3"/>
    </row>
    <row r="10427" spans="1:17" ht="15" x14ac:dyDescent="0.25">
      <c r="A10427" s="3">
        <f>10420</f>
        <v>10420</v>
      </c>
      <c r="B10427" s="3" t="s">
        <v>10429</v>
      </c>
      <c r="C10427" s="3" t="s">
        <v>10</v>
      </c>
      <c r="D10427" s="3" t="s">
        <v>9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/>
      <c r="P10427" s="3"/>
      <c r="Q10427" s="3"/>
    </row>
    <row r="10428" spans="1:17" ht="15" x14ac:dyDescent="0.25">
      <c r="A10428" s="3">
        <f>10421</f>
        <v>10421</v>
      </c>
      <c r="B10428" s="3" t="s">
        <v>10430</v>
      </c>
      <c r="C10428" s="3" t="s">
        <v>10</v>
      </c>
      <c r="D10428" s="3" t="s">
        <v>9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/>
      <c r="P10428" s="3"/>
      <c r="Q10428" s="3"/>
    </row>
    <row r="10429" spans="1:17" ht="15" x14ac:dyDescent="0.25">
      <c r="A10429" s="3">
        <f>10422</f>
        <v>10422</v>
      </c>
      <c r="B10429" s="3" t="s">
        <v>10431</v>
      </c>
      <c r="C10429" s="3" t="s">
        <v>10</v>
      </c>
      <c r="D10429" s="3" t="s">
        <v>9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/>
      <c r="P10429" s="3"/>
      <c r="Q10429" s="3"/>
    </row>
    <row r="10430" spans="1:17" ht="15" x14ac:dyDescent="0.25">
      <c r="A10430" s="3">
        <f>10423</f>
        <v>10423</v>
      </c>
      <c r="B10430" s="3" t="s">
        <v>10432</v>
      </c>
      <c r="C10430" s="3" t="s">
        <v>10</v>
      </c>
      <c r="D10430" s="3" t="s">
        <v>9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/>
      <c r="P10430" s="3"/>
      <c r="Q10430" s="3"/>
    </row>
    <row r="10431" spans="1:17" ht="15" x14ac:dyDescent="0.25">
      <c r="A10431" s="3">
        <f>10424</f>
        <v>10424</v>
      </c>
      <c r="B10431" s="3" t="s">
        <v>10433</v>
      </c>
      <c r="C10431" s="3" t="s">
        <v>10</v>
      </c>
      <c r="D10431" s="3" t="s">
        <v>9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/>
      <c r="P10431" s="3"/>
      <c r="Q10431" s="3"/>
    </row>
    <row r="10432" spans="1:17" ht="15" x14ac:dyDescent="0.25">
      <c r="A10432" s="3">
        <f>10425</f>
        <v>10425</v>
      </c>
      <c r="B10432" s="3" t="s">
        <v>10434</v>
      </c>
      <c r="C10432" s="3" t="s">
        <v>10</v>
      </c>
      <c r="D10432" s="3" t="s">
        <v>9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/>
      <c r="P10432" s="3"/>
      <c r="Q10432" s="3"/>
    </row>
    <row r="10433" spans="1:17" ht="15" x14ac:dyDescent="0.25">
      <c r="A10433" s="3">
        <f>10426</f>
        <v>10426</v>
      </c>
      <c r="B10433" s="3" t="s">
        <v>10435</v>
      </c>
      <c r="C10433" s="3" t="s">
        <v>10</v>
      </c>
      <c r="D10433" s="3" t="s">
        <v>9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/>
      <c r="P10433" s="3"/>
      <c r="Q10433" s="3"/>
    </row>
    <row r="10434" spans="1:17" ht="15" x14ac:dyDescent="0.25">
      <c r="A10434" s="3">
        <f>10427</f>
        <v>10427</v>
      </c>
      <c r="B10434" s="3" t="s">
        <v>10436</v>
      </c>
      <c r="C10434" s="3" t="s">
        <v>10</v>
      </c>
      <c r="D10434" s="3" t="s">
        <v>9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/>
      <c r="P10434" s="3"/>
      <c r="Q10434" s="3"/>
    </row>
    <row r="10435" spans="1:17" ht="15" x14ac:dyDescent="0.25">
      <c r="A10435" s="3">
        <f>10428</f>
        <v>10428</v>
      </c>
      <c r="B10435" s="3" t="s">
        <v>10437</v>
      </c>
      <c r="C10435" s="3" t="s">
        <v>10</v>
      </c>
      <c r="D10435" s="3" t="s">
        <v>9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/>
      <c r="P10435" s="3"/>
      <c r="Q10435" s="3"/>
    </row>
    <row r="10436" spans="1:17" ht="15" x14ac:dyDescent="0.25">
      <c r="A10436" s="3">
        <f>10429</f>
        <v>10429</v>
      </c>
      <c r="B10436" s="3" t="s">
        <v>10438</v>
      </c>
      <c r="C10436" s="3" t="s">
        <v>10</v>
      </c>
      <c r="D10436" s="3" t="s">
        <v>9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/>
      <c r="P10436" s="3"/>
      <c r="Q10436" s="3"/>
    </row>
    <row r="10437" spans="1:17" ht="15" x14ac:dyDescent="0.25">
      <c r="A10437" s="3">
        <f>10430</f>
        <v>10430</v>
      </c>
      <c r="B10437" s="3" t="s">
        <v>10439</v>
      </c>
      <c r="C10437" s="3" t="s">
        <v>10</v>
      </c>
      <c r="D10437" s="3" t="s">
        <v>9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/>
      <c r="P10437" s="3"/>
      <c r="Q10437" s="3"/>
    </row>
    <row r="10438" spans="1:17" ht="15" x14ac:dyDescent="0.25">
      <c r="A10438" s="3">
        <f>10431</f>
        <v>10431</v>
      </c>
      <c r="B10438" s="3" t="s">
        <v>10440</v>
      </c>
      <c r="C10438" s="3" t="s">
        <v>10</v>
      </c>
      <c r="D10438" s="3" t="s">
        <v>9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/>
      <c r="P10438" s="3"/>
      <c r="Q10438" s="3"/>
    </row>
    <row r="10439" spans="1:17" ht="15" x14ac:dyDescent="0.25">
      <c r="A10439" s="3">
        <f>10432</f>
        <v>10432</v>
      </c>
      <c r="B10439" s="3" t="s">
        <v>10441</v>
      </c>
      <c r="C10439" s="3" t="s">
        <v>10</v>
      </c>
      <c r="D10439" s="3" t="s">
        <v>9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/>
      <c r="P10439" s="3"/>
      <c r="Q10439" s="3"/>
    </row>
    <row r="10440" spans="1:17" ht="15" x14ac:dyDescent="0.25">
      <c r="A10440" s="3">
        <f>10433</f>
        <v>10433</v>
      </c>
      <c r="B10440" s="3" t="s">
        <v>10442</v>
      </c>
      <c r="C10440" s="3" t="s">
        <v>10</v>
      </c>
      <c r="D10440" s="3" t="s">
        <v>9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/>
      <c r="P10440" s="3"/>
      <c r="Q10440" s="3"/>
    </row>
    <row r="10441" spans="1:17" ht="15" x14ac:dyDescent="0.25">
      <c r="A10441" s="3">
        <f>10434</f>
        <v>10434</v>
      </c>
      <c r="B10441" s="3" t="s">
        <v>10443</v>
      </c>
      <c r="C10441" s="3" t="s">
        <v>10</v>
      </c>
      <c r="D10441" s="3" t="s">
        <v>9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/>
      <c r="P10441" s="3"/>
      <c r="Q10441" s="3"/>
    </row>
    <row r="10442" spans="1:17" ht="15" x14ac:dyDescent="0.25">
      <c r="A10442" s="3">
        <f>10435</f>
        <v>10435</v>
      </c>
      <c r="B10442" s="3" t="s">
        <v>10444</v>
      </c>
      <c r="C10442" s="3" t="s">
        <v>10</v>
      </c>
      <c r="D10442" s="3" t="s">
        <v>9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/>
      <c r="P10442" s="3"/>
      <c r="Q10442" s="3"/>
    </row>
    <row r="10443" spans="1:17" ht="15" x14ac:dyDescent="0.25">
      <c r="A10443" s="3">
        <f>10436</f>
        <v>10436</v>
      </c>
      <c r="B10443" s="3" t="s">
        <v>10445</v>
      </c>
      <c r="C10443" s="3" t="s">
        <v>10</v>
      </c>
      <c r="D10443" s="3" t="s">
        <v>9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/>
      <c r="P10443" s="3"/>
      <c r="Q10443" s="3"/>
    </row>
    <row r="10444" spans="1:17" ht="15" x14ac:dyDescent="0.25">
      <c r="A10444" s="3">
        <f>10437</f>
        <v>10437</v>
      </c>
      <c r="B10444" s="3" t="s">
        <v>10446</v>
      </c>
      <c r="C10444" s="3" t="s">
        <v>10</v>
      </c>
      <c r="D10444" s="3" t="s">
        <v>9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/>
      <c r="P10444" s="3"/>
      <c r="Q10444" s="3"/>
    </row>
    <row r="10445" spans="1:17" ht="15" x14ac:dyDescent="0.25">
      <c r="A10445" s="3">
        <f>10438</f>
        <v>10438</v>
      </c>
      <c r="B10445" s="3" t="s">
        <v>10447</v>
      </c>
      <c r="C10445" s="3" t="s">
        <v>10</v>
      </c>
      <c r="D10445" s="3" t="s">
        <v>9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/>
      <c r="P10445" s="3"/>
      <c r="Q10445" s="3"/>
    </row>
    <row r="10446" spans="1:17" ht="15" x14ac:dyDescent="0.25">
      <c r="A10446" s="3">
        <f>10439</f>
        <v>10439</v>
      </c>
      <c r="B10446" s="3" t="s">
        <v>10448</v>
      </c>
      <c r="C10446" s="3" t="s">
        <v>10</v>
      </c>
      <c r="D10446" s="3" t="s">
        <v>9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/>
      <c r="P10446" s="3"/>
      <c r="Q10446" s="3"/>
    </row>
    <row r="10447" spans="1:17" ht="15" x14ac:dyDescent="0.25">
      <c r="A10447" s="3">
        <f>10440</f>
        <v>10440</v>
      </c>
      <c r="B10447" s="3" t="s">
        <v>10449</v>
      </c>
      <c r="C10447" s="3" t="s">
        <v>10</v>
      </c>
      <c r="D10447" s="3" t="s">
        <v>9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/>
      <c r="P10447" s="3"/>
      <c r="Q10447" s="3"/>
    </row>
    <row r="10448" spans="1:17" ht="15" x14ac:dyDescent="0.25">
      <c r="A10448" s="3">
        <f>10441</f>
        <v>10441</v>
      </c>
      <c r="B10448" s="3" t="s">
        <v>10450</v>
      </c>
      <c r="C10448" s="3" t="s">
        <v>10</v>
      </c>
      <c r="D10448" s="3" t="s">
        <v>9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/>
      <c r="P10448" s="3"/>
      <c r="Q10448" s="3"/>
    </row>
    <row r="10449" spans="1:17" ht="15" x14ac:dyDescent="0.25">
      <c r="A10449" s="3">
        <f>10442</f>
        <v>10442</v>
      </c>
      <c r="B10449" s="3" t="s">
        <v>10451</v>
      </c>
      <c r="C10449" s="3" t="s">
        <v>10</v>
      </c>
      <c r="D10449" s="3" t="s">
        <v>9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/>
      <c r="P10449" s="3"/>
      <c r="Q10449" s="3"/>
    </row>
    <row r="10450" spans="1:17" ht="15" x14ac:dyDescent="0.25">
      <c r="A10450" s="3">
        <f>10443</f>
        <v>10443</v>
      </c>
      <c r="B10450" s="3" t="s">
        <v>10452</v>
      </c>
      <c r="C10450" s="3" t="s">
        <v>10</v>
      </c>
      <c r="D10450" s="3" t="s">
        <v>9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/>
      <c r="P10450" s="3"/>
      <c r="Q10450" s="3"/>
    </row>
    <row r="10451" spans="1:17" ht="15" x14ac:dyDescent="0.25">
      <c r="A10451" s="3">
        <f>10444</f>
        <v>10444</v>
      </c>
      <c r="B10451" s="3" t="s">
        <v>10453</v>
      </c>
      <c r="C10451" s="3" t="s">
        <v>10</v>
      </c>
      <c r="D10451" s="3" t="s">
        <v>9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/>
      <c r="P10451" s="3"/>
      <c r="Q10451" s="3"/>
    </row>
    <row r="10452" spans="1:17" ht="15" x14ac:dyDescent="0.25">
      <c r="A10452" s="3">
        <f>10445</f>
        <v>10445</v>
      </c>
      <c r="B10452" s="3" t="s">
        <v>10454</v>
      </c>
      <c r="C10452" s="3" t="s">
        <v>10</v>
      </c>
      <c r="D10452" s="3" t="s">
        <v>9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/>
      <c r="P10452" s="3"/>
      <c r="Q10452" s="3"/>
    </row>
    <row r="10453" spans="1:17" ht="15" x14ac:dyDescent="0.25">
      <c r="A10453" s="3">
        <f>10446</f>
        <v>10446</v>
      </c>
      <c r="B10453" s="3" t="s">
        <v>10455</v>
      </c>
      <c r="C10453" s="3" t="s">
        <v>10</v>
      </c>
      <c r="D10453" s="3" t="s">
        <v>9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/>
      <c r="P10453" s="3"/>
      <c r="Q10453" s="3"/>
    </row>
    <row r="10454" spans="1:17" ht="15" x14ac:dyDescent="0.25">
      <c r="A10454" s="3">
        <f>10447</f>
        <v>10447</v>
      </c>
      <c r="B10454" s="3" t="s">
        <v>10456</v>
      </c>
      <c r="C10454" s="3" t="s">
        <v>10</v>
      </c>
      <c r="D10454" s="3" t="s">
        <v>9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/>
      <c r="P10454" s="3"/>
      <c r="Q10454" s="3"/>
    </row>
    <row r="10455" spans="1:17" ht="15" x14ac:dyDescent="0.25">
      <c r="A10455" s="3">
        <f>10448</f>
        <v>10448</v>
      </c>
      <c r="B10455" s="3" t="s">
        <v>10457</v>
      </c>
      <c r="C10455" s="3" t="s">
        <v>10</v>
      </c>
      <c r="D10455" s="3" t="s">
        <v>9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/>
      <c r="P10455" s="3"/>
      <c r="Q10455" s="3"/>
    </row>
    <row r="10456" spans="1:17" ht="15" x14ac:dyDescent="0.25">
      <c r="A10456" s="3">
        <f>10449</f>
        <v>10449</v>
      </c>
      <c r="B10456" s="3" t="s">
        <v>10458</v>
      </c>
      <c r="C10456" s="3" t="s">
        <v>10</v>
      </c>
      <c r="D10456" s="3" t="s">
        <v>9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/>
      <c r="P10456" s="3"/>
      <c r="Q10456" s="3"/>
    </row>
    <row r="10457" spans="1:17" ht="15" x14ac:dyDescent="0.25">
      <c r="A10457" s="3">
        <f>10450</f>
        <v>10450</v>
      </c>
      <c r="B10457" s="3" t="s">
        <v>10459</v>
      </c>
      <c r="C10457" s="3" t="s">
        <v>10</v>
      </c>
      <c r="D10457" s="3" t="s">
        <v>9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/>
      <c r="P10457" s="3"/>
      <c r="Q10457" s="3"/>
    </row>
    <row r="10458" spans="1:17" ht="15" x14ac:dyDescent="0.25">
      <c r="A10458" s="3">
        <f>10451</f>
        <v>10451</v>
      </c>
      <c r="B10458" s="3" t="s">
        <v>10460</v>
      </c>
      <c r="C10458" s="3" t="s">
        <v>10</v>
      </c>
      <c r="D10458" s="3" t="s">
        <v>9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/>
      <c r="P10458" s="3"/>
      <c r="Q10458" s="3"/>
    </row>
    <row r="10459" spans="1:17" ht="15" x14ac:dyDescent="0.25">
      <c r="A10459" s="3">
        <f>10452</f>
        <v>10452</v>
      </c>
      <c r="B10459" s="3" t="s">
        <v>10461</v>
      </c>
      <c r="C10459" s="3" t="s">
        <v>10</v>
      </c>
      <c r="D10459" s="3" t="s">
        <v>9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/>
      <c r="P10459" s="3"/>
      <c r="Q10459" s="3"/>
    </row>
    <row r="10460" spans="1:17" ht="15" x14ac:dyDescent="0.25">
      <c r="A10460" s="3">
        <f>10453</f>
        <v>10453</v>
      </c>
      <c r="B10460" s="3" t="s">
        <v>10462</v>
      </c>
      <c r="C10460" s="3" t="s">
        <v>10</v>
      </c>
      <c r="D10460" s="3" t="s">
        <v>9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/>
      <c r="P10460" s="3"/>
      <c r="Q10460" s="3"/>
    </row>
    <row r="10461" spans="1:17" ht="15" x14ac:dyDescent="0.25">
      <c r="A10461" s="3">
        <f>10454</f>
        <v>10454</v>
      </c>
      <c r="B10461" s="3" t="s">
        <v>10463</v>
      </c>
      <c r="C10461" s="3" t="s">
        <v>10</v>
      </c>
      <c r="D10461" s="3" t="s">
        <v>9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/>
      <c r="P10461" s="3"/>
      <c r="Q10461" s="3"/>
    </row>
    <row r="10462" spans="1:17" ht="15" x14ac:dyDescent="0.25">
      <c r="A10462" s="3">
        <f>10455</f>
        <v>10455</v>
      </c>
      <c r="B10462" s="3" t="s">
        <v>10464</v>
      </c>
      <c r="C10462" s="3" t="s">
        <v>10</v>
      </c>
      <c r="D10462" s="3" t="s">
        <v>9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/>
      <c r="P10462" s="3"/>
      <c r="Q10462" s="3"/>
    </row>
    <row r="10463" spans="1:17" ht="15" x14ac:dyDescent="0.25">
      <c r="A10463" s="3">
        <f>10456</f>
        <v>10456</v>
      </c>
      <c r="B10463" s="3" t="s">
        <v>10465</v>
      </c>
      <c r="C10463" s="3" t="s">
        <v>10</v>
      </c>
      <c r="D10463" s="3" t="s">
        <v>9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/>
      <c r="P10463" s="3"/>
      <c r="Q10463" s="3"/>
    </row>
    <row r="10464" spans="1:17" ht="15" x14ac:dyDescent="0.25">
      <c r="A10464" s="3">
        <f>10457</f>
        <v>10457</v>
      </c>
      <c r="B10464" s="3" t="s">
        <v>10466</v>
      </c>
      <c r="C10464" s="3" t="s">
        <v>10</v>
      </c>
      <c r="D10464" s="3" t="s">
        <v>9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/>
      <c r="P10464" s="3"/>
      <c r="Q10464" s="3"/>
    </row>
    <row r="10465" spans="1:17" ht="15" x14ac:dyDescent="0.25">
      <c r="A10465" s="3">
        <f>10458</f>
        <v>10458</v>
      </c>
      <c r="B10465" s="3" t="s">
        <v>10467</v>
      </c>
      <c r="C10465" s="3" t="s">
        <v>10</v>
      </c>
      <c r="D10465" s="3" t="s">
        <v>9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/>
      <c r="P10465" s="3"/>
      <c r="Q10465" s="3"/>
    </row>
    <row r="10466" spans="1:17" ht="15" x14ac:dyDescent="0.25">
      <c r="A10466" s="3">
        <f>10459</f>
        <v>10459</v>
      </c>
      <c r="B10466" s="3" t="s">
        <v>10468</v>
      </c>
      <c r="C10466" s="3" t="s">
        <v>10</v>
      </c>
      <c r="D10466" s="3" t="s">
        <v>9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/>
      <c r="P10466" s="3"/>
      <c r="Q10466" s="3"/>
    </row>
    <row r="10467" spans="1:17" ht="15" x14ac:dyDescent="0.25">
      <c r="A10467" s="3">
        <f>10460</f>
        <v>10460</v>
      </c>
      <c r="B10467" s="3" t="s">
        <v>10469</v>
      </c>
      <c r="C10467" s="3" t="s">
        <v>10</v>
      </c>
      <c r="D10467" s="3" t="s">
        <v>9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/>
      <c r="P10467" s="3"/>
      <c r="Q10467" s="3"/>
    </row>
    <row r="10468" spans="1:17" ht="15" x14ac:dyDescent="0.25">
      <c r="A10468" s="3">
        <f>10461</f>
        <v>10461</v>
      </c>
      <c r="B10468" s="3" t="s">
        <v>10470</v>
      </c>
      <c r="C10468" s="3" t="s">
        <v>10</v>
      </c>
      <c r="D10468" s="3" t="s">
        <v>9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/>
      <c r="P10468" s="3"/>
      <c r="Q10468" s="3"/>
    </row>
    <row r="10469" spans="1:17" ht="15" x14ac:dyDescent="0.25">
      <c r="A10469" s="3">
        <f>10462</f>
        <v>10462</v>
      </c>
      <c r="B10469" s="3" t="s">
        <v>10471</v>
      </c>
      <c r="C10469" s="3" t="s">
        <v>10</v>
      </c>
      <c r="D10469" s="3" t="s">
        <v>9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/>
      <c r="P10469" s="3"/>
      <c r="Q10469" s="3"/>
    </row>
    <row r="10470" spans="1:17" ht="15" x14ac:dyDescent="0.25">
      <c r="A10470" s="3">
        <f>10463</f>
        <v>10463</v>
      </c>
      <c r="B10470" s="3" t="s">
        <v>10472</v>
      </c>
      <c r="C10470" s="3" t="s">
        <v>10</v>
      </c>
      <c r="D10470" s="3" t="s">
        <v>9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/>
      <c r="P10470" s="3"/>
      <c r="Q10470" s="3"/>
    </row>
    <row r="10471" spans="1:17" ht="15" x14ac:dyDescent="0.25">
      <c r="A10471" s="3">
        <f>10464</f>
        <v>10464</v>
      </c>
      <c r="B10471" s="3" t="s">
        <v>10473</v>
      </c>
      <c r="C10471" s="3" t="s">
        <v>10</v>
      </c>
      <c r="D10471" s="3" t="s">
        <v>9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/>
      <c r="P10471" s="3"/>
      <c r="Q10471" s="3"/>
    </row>
    <row r="10472" spans="1:17" ht="15" x14ac:dyDescent="0.25">
      <c r="A10472" s="3">
        <f>10465</f>
        <v>10465</v>
      </c>
      <c r="B10472" s="3" t="s">
        <v>10474</v>
      </c>
      <c r="C10472" s="3" t="s">
        <v>10</v>
      </c>
      <c r="D10472" s="3" t="s">
        <v>9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/>
      <c r="P10472" s="3"/>
      <c r="Q10472" s="3"/>
    </row>
    <row r="10473" spans="1:17" ht="15" x14ac:dyDescent="0.25">
      <c r="A10473" s="3">
        <f>10466</f>
        <v>10466</v>
      </c>
      <c r="B10473" s="3" t="s">
        <v>10475</v>
      </c>
      <c r="C10473" s="3" t="s">
        <v>10</v>
      </c>
      <c r="D10473" s="3" t="s">
        <v>9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/>
      <c r="P10473" s="3"/>
      <c r="Q10473" s="3"/>
    </row>
    <row r="10474" spans="1:17" ht="15" x14ac:dyDescent="0.25">
      <c r="A10474" s="3">
        <f>10467</f>
        <v>10467</v>
      </c>
      <c r="B10474" s="3" t="s">
        <v>10476</v>
      </c>
      <c r="C10474" s="3" t="s">
        <v>10</v>
      </c>
      <c r="D10474" s="3" t="s">
        <v>9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/>
      <c r="P10474" s="3"/>
      <c r="Q10474" s="3"/>
    </row>
    <row r="10475" spans="1:17" ht="15" x14ac:dyDescent="0.25">
      <c r="A10475" s="3">
        <f>10468</f>
        <v>10468</v>
      </c>
      <c r="B10475" s="3" t="s">
        <v>10477</v>
      </c>
      <c r="C10475" s="3" t="s">
        <v>10</v>
      </c>
      <c r="D10475" s="3" t="s">
        <v>9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/>
      <c r="P10475" s="3"/>
      <c r="Q10475" s="3"/>
    </row>
    <row r="10476" spans="1:17" ht="15" x14ac:dyDescent="0.25">
      <c r="A10476" s="3">
        <f>10469</f>
        <v>10469</v>
      </c>
      <c r="B10476" s="3" t="s">
        <v>10478</v>
      </c>
      <c r="C10476" s="3" t="s">
        <v>10</v>
      </c>
      <c r="D10476" s="3" t="s">
        <v>9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/>
      <c r="P10476" s="3"/>
      <c r="Q10476" s="3"/>
    </row>
    <row r="10477" spans="1:17" ht="15" x14ac:dyDescent="0.25">
      <c r="A10477" s="3">
        <f>10470</f>
        <v>10470</v>
      </c>
      <c r="B10477" s="3" t="s">
        <v>10479</v>
      </c>
      <c r="C10477" s="3" t="s">
        <v>10</v>
      </c>
      <c r="D10477" s="3" t="s">
        <v>9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/>
      <c r="P10477" s="3"/>
      <c r="Q10477" s="3"/>
    </row>
    <row r="10478" spans="1:17" ht="15" x14ac:dyDescent="0.25">
      <c r="A10478" s="3">
        <f>10471</f>
        <v>10471</v>
      </c>
      <c r="B10478" s="3" t="s">
        <v>10480</v>
      </c>
      <c r="C10478" s="3" t="s">
        <v>10</v>
      </c>
      <c r="D10478" s="3" t="s">
        <v>9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/>
      <c r="P10478" s="3"/>
      <c r="Q10478" s="3"/>
    </row>
    <row r="10479" spans="1:17" ht="15" x14ac:dyDescent="0.25">
      <c r="A10479" s="3">
        <f>10472</f>
        <v>10472</v>
      </c>
      <c r="B10479" s="3" t="s">
        <v>10481</v>
      </c>
      <c r="C10479" s="3" t="s">
        <v>10</v>
      </c>
      <c r="D10479" s="3" t="s">
        <v>9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/>
      <c r="P10479" s="3"/>
      <c r="Q10479" s="3"/>
    </row>
    <row r="10480" spans="1:17" ht="15" x14ac:dyDescent="0.25">
      <c r="A10480" s="3">
        <f>10473</f>
        <v>10473</v>
      </c>
      <c r="B10480" s="3" t="s">
        <v>10482</v>
      </c>
      <c r="C10480" s="3" t="s">
        <v>10</v>
      </c>
      <c r="D10480" s="3" t="s">
        <v>9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/>
      <c r="P10480" s="3"/>
      <c r="Q10480" s="3"/>
    </row>
    <row r="10481" spans="1:17" ht="15" x14ac:dyDescent="0.25">
      <c r="A10481" s="3">
        <f>10474</f>
        <v>10474</v>
      </c>
      <c r="B10481" s="3" t="s">
        <v>10483</v>
      </c>
      <c r="C10481" s="3" t="s">
        <v>9</v>
      </c>
      <c r="D10481" s="3" t="s">
        <v>10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/>
      <c r="P10481" s="3"/>
      <c r="Q10481" s="3"/>
    </row>
    <row r="10482" spans="1:17" ht="15" x14ac:dyDescent="0.25">
      <c r="A10482" s="3">
        <f>10475</f>
        <v>10475</v>
      </c>
      <c r="B10482" s="3" t="s">
        <v>10484</v>
      </c>
      <c r="C10482" s="3" t="s">
        <v>9</v>
      </c>
      <c r="D10482" s="3" t="s">
        <v>10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/>
      <c r="P10482" s="3"/>
      <c r="Q10482" s="3"/>
    </row>
    <row r="10483" spans="1:17" ht="15" x14ac:dyDescent="0.25">
      <c r="A10483" s="3">
        <f>10476</f>
        <v>10476</v>
      </c>
      <c r="B10483" s="3" t="s">
        <v>10485</v>
      </c>
      <c r="C10483" s="3" t="s">
        <v>10</v>
      </c>
      <c r="D10483" s="3" t="s">
        <v>9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/>
      <c r="P10483" s="3"/>
      <c r="Q10483" s="3"/>
    </row>
    <row r="10484" spans="1:17" ht="15" x14ac:dyDescent="0.25">
      <c r="A10484" s="3">
        <f>10477</f>
        <v>10477</v>
      </c>
      <c r="B10484" s="3" t="s">
        <v>10486</v>
      </c>
      <c r="C10484" s="3" t="s">
        <v>9</v>
      </c>
      <c r="D10484" s="3" t="s">
        <v>10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/>
      <c r="P10484" s="3"/>
      <c r="Q10484" s="3"/>
    </row>
    <row r="10485" spans="1:17" ht="15" x14ac:dyDescent="0.25">
      <c r="A10485" s="3">
        <f>10478</f>
        <v>10478</v>
      </c>
      <c r="B10485" s="3" t="s">
        <v>10487</v>
      </c>
      <c r="C10485" s="3" t="s">
        <v>9</v>
      </c>
      <c r="D10485" s="3" t="s">
        <v>10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/>
      <c r="P10485" s="3"/>
      <c r="Q10485" s="3"/>
    </row>
    <row r="10486" spans="1:17" ht="15" x14ac:dyDescent="0.25">
      <c r="A10486" s="3">
        <f>10479</f>
        <v>10479</v>
      </c>
      <c r="B10486" s="3" t="s">
        <v>10488</v>
      </c>
      <c r="C10486" s="3" t="s">
        <v>9</v>
      </c>
      <c r="D10486" s="3" t="s">
        <v>10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/>
      <c r="P10486" s="3"/>
      <c r="Q10486" s="3"/>
    </row>
    <row r="10487" spans="1:17" ht="15" x14ac:dyDescent="0.25">
      <c r="A10487" s="3">
        <f>10480</f>
        <v>10480</v>
      </c>
      <c r="B10487" s="3" t="s">
        <v>10489</v>
      </c>
      <c r="C10487" s="3" t="s">
        <v>9</v>
      </c>
      <c r="D10487" s="3" t="s">
        <v>10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/>
      <c r="P10487" s="3"/>
      <c r="Q10487" s="3"/>
    </row>
    <row r="10488" spans="1:17" ht="15" x14ac:dyDescent="0.25">
      <c r="A10488" s="3">
        <f>10481</f>
        <v>10481</v>
      </c>
      <c r="B10488" s="3" t="s">
        <v>10490</v>
      </c>
      <c r="C10488" s="3" t="s">
        <v>9</v>
      </c>
      <c r="D10488" s="3" t="s">
        <v>10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/>
      <c r="P10488" s="3"/>
      <c r="Q10488" s="3"/>
    </row>
    <row r="10489" spans="1:17" ht="15" x14ac:dyDescent="0.25">
      <c r="A10489" s="3">
        <f>10482</f>
        <v>10482</v>
      </c>
      <c r="B10489" s="3" t="s">
        <v>10491</v>
      </c>
      <c r="C10489" s="3" t="s">
        <v>9</v>
      </c>
      <c r="D10489" s="3" t="s">
        <v>10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/>
      <c r="P10489" s="3"/>
      <c r="Q10489" s="3"/>
    </row>
    <row r="10490" spans="1:17" ht="15" x14ac:dyDescent="0.25">
      <c r="A10490" s="3">
        <f>10483</f>
        <v>10483</v>
      </c>
      <c r="B10490" s="3" t="s">
        <v>10492</v>
      </c>
      <c r="C10490" s="3" t="s">
        <v>9</v>
      </c>
      <c r="D10490" s="3" t="s">
        <v>10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/>
      <c r="P10490" s="3"/>
      <c r="Q10490" s="3"/>
    </row>
    <row r="10491" spans="1:17" ht="15" x14ac:dyDescent="0.25">
      <c r="A10491" s="3">
        <f>10484</f>
        <v>10484</v>
      </c>
      <c r="B10491" s="3" t="s">
        <v>10493</v>
      </c>
      <c r="C10491" s="3" t="s">
        <v>9</v>
      </c>
      <c r="D10491" s="3" t="s">
        <v>10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/>
      <c r="P10491" s="3"/>
      <c r="Q10491" s="3"/>
    </row>
    <row r="10492" spans="1:17" ht="15" x14ac:dyDescent="0.25">
      <c r="A10492" s="3">
        <f>10485</f>
        <v>10485</v>
      </c>
      <c r="B10492" s="3" t="s">
        <v>10494</v>
      </c>
      <c r="C10492" s="3" t="s">
        <v>9</v>
      </c>
      <c r="D10492" s="3" t="s">
        <v>10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/>
      <c r="P10492" s="3"/>
      <c r="Q10492" s="3"/>
    </row>
    <row r="10493" spans="1:17" ht="15" x14ac:dyDescent="0.25">
      <c r="A10493" s="3">
        <f>10486</f>
        <v>10486</v>
      </c>
      <c r="B10493" s="3" t="s">
        <v>10495</v>
      </c>
      <c r="C10493" s="3" t="s">
        <v>9</v>
      </c>
      <c r="D10493" s="3" t="s">
        <v>10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/>
      <c r="P10493" s="3"/>
      <c r="Q10493" s="3"/>
    </row>
    <row r="10494" spans="1:17" ht="15" x14ac:dyDescent="0.25">
      <c r="A10494" s="3">
        <f>10487</f>
        <v>10487</v>
      </c>
      <c r="B10494" s="3" t="s">
        <v>10496</v>
      </c>
      <c r="C10494" s="3" t="s">
        <v>9</v>
      </c>
      <c r="D10494" s="3" t="s">
        <v>10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/>
      <c r="P10494" s="3"/>
      <c r="Q10494" s="3"/>
    </row>
    <row r="10495" spans="1:17" ht="15" x14ac:dyDescent="0.25">
      <c r="A10495" s="3">
        <f>10488</f>
        <v>10488</v>
      </c>
      <c r="B10495" s="3" t="s">
        <v>10497</v>
      </c>
      <c r="C10495" s="3" t="s">
        <v>9</v>
      </c>
      <c r="D10495" s="3" t="s">
        <v>10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/>
      <c r="P10495" s="3"/>
      <c r="Q10495" s="3"/>
    </row>
    <row r="10496" spans="1:17" ht="15" x14ac:dyDescent="0.25">
      <c r="A10496" s="3">
        <f>10489</f>
        <v>10489</v>
      </c>
      <c r="B10496" s="3" t="s">
        <v>10498</v>
      </c>
      <c r="C10496" s="3" t="s">
        <v>9</v>
      </c>
      <c r="D10496" s="3" t="s">
        <v>10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/>
      <c r="P10496" s="3"/>
      <c r="Q10496" s="3"/>
    </row>
    <row r="10497" spans="1:17" ht="15" x14ac:dyDescent="0.25">
      <c r="A10497" s="3">
        <f>10490</f>
        <v>10490</v>
      </c>
      <c r="B10497" s="3" t="s">
        <v>10499</v>
      </c>
      <c r="C10497" s="3" t="s">
        <v>9</v>
      </c>
      <c r="D10497" s="3" t="s">
        <v>10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/>
      <c r="P10497" s="3"/>
      <c r="Q10497" s="3"/>
    </row>
    <row r="10498" spans="1:17" ht="15" x14ac:dyDescent="0.25">
      <c r="A10498" s="3">
        <f>10491</f>
        <v>10491</v>
      </c>
      <c r="B10498" s="3" t="s">
        <v>10500</v>
      </c>
      <c r="C10498" s="3" t="s">
        <v>9</v>
      </c>
      <c r="D10498" s="3" t="s">
        <v>10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/>
      <c r="P10498" s="3"/>
      <c r="Q10498" s="3"/>
    </row>
    <row r="10499" spans="1:17" ht="15" x14ac:dyDescent="0.25">
      <c r="A10499" s="3">
        <f>10492</f>
        <v>10492</v>
      </c>
      <c r="B10499" s="3" t="s">
        <v>10501</v>
      </c>
      <c r="C10499" s="3" t="s">
        <v>9</v>
      </c>
      <c r="D10499" s="3" t="s">
        <v>10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/>
      <c r="P10499" s="3"/>
      <c r="Q10499" s="3"/>
    </row>
    <row r="10500" spans="1:17" ht="15" x14ac:dyDescent="0.25">
      <c r="A10500" s="3">
        <f>10493</f>
        <v>10493</v>
      </c>
      <c r="B10500" s="3" t="s">
        <v>10502</v>
      </c>
      <c r="C10500" s="3" t="s">
        <v>9</v>
      </c>
      <c r="D10500" s="3" t="s">
        <v>10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/>
      <c r="P10500" s="3"/>
      <c r="Q10500" s="3"/>
    </row>
    <row r="10501" spans="1:17" ht="15" x14ac:dyDescent="0.25">
      <c r="A10501" s="3">
        <f>10494</f>
        <v>10494</v>
      </c>
      <c r="B10501" s="3" t="s">
        <v>10503</v>
      </c>
      <c r="C10501" s="3" t="s">
        <v>9</v>
      </c>
      <c r="D10501" s="3" t="s">
        <v>10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/>
      <c r="P10501" s="3"/>
      <c r="Q10501" s="3"/>
    </row>
    <row r="10502" spans="1:17" ht="15" x14ac:dyDescent="0.25">
      <c r="A10502" s="3">
        <f>10495</f>
        <v>10495</v>
      </c>
      <c r="B10502" s="3" t="s">
        <v>10504</v>
      </c>
      <c r="C10502" s="3" t="s">
        <v>9</v>
      </c>
      <c r="D10502" s="3" t="s">
        <v>10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/>
      <c r="P10502" s="3"/>
      <c r="Q10502" s="3"/>
    </row>
    <row r="10503" spans="1:17" ht="15" x14ac:dyDescent="0.25">
      <c r="A10503" s="3">
        <f>10496</f>
        <v>10496</v>
      </c>
      <c r="B10503" s="3" t="s">
        <v>10505</v>
      </c>
      <c r="C10503" s="3" t="s">
        <v>9</v>
      </c>
      <c r="D10503" s="3" t="s">
        <v>10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/>
      <c r="P10503" s="3"/>
      <c r="Q10503" s="3"/>
    </row>
    <row r="10504" spans="1:17" ht="15" x14ac:dyDescent="0.25">
      <c r="A10504" s="3">
        <f>10497</f>
        <v>10497</v>
      </c>
      <c r="B10504" s="3" t="s">
        <v>10506</v>
      </c>
      <c r="C10504" s="3" t="s">
        <v>9</v>
      </c>
      <c r="D10504" s="3" t="s">
        <v>10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/>
      <c r="P10504" s="3"/>
      <c r="Q10504" s="3"/>
    </row>
    <row r="10505" spans="1:17" ht="15" x14ac:dyDescent="0.25">
      <c r="A10505" s="3">
        <f>10498</f>
        <v>10498</v>
      </c>
      <c r="B10505" s="3" t="s">
        <v>10507</v>
      </c>
      <c r="C10505" s="3" t="s">
        <v>9</v>
      </c>
      <c r="D10505" s="3" t="s">
        <v>10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/>
      <c r="P10505" s="3"/>
      <c r="Q10505" s="3"/>
    </row>
    <row r="10506" spans="1:17" ht="15" x14ac:dyDescent="0.25">
      <c r="A10506" s="3">
        <f>10499</f>
        <v>10499</v>
      </c>
      <c r="B10506" s="3" t="s">
        <v>10508</v>
      </c>
      <c r="C10506" s="3" t="s">
        <v>9</v>
      </c>
      <c r="D10506" s="3" t="s">
        <v>10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/>
      <c r="P10506" s="3"/>
      <c r="Q10506" s="3"/>
    </row>
    <row r="10507" spans="1:17" ht="15" x14ac:dyDescent="0.25">
      <c r="A10507" s="3">
        <f>10500</f>
        <v>10500</v>
      </c>
      <c r="B10507" s="3" t="s">
        <v>10509</v>
      </c>
      <c r="C10507" s="3" t="s">
        <v>9</v>
      </c>
      <c r="D10507" s="3" t="s">
        <v>10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/>
      <c r="P10507" s="3"/>
      <c r="Q10507" s="3"/>
    </row>
    <row r="10508" spans="1:17" ht="15" x14ac:dyDescent="0.25">
      <c r="A10508" s="3">
        <f>10501</f>
        <v>10501</v>
      </c>
      <c r="B10508" s="3" t="s">
        <v>10510</v>
      </c>
      <c r="C10508" s="3" t="s">
        <v>9</v>
      </c>
      <c r="D10508" s="3" t="s">
        <v>10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/>
      <c r="P10508" s="3"/>
      <c r="Q10508" s="3"/>
    </row>
    <row r="10509" spans="1:17" ht="15" x14ac:dyDescent="0.25">
      <c r="A10509" s="3">
        <f>10502</f>
        <v>10502</v>
      </c>
      <c r="B10509" s="3" t="s">
        <v>10511</v>
      </c>
      <c r="C10509" s="3" t="s">
        <v>9</v>
      </c>
      <c r="D10509" s="3" t="s">
        <v>10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/>
      <c r="P10509" s="3"/>
      <c r="Q10509" s="3"/>
    </row>
    <row r="10510" spans="1:17" ht="15" x14ac:dyDescent="0.25">
      <c r="A10510" s="3">
        <f>10503</f>
        <v>10503</v>
      </c>
      <c r="B10510" s="3" t="s">
        <v>10512</v>
      </c>
      <c r="C10510" s="3" t="s">
        <v>9</v>
      </c>
      <c r="D10510" s="3" t="s">
        <v>10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/>
      <c r="P10510" s="3"/>
      <c r="Q10510" s="3"/>
    </row>
    <row r="10511" spans="1:17" ht="15" x14ac:dyDescent="0.25">
      <c r="A10511" s="3">
        <f>10504</f>
        <v>10504</v>
      </c>
      <c r="B10511" s="3" t="s">
        <v>10513</v>
      </c>
      <c r="C10511" s="3" t="s">
        <v>9</v>
      </c>
      <c r="D10511" s="3" t="s">
        <v>10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/>
      <c r="P10511" s="3"/>
      <c r="Q10511" s="3"/>
    </row>
    <row r="10512" spans="1:17" ht="15" x14ac:dyDescent="0.25">
      <c r="A10512" s="3">
        <f>10505</f>
        <v>10505</v>
      </c>
      <c r="B10512" s="3" t="s">
        <v>10514</v>
      </c>
      <c r="C10512" s="3" t="s">
        <v>9</v>
      </c>
      <c r="D10512" s="3" t="s">
        <v>10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/>
      <c r="P10512" s="3"/>
      <c r="Q10512" s="3"/>
    </row>
    <row r="10513" spans="1:17" ht="15" x14ac:dyDescent="0.25">
      <c r="A10513" s="3">
        <f>10506</f>
        <v>10506</v>
      </c>
      <c r="B10513" s="3" t="s">
        <v>10515</v>
      </c>
      <c r="C10513" s="3" t="s">
        <v>9</v>
      </c>
      <c r="D10513" s="3" t="s">
        <v>10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/>
      <c r="P10513" s="3"/>
      <c r="Q10513" s="3"/>
    </row>
    <row r="10514" spans="1:17" ht="15" x14ac:dyDescent="0.25">
      <c r="A10514" s="3">
        <f>10507</f>
        <v>10507</v>
      </c>
      <c r="B10514" s="3" t="s">
        <v>10516</v>
      </c>
      <c r="C10514" s="3" t="s">
        <v>9</v>
      </c>
      <c r="D10514" s="3" t="s">
        <v>10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/>
      <c r="P10514" s="3"/>
      <c r="Q10514" s="3"/>
    </row>
    <row r="10515" spans="1:17" ht="15" x14ac:dyDescent="0.25">
      <c r="A10515" s="3">
        <f>10508</f>
        <v>10508</v>
      </c>
      <c r="B10515" s="3" t="s">
        <v>10517</v>
      </c>
      <c r="C10515" s="3" t="s">
        <v>9</v>
      </c>
      <c r="D10515" s="3" t="s">
        <v>10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/>
      <c r="P10515" s="3"/>
      <c r="Q10515" s="3"/>
    </row>
    <row r="10516" spans="1:17" ht="15" x14ac:dyDescent="0.25">
      <c r="A10516" s="3">
        <f>10509</f>
        <v>10509</v>
      </c>
      <c r="B10516" s="3" t="s">
        <v>10518</v>
      </c>
      <c r="C10516" s="3" t="s">
        <v>9</v>
      </c>
      <c r="D10516" s="3" t="s">
        <v>10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/>
      <c r="P10516" s="3"/>
      <c r="Q10516" s="3"/>
    </row>
    <row r="10517" spans="1:17" ht="15" x14ac:dyDescent="0.25">
      <c r="A10517" s="3">
        <f>10510</f>
        <v>10510</v>
      </c>
      <c r="B10517" s="3" t="s">
        <v>10519</v>
      </c>
      <c r="C10517" s="3" t="s">
        <v>9</v>
      </c>
      <c r="D10517" s="3" t="s">
        <v>10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/>
      <c r="P10517" s="3"/>
      <c r="Q10517" s="3"/>
    </row>
    <row r="10518" spans="1:17" ht="15" x14ac:dyDescent="0.25">
      <c r="A10518" s="3">
        <f>10511</f>
        <v>10511</v>
      </c>
      <c r="B10518" s="3" t="s">
        <v>10520</v>
      </c>
      <c r="C10518" s="3" t="s">
        <v>9</v>
      </c>
      <c r="D10518" s="3" t="s">
        <v>10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/>
      <c r="P10518" s="3"/>
      <c r="Q10518" s="3"/>
    </row>
    <row r="10519" spans="1:17" ht="15" x14ac:dyDescent="0.25">
      <c r="A10519" s="3">
        <f>10512</f>
        <v>10512</v>
      </c>
      <c r="B10519" s="3" t="s">
        <v>10521</v>
      </c>
      <c r="C10519" s="3" t="s">
        <v>9</v>
      </c>
      <c r="D10519" s="3" t="s">
        <v>10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/>
      <c r="P10519" s="3"/>
      <c r="Q10519" s="3"/>
    </row>
    <row r="10520" spans="1:17" ht="15" x14ac:dyDescent="0.25">
      <c r="A10520" s="3">
        <f>10513</f>
        <v>10513</v>
      </c>
      <c r="B10520" s="3" t="s">
        <v>10522</v>
      </c>
      <c r="C10520" s="3" t="s">
        <v>9</v>
      </c>
      <c r="D10520" s="3" t="s">
        <v>10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/>
      <c r="P10520" s="3"/>
      <c r="Q10520" s="3"/>
    </row>
    <row r="10521" spans="1:17" ht="15" x14ac:dyDescent="0.25">
      <c r="A10521" s="3">
        <f>10514</f>
        <v>10514</v>
      </c>
      <c r="B10521" s="3" t="s">
        <v>10523</v>
      </c>
      <c r="C10521" s="3" t="s">
        <v>9</v>
      </c>
      <c r="D10521" s="3" t="s">
        <v>10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/>
      <c r="P10521" s="3"/>
      <c r="Q10521" s="3"/>
    </row>
    <row r="10522" spans="1:17" ht="15" x14ac:dyDescent="0.25">
      <c r="A10522" s="3">
        <f>10515</f>
        <v>10515</v>
      </c>
      <c r="B10522" s="3" t="s">
        <v>10524</v>
      </c>
      <c r="C10522" s="3" t="s">
        <v>9</v>
      </c>
      <c r="D10522" s="3" t="s">
        <v>10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/>
      <c r="P10522" s="3"/>
      <c r="Q10522" s="3"/>
    </row>
    <row r="10523" spans="1:17" ht="15" x14ac:dyDescent="0.25">
      <c r="A10523" s="3">
        <f>10516</f>
        <v>10516</v>
      </c>
      <c r="B10523" s="3" t="s">
        <v>10525</v>
      </c>
      <c r="C10523" s="3" t="s">
        <v>9</v>
      </c>
      <c r="D10523" s="3" t="s">
        <v>10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/>
      <c r="P10523" s="3"/>
      <c r="Q10523" s="3"/>
    </row>
    <row r="10524" spans="1:17" ht="15" x14ac:dyDescent="0.25">
      <c r="A10524" s="3">
        <f>10517</f>
        <v>10517</v>
      </c>
      <c r="B10524" s="3" t="s">
        <v>10526</v>
      </c>
      <c r="C10524" s="3" t="s">
        <v>9</v>
      </c>
      <c r="D10524" s="3" t="s">
        <v>10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/>
      <c r="P10524" s="3"/>
      <c r="Q10524" s="3"/>
    </row>
    <row r="10525" spans="1:17" ht="15" x14ac:dyDescent="0.25">
      <c r="A10525" s="3">
        <f>10518</f>
        <v>10518</v>
      </c>
      <c r="B10525" s="3" t="s">
        <v>10527</v>
      </c>
      <c r="C10525" s="3" t="s">
        <v>9</v>
      </c>
      <c r="D10525" s="3" t="s">
        <v>10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/>
      <c r="P10525" s="3"/>
      <c r="Q10525" s="3"/>
    </row>
    <row r="10526" spans="1:17" ht="15" x14ac:dyDescent="0.25">
      <c r="A10526" s="3">
        <f>10519</f>
        <v>10519</v>
      </c>
      <c r="B10526" s="3" t="s">
        <v>10528</v>
      </c>
      <c r="C10526" s="3" t="s">
        <v>9</v>
      </c>
      <c r="D10526" s="3" t="s">
        <v>10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/>
      <c r="P10526" s="3"/>
      <c r="Q10526" s="3"/>
    </row>
    <row r="10527" spans="1:17" ht="15" x14ac:dyDescent="0.25">
      <c r="A10527" s="3">
        <f>10520</f>
        <v>10520</v>
      </c>
      <c r="B10527" s="3" t="s">
        <v>10529</v>
      </c>
      <c r="C10527" s="3" t="s">
        <v>9</v>
      </c>
      <c r="D10527" s="3" t="s">
        <v>10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/>
      <c r="P10527" s="3"/>
      <c r="Q10527" s="3"/>
    </row>
    <row r="10528" spans="1:17" ht="15" x14ac:dyDescent="0.25">
      <c r="A10528" s="3">
        <f>10521</f>
        <v>10521</v>
      </c>
      <c r="B10528" s="3" t="s">
        <v>10530</v>
      </c>
      <c r="C10528" s="3" t="s">
        <v>9</v>
      </c>
      <c r="D10528" s="3" t="s">
        <v>10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/>
      <c r="P10528" s="3"/>
      <c r="Q10528" s="3"/>
    </row>
    <row r="10529" spans="1:17" ht="15" x14ac:dyDescent="0.25">
      <c r="A10529" s="3">
        <f>10522</f>
        <v>10522</v>
      </c>
      <c r="B10529" s="3" t="s">
        <v>10531</v>
      </c>
      <c r="C10529" s="3" t="s">
        <v>9</v>
      </c>
      <c r="D10529" s="3" t="s">
        <v>10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/>
      <c r="P10529" s="3"/>
      <c r="Q10529" s="3"/>
    </row>
    <row r="10530" spans="1:17" ht="15" x14ac:dyDescent="0.25">
      <c r="A10530" s="3">
        <f>10523</f>
        <v>10523</v>
      </c>
      <c r="B10530" s="3" t="s">
        <v>10532</v>
      </c>
      <c r="C10530" s="3" t="s">
        <v>9</v>
      </c>
      <c r="D10530" s="3" t="s">
        <v>10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/>
      <c r="P10530" s="3"/>
      <c r="Q10530" s="3"/>
    </row>
    <row r="10531" spans="1:17" ht="15" x14ac:dyDescent="0.25">
      <c r="A10531" s="3">
        <f>10524</f>
        <v>10524</v>
      </c>
      <c r="B10531" s="3" t="s">
        <v>10533</v>
      </c>
      <c r="C10531" s="3" t="s">
        <v>9</v>
      </c>
      <c r="D10531" s="3" t="s">
        <v>10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/>
      <c r="P10531" s="3"/>
      <c r="Q10531" s="3"/>
    </row>
    <row r="10532" spans="1:17" ht="15" x14ac:dyDescent="0.25">
      <c r="A10532" s="3">
        <f>10525</f>
        <v>10525</v>
      </c>
      <c r="B10532" s="3" t="s">
        <v>10534</v>
      </c>
      <c r="C10532" s="3" t="s">
        <v>9</v>
      </c>
      <c r="D10532" s="3" t="s">
        <v>10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/>
      <c r="P10532" s="3"/>
      <c r="Q10532" s="3"/>
    </row>
    <row r="10533" spans="1:17" ht="15" x14ac:dyDescent="0.25">
      <c r="A10533" s="3">
        <f>10526</f>
        <v>10526</v>
      </c>
      <c r="B10533" s="3" t="s">
        <v>10535</v>
      </c>
      <c r="C10533" s="3" t="s">
        <v>9</v>
      </c>
      <c r="D10533" s="3" t="s">
        <v>10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/>
      <c r="P10533" s="3"/>
      <c r="Q10533" s="3"/>
    </row>
    <row r="10534" spans="1:17" ht="15" x14ac:dyDescent="0.25">
      <c r="A10534" s="3">
        <f>10527</f>
        <v>10527</v>
      </c>
      <c r="B10534" s="3" t="s">
        <v>10536</v>
      </c>
      <c r="C10534" s="3" t="s">
        <v>9</v>
      </c>
      <c r="D10534" s="3" t="s">
        <v>10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/>
      <c r="P10534" s="3"/>
      <c r="Q10534" s="3"/>
    </row>
    <row r="10535" spans="1:17" ht="15" x14ac:dyDescent="0.25">
      <c r="A10535" s="3">
        <f>10528</f>
        <v>10528</v>
      </c>
      <c r="B10535" s="3" t="s">
        <v>10537</v>
      </c>
      <c r="C10535" s="3" t="s">
        <v>9</v>
      </c>
      <c r="D10535" s="3" t="s">
        <v>10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/>
      <c r="P10535" s="3"/>
      <c r="Q10535" s="3"/>
    </row>
    <row r="10536" spans="1:17" ht="15" x14ac:dyDescent="0.25">
      <c r="A10536" s="3">
        <f>10529</f>
        <v>10529</v>
      </c>
      <c r="B10536" s="3" t="s">
        <v>10538</v>
      </c>
      <c r="C10536" s="3" t="s">
        <v>9</v>
      </c>
      <c r="D10536" s="3" t="s">
        <v>10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/>
      <c r="P10536" s="3"/>
      <c r="Q10536" s="3"/>
    </row>
    <row r="10537" spans="1:17" ht="15" x14ac:dyDescent="0.25">
      <c r="A10537" s="3">
        <f>10530</f>
        <v>10530</v>
      </c>
      <c r="B10537" s="3" t="s">
        <v>10539</v>
      </c>
      <c r="C10537" s="3" t="s">
        <v>9</v>
      </c>
      <c r="D10537" s="3" t="s">
        <v>10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/>
      <c r="P10537" s="3"/>
      <c r="Q10537" s="3"/>
    </row>
    <row r="10538" spans="1:17" ht="15" x14ac:dyDescent="0.25">
      <c r="A10538" s="3">
        <f>10531</f>
        <v>10531</v>
      </c>
      <c r="B10538" s="3" t="s">
        <v>10540</v>
      </c>
      <c r="C10538" s="3" t="s">
        <v>9</v>
      </c>
      <c r="D10538" s="3" t="s">
        <v>10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/>
      <c r="P10538" s="3"/>
      <c r="Q10538" s="3"/>
    </row>
    <row r="10539" spans="1:17" ht="15" x14ac:dyDescent="0.25">
      <c r="A10539" s="3">
        <f>10532</f>
        <v>10532</v>
      </c>
      <c r="B10539" s="3" t="s">
        <v>10541</v>
      </c>
      <c r="C10539" s="3" t="s">
        <v>9</v>
      </c>
      <c r="D10539" s="3" t="s">
        <v>10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/>
      <c r="P10539" s="3"/>
      <c r="Q10539" s="3"/>
    </row>
    <row r="10540" spans="1:17" ht="15" x14ac:dyDescent="0.25">
      <c r="A10540" s="3">
        <f>10533</f>
        <v>10533</v>
      </c>
      <c r="B10540" s="3" t="s">
        <v>10542</v>
      </c>
      <c r="C10540" s="3" t="s">
        <v>9</v>
      </c>
      <c r="D10540" s="3" t="s">
        <v>10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/>
      <c r="P10540" s="3"/>
      <c r="Q10540" s="3"/>
    </row>
    <row r="10541" spans="1:17" ht="15" x14ac:dyDescent="0.25">
      <c r="A10541" s="3">
        <f>10534</f>
        <v>10534</v>
      </c>
      <c r="B10541" s="3" t="s">
        <v>10543</v>
      </c>
      <c r="C10541" s="3" t="s">
        <v>9</v>
      </c>
      <c r="D10541" s="3" t="s">
        <v>10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/>
      <c r="P10541" s="3"/>
      <c r="Q10541" s="3"/>
    </row>
    <row r="10542" spans="1:17" ht="15" x14ac:dyDescent="0.25">
      <c r="A10542" s="3">
        <f>10535</f>
        <v>10535</v>
      </c>
      <c r="B10542" s="3" t="s">
        <v>10544</v>
      </c>
      <c r="C10542" s="3" t="s">
        <v>9</v>
      </c>
      <c r="D10542" s="3" t="s">
        <v>10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/>
      <c r="P10542" s="3"/>
      <c r="Q10542" s="3"/>
    </row>
    <row r="10543" spans="1:17" ht="15" x14ac:dyDescent="0.25">
      <c r="A10543" s="3">
        <f>10536</f>
        <v>10536</v>
      </c>
      <c r="B10543" s="3" t="s">
        <v>10545</v>
      </c>
      <c r="C10543" s="3" t="s">
        <v>9</v>
      </c>
      <c r="D10543" s="3" t="s">
        <v>10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/>
      <c r="P10543" s="3"/>
      <c r="Q10543" s="3"/>
    </row>
    <row r="10544" spans="1:17" ht="15" x14ac:dyDescent="0.25">
      <c r="A10544" s="3">
        <f>10537</f>
        <v>10537</v>
      </c>
      <c r="B10544" s="3" t="s">
        <v>10546</v>
      </c>
      <c r="C10544" s="3" t="s">
        <v>9</v>
      </c>
      <c r="D10544" s="3" t="s">
        <v>10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/>
      <c r="P10544" s="3"/>
      <c r="Q10544" s="3"/>
    </row>
    <row r="10545" spans="1:17" ht="15" x14ac:dyDescent="0.25">
      <c r="A10545" s="3">
        <f>10538</f>
        <v>10538</v>
      </c>
      <c r="B10545" s="3" t="s">
        <v>10547</v>
      </c>
      <c r="C10545" s="3" t="s">
        <v>9</v>
      </c>
      <c r="D10545" s="3" t="s">
        <v>10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/>
      <c r="P10545" s="3"/>
      <c r="Q10545" s="3"/>
    </row>
    <row r="10546" spans="1:17" ht="15" x14ac:dyDescent="0.25">
      <c r="A10546" s="3">
        <f>10539</f>
        <v>10539</v>
      </c>
      <c r="B10546" s="3" t="s">
        <v>10548</v>
      </c>
      <c r="C10546" s="3" t="s">
        <v>9</v>
      </c>
      <c r="D10546" s="3" t="s">
        <v>10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/>
      <c r="P10546" s="3"/>
      <c r="Q10546" s="3"/>
    </row>
    <row r="10547" spans="1:17" ht="15" x14ac:dyDescent="0.25">
      <c r="A10547" s="3">
        <f>10540</f>
        <v>10540</v>
      </c>
      <c r="B10547" s="3" t="s">
        <v>10549</v>
      </c>
      <c r="C10547" s="3" t="s">
        <v>9</v>
      </c>
      <c r="D10547" s="3" t="s">
        <v>10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/>
      <c r="P10547" s="3"/>
      <c r="Q10547" s="3"/>
    </row>
    <row r="10548" spans="1:17" ht="15" x14ac:dyDescent="0.25">
      <c r="A10548" s="3">
        <f>10541</f>
        <v>10541</v>
      </c>
      <c r="B10548" s="3" t="s">
        <v>10550</v>
      </c>
      <c r="C10548" s="3" t="s">
        <v>9</v>
      </c>
      <c r="D10548" s="3" t="s">
        <v>10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/>
      <c r="P10548" s="3"/>
      <c r="Q10548" s="3"/>
    </row>
    <row r="10549" spans="1:17" ht="15" x14ac:dyDescent="0.25">
      <c r="A10549" s="3">
        <f>10542</f>
        <v>10542</v>
      </c>
      <c r="B10549" s="3" t="s">
        <v>10551</v>
      </c>
      <c r="C10549" s="3" t="s">
        <v>9</v>
      </c>
      <c r="D10549" s="3" t="s">
        <v>10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/>
      <c r="P10549" s="3"/>
      <c r="Q10549" s="3"/>
    </row>
    <row r="10550" spans="1:17" ht="15" x14ac:dyDescent="0.25">
      <c r="A10550" s="3">
        <f>10543</f>
        <v>10543</v>
      </c>
      <c r="B10550" s="3" t="s">
        <v>10552</v>
      </c>
      <c r="C10550" s="3" t="s">
        <v>9</v>
      </c>
      <c r="D10550" s="3" t="s">
        <v>10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/>
      <c r="P10550" s="3"/>
      <c r="Q10550" s="3"/>
    </row>
    <row r="10551" spans="1:17" ht="15" x14ac:dyDescent="0.25">
      <c r="A10551" s="3">
        <f>10544</f>
        <v>10544</v>
      </c>
      <c r="B10551" s="3" t="s">
        <v>10553</v>
      </c>
      <c r="C10551" s="3" t="s">
        <v>9</v>
      </c>
      <c r="D10551" s="3" t="s">
        <v>10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/>
      <c r="P10551" s="3"/>
      <c r="Q10551" s="3"/>
    </row>
    <row r="10552" spans="1:17" ht="15" x14ac:dyDescent="0.25">
      <c r="A10552" s="3">
        <f>10545</f>
        <v>10545</v>
      </c>
      <c r="B10552" s="3" t="s">
        <v>10554</v>
      </c>
      <c r="C10552" s="3" t="s">
        <v>9</v>
      </c>
      <c r="D10552" s="3" t="s">
        <v>10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/>
      <c r="P10552" s="3"/>
      <c r="Q10552" s="3"/>
    </row>
    <row r="10553" spans="1:17" ht="15" x14ac:dyDescent="0.25">
      <c r="A10553" s="3">
        <f>10546</f>
        <v>10546</v>
      </c>
      <c r="B10553" s="3" t="s">
        <v>10555</v>
      </c>
      <c r="C10553" s="3" t="s">
        <v>9</v>
      </c>
      <c r="D10553" s="3" t="s">
        <v>10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/>
      <c r="P10553" s="3"/>
      <c r="Q10553" s="3"/>
    </row>
    <row r="10554" spans="1:17" ht="15" x14ac:dyDescent="0.25">
      <c r="A10554" s="3">
        <f>10547</f>
        <v>10547</v>
      </c>
      <c r="B10554" s="3" t="s">
        <v>10556</v>
      </c>
      <c r="C10554" s="3" t="s">
        <v>9</v>
      </c>
      <c r="D10554" s="3" t="s">
        <v>10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/>
      <c r="P10554" s="3"/>
      <c r="Q10554" s="3"/>
    </row>
    <row r="10555" spans="1:17" ht="15" x14ac:dyDescent="0.25">
      <c r="A10555" s="3">
        <f>10548</f>
        <v>10548</v>
      </c>
      <c r="B10555" s="3" t="s">
        <v>10557</v>
      </c>
      <c r="C10555" s="3" t="s">
        <v>9</v>
      </c>
      <c r="D10555" s="3" t="s">
        <v>10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/>
      <c r="P10555" s="3"/>
      <c r="Q10555" s="3"/>
    </row>
    <row r="10556" spans="1:17" ht="15" x14ac:dyDescent="0.25">
      <c r="A10556" s="3">
        <f>10549</f>
        <v>10549</v>
      </c>
      <c r="B10556" s="3" t="s">
        <v>10558</v>
      </c>
      <c r="C10556" s="3" t="s">
        <v>9</v>
      </c>
      <c r="D10556" s="3" t="s">
        <v>10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/>
      <c r="P10556" s="3"/>
      <c r="Q10556" s="3"/>
    </row>
    <row r="10557" spans="1:17" ht="15" x14ac:dyDescent="0.25">
      <c r="A10557" s="3">
        <f>10550</f>
        <v>10550</v>
      </c>
      <c r="B10557" s="3" t="s">
        <v>10559</v>
      </c>
      <c r="C10557" s="3" t="s">
        <v>9</v>
      </c>
      <c r="D10557" s="3" t="s">
        <v>10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/>
      <c r="P10557" s="3"/>
      <c r="Q10557" s="3"/>
    </row>
    <row r="10558" spans="1:17" ht="15" x14ac:dyDescent="0.25">
      <c r="A10558" s="3">
        <f>10551</f>
        <v>10551</v>
      </c>
      <c r="B10558" s="3" t="s">
        <v>10560</v>
      </c>
      <c r="C10558" s="3" t="s">
        <v>9</v>
      </c>
      <c r="D10558" s="3" t="s">
        <v>10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/>
      <c r="P10558" s="3"/>
      <c r="Q10558" s="3"/>
    </row>
    <row r="10559" spans="1:17" ht="15" x14ac:dyDescent="0.25">
      <c r="A10559" s="3">
        <f>10552</f>
        <v>10552</v>
      </c>
      <c r="B10559" s="3" t="s">
        <v>10561</v>
      </c>
      <c r="C10559" s="3" t="s">
        <v>9</v>
      </c>
      <c r="D10559" s="3" t="s">
        <v>10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/>
      <c r="P10559" s="3"/>
      <c r="Q10559" s="3"/>
    </row>
    <row r="10560" spans="1:17" ht="15" x14ac:dyDescent="0.25">
      <c r="A10560" s="3">
        <f>10553</f>
        <v>10553</v>
      </c>
      <c r="B10560" s="3" t="s">
        <v>10562</v>
      </c>
      <c r="C10560" s="3" t="s">
        <v>9</v>
      </c>
      <c r="D10560" s="3" t="s">
        <v>10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/>
      <c r="P10560" s="3"/>
      <c r="Q10560" s="3"/>
    </row>
    <row r="10561" spans="1:17" ht="15" x14ac:dyDescent="0.25">
      <c r="A10561" s="3">
        <f>10554</f>
        <v>10554</v>
      </c>
      <c r="B10561" s="3" t="s">
        <v>10563</v>
      </c>
      <c r="C10561" s="3" t="s">
        <v>9</v>
      </c>
      <c r="D10561" s="3" t="s">
        <v>10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/>
      <c r="P10561" s="3"/>
      <c r="Q10561" s="3"/>
    </row>
    <row r="10562" spans="1:17" ht="15" x14ac:dyDescent="0.25">
      <c r="A10562" s="3">
        <f>10555</f>
        <v>10555</v>
      </c>
      <c r="B10562" s="3" t="s">
        <v>10564</v>
      </c>
      <c r="C10562" s="3" t="s">
        <v>9</v>
      </c>
      <c r="D10562" s="3" t="s">
        <v>10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/>
      <c r="P10562" s="3"/>
      <c r="Q10562" s="3"/>
    </row>
    <row r="10563" spans="1:17" ht="15" x14ac:dyDescent="0.25">
      <c r="A10563" s="3">
        <f>10556</f>
        <v>10556</v>
      </c>
      <c r="B10563" s="3" t="s">
        <v>10565</v>
      </c>
      <c r="C10563" s="3" t="s">
        <v>9</v>
      </c>
      <c r="D10563" s="3" t="s">
        <v>10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/>
      <c r="P10563" s="3"/>
      <c r="Q10563" s="3"/>
    </row>
    <row r="10564" spans="1:17" ht="15" x14ac:dyDescent="0.25">
      <c r="A10564" s="3">
        <f>10557</f>
        <v>10557</v>
      </c>
      <c r="B10564" s="3" t="s">
        <v>10566</v>
      </c>
      <c r="C10564" s="3" t="s">
        <v>9</v>
      </c>
      <c r="D10564" s="3" t="s">
        <v>10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/>
      <c r="P10564" s="3"/>
      <c r="Q10564" s="3"/>
    </row>
    <row r="10565" spans="1:17" ht="15" x14ac:dyDescent="0.25">
      <c r="A10565" s="3">
        <f>10558</f>
        <v>10558</v>
      </c>
      <c r="B10565" s="3" t="s">
        <v>10567</v>
      </c>
      <c r="C10565" s="3" t="s">
        <v>9</v>
      </c>
      <c r="D10565" s="3" t="s">
        <v>10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/>
      <c r="P10565" s="3"/>
      <c r="Q10565" s="3"/>
    </row>
    <row r="10566" spans="1:17" ht="15" x14ac:dyDescent="0.25">
      <c r="A10566" s="3">
        <f>10559</f>
        <v>10559</v>
      </c>
      <c r="B10566" s="3" t="s">
        <v>10568</v>
      </c>
      <c r="C10566" s="3" t="s">
        <v>9</v>
      </c>
      <c r="D10566" s="3" t="s">
        <v>10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/>
      <c r="P10566" s="3"/>
      <c r="Q10566" s="3"/>
    </row>
    <row r="10567" spans="1:17" ht="15" x14ac:dyDescent="0.25">
      <c r="A10567" s="3">
        <f>10560</f>
        <v>10560</v>
      </c>
      <c r="B10567" s="3" t="s">
        <v>10569</v>
      </c>
      <c r="C10567" s="3" t="s">
        <v>9</v>
      </c>
      <c r="D10567" s="3" t="s">
        <v>10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/>
      <c r="P10567" s="3"/>
      <c r="Q10567" s="3"/>
    </row>
    <row r="10568" spans="1:17" ht="15" x14ac:dyDescent="0.25">
      <c r="A10568" s="3">
        <f>10561</f>
        <v>10561</v>
      </c>
      <c r="B10568" s="3" t="s">
        <v>10570</v>
      </c>
      <c r="C10568" s="3" t="s">
        <v>9</v>
      </c>
      <c r="D10568" s="3" t="s">
        <v>10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/>
      <c r="P10568" s="3"/>
      <c r="Q10568" s="3"/>
    </row>
    <row r="10569" spans="1:17" ht="15" x14ac:dyDescent="0.25">
      <c r="A10569" s="3">
        <f>10562</f>
        <v>10562</v>
      </c>
      <c r="B10569" s="3" t="s">
        <v>10571</v>
      </c>
      <c r="C10569" s="3" t="s">
        <v>9</v>
      </c>
      <c r="D10569" s="3" t="s">
        <v>10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/>
      <c r="P10569" s="3"/>
      <c r="Q10569" s="3"/>
    </row>
    <row r="10570" spans="1:17" ht="15" x14ac:dyDescent="0.25">
      <c r="A10570" s="3">
        <f>10563</f>
        <v>10563</v>
      </c>
      <c r="B10570" s="3" t="s">
        <v>10572</v>
      </c>
      <c r="C10570" s="3" t="s">
        <v>9</v>
      </c>
      <c r="D10570" s="3" t="s">
        <v>10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/>
      <c r="P10570" s="3"/>
      <c r="Q10570" s="3"/>
    </row>
    <row r="10571" spans="1:17" ht="15" x14ac:dyDescent="0.25">
      <c r="A10571" s="3">
        <f>10564</f>
        <v>10564</v>
      </c>
      <c r="B10571" s="3" t="s">
        <v>10573</v>
      </c>
      <c r="C10571" s="3" t="s">
        <v>9</v>
      </c>
      <c r="D10571" s="3" t="s">
        <v>10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/>
      <c r="P10571" s="3"/>
      <c r="Q10571" s="3"/>
    </row>
    <row r="10572" spans="1:17" ht="15" x14ac:dyDescent="0.25">
      <c r="A10572" s="3">
        <f>10565</f>
        <v>10565</v>
      </c>
      <c r="B10572" s="3" t="s">
        <v>10574</v>
      </c>
      <c r="C10572" s="3" t="s">
        <v>9</v>
      </c>
      <c r="D10572" s="3" t="s">
        <v>10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/>
      <c r="P10572" s="3"/>
      <c r="Q10572" s="3"/>
    </row>
    <row r="10573" spans="1:17" ht="15" x14ac:dyDescent="0.25">
      <c r="A10573" s="3">
        <f>10566</f>
        <v>10566</v>
      </c>
      <c r="B10573" s="3" t="s">
        <v>10575</v>
      </c>
      <c r="C10573" s="3" t="s">
        <v>9</v>
      </c>
      <c r="D10573" s="3" t="s">
        <v>10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/>
      <c r="P10573" s="3"/>
      <c r="Q10573" s="3"/>
    </row>
    <row r="10574" spans="1:17" ht="15" x14ac:dyDescent="0.25">
      <c r="A10574" s="3">
        <f>10567</f>
        <v>10567</v>
      </c>
      <c r="B10574" s="3" t="s">
        <v>10576</v>
      </c>
      <c r="C10574" s="3" t="s">
        <v>9</v>
      </c>
      <c r="D10574" s="3" t="s">
        <v>10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/>
      <c r="P10574" s="3"/>
      <c r="Q10574" s="3"/>
    </row>
    <row r="10575" spans="1:17" ht="15" x14ac:dyDescent="0.25">
      <c r="A10575" s="3">
        <f>10568</f>
        <v>10568</v>
      </c>
      <c r="B10575" s="3" t="s">
        <v>10577</v>
      </c>
      <c r="C10575" s="3" t="s">
        <v>9</v>
      </c>
      <c r="D10575" s="3" t="s">
        <v>10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/>
      <c r="P10575" s="3"/>
      <c r="Q10575" s="3"/>
    </row>
    <row r="10576" spans="1:17" ht="15" x14ac:dyDescent="0.25">
      <c r="A10576" s="3">
        <f>10569</f>
        <v>10569</v>
      </c>
      <c r="B10576" s="3" t="s">
        <v>10578</v>
      </c>
      <c r="C10576" s="3" t="s">
        <v>9</v>
      </c>
      <c r="D10576" s="3" t="s">
        <v>10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/>
      <c r="P10576" s="3"/>
      <c r="Q10576" s="3"/>
    </row>
    <row r="10577" spans="1:17" ht="15" x14ac:dyDescent="0.25">
      <c r="A10577" s="3">
        <f>10570</f>
        <v>10570</v>
      </c>
      <c r="B10577" s="3" t="s">
        <v>10579</v>
      </c>
      <c r="C10577" s="3" t="s">
        <v>9</v>
      </c>
      <c r="D10577" s="3" t="s">
        <v>10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/>
      <c r="P10577" s="3"/>
      <c r="Q10577" s="3"/>
    </row>
    <row r="10578" spans="1:17" ht="15" x14ac:dyDescent="0.25">
      <c r="A10578" s="3">
        <f>10571</f>
        <v>10571</v>
      </c>
      <c r="B10578" s="3" t="s">
        <v>10580</v>
      </c>
      <c r="C10578" s="3" t="s">
        <v>9</v>
      </c>
      <c r="D10578" s="3" t="s">
        <v>10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/>
      <c r="P10578" s="3"/>
      <c r="Q10578" s="3"/>
    </row>
    <row r="10579" spans="1:17" ht="15" x14ac:dyDescent="0.25">
      <c r="A10579" s="3">
        <f>10572</f>
        <v>10572</v>
      </c>
      <c r="B10579" s="3" t="s">
        <v>10581</v>
      </c>
      <c r="C10579" s="3" t="s">
        <v>9</v>
      </c>
      <c r="D10579" s="3" t="s">
        <v>10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/>
      <c r="P10579" s="3"/>
      <c r="Q10579" s="3"/>
    </row>
    <row r="10580" spans="1:17" ht="15" x14ac:dyDescent="0.25">
      <c r="A10580" s="3">
        <f>10573</f>
        <v>10573</v>
      </c>
      <c r="B10580" s="3" t="s">
        <v>10582</v>
      </c>
      <c r="C10580" s="3" t="s">
        <v>9</v>
      </c>
      <c r="D10580" s="3" t="s">
        <v>10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/>
      <c r="P10580" s="3"/>
      <c r="Q10580" s="3"/>
    </row>
    <row r="10581" spans="1:17" ht="15" x14ac:dyDescent="0.25">
      <c r="A10581" s="3">
        <f>10574</f>
        <v>10574</v>
      </c>
      <c r="B10581" s="3" t="s">
        <v>10583</v>
      </c>
      <c r="C10581" s="3" t="s">
        <v>9</v>
      </c>
      <c r="D10581" s="3" t="s">
        <v>10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/>
      <c r="P10581" s="3"/>
      <c r="Q10581" s="3"/>
    </row>
    <row r="10582" spans="1:17" ht="15" x14ac:dyDescent="0.25">
      <c r="A10582" s="3">
        <f>10575</f>
        <v>10575</v>
      </c>
      <c r="B10582" s="3" t="s">
        <v>10584</v>
      </c>
      <c r="C10582" s="3" t="s">
        <v>9</v>
      </c>
      <c r="D10582" s="3" t="s">
        <v>10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/>
      <c r="P10582" s="3"/>
      <c r="Q10582" s="3"/>
    </row>
    <row r="10583" spans="1:17" ht="15" x14ac:dyDescent="0.25">
      <c r="A10583" s="3">
        <f>10576</f>
        <v>10576</v>
      </c>
      <c r="B10583" s="3" t="s">
        <v>10585</v>
      </c>
      <c r="C10583" s="3" t="s">
        <v>9</v>
      </c>
      <c r="D10583" s="3" t="s">
        <v>10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/>
      <c r="P10583" s="3"/>
      <c r="Q10583" s="3"/>
    </row>
    <row r="10584" spans="1:17" ht="15" x14ac:dyDescent="0.25">
      <c r="A10584" s="3">
        <f>10577</f>
        <v>10577</v>
      </c>
      <c r="B10584" s="3" t="s">
        <v>10586</v>
      </c>
      <c r="C10584" s="3" t="s">
        <v>9</v>
      </c>
      <c r="D10584" s="3" t="s">
        <v>10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/>
      <c r="P10584" s="3"/>
      <c r="Q10584" s="3"/>
    </row>
    <row r="10585" spans="1:17" ht="15" x14ac:dyDescent="0.25">
      <c r="A10585" s="3">
        <f>10578</f>
        <v>10578</v>
      </c>
      <c r="B10585" s="3" t="s">
        <v>10587</v>
      </c>
      <c r="C10585" s="3" t="s">
        <v>9</v>
      </c>
      <c r="D10585" s="3" t="s">
        <v>10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/>
      <c r="P10585" s="3"/>
      <c r="Q10585" s="3"/>
    </row>
    <row r="10586" spans="1:17" ht="15" x14ac:dyDescent="0.25">
      <c r="A10586" s="3">
        <f>10579</f>
        <v>10579</v>
      </c>
      <c r="B10586" s="3" t="s">
        <v>10588</v>
      </c>
      <c r="C10586" s="3" t="s">
        <v>9</v>
      </c>
      <c r="D10586" s="3" t="s">
        <v>10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/>
      <c r="P10586" s="3"/>
      <c r="Q10586" s="3"/>
    </row>
    <row r="10587" spans="1:17" ht="15" x14ac:dyDescent="0.25">
      <c r="A10587" s="3">
        <f>10580</f>
        <v>10580</v>
      </c>
      <c r="B10587" s="3" t="s">
        <v>10589</v>
      </c>
      <c r="C10587" s="3" t="s">
        <v>9</v>
      </c>
      <c r="D10587" s="3" t="s">
        <v>10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/>
      <c r="P10587" s="3"/>
      <c r="Q10587" s="3"/>
    </row>
    <row r="10588" spans="1:17" ht="15" x14ac:dyDescent="0.25">
      <c r="A10588" s="3">
        <f>10581</f>
        <v>10581</v>
      </c>
      <c r="B10588" s="3" t="s">
        <v>10590</v>
      </c>
      <c r="C10588" s="3" t="s">
        <v>9</v>
      </c>
      <c r="D10588" s="3" t="s">
        <v>10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/>
      <c r="P10588" s="3"/>
      <c r="Q10588" s="3"/>
    </row>
    <row r="10589" spans="1:17" ht="15" x14ac:dyDescent="0.25">
      <c r="A10589" s="3">
        <f>10582</f>
        <v>10582</v>
      </c>
      <c r="B10589" s="3" t="s">
        <v>10591</v>
      </c>
      <c r="C10589" s="3" t="s">
        <v>9</v>
      </c>
      <c r="D10589" s="3" t="s">
        <v>10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/>
      <c r="P10589" s="3"/>
      <c r="Q10589" s="3"/>
    </row>
    <row r="10590" spans="1:17" ht="15" x14ac:dyDescent="0.25">
      <c r="A10590" s="3">
        <f>10583</f>
        <v>10583</v>
      </c>
      <c r="B10590" s="3" t="s">
        <v>10592</v>
      </c>
      <c r="C10590" s="3" t="s">
        <v>9</v>
      </c>
      <c r="D10590" s="3" t="s">
        <v>10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/>
      <c r="P10590" s="3"/>
      <c r="Q10590" s="3"/>
    </row>
    <row r="10591" spans="1:17" ht="15" x14ac:dyDescent="0.25">
      <c r="A10591" s="3">
        <f>10584</f>
        <v>10584</v>
      </c>
      <c r="B10591" s="3" t="s">
        <v>10593</v>
      </c>
      <c r="C10591" s="3" t="s">
        <v>9</v>
      </c>
      <c r="D10591" s="3" t="s">
        <v>10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/>
      <c r="P10591" s="3"/>
      <c r="Q10591" s="3"/>
    </row>
    <row r="10592" spans="1:17" ht="15" x14ac:dyDescent="0.25">
      <c r="A10592" s="3">
        <f>10585</f>
        <v>10585</v>
      </c>
      <c r="B10592" s="3" t="s">
        <v>10594</v>
      </c>
      <c r="C10592" s="3" t="s">
        <v>9</v>
      </c>
      <c r="D10592" s="3" t="s">
        <v>10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/>
      <c r="P10592" s="3"/>
      <c r="Q10592" s="3"/>
    </row>
    <row r="10593" spans="1:17" ht="15" x14ac:dyDescent="0.25">
      <c r="A10593" s="3">
        <f>10586</f>
        <v>10586</v>
      </c>
      <c r="B10593" s="3" t="s">
        <v>10595</v>
      </c>
      <c r="C10593" s="3" t="s">
        <v>9</v>
      </c>
      <c r="D10593" s="3" t="s">
        <v>10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/>
      <c r="P10593" s="3"/>
      <c r="Q10593" s="3"/>
    </row>
    <row r="10594" spans="1:17" ht="15" x14ac:dyDescent="0.25">
      <c r="A10594" s="3">
        <f>10587</f>
        <v>10587</v>
      </c>
      <c r="B10594" s="3" t="s">
        <v>10596</v>
      </c>
      <c r="C10594" s="3" t="s">
        <v>9</v>
      </c>
      <c r="D10594" s="3" t="s">
        <v>10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/>
      <c r="P10594" s="3"/>
      <c r="Q10594" s="3"/>
    </row>
    <row r="10595" spans="1:17" ht="15" x14ac:dyDescent="0.25">
      <c r="A10595" s="3">
        <f>10588</f>
        <v>10588</v>
      </c>
      <c r="B10595" s="3" t="s">
        <v>10597</v>
      </c>
      <c r="C10595" s="3" t="s">
        <v>9</v>
      </c>
      <c r="D10595" s="3" t="s">
        <v>10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/>
      <c r="P10595" s="3"/>
      <c r="Q10595" s="3"/>
    </row>
    <row r="10596" spans="1:17" ht="15" x14ac:dyDescent="0.25">
      <c r="A10596" s="3">
        <f>10589</f>
        <v>10589</v>
      </c>
      <c r="B10596" s="3" t="s">
        <v>10598</v>
      </c>
      <c r="C10596" s="3" t="s">
        <v>9</v>
      </c>
      <c r="D10596" s="3" t="s">
        <v>10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/>
      <c r="P10596" s="3"/>
      <c r="Q10596" s="3"/>
    </row>
    <row r="10597" spans="1:17" ht="15" x14ac:dyDescent="0.25">
      <c r="A10597" s="3">
        <f>10590</f>
        <v>10590</v>
      </c>
      <c r="B10597" s="3" t="s">
        <v>10599</v>
      </c>
      <c r="C10597" s="3" t="s">
        <v>9</v>
      </c>
      <c r="D10597" s="3" t="s">
        <v>10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/>
      <c r="P10597" s="3"/>
      <c r="Q10597" s="3"/>
    </row>
    <row r="10598" spans="1:17" ht="15" x14ac:dyDescent="0.25">
      <c r="A10598" s="3">
        <f>10591</f>
        <v>10591</v>
      </c>
      <c r="B10598" s="3" t="s">
        <v>10600</v>
      </c>
      <c r="C10598" s="3" t="s">
        <v>9</v>
      </c>
      <c r="D10598" s="3" t="s">
        <v>10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/>
      <c r="P10598" s="3"/>
      <c r="Q10598" s="3"/>
    </row>
    <row r="10599" spans="1:17" ht="15" x14ac:dyDescent="0.25">
      <c r="A10599" s="3">
        <f>10592</f>
        <v>10592</v>
      </c>
      <c r="B10599" s="3" t="s">
        <v>10601</v>
      </c>
      <c r="C10599" s="3" t="s">
        <v>9</v>
      </c>
      <c r="D10599" s="3" t="s">
        <v>10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/>
      <c r="P10599" s="3"/>
      <c r="Q10599" s="3"/>
    </row>
    <row r="10600" spans="1:17" ht="15" x14ac:dyDescent="0.25">
      <c r="A10600" s="3">
        <f>10593</f>
        <v>10593</v>
      </c>
      <c r="B10600" s="3" t="s">
        <v>10602</v>
      </c>
      <c r="C10600" s="3" t="s">
        <v>9</v>
      </c>
      <c r="D10600" s="3" t="s">
        <v>10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/>
      <c r="P10600" s="3"/>
      <c r="Q10600" s="3"/>
    </row>
    <row r="10601" spans="1:17" ht="15" x14ac:dyDescent="0.25">
      <c r="A10601" s="3">
        <f>10594</f>
        <v>10594</v>
      </c>
      <c r="B10601" s="3" t="s">
        <v>10603</v>
      </c>
      <c r="C10601" s="3" t="s">
        <v>9</v>
      </c>
      <c r="D10601" s="3" t="s">
        <v>10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/>
      <c r="P10601" s="3"/>
      <c r="Q10601" s="3"/>
    </row>
    <row r="10602" spans="1:17" ht="15" x14ac:dyDescent="0.25">
      <c r="A10602" s="3">
        <f>10595</f>
        <v>10595</v>
      </c>
      <c r="B10602" s="3" t="s">
        <v>10604</v>
      </c>
      <c r="C10602" s="3" t="s">
        <v>9</v>
      </c>
      <c r="D10602" s="3" t="s">
        <v>10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/>
      <c r="P10602" s="3"/>
      <c r="Q10602" s="3"/>
    </row>
    <row r="10603" spans="1:17" ht="15" x14ac:dyDescent="0.25">
      <c r="A10603" s="3">
        <f>10596</f>
        <v>10596</v>
      </c>
      <c r="B10603" s="3" t="s">
        <v>10605</v>
      </c>
      <c r="C10603" s="3" t="s">
        <v>9</v>
      </c>
      <c r="D10603" s="3" t="s">
        <v>10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/>
      <c r="P10603" s="3"/>
      <c r="Q10603" s="3"/>
    </row>
    <row r="10604" spans="1:17" ht="15" x14ac:dyDescent="0.25">
      <c r="A10604" s="3">
        <f>10597</f>
        <v>10597</v>
      </c>
      <c r="B10604" s="3" t="s">
        <v>10606</v>
      </c>
      <c r="C10604" s="3" t="s">
        <v>9</v>
      </c>
      <c r="D10604" s="3" t="s">
        <v>10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/>
      <c r="P10604" s="3"/>
      <c r="Q10604" s="3"/>
    </row>
    <row r="10605" spans="1:17" ht="15" x14ac:dyDescent="0.25">
      <c r="A10605" s="3">
        <f>10598</f>
        <v>10598</v>
      </c>
      <c r="B10605" s="3" t="s">
        <v>10607</v>
      </c>
      <c r="C10605" s="3" t="s">
        <v>9</v>
      </c>
      <c r="D10605" s="3" t="s">
        <v>10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/>
      <c r="P10605" s="3"/>
      <c r="Q10605" s="3"/>
    </row>
    <row r="10606" spans="1:17" ht="15" x14ac:dyDescent="0.25">
      <c r="A10606" s="3">
        <f>10599</f>
        <v>10599</v>
      </c>
      <c r="B10606" s="3" t="s">
        <v>10608</v>
      </c>
      <c r="C10606" s="3" t="s">
        <v>9</v>
      </c>
      <c r="D10606" s="3" t="s">
        <v>10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/>
      <c r="P10606" s="3"/>
      <c r="Q10606" s="3"/>
    </row>
    <row r="10607" spans="1:17" ht="15" x14ac:dyDescent="0.25">
      <c r="A10607" s="3">
        <f>10600</f>
        <v>10600</v>
      </c>
      <c r="B10607" s="3" t="s">
        <v>10609</v>
      </c>
      <c r="C10607" s="3" t="s">
        <v>9</v>
      </c>
      <c r="D10607" s="3" t="s">
        <v>10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/>
      <c r="P10607" s="3"/>
      <c r="Q10607" s="3"/>
    </row>
    <row r="10608" spans="1:17" ht="15" x14ac:dyDescent="0.25">
      <c r="A10608" s="3">
        <f>10601</f>
        <v>10601</v>
      </c>
      <c r="B10608" s="3" t="s">
        <v>10610</v>
      </c>
      <c r="C10608" s="3" t="s">
        <v>9</v>
      </c>
      <c r="D10608" s="3" t="s">
        <v>10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/>
      <c r="P10608" s="3"/>
      <c r="Q10608" s="3"/>
    </row>
    <row r="10609" spans="1:17" ht="15" x14ac:dyDescent="0.25">
      <c r="A10609" s="3">
        <f>10602</f>
        <v>10602</v>
      </c>
      <c r="B10609" s="3" t="s">
        <v>10611</v>
      </c>
      <c r="C10609" s="3" t="s">
        <v>9</v>
      </c>
      <c r="D10609" s="3" t="s">
        <v>10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/>
      <c r="P10609" s="3"/>
      <c r="Q10609" s="3"/>
    </row>
    <row r="10610" spans="1:17" ht="15" x14ac:dyDescent="0.25">
      <c r="A10610" s="3">
        <f>10603</f>
        <v>10603</v>
      </c>
      <c r="B10610" s="3" t="s">
        <v>10612</v>
      </c>
      <c r="C10610" s="3" t="s">
        <v>9</v>
      </c>
      <c r="D10610" s="3" t="s">
        <v>10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/>
      <c r="P10610" s="3"/>
      <c r="Q10610" s="3"/>
    </row>
    <row r="10611" spans="1:17" ht="15" x14ac:dyDescent="0.25">
      <c r="A10611" s="3">
        <f>10604</f>
        <v>10604</v>
      </c>
      <c r="B10611" s="3" t="s">
        <v>10613</v>
      </c>
      <c r="C10611" s="3" t="s">
        <v>9</v>
      </c>
      <c r="D10611" s="3" t="s">
        <v>10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/>
      <c r="P10611" s="3"/>
      <c r="Q10611" s="3"/>
    </row>
    <row r="10612" spans="1:17" ht="15" x14ac:dyDescent="0.25">
      <c r="A10612" s="3">
        <f>10605</f>
        <v>10605</v>
      </c>
      <c r="B10612" s="3" t="s">
        <v>10614</v>
      </c>
      <c r="C10612" s="3" t="s">
        <v>9</v>
      </c>
      <c r="D10612" s="3" t="s">
        <v>10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/>
      <c r="P10612" s="3"/>
      <c r="Q10612" s="3"/>
    </row>
    <row r="10613" spans="1:17" ht="15" x14ac:dyDescent="0.25">
      <c r="A10613" s="3">
        <f>10606</f>
        <v>10606</v>
      </c>
      <c r="B10613" s="3" t="s">
        <v>10615</v>
      </c>
      <c r="C10613" s="3" t="s">
        <v>9</v>
      </c>
      <c r="D10613" s="3" t="s">
        <v>10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/>
      <c r="P10613" s="3"/>
      <c r="Q10613" s="3"/>
    </row>
    <row r="10614" spans="1:17" ht="15" x14ac:dyDescent="0.25">
      <c r="A10614" s="3">
        <f>10607</f>
        <v>10607</v>
      </c>
      <c r="B10614" s="3" t="s">
        <v>10616</v>
      </c>
      <c r="C10614" s="3" t="s">
        <v>9</v>
      </c>
      <c r="D10614" s="3" t="s">
        <v>10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/>
      <c r="P10614" s="3"/>
      <c r="Q10614" s="3"/>
    </row>
    <row r="10615" spans="1:17" ht="15" x14ac:dyDescent="0.25">
      <c r="A10615" s="3">
        <f>10608</f>
        <v>10608</v>
      </c>
      <c r="B10615" s="3" t="s">
        <v>10617</v>
      </c>
      <c r="C10615" s="3" t="s">
        <v>9</v>
      </c>
      <c r="D10615" s="3" t="s">
        <v>10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/>
      <c r="P10615" s="3"/>
      <c r="Q10615" s="3"/>
    </row>
    <row r="10616" spans="1:17" ht="15" x14ac:dyDescent="0.25">
      <c r="A10616" s="3">
        <f>10609</f>
        <v>10609</v>
      </c>
      <c r="B10616" s="3" t="s">
        <v>10618</v>
      </c>
      <c r="C10616" s="3" t="s">
        <v>9</v>
      </c>
      <c r="D10616" s="3" t="s">
        <v>10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/>
      <c r="P10616" s="3"/>
      <c r="Q10616" s="3"/>
    </row>
    <row r="10617" spans="1:17" ht="15" x14ac:dyDescent="0.25">
      <c r="A10617" s="3">
        <f>10610</f>
        <v>10610</v>
      </c>
      <c r="B10617" s="3" t="s">
        <v>10619</v>
      </c>
      <c r="C10617" s="3" t="s">
        <v>9</v>
      </c>
      <c r="D10617" s="3" t="s">
        <v>10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/>
      <c r="P10617" s="3"/>
      <c r="Q10617" s="3"/>
    </row>
    <row r="10618" spans="1:17" ht="15" x14ac:dyDescent="0.25">
      <c r="A10618" s="3">
        <f>10611</f>
        <v>10611</v>
      </c>
      <c r="B10618" s="3" t="s">
        <v>10620</v>
      </c>
      <c r="C10618" s="3" t="s">
        <v>9</v>
      </c>
      <c r="D10618" s="3" t="s">
        <v>10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/>
      <c r="P10618" s="3"/>
      <c r="Q10618" s="3"/>
    </row>
    <row r="10619" spans="1:17" ht="15" x14ac:dyDescent="0.25">
      <c r="A10619" s="3">
        <f>10612</f>
        <v>10612</v>
      </c>
      <c r="B10619" s="3" t="s">
        <v>10621</v>
      </c>
      <c r="C10619" s="3" t="s">
        <v>9</v>
      </c>
      <c r="D10619" s="3" t="s">
        <v>10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/>
      <c r="P10619" s="3"/>
      <c r="Q10619" s="3"/>
    </row>
    <row r="10620" spans="1:17" ht="15" x14ac:dyDescent="0.25">
      <c r="A10620" s="3">
        <f>10613</f>
        <v>10613</v>
      </c>
      <c r="B10620" s="3" t="s">
        <v>10622</v>
      </c>
      <c r="C10620" s="3" t="s">
        <v>9</v>
      </c>
      <c r="D10620" s="3" t="s">
        <v>10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/>
      <c r="P10620" s="3"/>
      <c r="Q10620" s="3"/>
    </row>
    <row r="10621" spans="1:17" ht="15" x14ac:dyDescent="0.25">
      <c r="A10621" s="3">
        <f>10614</f>
        <v>10614</v>
      </c>
      <c r="B10621" s="3" t="s">
        <v>10623</v>
      </c>
      <c r="C10621" s="3" t="s">
        <v>9</v>
      </c>
      <c r="D10621" s="3" t="s">
        <v>10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/>
      <c r="P10621" s="3"/>
      <c r="Q10621" s="3"/>
    </row>
    <row r="10622" spans="1:17" ht="15" x14ac:dyDescent="0.25">
      <c r="A10622" s="3">
        <f>10615</f>
        <v>10615</v>
      </c>
      <c r="B10622" s="3" t="s">
        <v>10624</v>
      </c>
      <c r="C10622" s="3" t="s">
        <v>9</v>
      </c>
      <c r="D10622" s="3" t="s">
        <v>10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/>
      <c r="P10622" s="3"/>
      <c r="Q10622" s="3"/>
    </row>
    <row r="10623" spans="1:17" ht="15" x14ac:dyDescent="0.25">
      <c r="A10623" s="3">
        <f>10616</f>
        <v>10616</v>
      </c>
      <c r="B10623" s="3" t="s">
        <v>10625</v>
      </c>
      <c r="C10623" s="3" t="s">
        <v>9</v>
      </c>
      <c r="D10623" s="3" t="s">
        <v>10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/>
      <c r="P10623" s="3"/>
      <c r="Q10623" s="3"/>
    </row>
    <row r="10624" spans="1:17" ht="15" x14ac:dyDescent="0.25">
      <c r="A10624" s="3">
        <f>10617</f>
        <v>10617</v>
      </c>
      <c r="B10624" s="3" t="s">
        <v>10626</v>
      </c>
      <c r="C10624" s="3" t="s">
        <v>9</v>
      </c>
      <c r="D10624" s="3" t="s">
        <v>10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/>
      <c r="P10624" s="3"/>
      <c r="Q10624" s="3"/>
    </row>
    <row r="10625" spans="1:17" ht="15" x14ac:dyDescent="0.25">
      <c r="A10625" s="3">
        <f>10618</f>
        <v>10618</v>
      </c>
      <c r="B10625" s="3" t="s">
        <v>10627</v>
      </c>
      <c r="C10625" s="3" t="s">
        <v>9</v>
      </c>
      <c r="D10625" s="3" t="s">
        <v>10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/>
      <c r="P10625" s="3"/>
      <c r="Q10625" s="3"/>
    </row>
    <row r="10626" spans="1:17" ht="15" x14ac:dyDescent="0.25">
      <c r="A10626" s="3">
        <f>10619</f>
        <v>10619</v>
      </c>
      <c r="B10626" s="3" t="s">
        <v>10628</v>
      </c>
      <c r="C10626" s="3" t="s">
        <v>9</v>
      </c>
      <c r="D10626" s="3" t="s">
        <v>10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/>
      <c r="P10626" s="3"/>
      <c r="Q10626" s="3"/>
    </row>
    <row r="10627" spans="1:17" ht="15" x14ac:dyDescent="0.25">
      <c r="A10627" s="3">
        <f>10620</f>
        <v>10620</v>
      </c>
      <c r="B10627" s="3" t="s">
        <v>10629</v>
      </c>
      <c r="C10627" s="3" t="s">
        <v>9</v>
      </c>
      <c r="D10627" s="3" t="s">
        <v>10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/>
      <c r="P10627" s="3"/>
      <c r="Q10627" s="3"/>
    </row>
    <row r="10628" spans="1:17" ht="15" x14ac:dyDescent="0.25">
      <c r="A10628" s="3">
        <f>10621</f>
        <v>10621</v>
      </c>
      <c r="B10628" s="3" t="s">
        <v>10630</v>
      </c>
      <c r="C10628" s="3" t="s">
        <v>9</v>
      </c>
      <c r="D10628" s="3" t="s">
        <v>10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/>
      <c r="P10628" s="3"/>
      <c r="Q10628" s="3"/>
    </row>
    <row r="10629" spans="1:17" ht="15" x14ac:dyDescent="0.25">
      <c r="A10629" s="3">
        <f>10622</f>
        <v>10622</v>
      </c>
      <c r="B10629" s="3" t="s">
        <v>10631</v>
      </c>
      <c r="C10629" s="3" t="s">
        <v>9</v>
      </c>
      <c r="D10629" s="3" t="s">
        <v>10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/>
      <c r="P10629" s="3"/>
      <c r="Q10629" s="3"/>
    </row>
    <row r="10630" spans="1:17" ht="15" x14ac:dyDescent="0.25">
      <c r="A10630" s="3">
        <f>10623</f>
        <v>10623</v>
      </c>
      <c r="B10630" s="3" t="s">
        <v>10632</v>
      </c>
      <c r="C10630" s="3" t="s">
        <v>9</v>
      </c>
      <c r="D10630" s="3" t="s">
        <v>10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/>
      <c r="P10630" s="3"/>
      <c r="Q10630" s="3"/>
    </row>
    <row r="10631" spans="1:17" ht="15" x14ac:dyDescent="0.25">
      <c r="A10631" s="3">
        <f>10624</f>
        <v>10624</v>
      </c>
      <c r="B10631" s="3" t="s">
        <v>10633</v>
      </c>
      <c r="C10631" s="3" t="s">
        <v>9</v>
      </c>
      <c r="D10631" s="3" t="s">
        <v>10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/>
      <c r="P10631" s="3"/>
      <c r="Q10631" s="3"/>
    </row>
    <row r="10632" spans="1:17" ht="15" x14ac:dyDescent="0.25">
      <c r="A10632" s="3">
        <f>10625</f>
        <v>10625</v>
      </c>
      <c r="B10632" s="3" t="s">
        <v>10634</v>
      </c>
      <c r="C10632" s="3" t="s">
        <v>9</v>
      </c>
      <c r="D10632" s="3" t="s">
        <v>10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/>
      <c r="P10632" s="3"/>
      <c r="Q10632" s="3"/>
    </row>
    <row r="10633" spans="1:17" ht="15" x14ac:dyDescent="0.25">
      <c r="A10633" s="3">
        <f>10626</f>
        <v>10626</v>
      </c>
      <c r="B10633" s="3" t="s">
        <v>10635</v>
      </c>
      <c r="C10633" s="3" t="s">
        <v>9</v>
      </c>
      <c r="D10633" s="3" t="s">
        <v>10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/>
      <c r="P10633" s="3"/>
      <c r="Q10633" s="3"/>
    </row>
    <row r="10634" spans="1:17" ht="15" x14ac:dyDescent="0.25">
      <c r="A10634" s="3">
        <f>10627</f>
        <v>10627</v>
      </c>
      <c r="B10634" s="3" t="s">
        <v>10636</v>
      </c>
      <c r="C10634" s="3" t="s">
        <v>9</v>
      </c>
      <c r="D10634" s="3" t="s">
        <v>10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/>
      <c r="P10634" s="3"/>
      <c r="Q10634" s="3"/>
    </row>
    <row r="10635" spans="1:17" ht="15" x14ac:dyDescent="0.25">
      <c r="A10635" s="3">
        <f>10628</f>
        <v>10628</v>
      </c>
      <c r="B10635" s="3" t="s">
        <v>10637</v>
      </c>
      <c r="C10635" s="3" t="s">
        <v>9</v>
      </c>
      <c r="D10635" s="3" t="s">
        <v>10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/>
      <c r="P10635" s="3"/>
      <c r="Q10635" s="3"/>
    </row>
    <row r="10636" spans="1:17" ht="15" x14ac:dyDescent="0.25">
      <c r="A10636" s="3">
        <f>10629</f>
        <v>10629</v>
      </c>
      <c r="B10636" s="3" t="s">
        <v>10638</v>
      </c>
      <c r="C10636" s="3" t="s">
        <v>9</v>
      </c>
      <c r="D10636" s="3" t="s">
        <v>10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/>
      <c r="P10636" s="3"/>
      <c r="Q10636" s="3"/>
    </row>
    <row r="10637" spans="1:17" ht="15" x14ac:dyDescent="0.25">
      <c r="A10637" s="3">
        <f>10630</f>
        <v>10630</v>
      </c>
      <c r="B10637" s="3" t="s">
        <v>10639</v>
      </c>
      <c r="C10637" s="3" t="s">
        <v>9</v>
      </c>
      <c r="D10637" s="3" t="s">
        <v>10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/>
      <c r="P10637" s="3"/>
      <c r="Q10637" s="3"/>
    </row>
    <row r="10638" spans="1:17" ht="15" x14ac:dyDescent="0.25">
      <c r="A10638" s="3">
        <f>10631</f>
        <v>10631</v>
      </c>
      <c r="B10638" s="3" t="s">
        <v>10640</v>
      </c>
      <c r="C10638" s="3" t="s">
        <v>9</v>
      </c>
      <c r="D10638" s="3" t="s">
        <v>10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/>
      <c r="P10638" s="3"/>
      <c r="Q10638" s="3"/>
    </row>
    <row r="10639" spans="1:17" ht="15" x14ac:dyDescent="0.25">
      <c r="A10639" s="3">
        <f>10632</f>
        <v>10632</v>
      </c>
      <c r="B10639" s="3" t="s">
        <v>10641</v>
      </c>
      <c r="C10639" s="3" t="s">
        <v>9</v>
      </c>
      <c r="D10639" s="3" t="s">
        <v>10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/>
      <c r="P10639" s="3"/>
      <c r="Q10639" s="3"/>
    </row>
    <row r="10640" spans="1:17" ht="15" x14ac:dyDescent="0.25">
      <c r="A10640" s="3">
        <f>10633</f>
        <v>10633</v>
      </c>
      <c r="B10640" s="3" t="s">
        <v>10642</v>
      </c>
      <c r="C10640" s="3" t="s">
        <v>9</v>
      </c>
      <c r="D10640" s="3" t="s">
        <v>10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/>
      <c r="P10640" s="3"/>
      <c r="Q10640" s="3"/>
    </row>
    <row r="10641" spans="1:17" ht="15" x14ac:dyDescent="0.25">
      <c r="A10641" s="3">
        <f>10634</f>
        <v>10634</v>
      </c>
      <c r="B10641" s="3" t="s">
        <v>10643</v>
      </c>
      <c r="C10641" s="3" t="s">
        <v>9</v>
      </c>
      <c r="D10641" s="3" t="s">
        <v>10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/>
      <c r="P10641" s="3"/>
      <c r="Q10641" s="3"/>
    </row>
    <row r="10642" spans="1:17" ht="15" x14ac:dyDescent="0.25">
      <c r="A10642" s="3">
        <f>10635</f>
        <v>10635</v>
      </c>
      <c r="B10642" s="3" t="s">
        <v>10644</v>
      </c>
      <c r="C10642" s="3" t="s">
        <v>9</v>
      </c>
      <c r="D10642" s="3" t="s">
        <v>10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/>
      <c r="P10642" s="3"/>
      <c r="Q10642" s="3"/>
    </row>
    <row r="10643" spans="1:17" ht="15" x14ac:dyDescent="0.25">
      <c r="A10643" s="3">
        <f>10636</f>
        <v>10636</v>
      </c>
      <c r="B10643" s="3" t="s">
        <v>10645</v>
      </c>
      <c r="C10643" s="3" t="s">
        <v>9</v>
      </c>
      <c r="D10643" s="3" t="s">
        <v>10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/>
      <c r="P10643" s="3"/>
      <c r="Q10643" s="3"/>
    </row>
    <row r="10644" spans="1:17" ht="15" x14ac:dyDescent="0.25">
      <c r="A10644" s="3">
        <f>10637</f>
        <v>10637</v>
      </c>
      <c r="B10644" s="3" t="s">
        <v>10646</v>
      </c>
      <c r="C10644" s="3" t="s">
        <v>9</v>
      </c>
      <c r="D10644" s="3" t="s">
        <v>10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/>
      <c r="P10644" s="3"/>
      <c r="Q10644" s="3"/>
    </row>
    <row r="10645" spans="1:17" ht="15" x14ac:dyDescent="0.25">
      <c r="A10645" s="3">
        <f>10638</f>
        <v>10638</v>
      </c>
      <c r="B10645" s="3" t="s">
        <v>10647</v>
      </c>
      <c r="C10645" s="3" t="s">
        <v>9</v>
      </c>
      <c r="D10645" s="3" t="s">
        <v>10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/>
      <c r="P10645" s="3"/>
      <c r="Q10645" s="3"/>
    </row>
    <row r="10646" spans="1:17" ht="15" x14ac:dyDescent="0.25">
      <c r="A10646" s="3">
        <f>10639</f>
        <v>10639</v>
      </c>
      <c r="B10646" s="3" t="s">
        <v>10648</v>
      </c>
      <c r="C10646" s="3" t="s">
        <v>9</v>
      </c>
      <c r="D10646" s="3" t="s">
        <v>10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/>
      <c r="P10646" s="3"/>
      <c r="Q10646" s="3"/>
    </row>
    <row r="10647" spans="1:17" ht="15" x14ac:dyDescent="0.25">
      <c r="A10647" s="3">
        <f>10640</f>
        <v>10640</v>
      </c>
      <c r="B10647" s="3" t="s">
        <v>10649</v>
      </c>
      <c r="C10647" s="3" t="s">
        <v>9</v>
      </c>
      <c r="D10647" s="3" t="s">
        <v>10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/>
      <c r="P10647" s="3"/>
      <c r="Q10647" s="3"/>
    </row>
    <row r="10648" spans="1:17" ht="15" x14ac:dyDescent="0.25">
      <c r="A10648" s="3">
        <f>10641</f>
        <v>10641</v>
      </c>
      <c r="B10648" s="3" t="s">
        <v>10650</v>
      </c>
      <c r="C10648" s="3" t="s">
        <v>9</v>
      </c>
      <c r="D10648" s="3" t="s">
        <v>10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/>
      <c r="P10648" s="3"/>
      <c r="Q10648" s="3"/>
    </row>
    <row r="10649" spans="1:17" ht="15" x14ac:dyDescent="0.25">
      <c r="A10649" s="3">
        <f>10642</f>
        <v>10642</v>
      </c>
      <c r="B10649" s="3" t="s">
        <v>10651</v>
      </c>
      <c r="C10649" s="3" t="s">
        <v>9</v>
      </c>
      <c r="D10649" s="3" t="s">
        <v>10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/>
      <c r="P10649" s="3"/>
      <c r="Q10649" s="3"/>
    </row>
    <row r="10650" spans="1:17" ht="15" x14ac:dyDescent="0.25">
      <c r="A10650" s="3">
        <f>10643</f>
        <v>10643</v>
      </c>
      <c r="B10650" s="3" t="s">
        <v>10652</v>
      </c>
      <c r="C10650" s="3" t="s">
        <v>9</v>
      </c>
      <c r="D10650" s="3" t="s">
        <v>10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/>
      <c r="P10650" s="3"/>
      <c r="Q10650" s="3"/>
    </row>
    <row r="10651" spans="1:17" ht="15" x14ac:dyDescent="0.25">
      <c r="A10651" s="3">
        <f>10644</f>
        <v>10644</v>
      </c>
      <c r="B10651" s="3" t="s">
        <v>10653</v>
      </c>
      <c r="C10651" s="3" t="s">
        <v>9</v>
      </c>
      <c r="D10651" s="3" t="s">
        <v>10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/>
      <c r="P10651" s="3"/>
      <c r="Q10651" s="3"/>
    </row>
    <row r="10652" spans="1:17" ht="15" x14ac:dyDescent="0.25">
      <c r="A10652" s="3">
        <f>10645</f>
        <v>10645</v>
      </c>
      <c r="B10652" s="3" t="s">
        <v>10654</v>
      </c>
      <c r="C10652" s="3" t="s">
        <v>9</v>
      </c>
      <c r="D10652" s="3" t="s">
        <v>10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/>
      <c r="P10652" s="3"/>
      <c r="Q10652" s="3"/>
    </row>
    <row r="10653" spans="1:17" ht="15" x14ac:dyDescent="0.25">
      <c r="A10653" s="3">
        <f>10646</f>
        <v>10646</v>
      </c>
      <c r="B10653" s="3" t="s">
        <v>10655</v>
      </c>
      <c r="C10653" s="3" t="s">
        <v>9</v>
      </c>
      <c r="D10653" s="3" t="s">
        <v>10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/>
      <c r="P10653" s="3"/>
      <c r="Q10653" s="3"/>
    </row>
    <row r="10654" spans="1:17" ht="15" x14ac:dyDescent="0.25">
      <c r="A10654" s="3">
        <f>10647</f>
        <v>10647</v>
      </c>
      <c r="B10654" s="3" t="s">
        <v>10656</v>
      </c>
      <c r="C10654" s="3" t="s">
        <v>9</v>
      </c>
      <c r="D10654" s="3" t="s">
        <v>10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/>
      <c r="P10654" s="3"/>
      <c r="Q10654" s="3"/>
    </row>
    <row r="10655" spans="1:17" ht="15" x14ac:dyDescent="0.25">
      <c r="A10655" s="3">
        <f>10648</f>
        <v>10648</v>
      </c>
      <c r="B10655" s="3" t="s">
        <v>10657</v>
      </c>
      <c r="C10655" s="3" t="s">
        <v>9</v>
      </c>
      <c r="D10655" s="3" t="s">
        <v>10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/>
      <c r="P10655" s="3"/>
      <c r="Q10655" s="3"/>
    </row>
    <row r="10656" spans="1:17" ht="15" x14ac:dyDescent="0.25">
      <c r="A10656" s="3">
        <f>10649</f>
        <v>10649</v>
      </c>
      <c r="B10656" s="3" t="s">
        <v>10658</v>
      </c>
      <c r="C10656" s="3" t="s">
        <v>9</v>
      </c>
      <c r="D10656" s="3" t="s">
        <v>10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/>
      <c r="P10656" s="3"/>
      <c r="Q10656" s="3"/>
    </row>
    <row r="10657" spans="1:17" ht="15" x14ac:dyDescent="0.25">
      <c r="A10657" s="3">
        <f>10650</f>
        <v>10650</v>
      </c>
      <c r="B10657" s="3" t="s">
        <v>10659</v>
      </c>
      <c r="C10657" s="3" t="s">
        <v>9</v>
      </c>
      <c r="D10657" s="3" t="s">
        <v>10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/>
      <c r="P10657" s="3"/>
      <c r="Q10657" s="3"/>
    </row>
    <row r="10658" spans="1:17" ht="15" x14ac:dyDescent="0.25">
      <c r="A10658" s="3">
        <f>10651</f>
        <v>10651</v>
      </c>
      <c r="B10658" s="3" t="s">
        <v>10660</v>
      </c>
      <c r="C10658" s="3" t="s">
        <v>9</v>
      </c>
      <c r="D10658" s="3" t="s">
        <v>10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/>
      <c r="P10658" s="3"/>
      <c r="Q10658" s="3"/>
    </row>
    <row r="10659" spans="1:17" ht="15" x14ac:dyDescent="0.25">
      <c r="A10659" s="3">
        <f>10652</f>
        <v>10652</v>
      </c>
      <c r="B10659" s="3" t="s">
        <v>10661</v>
      </c>
      <c r="C10659" s="3" t="s">
        <v>9</v>
      </c>
      <c r="D10659" s="3" t="s">
        <v>10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/>
      <c r="P10659" s="3"/>
      <c r="Q10659" s="3"/>
    </row>
    <row r="10660" spans="1:17" ht="15" x14ac:dyDescent="0.25">
      <c r="A10660" s="3">
        <f>10653</f>
        <v>10653</v>
      </c>
      <c r="B10660" s="3" t="s">
        <v>10662</v>
      </c>
      <c r="C10660" s="3" t="s">
        <v>9</v>
      </c>
      <c r="D10660" s="3" t="s">
        <v>10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/>
      <c r="P10660" s="3"/>
      <c r="Q10660" s="3"/>
    </row>
    <row r="10661" spans="1:17" ht="15" x14ac:dyDescent="0.25">
      <c r="A10661" s="3">
        <f>10654</f>
        <v>10654</v>
      </c>
      <c r="B10661" s="3" t="s">
        <v>10663</v>
      </c>
      <c r="C10661" s="3" t="s">
        <v>9</v>
      </c>
      <c r="D10661" s="3" t="s">
        <v>10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/>
      <c r="P10661" s="3"/>
      <c r="Q10661" s="3"/>
    </row>
    <row r="10662" spans="1:17" ht="15" x14ac:dyDescent="0.25">
      <c r="A10662" s="3">
        <f>10655</f>
        <v>10655</v>
      </c>
      <c r="B10662" s="3" t="s">
        <v>10664</v>
      </c>
      <c r="C10662" s="3" t="s">
        <v>9</v>
      </c>
      <c r="D10662" s="3" t="s">
        <v>10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/>
      <c r="P10662" s="3"/>
      <c r="Q10662" s="3"/>
    </row>
    <row r="10663" spans="1:17" ht="15" x14ac:dyDescent="0.25">
      <c r="A10663" s="3">
        <f>10656</f>
        <v>10656</v>
      </c>
      <c r="B10663" s="3" t="s">
        <v>10665</v>
      </c>
      <c r="C10663" s="3" t="s">
        <v>9</v>
      </c>
      <c r="D10663" s="3" t="s">
        <v>10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/>
      <c r="P10663" s="3"/>
      <c r="Q10663" s="3"/>
    </row>
    <row r="10664" spans="1:17" ht="15" x14ac:dyDescent="0.25">
      <c r="A10664" s="3">
        <f>10657</f>
        <v>10657</v>
      </c>
      <c r="B10664" s="3" t="s">
        <v>10666</v>
      </c>
      <c r="C10664" s="3" t="s">
        <v>9</v>
      </c>
      <c r="D10664" s="3" t="s">
        <v>10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/>
      <c r="P10664" s="3"/>
      <c r="Q10664" s="3"/>
    </row>
    <row r="10665" spans="1:17" ht="15" x14ac:dyDescent="0.25">
      <c r="A10665" s="3">
        <f>10658</f>
        <v>10658</v>
      </c>
      <c r="B10665" s="3" t="s">
        <v>10667</v>
      </c>
      <c r="C10665" s="3" t="s">
        <v>9</v>
      </c>
      <c r="D10665" s="3" t="s">
        <v>10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/>
      <c r="P10665" s="3"/>
      <c r="Q10665" s="3"/>
    </row>
    <row r="10666" spans="1:17" ht="15" x14ac:dyDescent="0.25">
      <c r="A10666" s="3">
        <f>10659</f>
        <v>10659</v>
      </c>
      <c r="B10666" s="3" t="s">
        <v>10668</v>
      </c>
      <c r="C10666" s="3" t="s">
        <v>9</v>
      </c>
      <c r="D10666" s="3" t="s">
        <v>10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/>
      <c r="P10666" s="3"/>
      <c r="Q10666" s="3"/>
    </row>
    <row r="10667" spans="1:17" ht="15" x14ac:dyDescent="0.25">
      <c r="A10667" s="3">
        <f>10660</f>
        <v>10660</v>
      </c>
      <c r="B10667" s="3" t="s">
        <v>10669</v>
      </c>
      <c r="C10667" s="3" t="s">
        <v>9</v>
      </c>
      <c r="D10667" s="3" t="s">
        <v>10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/>
      <c r="P10667" s="3"/>
      <c r="Q10667" s="3"/>
    </row>
    <row r="10668" spans="1:17" ht="15" x14ac:dyDescent="0.25">
      <c r="A10668" s="3">
        <f>10661</f>
        <v>10661</v>
      </c>
      <c r="B10668" s="3" t="s">
        <v>10670</v>
      </c>
      <c r="C10668" s="3" t="s">
        <v>9</v>
      </c>
      <c r="D10668" s="3" t="s">
        <v>10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/>
      <c r="P10668" s="3"/>
      <c r="Q10668" s="3"/>
    </row>
    <row r="10669" spans="1:17" ht="15" x14ac:dyDescent="0.25">
      <c r="A10669" s="3">
        <f>10662</f>
        <v>10662</v>
      </c>
      <c r="B10669" s="3" t="s">
        <v>10671</v>
      </c>
      <c r="C10669" s="3" t="s">
        <v>9</v>
      </c>
      <c r="D10669" s="3" t="s">
        <v>10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/>
      <c r="P10669" s="3"/>
      <c r="Q10669" s="3"/>
    </row>
    <row r="10670" spans="1:17" ht="15" x14ac:dyDescent="0.25">
      <c r="A10670" s="3">
        <f>10663</f>
        <v>10663</v>
      </c>
      <c r="B10670" s="3" t="s">
        <v>10672</v>
      </c>
      <c r="C10670" s="3" t="s">
        <v>9</v>
      </c>
      <c r="D10670" s="3" t="s">
        <v>10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/>
      <c r="P10670" s="3"/>
      <c r="Q10670" s="3"/>
    </row>
    <row r="10671" spans="1:17" ht="15" x14ac:dyDescent="0.25">
      <c r="A10671" s="3">
        <f>10664</f>
        <v>10664</v>
      </c>
      <c r="B10671" s="3" t="s">
        <v>10673</v>
      </c>
      <c r="C10671" s="3" t="s">
        <v>9</v>
      </c>
      <c r="D10671" s="3" t="s">
        <v>10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/>
      <c r="P10671" s="3"/>
      <c r="Q10671" s="3"/>
    </row>
    <row r="10672" spans="1:17" ht="15" x14ac:dyDescent="0.25">
      <c r="A10672" s="3">
        <f>10665</f>
        <v>10665</v>
      </c>
      <c r="B10672" s="3" t="s">
        <v>10674</v>
      </c>
      <c r="C10672" s="3" t="s">
        <v>9</v>
      </c>
      <c r="D10672" s="3" t="s">
        <v>10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/>
      <c r="P10672" s="3"/>
      <c r="Q10672" s="3"/>
    </row>
    <row r="10673" spans="1:17" ht="15" x14ac:dyDescent="0.25">
      <c r="A10673" s="3">
        <f>10666</f>
        <v>10666</v>
      </c>
      <c r="B10673" s="3" t="s">
        <v>10675</v>
      </c>
      <c r="C10673" s="3" t="s">
        <v>9</v>
      </c>
      <c r="D10673" s="3" t="s">
        <v>10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/>
      <c r="P10673" s="3"/>
      <c r="Q10673" s="3"/>
    </row>
    <row r="10674" spans="1:17" ht="15" x14ac:dyDescent="0.25">
      <c r="A10674" s="3">
        <f>10667</f>
        <v>10667</v>
      </c>
      <c r="B10674" s="3" t="s">
        <v>10676</v>
      </c>
      <c r="C10674" s="3" t="s">
        <v>9</v>
      </c>
      <c r="D10674" s="3" t="s">
        <v>10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/>
      <c r="P10674" s="3"/>
      <c r="Q10674" s="3"/>
    </row>
    <row r="10675" spans="1:17" ht="15" x14ac:dyDescent="0.25">
      <c r="A10675" s="3">
        <f>10668</f>
        <v>10668</v>
      </c>
      <c r="B10675" s="3" t="s">
        <v>10677</v>
      </c>
      <c r="C10675" s="3" t="s">
        <v>9</v>
      </c>
      <c r="D10675" s="3" t="s">
        <v>10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/>
      <c r="P10675" s="3"/>
      <c r="Q10675" s="3"/>
    </row>
    <row r="10676" spans="1:17" ht="15" x14ac:dyDescent="0.25">
      <c r="A10676" s="3">
        <f>10669</f>
        <v>10669</v>
      </c>
      <c r="B10676" s="3" t="s">
        <v>10678</v>
      </c>
      <c r="C10676" s="3" t="s">
        <v>9</v>
      </c>
      <c r="D10676" s="3" t="s">
        <v>10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/>
      <c r="P10676" s="3"/>
      <c r="Q10676" s="3"/>
    </row>
    <row r="10677" spans="1:17" ht="15" x14ac:dyDescent="0.25">
      <c r="A10677" s="3">
        <f>10670</f>
        <v>10670</v>
      </c>
      <c r="B10677" s="3" t="s">
        <v>10679</v>
      </c>
      <c r="C10677" s="3" t="s">
        <v>9</v>
      </c>
      <c r="D10677" s="3" t="s">
        <v>10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/>
      <c r="P10677" s="3"/>
      <c r="Q10677" s="3"/>
    </row>
    <row r="10678" spans="1:17" ht="15" x14ac:dyDescent="0.25">
      <c r="A10678" s="3">
        <f>10671</f>
        <v>10671</v>
      </c>
      <c r="B10678" s="3" t="s">
        <v>10680</v>
      </c>
      <c r="C10678" s="3" t="s">
        <v>9</v>
      </c>
      <c r="D10678" s="3" t="s">
        <v>10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/>
      <c r="P10678" s="3"/>
      <c r="Q10678" s="3"/>
    </row>
    <row r="10679" spans="1:17" ht="15" x14ac:dyDescent="0.25">
      <c r="A10679" s="3">
        <f>10672</f>
        <v>10672</v>
      </c>
      <c r="B10679" s="3" t="s">
        <v>10681</v>
      </c>
      <c r="C10679" s="3" t="s">
        <v>9</v>
      </c>
      <c r="D10679" s="3" t="s">
        <v>10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/>
      <c r="P10679" s="3"/>
      <c r="Q10679" s="3"/>
    </row>
    <row r="10680" spans="1:17" ht="15" x14ac:dyDescent="0.25">
      <c r="A10680" s="3">
        <f>10673</f>
        <v>10673</v>
      </c>
      <c r="B10680" s="3" t="s">
        <v>10682</v>
      </c>
      <c r="C10680" s="3" t="s">
        <v>9</v>
      </c>
      <c r="D10680" s="3" t="s">
        <v>10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/>
      <c r="P10680" s="3"/>
      <c r="Q10680" s="3"/>
    </row>
    <row r="10681" spans="1:17" ht="15" x14ac:dyDescent="0.25">
      <c r="A10681" s="3">
        <f>10674</f>
        <v>10674</v>
      </c>
      <c r="B10681" s="3" t="s">
        <v>10683</v>
      </c>
      <c r="C10681" s="3" t="s">
        <v>9</v>
      </c>
      <c r="D10681" s="3" t="s">
        <v>10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/>
      <c r="P10681" s="3"/>
      <c r="Q10681" s="3"/>
    </row>
    <row r="10682" spans="1:17" ht="15" x14ac:dyDescent="0.25">
      <c r="A10682" s="3">
        <f>10675</f>
        <v>10675</v>
      </c>
      <c r="B10682" s="3" t="s">
        <v>10684</v>
      </c>
      <c r="C10682" s="3" t="s">
        <v>9</v>
      </c>
      <c r="D10682" s="3" t="s">
        <v>10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/>
      <c r="P10682" s="3"/>
      <c r="Q10682" s="3"/>
    </row>
    <row r="10683" spans="1:17" ht="15" x14ac:dyDescent="0.25">
      <c r="A10683" s="3">
        <f>10676</f>
        <v>10676</v>
      </c>
      <c r="B10683" s="3" t="s">
        <v>10685</v>
      </c>
      <c r="C10683" s="3" t="s">
        <v>9</v>
      </c>
      <c r="D10683" s="3" t="s">
        <v>10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/>
      <c r="P10683" s="3"/>
      <c r="Q10683" s="3"/>
    </row>
    <row r="10684" spans="1:17" ht="15" x14ac:dyDescent="0.25">
      <c r="A10684" s="3">
        <f>10677</f>
        <v>10677</v>
      </c>
      <c r="B10684" s="3" t="s">
        <v>10686</v>
      </c>
      <c r="C10684" s="3" t="s">
        <v>9</v>
      </c>
      <c r="D10684" s="3" t="s">
        <v>10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/>
      <c r="P10684" s="3"/>
      <c r="Q10684" s="3"/>
    </row>
    <row r="10685" spans="1:17" ht="15" x14ac:dyDescent="0.25">
      <c r="A10685" s="3">
        <f>10678</f>
        <v>10678</v>
      </c>
      <c r="B10685" s="3" t="s">
        <v>10687</v>
      </c>
      <c r="C10685" s="3" t="s">
        <v>9</v>
      </c>
      <c r="D10685" s="3" t="s">
        <v>10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/>
      <c r="P10685" s="3"/>
      <c r="Q10685" s="3"/>
    </row>
    <row r="10686" spans="1:17" ht="15" x14ac:dyDescent="0.25">
      <c r="A10686" s="3">
        <f>10679</f>
        <v>10679</v>
      </c>
      <c r="B10686" s="3" t="s">
        <v>10688</v>
      </c>
      <c r="C10686" s="3" t="s">
        <v>9</v>
      </c>
      <c r="D10686" s="3" t="s">
        <v>10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/>
      <c r="P10686" s="3"/>
      <c r="Q10686" s="3"/>
    </row>
    <row r="10687" spans="1:17" ht="15" x14ac:dyDescent="0.25">
      <c r="A10687" s="3">
        <f>10680</f>
        <v>10680</v>
      </c>
      <c r="B10687" s="3" t="s">
        <v>10689</v>
      </c>
      <c r="C10687" s="3" t="s">
        <v>9</v>
      </c>
      <c r="D10687" s="3" t="s">
        <v>10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/>
      <c r="P10687" s="3"/>
      <c r="Q10687" s="3"/>
    </row>
    <row r="10688" spans="1:17" ht="15" x14ac:dyDescent="0.25">
      <c r="A10688" s="3">
        <f>10681</f>
        <v>10681</v>
      </c>
      <c r="B10688" s="3" t="s">
        <v>10690</v>
      </c>
      <c r="C10688" s="3" t="s">
        <v>9</v>
      </c>
      <c r="D10688" s="3" t="s">
        <v>10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/>
      <c r="P10688" s="3"/>
      <c r="Q10688" s="3"/>
    </row>
    <row r="10689" spans="1:17" ht="15" x14ac:dyDescent="0.25">
      <c r="A10689" s="3">
        <f>10682</f>
        <v>10682</v>
      </c>
      <c r="B10689" s="3" t="s">
        <v>10691</v>
      </c>
      <c r="C10689" s="3" t="s">
        <v>9</v>
      </c>
      <c r="D10689" s="3" t="s">
        <v>10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/>
      <c r="P10689" s="3"/>
      <c r="Q10689" s="3"/>
    </row>
    <row r="10690" spans="1:17" ht="15" x14ac:dyDescent="0.25">
      <c r="A10690" s="3">
        <f>10683</f>
        <v>10683</v>
      </c>
      <c r="B10690" s="3" t="s">
        <v>10692</v>
      </c>
      <c r="C10690" s="3" t="s">
        <v>9</v>
      </c>
      <c r="D10690" s="3" t="s">
        <v>10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/>
      <c r="P10690" s="3"/>
      <c r="Q10690" s="3"/>
    </row>
    <row r="10691" spans="1:17" ht="15" x14ac:dyDescent="0.25">
      <c r="A10691" s="3">
        <f>10684</f>
        <v>10684</v>
      </c>
      <c r="B10691" s="3" t="s">
        <v>10693</v>
      </c>
      <c r="C10691" s="3" t="s">
        <v>9</v>
      </c>
      <c r="D10691" s="3" t="s">
        <v>10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/>
      <c r="P10691" s="3"/>
      <c r="Q10691" s="3"/>
    </row>
    <row r="10692" spans="1:17" ht="15" x14ac:dyDescent="0.25">
      <c r="A10692" s="3">
        <f>10685</f>
        <v>10685</v>
      </c>
      <c r="B10692" s="3" t="s">
        <v>10694</v>
      </c>
      <c r="C10692" s="3" t="s">
        <v>9</v>
      </c>
      <c r="D10692" s="3" t="s">
        <v>10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/>
      <c r="P10692" s="3"/>
      <c r="Q10692" s="3"/>
    </row>
    <row r="10693" spans="1:17" ht="15" x14ac:dyDescent="0.25">
      <c r="A10693" s="3">
        <f>10686</f>
        <v>10686</v>
      </c>
      <c r="B10693" s="3" t="s">
        <v>10695</v>
      </c>
      <c r="C10693" s="3" t="s">
        <v>9</v>
      </c>
      <c r="D10693" s="3" t="s">
        <v>10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/>
      <c r="P10693" s="3"/>
      <c r="Q10693" s="3"/>
    </row>
    <row r="10694" spans="1:17" ht="15" x14ac:dyDescent="0.25">
      <c r="A10694" s="3">
        <f>10687</f>
        <v>10687</v>
      </c>
      <c r="B10694" s="3" t="s">
        <v>10696</v>
      </c>
      <c r="C10694" s="3" t="s">
        <v>9</v>
      </c>
      <c r="D10694" s="3" t="s">
        <v>10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/>
      <c r="P10694" s="3"/>
      <c r="Q10694" s="3"/>
    </row>
    <row r="10695" spans="1:17" ht="15" x14ac:dyDescent="0.25">
      <c r="A10695" s="3">
        <f>10688</f>
        <v>10688</v>
      </c>
      <c r="B10695" s="3" t="s">
        <v>10697</v>
      </c>
      <c r="C10695" s="3" t="s">
        <v>9</v>
      </c>
      <c r="D10695" s="3" t="s">
        <v>10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/>
      <c r="P10695" s="3"/>
      <c r="Q10695" s="3"/>
    </row>
    <row r="10696" spans="1:17" ht="15" x14ac:dyDescent="0.25">
      <c r="A10696" s="3">
        <f>10689</f>
        <v>10689</v>
      </c>
      <c r="B10696" s="3" t="s">
        <v>10698</v>
      </c>
      <c r="C10696" s="3" t="s">
        <v>9</v>
      </c>
      <c r="D10696" s="3" t="s">
        <v>10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/>
      <c r="P10696" s="3"/>
      <c r="Q10696" s="3"/>
    </row>
    <row r="10697" spans="1:17" ht="15" x14ac:dyDescent="0.25">
      <c r="A10697" s="3">
        <f>10690</f>
        <v>10690</v>
      </c>
      <c r="B10697" s="3" t="s">
        <v>10699</v>
      </c>
      <c r="C10697" s="3" t="s">
        <v>9</v>
      </c>
      <c r="D10697" s="3" t="s">
        <v>10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/>
      <c r="P10697" s="3"/>
      <c r="Q10697" s="3"/>
    </row>
    <row r="10698" spans="1:17" ht="15" x14ac:dyDescent="0.25">
      <c r="A10698" s="3">
        <f>10691</f>
        <v>10691</v>
      </c>
      <c r="B10698" s="3" t="s">
        <v>10700</v>
      </c>
      <c r="C10698" s="3" t="s">
        <v>9</v>
      </c>
      <c r="D10698" s="3" t="s">
        <v>10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/>
      <c r="P10698" s="3"/>
      <c r="Q10698" s="3"/>
    </row>
    <row r="10699" spans="1:17" ht="15" x14ac:dyDescent="0.25">
      <c r="A10699" s="3">
        <f>10692</f>
        <v>10692</v>
      </c>
      <c r="B10699" s="3" t="s">
        <v>10701</v>
      </c>
      <c r="C10699" s="3" t="s">
        <v>9</v>
      </c>
      <c r="D10699" s="3" t="s">
        <v>10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/>
      <c r="P10699" s="3"/>
      <c r="Q10699" s="3"/>
    </row>
    <row r="10700" spans="1:17" ht="15" x14ac:dyDescent="0.25">
      <c r="A10700" s="3">
        <f>10693</f>
        <v>10693</v>
      </c>
      <c r="B10700" s="3" t="s">
        <v>10702</v>
      </c>
      <c r="C10700" s="3" t="s">
        <v>9</v>
      </c>
      <c r="D10700" s="3" t="s">
        <v>10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/>
      <c r="P10700" s="3"/>
      <c r="Q10700" s="3"/>
    </row>
    <row r="10701" spans="1:17" ht="15" x14ac:dyDescent="0.25">
      <c r="A10701" s="3">
        <f>10694</f>
        <v>10694</v>
      </c>
      <c r="B10701" s="3" t="s">
        <v>10703</v>
      </c>
      <c r="C10701" s="3" t="s">
        <v>9</v>
      </c>
      <c r="D10701" s="3" t="s">
        <v>10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/>
      <c r="P10701" s="3"/>
      <c r="Q10701" s="3"/>
    </row>
    <row r="10702" spans="1:17" ht="15" x14ac:dyDescent="0.25">
      <c r="A10702" s="3">
        <f>10695</f>
        <v>10695</v>
      </c>
      <c r="B10702" s="3" t="s">
        <v>10704</v>
      </c>
      <c r="C10702" s="3" t="s">
        <v>9</v>
      </c>
      <c r="D10702" s="3" t="s">
        <v>10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/>
      <c r="P10702" s="3"/>
      <c r="Q10702" s="3"/>
    </row>
    <row r="10703" spans="1:17" ht="15" x14ac:dyDescent="0.25">
      <c r="A10703" s="3">
        <f>10696</f>
        <v>10696</v>
      </c>
      <c r="B10703" s="3" t="s">
        <v>10705</v>
      </c>
      <c r="C10703" s="3" t="s">
        <v>9</v>
      </c>
      <c r="D10703" s="3" t="s">
        <v>10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/>
      <c r="P10703" s="3"/>
      <c r="Q10703" s="3"/>
    </row>
    <row r="10704" spans="1:17" ht="15" x14ac:dyDescent="0.25">
      <c r="A10704" s="3">
        <f>10697</f>
        <v>10697</v>
      </c>
      <c r="B10704" s="3" t="s">
        <v>10706</v>
      </c>
      <c r="C10704" s="3" t="s">
        <v>9</v>
      </c>
      <c r="D10704" s="3" t="s">
        <v>10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/>
      <c r="P10704" s="3"/>
      <c r="Q10704" s="3"/>
    </row>
    <row r="10705" spans="1:17" ht="15" x14ac:dyDescent="0.25">
      <c r="A10705" s="3">
        <f>10698</f>
        <v>10698</v>
      </c>
      <c r="B10705" s="3" t="s">
        <v>10707</v>
      </c>
      <c r="C10705" s="3" t="s">
        <v>9</v>
      </c>
      <c r="D10705" s="3" t="s">
        <v>10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/>
      <c r="P10705" s="3"/>
      <c r="Q10705" s="3"/>
    </row>
    <row r="10706" spans="1:17" ht="15" x14ac:dyDescent="0.25">
      <c r="A10706" s="3">
        <f>10699</f>
        <v>10699</v>
      </c>
      <c r="B10706" s="3" t="s">
        <v>10708</v>
      </c>
      <c r="C10706" s="3" t="s">
        <v>9</v>
      </c>
      <c r="D10706" s="3" t="s">
        <v>10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/>
      <c r="P10706" s="3"/>
      <c r="Q10706" s="3"/>
    </row>
    <row r="10707" spans="1:17" ht="15" x14ac:dyDescent="0.25">
      <c r="A10707" s="3">
        <f>10700</f>
        <v>10700</v>
      </c>
      <c r="B10707" s="3" t="s">
        <v>10709</v>
      </c>
      <c r="C10707" s="3" t="s">
        <v>9</v>
      </c>
      <c r="D10707" s="3" t="s">
        <v>10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/>
      <c r="P10707" s="3"/>
      <c r="Q10707" s="3"/>
    </row>
    <row r="10708" spans="1:17" ht="15" x14ac:dyDescent="0.25">
      <c r="A10708" s="3">
        <f>10701</f>
        <v>10701</v>
      </c>
      <c r="B10708" s="3" t="s">
        <v>10710</v>
      </c>
      <c r="C10708" s="3" t="s">
        <v>9</v>
      </c>
      <c r="D10708" s="3" t="s">
        <v>10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/>
      <c r="P10708" s="3"/>
      <c r="Q10708" s="3"/>
    </row>
    <row r="10709" spans="1:17" ht="15" x14ac:dyDescent="0.25">
      <c r="A10709" s="3">
        <f>10702</f>
        <v>10702</v>
      </c>
      <c r="B10709" s="3" t="s">
        <v>10711</v>
      </c>
      <c r="C10709" s="3" t="s">
        <v>9</v>
      </c>
      <c r="D10709" s="3" t="s">
        <v>10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/>
      <c r="P10709" s="3"/>
      <c r="Q10709" s="3"/>
    </row>
    <row r="10710" spans="1:17" ht="15" x14ac:dyDescent="0.25">
      <c r="A10710" s="3">
        <f>10703</f>
        <v>10703</v>
      </c>
      <c r="B10710" s="3" t="s">
        <v>10712</v>
      </c>
      <c r="C10710" s="3" t="s">
        <v>9</v>
      </c>
      <c r="D10710" s="3" t="s">
        <v>10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/>
      <c r="P10710" s="3"/>
      <c r="Q10710" s="3"/>
    </row>
    <row r="10711" spans="1:17" ht="15" x14ac:dyDescent="0.25">
      <c r="A10711" s="3">
        <f>10704</f>
        <v>10704</v>
      </c>
      <c r="B10711" s="3" t="s">
        <v>10713</v>
      </c>
      <c r="C10711" s="3" t="s">
        <v>9</v>
      </c>
      <c r="D10711" s="3" t="s">
        <v>10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/>
      <c r="P10711" s="3"/>
      <c r="Q10711" s="3"/>
    </row>
    <row r="10712" spans="1:17" ht="15" x14ac:dyDescent="0.25">
      <c r="A10712" s="3">
        <f>10705</f>
        <v>10705</v>
      </c>
      <c r="B10712" s="3" t="s">
        <v>10714</v>
      </c>
      <c r="C10712" s="3" t="s">
        <v>9</v>
      </c>
      <c r="D10712" s="3" t="s">
        <v>10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/>
      <c r="P10712" s="3"/>
      <c r="Q10712" s="3"/>
    </row>
    <row r="10713" spans="1:17" ht="15" x14ac:dyDescent="0.25">
      <c r="A10713" s="3">
        <f>10706</f>
        <v>10706</v>
      </c>
      <c r="B10713" s="3" t="s">
        <v>10715</v>
      </c>
      <c r="C10713" s="3" t="s">
        <v>9</v>
      </c>
      <c r="D10713" s="3" t="s">
        <v>10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/>
      <c r="P10713" s="3"/>
      <c r="Q10713" s="3"/>
    </row>
    <row r="10714" spans="1:17" ht="15" x14ac:dyDescent="0.25">
      <c r="A10714" s="3">
        <f>10707</f>
        <v>10707</v>
      </c>
      <c r="B10714" s="3" t="s">
        <v>10716</v>
      </c>
      <c r="C10714" s="3" t="s">
        <v>9</v>
      </c>
      <c r="D10714" s="3" t="s">
        <v>10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/>
      <c r="P10714" s="3"/>
      <c r="Q10714" s="3"/>
    </row>
    <row r="10715" spans="1:17" ht="15" x14ac:dyDescent="0.25">
      <c r="A10715" s="3">
        <f>10708</f>
        <v>10708</v>
      </c>
      <c r="B10715" s="3" t="s">
        <v>10717</v>
      </c>
      <c r="C10715" s="3" t="s">
        <v>9</v>
      </c>
      <c r="D10715" s="3" t="s">
        <v>10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/>
      <c r="P10715" s="3"/>
      <c r="Q10715" s="3"/>
    </row>
    <row r="10716" spans="1:17" ht="15" x14ac:dyDescent="0.25">
      <c r="A10716" s="3">
        <f>10709</f>
        <v>10709</v>
      </c>
      <c r="B10716" s="3" t="s">
        <v>10718</v>
      </c>
      <c r="C10716" s="3" t="s">
        <v>9</v>
      </c>
      <c r="D10716" s="3" t="s">
        <v>10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/>
      <c r="P10716" s="3"/>
      <c r="Q10716" s="3"/>
    </row>
    <row r="10717" spans="1:17" ht="15" x14ac:dyDescent="0.25">
      <c r="A10717" s="3">
        <f>10710</f>
        <v>10710</v>
      </c>
      <c r="B10717" s="3" t="s">
        <v>10719</v>
      </c>
      <c r="C10717" s="3" t="s">
        <v>9</v>
      </c>
      <c r="D10717" s="3" t="s">
        <v>10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/>
      <c r="P10717" s="3"/>
      <c r="Q10717" s="3"/>
    </row>
    <row r="10718" spans="1:17" ht="15" x14ac:dyDescent="0.25">
      <c r="A10718" s="3">
        <f>10711</f>
        <v>10711</v>
      </c>
      <c r="B10718" s="3" t="s">
        <v>10720</v>
      </c>
      <c r="C10718" s="3" t="s">
        <v>9</v>
      </c>
      <c r="D10718" s="3" t="s">
        <v>10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/>
      <c r="P10718" s="3"/>
      <c r="Q10718" s="3"/>
    </row>
    <row r="10719" spans="1:17" ht="15" x14ac:dyDescent="0.25">
      <c r="A10719" s="3">
        <f>10712</f>
        <v>10712</v>
      </c>
      <c r="B10719" s="3" t="s">
        <v>10721</v>
      </c>
      <c r="C10719" s="3" t="s">
        <v>9</v>
      </c>
      <c r="D10719" s="3" t="s">
        <v>10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/>
      <c r="P10719" s="3"/>
      <c r="Q10719" s="3"/>
    </row>
    <row r="10720" spans="1:17" ht="15" x14ac:dyDescent="0.25">
      <c r="A10720" s="3">
        <f>10713</f>
        <v>10713</v>
      </c>
      <c r="B10720" s="3" t="s">
        <v>10722</v>
      </c>
      <c r="C10720" s="3" t="s">
        <v>9</v>
      </c>
      <c r="D10720" s="3" t="s">
        <v>10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/>
      <c r="P10720" s="3"/>
      <c r="Q10720" s="3"/>
    </row>
    <row r="10721" spans="1:17" ht="15" x14ac:dyDescent="0.25">
      <c r="A10721" s="3">
        <f>10714</f>
        <v>10714</v>
      </c>
      <c r="B10721" s="3" t="s">
        <v>10723</v>
      </c>
      <c r="C10721" s="3" t="s">
        <v>9</v>
      </c>
      <c r="D10721" s="3" t="s">
        <v>10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/>
      <c r="P10721" s="3"/>
      <c r="Q10721" s="3"/>
    </row>
    <row r="10722" spans="1:17" ht="15" x14ac:dyDescent="0.25">
      <c r="A10722" s="3">
        <f>10715</f>
        <v>10715</v>
      </c>
      <c r="B10722" s="3" t="s">
        <v>10724</v>
      </c>
      <c r="C10722" s="3" t="s">
        <v>9</v>
      </c>
      <c r="D10722" s="3" t="s">
        <v>10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/>
      <c r="P10722" s="3"/>
      <c r="Q10722" s="3"/>
    </row>
    <row r="10723" spans="1:17" ht="15" x14ac:dyDescent="0.25">
      <c r="A10723" s="3">
        <f>10716</f>
        <v>10716</v>
      </c>
      <c r="B10723" s="3" t="s">
        <v>10725</v>
      </c>
      <c r="C10723" s="3" t="s">
        <v>9</v>
      </c>
      <c r="D10723" s="3" t="s">
        <v>10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/>
      <c r="P10723" s="3"/>
      <c r="Q10723" s="3"/>
    </row>
    <row r="10724" spans="1:17" ht="15" x14ac:dyDescent="0.25">
      <c r="A10724" s="3">
        <f>10717</f>
        <v>10717</v>
      </c>
      <c r="B10724" s="3" t="s">
        <v>10726</v>
      </c>
      <c r="C10724" s="3" t="s">
        <v>9</v>
      </c>
      <c r="D10724" s="3" t="s">
        <v>10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/>
      <c r="P10724" s="3"/>
      <c r="Q10724" s="3"/>
    </row>
    <row r="10725" spans="1:17" ht="15" x14ac:dyDescent="0.25">
      <c r="A10725" s="3">
        <f>10718</f>
        <v>10718</v>
      </c>
      <c r="B10725" s="3" t="s">
        <v>10727</v>
      </c>
      <c r="C10725" s="3" t="s">
        <v>9</v>
      </c>
      <c r="D10725" s="3" t="s">
        <v>10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/>
      <c r="P10725" s="3"/>
      <c r="Q10725" s="3"/>
    </row>
    <row r="10726" spans="1:17" ht="15" x14ac:dyDescent="0.25">
      <c r="A10726" s="3">
        <f>10719</f>
        <v>10719</v>
      </c>
      <c r="B10726" s="3" t="s">
        <v>10728</v>
      </c>
      <c r="C10726" s="3" t="s">
        <v>9</v>
      </c>
      <c r="D10726" s="3" t="s">
        <v>10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/>
      <c r="P10726" s="3"/>
      <c r="Q10726" s="3"/>
    </row>
    <row r="10727" spans="1:17" ht="15" x14ac:dyDescent="0.25">
      <c r="A10727" s="3">
        <f>10720</f>
        <v>10720</v>
      </c>
      <c r="B10727" s="3" t="s">
        <v>10729</v>
      </c>
      <c r="C10727" s="3" t="s">
        <v>9</v>
      </c>
      <c r="D10727" s="3" t="s">
        <v>10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/>
      <c r="P10727" s="3"/>
      <c r="Q10727" s="3"/>
    </row>
    <row r="10728" spans="1:17" ht="15" x14ac:dyDescent="0.25">
      <c r="A10728" s="3">
        <f>10721</f>
        <v>10721</v>
      </c>
      <c r="B10728" s="3" t="s">
        <v>10730</v>
      </c>
      <c r="C10728" s="3" t="s">
        <v>9</v>
      </c>
      <c r="D10728" s="3" t="s">
        <v>10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/>
      <c r="P10728" s="3"/>
      <c r="Q10728" s="3"/>
    </row>
    <row r="10729" spans="1:17" ht="15" x14ac:dyDescent="0.25">
      <c r="A10729" s="3">
        <f>10722</f>
        <v>10722</v>
      </c>
      <c r="B10729" s="3" t="s">
        <v>10731</v>
      </c>
      <c r="C10729" s="3" t="s">
        <v>9</v>
      </c>
      <c r="D10729" s="3" t="s">
        <v>10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/>
      <c r="P10729" s="3"/>
      <c r="Q10729" s="3"/>
    </row>
    <row r="10730" spans="1:17" ht="15" x14ac:dyDescent="0.25">
      <c r="A10730" s="3">
        <f>10723</f>
        <v>10723</v>
      </c>
      <c r="B10730" s="3" t="s">
        <v>10732</v>
      </c>
      <c r="C10730" s="3" t="s">
        <v>9</v>
      </c>
      <c r="D10730" s="3" t="s">
        <v>10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/>
      <c r="P10730" s="3"/>
      <c r="Q10730" s="3"/>
    </row>
    <row r="10731" spans="1:17" ht="15" x14ac:dyDescent="0.25">
      <c r="A10731" s="3">
        <f>10724</f>
        <v>10724</v>
      </c>
      <c r="B10731" s="3" t="s">
        <v>10733</v>
      </c>
      <c r="C10731" s="3" t="s">
        <v>9</v>
      </c>
      <c r="D10731" s="3" t="s">
        <v>10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/>
      <c r="P10731" s="3"/>
      <c r="Q10731" s="3"/>
    </row>
    <row r="10732" spans="1:17" ht="15" x14ac:dyDescent="0.25">
      <c r="A10732" s="3">
        <f>10725</f>
        <v>10725</v>
      </c>
      <c r="B10732" s="3" t="s">
        <v>10734</v>
      </c>
      <c r="C10732" s="3" t="s">
        <v>9</v>
      </c>
      <c r="D10732" s="3" t="s">
        <v>10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/>
      <c r="P10732" s="3"/>
      <c r="Q10732" s="3"/>
    </row>
    <row r="10733" spans="1:17" ht="15" x14ac:dyDescent="0.25">
      <c r="A10733" s="3">
        <f>10726</f>
        <v>10726</v>
      </c>
      <c r="B10733" s="3" t="s">
        <v>10735</v>
      </c>
      <c r="C10733" s="3" t="s">
        <v>9</v>
      </c>
      <c r="D10733" s="3" t="s">
        <v>10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/>
      <c r="P10733" s="3"/>
      <c r="Q10733" s="3"/>
    </row>
    <row r="10734" spans="1:17" ht="15" x14ac:dyDescent="0.25">
      <c r="A10734" s="3">
        <f>10727</f>
        <v>10727</v>
      </c>
      <c r="B10734" s="3" t="s">
        <v>10736</v>
      </c>
      <c r="C10734" s="3" t="s">
        <v>9</v>
      </c>
      <c r="D10734" s="3" t="s">
        <v>10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/>
      <c r="P10734" s="3"/>
      <c r="Q10734" s="3"/>
    </row>
    <row r="10735" spans="1:17" ht="15" x14ac:dyDescent="0.25">
      <c r="A10735" s="3">
        <f>10728</f>
        <v>10728</v>
      </c>
      <c r="B10735" s="3" t="s">
        <v>10737</v>
      </c>
      <c r="C10735" s="3" t="s">
        <v>9</v>
      </c>
      <c r="D10735" s="3" t="s">
        <v>10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/>
      <c r="P10735" s="3"/>
      <c r="Q10735" s="3"/>
    </row>
    <row r="10736" spans="1:17" ht="15" x14ac:dyDescent="0.25">
      <c r="A10736" s="3">
        <f>10729</f>
        <v>10729</v>
      </c>
      <c r="B10736" s="3" t="s">
        <v>10738</v>
      </c>
      <c r="C10736" s="3" t="s">
        <v>9</v>
      </c>
      <c r="D10736" s="3" t="s">
        <v>10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/>
      <c r="P10736" s="3"/>
      <c r="Q10736" s="3"/>
    </row>
    <row r="10737" spans="1:17" ht="15" x14ac:dyDescent="0.25">
      <c r="A10737" s="3">
        <f>10730</f>
        <v>10730</v>
      </c>
      <c r="B10737" s="3" t="s">
        <v>10739</v>
      </c>
      <c r="C10737" s="3" t="s">
        <v>9</v>
      </c>
      <c r="D10737" s="3" t="s">
        <v>10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/>
      <c r="P10737" s="3"/>
      <c r="Q10737" s="3"/>
    </row>
    <row r="10738" spans="1:17" ht="15" x14ac:dyDescent="0.25">
      <c r="A10738" s="3">
        <f>10731</f>
        <v>10731</v>
      </c>
      <c r="B10738" s="3" t="s">
        <v>10740</v>
      </c>
      <c r="C10738" s="3" t="s">
        <v>9</v>
      </c>
      <c r="D10738" s="3" t="s">
        <v>10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/>
      <c r="P10738" s="3"/>
      <c r="Q10738" s="3"/>
    </row>
    <row r="10739" spans="1:17" ht="15" x14ac:dyDescent="0.25">
      <c r="A10739" s="3">
        <f>10732</f>
        <v>10732</v>
      </c>
      <c r="B10739" s="3" t="s">
        <v>10741</v>
      </c>
      <c r="C10739" s="3" t="s">
        <v>9</v>
      </c>
      <c r="D10739" s="3" t="s">
        <v>10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/>
      <c r="P10739" s="3"/>
      <c r="Q10739" s="3"/>
    </row>
    <row r="10740" spans="1:17" ht="15" x14ac:dyDescent="0.25">
      <c r="A10740" s="3">
        <f>10733</f>
        <v>10733</v>
      </c>
      <c r="B10740" s="3" t="s">
        <v>10742</v>
      </c>
      <c r="C10740" s="3" t="s">
        <v>9</v>
      </c>
      <c r="D10740" s="3" t="s">
        <v>10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/>
      <c r="P10740" s="3"/>
      <c r="Q10740" s="3"/>
    </row>
    <row r="10741" spans="1:17" ht="15" x14ac:dyDescent="0.25">
      <c r="A10741" s="3">
        <f>10734</f>
        <v>10734</v>
      </c>
      <c r="B10741" s="3" t="s">
        <v>10743</v>
      </c>
      <c r="C10741" s="3" t="s">
        <v>9</v>
      </c>
      <c r="D10741" s="3" t="s">
        <v>10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/>
      <c r="P10741" s="3"/>
      <c r="Q10741" s="3"/>
    </row>
    <row r="10742" spans="1:17" ht="15" x14ac:dyDescent="0.25">
      <c r="A10742" s="3">
        <f>10735</f>
        <v>10735</v>
      </c>
      <c r="B10742" s="3" t="s">
        <v>10744</v>
      </c>
      <c r="C10742" s="3" t="s">
        <v>9</v>
      </c>
      <c r="D10742" s="3" t="s">
        <v>10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/>
      <c r="P10742" s="3"/>
      <c r="Q10742" s="3"/>
    </row>
    <row r="10743" spans="1:17" ht="15" x14ac:dyDescent="0.25">
      <c r="A10743" s="3">
        <f>10736</f>
        <v>10736</v>
      </c>
      <c r="B10743" s="3" t="s">
        <v>10745</v>
      </c>
      <c r="C10743" s="3" t="s">
        <v>9</v>
      </c>
      <c r="D10743" s="3" t="s">
        <v>10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/>
      <c r="P10743" s="3"/>
      <c r="Q10743" s="3"/>
    </row>
    <row r="10744" spans="1:17" ht="15" x14ac:dyDescent="0.25">
      <c r="A10744" s="3">
        <f>10737</f>
        <v>10737</v>
      </c>
      <c r="B10744" s="3" t="s">
        <v>10746</v>
      </c>
      <c r="C10744" s="3" t="s">
        <v>9</v>
      </c>
      <c r="D10744" s="3" t="s">
        <v>10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/>
      <c r="P10744" s="3"/>
      <c r="Q10744" s="3"/>
    </row>
    <row r="10745" spans="1:17" ht="15" x14ac:dyDescent="0.25">
      <c r="A10745" s="3">
        <f>10738</f>
        <v>10738</v>
      </c>
      <c r="B10745" s="3" t="s">
        <v>10747</v>
      </c>
      <c r="C10745" s="3" t="s">
        <v>9</v>
      </c>
      <c r="D10745" s="3" t="s">
        <v>10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/>
      <c r="P10745" s="3"/>
      <c r="Q10745" s="3"/>
    </row>
    <row r="10746" spans="1:17" ht="15" x14ac:dyDescent="0.25">
      <c r="A10746" s="3">
        <f>10739</f>
        <v>10739</v>
      </c>
      <c r="B10746" s="3" t="s">
        <v>10748</v>
      </c>
      <c r="C10746" s="3" t="s">
        <v>9</v>
      </c>
      <c r="D10746" s="3" t="s">
        <v>10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/>
      <c r="P10746" s="3"/>
      <c r="Q10746" s="3"/>
    </row>
    <row r="10747" spans="1:17" ht="15" x14ac:dyDescent="0.25">
      <c r="A10747" s="3">
        <f>10740</f>
        <v>10740</v>
      </c>
      <c r="B10747" s="3" t="s">
        <v>10749</v>
      </c>
      <c r="C10747" s="3" t="s">
        <v>9</v>
      </c>
      <c r="D10747" s="3" t="s">
        <v>10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/>
      <c r="P10747" s="3"/>
      <c r="Q10747" s="3"/>
    </row>
    <row r="10748" spans="1:17" ht="15" x14ac:dyDescent="0.25">
      <c r="A10748" s="3">
        <f>10741</f>
        <v>10741</v>
      </c>
      <c r="B10748" s="3" t="s">
        <v>10750</v>
      </c>
      <c r="C10748" s="3" t="s">
        <v>9</v>
      </c>
      <c r="D10748" s="3" t="s">
        <v>10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/>
      <c r="P10748" s="3"/>
      <c r="Q10748" s="3"/>
    </row>
    <row r="10749" spans="1:17" ht="15" x14ac:dyDescent="0.25">
      <c r="A10749" s="3">
        <f>10742</f>
        <v>10742</v>
      </c>
      <c r="B10749" s="3" t="s">
        <v>10751</v>
      </c>
      <c r="C10749" s="3" t="s">
        <v>9</v>
      </c>
      <c r="D10749" s="3" t="s">
        <v>10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/>
      <c r="P10749" s="3"/>
      <c r="Q10749" s="3"/>
    </row>
    <row r="10750" spans="1:17" ht="15" x14ac:dyDescent="0.25">
      <c r="A10750" s="3">
        <f>10743</f>
        <v>10743</v>
      </c>
      <c r="B10750" s="3" t="s">
        <v>10752</v>
      </c>
      <c r="C10750" s="3" t="s">
        <v>9</v>
      </c>
      <c r="D10750" s="3" t="s">
        <v>10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/>
      <c r="P10750" s="3"/>
      <c r="Q10750" s="3"/>
    </row>
    <row r="10751" spans="1:17" ht="15" x14ac:dyDescent="0.25">
      <c r="A10751" s="3">
        <f>10744</f>
        <v>10744</v>
      </c>
      <c r="B10751" s="3" t="s">
        <v>10753</v>
      </c>
      <c r="C10751" s="3" t="s">
        <v>9</v>
      </c>
      <c r="D10751" s="3" t="s">
        <v>10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/>
      <c r="P10751" s="3"/>
      <c r="Q10751" s="3"/>
    </row>
    <row r="10752" spans="1:17" ht="15" x14ac:dyDescent="0.25">
      <c r="A10752" s="3">
        <f>10745</f>
        <v>10745</v>
      </c>
      <c r="B10752" s="3" t="s">
        <v>10754</v>
      </c>
      <c r="C10752" s="3" t="s">
        <v>9</v>
      </c>
      <c r="D10752" s="3" t="s">
        <v>10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/>
      <c r="P10752" s="3"/>
      <c r="Q10752" s="3"/>
    </row>
    <row r="10753" spans="1:17" ht="15" x14ac:dyDescent="0.25">
      <c r="A10753" s="3">
        <f>10746</f>
        <v>10746</v>
      </c>
      <c r="B10753" s="3" t="s">
        <v>10755</v>
      </c>
      <c r="C10753" s="3" t="s">
        <v>9</v>
      </c>
      <c r="D10753" s="3" t="s">
        <v>10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/>
      <c r="P10753" s="3"/>
      <c r="Q10753" s="3"/>
    </row>
    <row r="10754" spans="1:17" ht="15" x14ac:dyDescent="0.25">
      <c r="A10754" s="3">
        <f>10747</f>
        <v>10747</v>
      </c>
      <c r="B10754" s="3" t="s">
        <v>10756</v>
      </c>
      <c r="C10754" s="3" t="s">
        <v>9</v>
      </c>
      <c r="D10754" s="3" t="s">
        <v>10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/>
      <c r="P10754" s="3"/>
      <c r="Q10754" s="3"/>
    </row>
    <row r="10755" spans="1:17" ht="15" x14ac:dyDescent="0.25">
      <c r="A10755" s="3">
        <f>10748</f>
        <v>10748</v>
      </c>
      <c r="B10755" s="3" t="s">
        <v>10757</v>
      </c>
      <c r="C10755" s="3" t="s">
        <v>9</v>
      </c>
      <c r="D10755" s="3" t="s">
        <v>10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/>
      <c r="P10755" s="3"/>
      <c r="Q10755" s="3"/>
    </row>
    <row r="10756" spans="1:17" ht="15" x14ac:dyDescent="0.25">
      <c r="A10756" s="3">
        <f>10749</f>
        <v>10749</v>
      </c>
      <c r="B10756" s="3" t="s">
        <v>10758</v>
      </c>
      <c r="C10756" s="3" t="s">
        <v>9</v>
      </c>
      <c r="D10756" s="3" t="s">
        <v>10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/>
      <c r="P10756" s="3"/>
      <c r="Q10756" s="3"/>
    </row>
    <row r="10757" spans="1:17" ht="15" x14ac:dyDescent="0.25">
      <c r="A10757" s="3">
        <f>10750</f>
        <v>10750</v>
      </c>
      <c r="B10757" s="3" t="s">
        <v>10759</v>
      </c>
      <c r="C10757" s="3" t="s">
        <v>9</v>
      </c>
      <c r="D10757" s="3" t="s">
        <v>10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/>
      <c r="P10757" s="3"/>
      <c r="Q10757" s="3"/>
    </row>
    <row r="10758" spans="1:17" ht="15" x14ac:dyDescent="0.25">
      <c r="A10758" s="3">
        <f>10751</f>
        <v>10751</v>
      </c>
      <c r="B10758" s="3" t="s">
        <v>10760</v>
      </c>
      <c r="C10758" s="3" t="s">
        <v>9</v>
      </c>
      <c r="D10758" s="3" t="s">
        <v>10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/>
      <c r="P10758" s="3"/>
      <c r="Q10758" s="3"/>
    </row>
    <row r="10759" spans="1:17" ht="15" x14ac:dyDescent="0.25">
      <c r="A10759" s="3">
        <f>10752</f>
        <v>10752</v>
      </c>
      <c r="B10759" s="3" t="s">
        <v>10761</v>
      </c>
      <c r="C10759" s="3" t="s">
        <v>9</v>
      </c>
      <c r="D10759" s="3" t="s">
        <v>10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/>
      <c r="P10759" s="3"/>
      <c r="Q10759" s="3"/>
    </row>
    <row r="10760" spans="1:17" ht="15" x14ac:dyDescent="0.25">
      <c r="A10760" s="3">
        <f>10753</f>
        <v>10753</v>
      </c>
      <c r="B10760" s="3" t="s">
        <v>10762</v>
      </c>
      <c r="C10760" s="3" t="s">
        <v>9</v>
      </c>
      <c r="D10760" s="3" t="s">
        <v>10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/>
      <c r="P10760" s="3"/>
      <c r="Q10760" s="3"/>
    </row>
    <row r="10761" spans="1:17" ht="15" x14ac:dyDescent="0.25">
      <c r="A10761" s="3">
        <f>10754</f>
        <v>10754</v>
      </c>
      <c r="B10761" s="3" t="s">
        <v>10763</v>
      </c>
      <c r="C10761" s="3" t="s">
        <v>9</v>
      </c>
      <c r="D10761" s="3" t="s">
        <v>10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/>
      <c r="P10761" s="3"/>
      <c r="Q10761" s="3"/>
    </row>
    <row r="10762" spans="1:17" ht="15" x14ac:dyDescent="0.25">
      <c r="A10762" s="3">
        <f>10755</f>
        <v>10755</v>
      </c>
      <c r="B10762" s="3" t="s">
        <v>10764</v>
      </c>
      <c r="C10762" s="3" t="s">
        <v>9</v>
      </c>
      <c r="D10762" s="3" t="s">
        <v>10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/>
      <c r="P10762" s="3"/>
      <c r="Q10762" s="3"/>
    </row>
    <row r="10763" spans="1:17" ht="15" x14ac:dyDescent="0.25">
      <c r="A10763" s="3">
        <f>10756</f>
        <v>10756</v>
      </c>
      <c r="B10763" s="3" t="s">
        <v>10765</v>
      </c>
      <c r="C10763" s="3" t="s">
        <v>9</v>
      </c>
      <c r="D10763" s="3" t="s">
        <v>10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/>
      <c r="P10763" s="3"/>
      <c r="Q10763" s="3"/>
    </row>
    <row r="10764" spans="1:17" ht="15" x14ac:dyDescent="0.25">
      <c r="A10764" s="3">
        <f>10757</f>
        <v>10757</v>
      </c>
      <c r="B10764" s="3" t="s">
        <v>10766</v>
      </c>
      <c r="C10764" s="3" t="s">
        <v>9</v>
      </c>
      <c r="D10764" s="3" t="s">
        <v>10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/>
      <c r="P10764" s="3"/>
      <c r="Q10764" s="3"/>
    </row>
    <row r="10765" spans="1:17" ht="15" x14ac:dyDescent="0.25">
      <c r="A10765" s="3">
        <f>10758</f>
        <v>10758</v>
      </c>
      <c r="B10765" s="3" t="s">
        <v>10767</v>
      </c>
      <c r="C10765" s="3" t="s">
        <v>9</v>
      </c>
      <c r="D10765" s="3" t="s">
        <v>10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/>
      <c r="P10765" s="3"/>
      <c r="Q10765" s="3"/>
    </row>
    <row r="10766" spans="1:17" ht="15" x14ac:dyDescent="0.25">
      <c r="A10766" s="3">
        <f>10759</f>
        <v>10759</v>
      </c>
      <c r="B10766" s="3" t="s">
        <v>10768</v>
      </c>
      <c r="C10766" s="3" t="s">
        <v>9</v>
      </c>
      <c r="D10766" s="3" t="s">
        <v>10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/>
      <c r="P10766" s="3"/>
      <c r="Q10766" s="3"/>
    </row>
    <row r="10767" spans="1:17" ht="15" x14ac:dyDescent="0.25">
      <c r="A10767" s="3">
        <f>10760</f>
        <v>10760</v>
      </c>
      <c r="B10767" s="3" t="s">
        <v>10769</v>
      </c>
      <c r="C10767" s="3" t="s">
        <v>9</v>
      </c>
      <c r="D10767" s="3" t="s">
        <v>10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/>
      <c r="P10767" s="3"/>
      <c r="Q10767" s="3"/>
    </row>
    <row r="10768" spans="1:17" ht="15" x14ac:dyDescent="0.25">
      <c r="A10768" s="3">
        <f>10761</f>
        <v>10761</v>
      </c>
      <c r="B10768" s="3" t="s">
        <v>10770</v>
      </c>
      <c r="C10768" s="3" t="s">
        <v>9</v>
      </c>
      <c r="D10768" s="3" t="s">
        <v>10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/>
      <c r="P10768" s="3"/>
      <c r="Q10768" s="3"/>
    </row>
    <row r="10769" spans="1:17" ht="15" x14ac:dyDescent="0.25">
      <c r="A10769" s="3">
        <f>10762</f>
        <v>10762</v>
      </c>
      <c r="B10769" s="3" t="s">
        <v>10771</v>
      </c>
      <c r="C10769" s="3" t="s">
        <v>9</v>
      </c>
      <c r="D10769" s="3" t="s">
        <v>10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/>
      <c r="P10769" s="3"/>
      <c r="Q10769" s="3"/>
    </row>
    <row r="10770" spans="1:17" ht="15" x14ac:dyDescent="0.25">
      <c r="A10770" s="3">
        <f>10763</f>
        <v>10763</v>
      </c>
      <c r="B10770" s="3" t="s">
        <v>10772</v>
      </c>
      <c r="C10770" s="3" t="s">
        <v>9</v>
      </c>
      <c r="D10770" s="3" t="s">
        <v>10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/>
      <c r="P10770" s="3"/>
      <c r="Q10770" s="3"/>
    </row>
    <row r="10771" spans="1:17" ht="15" x14ac:dyDescent="0.25">
      <c r="A10771" s="3">
        <f>10764</f>
        <v>10764</v>
      </c>
      <c r="B10771" s="3" t="s">
        <v>10773</v>
      </c>
      <c r="C10771" s="3" t="s">
        <v>9</v>
      </c>
      <c r="D10771" s="3" t="s">
        <v>10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/>
      <c r="P10771" s="3"/>
      <c r="Q10771" s="3"/>
    </row>
    <row r="10772" spans="1:17" ht="15" x14ac:dyDescent="0.25">
      <c r="A10772" s="3">
        <f>10765</f>
        <v>10765</v>
      </c>
      <c r="B10772" s="3" t="s">
        <v>10774</v>
      </c>
      <c r="C10772" s="3" t="s">
        <v>9</v>
      </c>
      <c r="D10772" s="3" t="s">
        <v>10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/>
      <c r="P10772" s="3"/>
      <c r="Q10772" s="3"/>
    </row>
    <row r="10773" spans="1:17" ht="15" x14ac:dyDescent="0.25">
      <c r="A10773" s="3">
        <f>10766</f>
        <v>10766</v>
      </c>
      <c r="B10773" s="3" t="s">
        <v>10775</v>
      </c>
      <c r="C10773" s="3" t="s">
        <v>9</v>
      </c>
      <c r="D10773" s="3" t="s">
        <v>10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/>
      <c r="P10773" s="3"/>
      <c r="Q10773" s="3"/>
    </row>
    <row r="10774" spans="1:17" ht="15" x14ac:dyDescent="0.25">
      <c r="A10774" s="3">
        <f>10767</f>
        <v>10767</v>
      </c>
      <c r="B10774" s="3" t="s">
        <v>10776</v>
      </c>
      <c r="C10774" s="3" t="s">
        <v>9</v>
      </c>
      <c r="D10774" s="3" t="s">
        <v>10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/>
      <c r="P10774" s="3"/>
      <c r="Q10774" s="3"/>
    </row>
    <row r="10775" spans="1:17" ht="15" x14ac:dyDescent="0.25">
      <c r="A10775" s="3">
        <f>10768</f>
        <v>10768</v>
      </c>
      <c r="B10775" s="3" t="s">
        <v>10777</v>
      </c>
      <c r="C10775" s="3" t="s">
        <v>9</v>
      </c>
      <c r="D10775" s="3" t="s">
        <v>10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/>
      <c r="P10775" s="3"/>
      <c r="Q10775" s="3"/>
    </row>
    <row r="10776" spans="1:17" ht="15" x14ac:dyDescent="0.25">
      <c r="A10776" s="3">
        <f>10769</f>
        <v>10769</v>
      </c>
      <c r="B10776" s="3" t="s">
        <v>10778</v>
      </c>
      <c r="C10776" s="3" t="s">
        <v>9</v>
      </c>
      <c r="D10776" s="3" t="s">
        <v>10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/>
      <c r="P10776" s="3"/>
      <c r="Q10776" s="3"/>
    </row>
    <row r="10777" spans="1:17" ht="15" x14ac:dyDescent="0.25">
      <c r="A10777" s="3">
        <f>10770</f>
        <v>10770</v>
      </c>
      <c r="B10777" s="3" t="s">
        <v>10779</v>
      </c>
      <c r="C10777" s="3" t="s">
        <v>9</v>
      </c>
      <c r="D10777" s="3" t="s">
        <v>10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/>
      <c r="P10777" s="3"/>
      <c r="Q10777" s="3"/>
    </row>
    <row r="10778" spans="1:17" ht="15" x14ac:dyDescent="0.25">
      <c r="A10778" s="3">
        <f>10771</f>
        <v>10771</v>
      </c>
      <c r="B10778" s="3" t="s">
        <v>10780</v>
      </c>
      <c r="C10778" s="3" t="s">
        <v>9</v>
      </c>
      <c r="D10778" s="3" t="s">
        <v>10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/>
      <c r="P10778" s="3"/>
      <c r="Q10778" s="3"/>
    </row>
    <row r="10779" spans="1:17" ht="15" x14ac:dyDescent="0.25">
      <c r="A10779" s="3">
        <f>10772</f>
        <v>10772</v>
      </c>
      <c r="B10779" s="3" t="s">
        <v>10781</v>
      </c>
      <c r="C10779" s="3" t="s">
        <v>9</v>
      </c>
      <c r="D10779" s="3" t="s">
        <v>10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/>
      <c r="P10779" s="3"/>
      <c r="Q10779" s="3"/>
    </row>
    <row r="10780" spans="1:17" ht="15" x14ac:dyDescent="0.25">
      <c r="A10780" s="3">
        <f>10773</f>
        <v>10773</v>
      </c>
      <c r="B10780" s="3" t="s">
        <v>10782</v>
      </c>
      <c r="C10780" s="3" t="s">
        <v>9</v>
      </c>
      <c r="D10780" s="3" t="s">
        <v>10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/>
      <c r="P10780" s="3"/>
      <c r="Q10780" s="3"/>
    </row>
    <row r="10781" spans="1:17" ht="15" x14ac:dyDescent="0.25">
      <c r="A10781" s="3">
        <f>10774</f>
        <v>10774</v>
      </c>
      <c r="B10781" s="3" t="s">
        <v>10783</v>
      </c>
      <c r="C10781" s="3" t="s">
        <v>9</v>
      </c>
      <c r="D10781" s="3" t="s">
        <v>10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/>
      <c r="P10781" s="3"/>
      <c r="Q10781" s="3"/>
    </row>
    <row r="10782" spans="1:17" ht="15" x14ac:dyDescent="0.25">
      <c r="A10782" s="3">
        <f>10775</f>
        <v>10775</v>
      </c>
      <c r="B10782" s="3" t="s">
        <v>10784</v>
      </c>
      <c r="C10782" s="3" t="s">
        <v>9</v>
      </c>
      <c r="D10782" s="3" t="s">
        <v>10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/>
      <c r="P10782" s="3"/>
      <c r="Q10782" s="3"/>
    </row>
    <row r="10783" spans="1:17" ht="15" x14ac:dyDescent="0.25">
      <c r="A10783" s="3">
        <f>10776</f>
        <v>10776</v>
      </c>
      <c r="B10783" s="3" t="s">
        <v>10785</v>
      </c>
      <c r="C10783" s="3" t="s">
        <v>9</v>
      </c>
      <c r="D10783" s="3" t="s">
        <v>10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/>
      <c r="P10783" s="3"/>
      <c r="Q10783" s="3"/>
    </row>
    <row r="10784" spans="1:17" ht="15" x14ac:dyDescent="0.25">
      <c r="A10784" s="3">
        <f>10777</f>
        <v>10777</v>
      </c>
      <c r="B10784" s="3" t="s">
        <v>10786</v>
      </c>
      <c r="C10784" s="3" t="s">
        <v>9</v>
      </c>
      <c r="D10784" s="3" t="s">
        <v>10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/>
      <c r="P10784" s="3"/>
      <c r="Q10784" s="3"/>
    </row>
    <row r="10785" spans="1:17" ht="15" x14ac:dyDescent="0.25">
      <c r="A10785" s="3">
        <f>10778</f>
        <v>10778</v>
      </c>
      <c r="B10785" s="3" t="s">
        <v>10787</v>
      </c>
      <c r="C10785" s="3" t="s">
        <v>9</v>
      </c>
      <c r="D10785" s="3" t="s">
        <v>10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/>
      <c r="P10785" s="3"/>
      <c r="Q10785" s="3"/>
    </row>
    <row r="10786" spans="1:17" ht="15" x14ac:dyDescent="0.25">
      <c r="A10786" s="3">
        <f>10779</f>
        <v>10779</v>
      </c>
      <c r="B10786" s="3" t="s">
        <v>10788</v>
      </c>
      <c r="C10786" s="3" t="s">
        <v>9</v>
      </c>
      <c r="D10786" s="3" t="s">
        <v>10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/>
      <c r="P10786" s="3"/>
      <c r="Q10786" s="3"/>
    </row>
    <row r="10787" spans="1:17" ht="15" x14ac:dyDescent="0.25">
      <c r="A10787" s="3">
        <f>10780</f>
        <v>10780</v>
      </c>
      <c r="B10787" s="3" t="s">
        <v>10789</v>
      </c>
      <c r="C10787" s="3" t="s">
        <v>9</v>
      </c>
      <c r="D10787" s="3" t="s">
        <v>10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/>
      <c r="P10787" s="3"/>
      <c r="Q10787" s="3"/>
    </row>
    <row r="10788" spans="1:17" ht="15" x14ac:dyDescent="0.25">
      <c r="A10788" s="3">
        <f>10781</f>
        <v>10781</v>
      </c>
      <c r="B10788" s="3" t="s">
        <v>10790</v>
      </c>
      <c r="C10788" s="3" t="s">
        <v>9</v>
      </c>
      <c r="D10788" s="3" t="s">
        <v>10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/>
      <c r="P10788" s="3"/>
      <c r="Q10788" s="3"/>
    </row>
    <row r="10789" spans="1:17" ht="15" x14ac:dyDescent="0.25">
      <c r="A10789" s="3">
        <f>10782</f>
        <v>10782</v>
      </c>
      <c r="B10789" s="3" t="s">
        <v>10791</v>
      </c>
      <c r="C10789" s="3" t="s">
        <v>9</v>
      </c>
      <c r="D10789" s="3" t="s">
        <v>10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/>
      <c r="P10789" s="3"/>
      <c r="Q10789" s="3"/>
    </row>
    <row r="10790" spans="1:17" ht="15" x14ac:dyDescent="0.25">
      <c r="A10790" s="3">
        <f>10783</f>
        <v>10783</v>
      </c>
      <c r="B10790" s="3" t="s">
        <v>10792</v>
      </c>
      <c r="C10790" s="3" t="s">
        <v>9</v>
      </c>
      <c r="D10790" s="3" t="s">
        <v>10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/>
      <c r="P10790" s="3"/>
      <c r="Q10790" s="3"/>
    </row>
    <row r="10791" spans="1:17" ht="15" x14ac:dyDescent="0.25">
      <c r="A10791" s="3">
        <f>10784</f>
        <v>10784</v>
      </c>
      <c r="B10791" s="3" t="s">
        <v>10793</v>
      </c>
      <c r="C10791" s="3" t="s">
        <v>9</v>
      </c>
      <c r="D10791" s="3" t="s">
        <v>10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/>
      <c r="P10791" s="3"/>
      <c r="Q10791" s="3"/>
    </row>
    <row r="10792" spans="1:17" ht="15" x14ac:dyDescent="0.25">
      <c r="A10792" s="3">
        <f>10785</f>
        <v>10785</v>
      </c>
      <c r="B10792" s="3" t="s">
        <v>10794</v>
      </c>
      <c r="C10792" s="3" t="s">
        <v>9</v>
      </c>
      <c r="D10792" s="3" t="s">
        <v>10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/>
      <c r="P10792" s="3"/>
      <c r="Q10792" s="3"/>
    </row>
    <row r="10793" spans="1:17" ht="15" x14ac:dyDescent="0.25">
      <c r="A10793" s="3">
        <f>10786</f>
        <v>10786</v>
      </c>
      <c r="B10793" s="3" t="s">
        <v>10795</v>
      </c>
      <c r="C10793" s="3" t="s">
        <v>9</v>
      </c>
      <c r="D10793" s="3" t="s">
        <v>10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/>
      <c r="P10793" s="3"/>
      <c r="Q10793" s="3"/>
    </row>
    <row r="10794" spans="1:17" ht="15" x14ac:dyDescent="0.25">
      <c r="A10794" s="3">
        <f>10787</f>
        <v>10787</v>
      </c>
      <c r="B10794" s="3" t="s">
        <v>10796</v>
      </c>
      <c r="C10794" s="3" t="s">
        <v>9</v>
      </c>
      <c r="D10794" s="3" t="s">
        <v>10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/>
      <c r="P10794" s="3"/>
      <c r="Q10794" s="3"/>
    </row>
    <row r="10795" spans="1:17" ht="15" x14ac:dyDescent="0.25">
      <c r="A10795" s="3">
        <f>10788</f>
        <v>10788</v>
      </c>
      <c r="B10795" s="3" t="s">
        <v>10797</v>
      </c>
      <c r="C10795" s="3" t="s">
        <v>9</v>
      </c>
      <c r="D10795" s="3" t="s">
        <v>10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/>
      <c r="P10795" s="3"/>
      <c r="Q10795" s="3"/>
    </row>
    <row r="10796" spans="1:17" ht="15" x14ac:dyDescent="0.25">
      <c r="A10796" s="3">
        <f>10789</f>
        <v>10789</v>
      </c>
      <c r="B10796" s="3" t="s">
        <v>10798</v>
      </c>
      <c r="C10796" s="3" t="s">
        <v>9</v>
      </c>
      <c r="D10796" s="3" t="s">
        <v>10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/>
      <c r="P10796" s="3"/>
      <c r="Q10796" s="3"/>
    </row>
    <row r="10797" spans="1:17" ht="15" x14ac:dyDescent="0.25">
      <c r="A10797" s="3">
        <f>10790</f>
        <v>10790</v>
      </c>
      <c r="B10797" s="3" t="s">
        <v>10799</v>
      </c>
      <c r="C10797" s="3" t="s">
        <v>9</v>
      </c>
      <c r="D10797" s="3" t="s">
        <v>10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/>
      <c r="P10797" s="3"/>
      <c r="Q10797" s="3"/>
    </row>
    <row r="10798" spans="1:17" ht="15" x14ac:dyDescent="0.25">
      <c r="A10798" s="3">
        <f>10791</f>
        <v>10791</v>
      </c>
      <c r="B10798" s="3" t="s">
        <v>10800</v>
      </c>
      <c r="C10798" s="3" t="s">
        <v>9</v>
      </c>
      <c r="D10798" s="3" t="s">
        <v>10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/>
      <c r="P10798" s="3"/>
      <c r="Q10798" s="3"/>
    </row>
    <row r="10799" spans="1:17" ht="15" x14ac:dyDescent="0.25">
      <c r="A10799" s="3">
        <f>10792</f>
        <v>10792</v>
      </c>
      <c r="B10799" s="3" t="s">
        <v>10801</v>
      </c>
      <c r="C10799" s="3" t="s">
        <v>9</v>
      </c>
      <c r="D10799" s="3" t="s">
        <v>10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/>
      <c r="P10799" s="3"/>
      <c r="Q10799" s="3"/>
    </row>
    <row r="10800" spans="1:17" ht="15" x14ac:dyDescent="0.25">
      <c r="A10800" s="3">
        <f>10793</f>
        <v>10793</v>
      </c>
      <c r="B10800" s="3" t="s">
        <v>10802</v>
      </c>
      <c r="C10800" s="3" t="s">
        <v>9</v>
      </c>
      <c r="D10800" s="3" t="s">
        <v>10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/>
      <c r="P10800" s="3"/>
      <c r="Q10800" s="3"/>
    </row>
    <row r="10801" spans="1:17" ht="15" x14ac:dyDescent="0.25">
      <c r="A10801" s="3">
        <f>10794</f>
        <v>10794</v>
      </c>
      <c r="B10801" s="3" t="s">
        <v>10803</v>
      </c>
      <c r="C10801" s="3" t="s">
        <v>9</v>
      </c>
      <c r="D10801" s="3" t="s">
        <v>10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/>
      <c r="P10801" s="3"/>
      <c r="Q10801" s="3"/>
    </row>
    <row r="10802" spans="1:17" ht="15" x14ac:dyDescent="0.25">
      <c r="A10802" s="3">
        <f>10795</f>
        <v>10795</v>
      </c>
      <c r="B10802" s="3" t="s">
        <v>10804</v>
      </c>
      <c r="C10802" s="3" t="s">
        <v>9</v>
      </c>
      <c r="D10802" s="3" t="s">
        <v>10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/>
      <c r="P10802" s="3"/>
      <c r="Q10802" s="3"/>
    </row>
    <row r="10803" spans="1:17" ht="15" x14ac:dyDescent="0.25">
      <c r="A10803" s="3">
        <f>10796</f>
        <v>10796</v>
      </c>
      <c r="B10803" s="3" t="s">
        <v>10805</v>
      </c>
      <c r="C10803" s="3" t="s">
        <v>9</v>
      </c>
      <c r="D10803" s="3" t="s">
        <v>10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/>
      <c r="P10803" s="3"/>
      <c r="Q10803" s="3"/>
    </row>
    <row r="10804" spans="1:17" ht="15" x14ac:dyDescent="0.25">
      <c r="A10804" s="3">
        <f>10797</f>
        <v>10797</v>
      </c>
      <c r="B10804" s="3" t="s">
        <v>10806</v>
      </c>
      <c r="C10804" s="3" t="s">
        <v>9</v>
      </c>
      <c r="D10804" s="3" t="s">
        <v>10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/>
      <c r="P10804" s="3"/>
      <c r="Q10804" s="3"/>
    </row>
    <row r="10805" spans="1:17" ht="15" x14ac:dyDescent="0.25">
      <c r="A10805" s="3">
        <f>10798</f>
        <v>10798</v>
      </c>
      <c r="B10805" s="3" t="s">
        <v>10807</v>
      </c>
      <c r="C10805" s="3" t="s">
        <v>9</v>
      </c>
      <c r="D10805" s="3" t="s">
        <v>10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/>
      <c r="P10805" s="3"/>
      <c r="Q10805" s="3"/>
    </row>
    <row r="10806" spans="1:17" ht="15" x14ac:dyDescent="0.25">
      <c r="A10806" s="3">
        <f>10799</f>
        <v>10799</v>
      </c>
      <c r="B10806" s="3" t="s">
        <v>10808</v>
      </c>
      <c r="C10806" s="3" t="s">
        <v>9</v>
      </c>
      <c r="D10806" s="3" t="s">
        <v>10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/>
      <c r="P10806" s="3"/>
      <c r="Q10806" s="3"/>
    </row>
    <row r="10807" spans="1:17" ht="15" x14ac:dyDescent="0.25">
      <c r="A10807" s="3">
        <f>10800</f>
        <v>10800</v>
      </c>
      <c r="B10807" s="3" t="s">
        <v>10809</v>
      </c>
      <c r="C10807" s="3" t="s">
        <v>9</v>
      </c>
      <c r="D10807" s="3" t="s">
        <v>10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/>
      <c r="P10807" s="3"/>
      <c r="Q10807" s="3"/>
    </row>
    <row r="10808" spans="1:17" ht="15" x14ac:dyDescent="0.25">
      <c r="A10808" s="3">
        <f>10801</f>
        <v>10801</v>
      </c>
      <c r="B10808" s="3" t="s">
        <v>10810</v>
      </c>
      <c r="C10808" s="3" t="s">
        <v>9</v>
      </c>
      <c r="D10808" s="3" t="s">
        <v>10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/>
      <c r="P10808" s="3"/>
      <c r="Q10808" s="3"/>
    </row>
    <row r="10809" spans="1:17" ht="15" x14ac:dyDescent="0.25">
      <c r="A10809" s="3">
        <f>10802</f>
        <v>10802</v>
      </c>
      <c r="B10809" s="3" t="s">
        <v>10811</v>
      </c>
      <c r="C10809" s="3" t="s">
        <v>9</v>
      </c>
      <c r="D10809" s="3" t="s">
        <v>10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/>
      <c r="P10809" s="3"/>
      <c r="Q10809" s="3"/>
    </row>
    <row r="10810" spans="1:17" ht="15" x14ac:dyDescent="0.25">
      <c r="A10810" s="3">
        <f>10803</f>
        <v>10803</v>
      </c>
      <c r="B10810" s="3" t="s">
        <v>10812</v>
      </c>
      <c r="C10810" s="3" t="s">
        <v>9</v>
      </c>
      <c r="D10810" s="3" t="s">
        <v>10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/>
      <c r="P10810" s="3"/>
      <c r="Q10810" s="3"/>
    </row>
    <row r="10811" spans="1:17" ht="15" x14ac:dyDescent="0.25">
      <c r="A10811" s="3">
        <f>10804</f>
        <v>10804</v>
      </c>
      <c r="B10811" s="3" t="s">
        <v>10813</v>
      </c>
      <c r="C10811" s="3" t="s">
        <v>9</v>
      </c>
      <c r="D10811" s="3" t="s">
        <v>10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/>
      <c r="P10811" s="3"/>
      <c r="Q10811" s="3"/>
    </row>
    <row r="10812" spans="1:17" ht="15" x14ac:dyDescent="0.25">
      <c r="A10812" s="3">
        <f>10805</f>
        <v>10805</v>
      </c>
      <c r="B10812" s="3" t="s">
        <v>10814</v>
      </c>
      <c r="C10812" s="3" t="s">
        <v>9</v>
      </c>
      <c r="D10812" s="3" t="s">
        <v>10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/>
      <c r="P10812" s="3"/>
      <c r="Q10812" s="3"/>
    </row>
    <row r="10813" spans="1:17" ht="15" x14ac:dyDescent="0.25">
      <c r="A10813" s="3">
        <f>10806</f>
        <v>10806</v>
      </c>
      <c r="B10813" s="3" t="s">
        <v>10815</v>
      </c>
      <c r="C10813" s="3" t="s">
        <v>9</v>
      </c>
      <c r="D10813" s="3" t="s">
        <v>10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/>
      <c r="P10813" s="3"/>
      <c r="Q10813" s="3"/>
    </row>
    <row r="10814" spans="1:17" ht="15" x14ac:dyDescent="0.25">
      <c r="A10814" s="3">
        <f>10807</f>
        <v>10807</v>
      </c>
      <c r="B10814" s="3" t="s">
        <v>10816</v>
      </c>
      <c r="C10814" s="3" t="s">
        <v>9</v>
      </c>
      <c r="D10814" s="3" t="s">
        <v>10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/>
      <c r="P10814" s="3"/>
      <c r="Q10814" s="3"/>
    </row>
    <row r="10815" spans="1:17" ht="15" x14ac:dyDescent="0.25">
      <c r="A10815" s="3">
        <f>10808</f>
        <v>10808</v>
      </c>
      <c r="B10815" s="3" t="s">
        <v>10817</v>
      </c>
      <c r="C10815" s="3" t="s">
        <v>9</v>
      </c>
      <c r="D10815" s="3" t="s">
        <v>10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/>
      <c r="P10815" s="3"/>
      <c r="Q10815" s="3"/>
    </row>
    <row r="10816" spans="1:17" ht="15" x14ac:dyDescent="0.25">
      <c r="A10816" s="3">
        <f>10809</f>
        <v>10809</v>
      </c>
      <c r="B10816" s="3" t="s">
        <v>10818</v>
      </c>
      <c r="C10816" s="3" t="s">
        <v>9</v>
      </c>
      <c r="D10816" s="3" t="s">
        <v>10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/>
      <c r="P10816" s="3"/>
      <c r="Q10816" s="3"/>
    </row>
    <row r="10817" spans="1:17" ht="15" x14ac:dyDescent="0.25">
      <c r="A10817" s="3">
        <f>10810</f>
        <v>10810</v>
      </c>
      <c r="B10817" s="3" t="s">
        <v>10819</v>
      </c>
      <c r="C10817" s="3" t="s">
        <v>9</v>
      </c>
      <c r="D10817" s="3" t="s">
        <v>10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/>
      <c r="P10817" s="3"/>
      <c r="Q10817" s="3"/>
    </row>
    <row r="10818" spans="1:17" ht="15" x14ac:dyDescent="0.25">
      <c r="A10818" s="3">
        <f>10811</f>
        <v>10811</v>
      </c>
      <c r="B10818" s="3" t="s">
        <v>10820</v>
      </c>
      <c r="C10818" s="3" t="s">
        <v>9</v>
      </c>
      <c r="D10818" s="3" t="s">
        <v>10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/>
      <c r="P10818" s="3"/>
      <c r="Q10818" s="3"/>
    </row>
    <row r="10819" spans="1:17" ht="15" x14ac:dyDescent="0.25">
      <c r="A10819" s="3">
        <f>10812</f>
        <v>10812</v>
      </c>
      <c r="B10819" s="3" t="s">
        <v>10821</v>
      </c>
      <c r="C10819" s="3" t="s">
        <v>9</v>
      </c>
      <c r="D10819" s="3" t="s">
        <v>10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/>
      <c r="P10819" s="3"/>
      <c r="Q10819" s="3"/>
    </row>
    <row r="10820" spans="1:17" ht="15" x14ac:dyDescent="0.25">
      <c r="A10820" s="3">
        <f>10813</f>
        <v>10813</v>
      </c>
      <c r="B10820" s="3" t="s">
        <v>10822</v>
      </c>
      <c r="C10820" s="3" t="s">
        <v>9</v>
      </c>
      <c r="D10820" s="3" t="s">
        <v>10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/>
      <c r="P10820" s="3"/>
      <c r="Q10820" s="3"/>
    </row>
    <row r="10821" spans="1:17" ht="15" x14ac:dyDescent="0.25">
      <c r="A10821" s="3">
        <f>10814</f>
        <v>10814</v>
      </c>
      <c r="B10821" s="3" t="s">
        <v>10823</v>
      </c>
      <c r="C10821" s="3" t="s">
        <v>9</v>
      </c>
      <c r="D10821" s="3" t="s">
        <v>10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/>
      <c r="P10821" s="3"/>
      <c r="Q10821" s="3"/>
    </row>
    <row r="10822" spans="1:17" ht="15" x14ac:dyDescent="0.25">
      <c r="A10822" s="3">
        <f>10815</f>
        <v>10815</v>
      </c>
      <c r="B10822" s="3" t="s">
        <v>10824</v>
      </c>
      <c r="C10822" s="3" t="s">
        <v>9</v>
      </c>
      <c r="D10822" s="3" t="s">
        <v>10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/>
      <c r="P10822" s="3"/>
      <c r="Q10822" s="3"/>
    </row>
    <row r="10823" spans="1:17" ht="15" x14ac:dyDescent="0.25">
      <c r="A10823" s="3">
        <f>10816</f>
        <v>10816</v>
      </c>
      <c r="B10823" s="3" t="s">
        <v>10825</v>
      </c>
      <c r="C10823" s="3" t="s">
        <v>9</v>
      </c>
      <c r="D10823" s="3" t="s">
        <v>10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/>
      <c r="P10823" s="3"/>
      <c r="Q10823" s="3"/>
    </row>
    <row r="10824" spans="1:17" ht="15" x14ac:dyDescent="0.25">
      <c r="A10824" s="3">
        <f>10817</f>
        <v>10817</v>
      </c>
      <c r="B10824" s="3" t="s">
        <v>10826</v>
      </c>
      <c r="C10824" s="3" t="s">
        <v>9</v>
      </c>
      <c r="D10824" s="3" t="s">
        <v>10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/>
      <c r="P10824" s="3"/>
      <c r="Q10824" s="3"/>
    </row>
    <row r="10825" spans="1:17" ht="15" x14ac:dyDescent="0.25">
      <c r="A10825" s="3">
        <f>10818</f>
        <v>10818</v>
      </c>
      <c r="B10825" s="3" t="s">
        <v>10827</v>
      </c>
      <c r="C10825" s="3" t="s">
        <v>9</v>
      </c>
      <c r="D10825" s="3" t="s">
        <v>10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/>
      <c r="P10825" s="3"/>
      <c r="Q10825" s="3"/>
    </row>
    <row r="10826" spans="1:17" ht="15" x14ac:dyDescent="0.25">
      <c r="A10826" s="3">
        <f>10819</f>
        <v>10819</v>
      </c>
      <c r="B10826" s="3" t="s">
        <v>10828</v>
      </c>
      <c r="C10826" s="3" t="s">
        <v>9</v>
      </c>
      <c r="D10826" s="3" t="s">
        <v>10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/>
      <c r="P10826" s="3"/>
      <c r="Q10826" s="3"/>
    </row>
    <row r="10827" spans="1:17" ht="15" x14ac:dyDescent="0.25">
      <c r="A10827" s="3">
        <f>10820</f>
        <v>10820</v>
      </c>
      <c r="B10827" s="3" t="s">
        <v>10829</v>
      </c>
      <c r="C10827" s="3" t="s">
        <v>9</v>
      </c>
      <c r="D10827" s="3" t="s">
        <v>10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/>
      <c r="P10827" s="3"/>
      <c r="Q10827" s="3"/>
    </row>
    <row r="10828" spans="1:17" ht="15" x14ac:dyDescent="0.25">
      <c r="A10828" s="3">
        <f>10821</f>
        <v>10821</v>
      </c>
      <c r="B10828" s="3" t="s">
        <v>10830</v>
      </c>
      <c r="C10828" s="3" t="s">
        <v>9</v>
      </c>
      <c r="D10828" s="3" t="s">
        <v>10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/>
      <c r="P10828" s="3"/>
      <c r="Q10828" s="3"/>
    </row>
    <row r="10829" spans="1:17" ht="15" x14ac:dyDescent="0.25">
      <c r="A10829" s="3">
        <f>10822</f>
        <v>10822</v>
      </c>
      <c r="B10829" s="3" t="s">
        <v>10831</v>
      </c>
      <c r="C10829" s="3" t="s">
        <v>9</v>
      </c>
      <c r="D10829" s="3" t="s">
        <v>10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/>
      <c r="P10829" s="3"/>
      <c r="Q10829" s="3"/>
    </row>
    <row r="10830" spans="1:17" ht="15" x14ac:dyDescent="0.25">
      <c r="A10830" s="3">
        <f>10823</f>
        <v>10823</v>
      </c>
      <c r="B10830" s="3" t="s">
        <v>10832</v>
      </c>
      <c r="C10830" s="3" t="s">
        <v>9</v>
      </c>
      <c r="D10830" s="3" t="s">
        <v>10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/>
      <c r="P10830" s="3"/>
      <c r="Q10830" s="3"/>
    </row>
    <row r="10831" spans="1:17" ht="15" x14ac:dyDescent="0.25">
      <c r="A10831" s="3">
        <f>10824</f>
        <v>10824</v>
      </c>
      <c r="B10831" s="3" t="s">
        <v>10833</v>
      </c>
      <c r="C10831" s="3" t="s">
        <v>9</v>
      </c>
      <c r="D10831" s="3" t="s">
        <v>10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/>
      <c r="P10831" s="3"/>
      <c r="Q10831" s="3"/>
    </row>
    <row r="10832" spans="1:17" ht="15" x14ac:dyDescent="0.25">
      <c r="A10832" s="3">
        <f>10825</f>
        <v>10825</v>
      </c>
      <c r="B10832" s="3" t="s">
        <v>10834</v>
      </c>
      <c r="C10832" s="3" t="s">
        <v>9</v>
      </c>
      <c r="D10832" s="3" t="s">
        <v>10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/>
      <c r="P10832" s="3"/>
      <c r="Q10832" s="3"/>
    </row>
    <row r="10833" spans="1:17" ht="15" x14ac:dyDescent="0.25">
      <c r="A10833" s="3">
        <f>10826</f>
        <v>10826</v>
      </c>
      <c r="B10833" s="3" t="s">
        <v>10835</v>
      </c>
      <c r="C10833" s="3" t="s">
        <v>9</v>
      </c>
      <c r="D10833" s="3" t="s">
        <v>10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/>
      <c r="P10833" s="3"/>
      <c r="Q10833" s="3"/>
    </row>
    <row r="10834" spans="1:17" ht="15" x14ac:dyDescent="0.25">
      <c r="A10834" s="3">
        <f>10827</f>
        <v>10827</v>
      </c>
      <c r="B10834" s="3" t="s">
        <v>10836</v>
      </c>
      <c r="C10834" s="3" t="s">
        <v>9</v>
      </c>
      <c r="D10834" s="3" t="s">
        <v>10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/>
      <c r="P10834" s="3"/>
      <c r="Q10834" s="3"/>
    </row>
    <row r="10835" spans="1:17" ht="15" x14ac:dyDescent="0.25">
      <c r="A10835" s="3">
        <f>10828</f>
        <v>10828</v>
      </c>
      <c r="B10835" s="3" t="s">
        <v>10837</v>
      </c>
      <c r="C10835" s="3" t="s">
        <v>9</v>
      </c>
      <c r="D10835" s="3" t="s">
        <v>10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/>
      <c r="P10835" s="3"/>
      <c r="Q10835" s="3"/>
    </row>
    <row r="10836" spans="1:17" ht="15" x14ac:dyDescent="0.25">
      <c r="A10836" s="3">
        <f>10829</f>
        <v>10829</v>
      </c>
      <c r="B10836" s="3" t="s">
        <v>10838</v>
      </c>
      <c r="C10836" s="3" t="s">
        <v>9</v>
      </c>
      <c r="D10836" s="3" t="s">
        <v>10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/>
      <c r="P10836" s="3"/>
      <c r="Q10836" s="3"/>
    </row>
    <row r="10837" spans="1:17" ht="15" x14ac:dyDescent="0.25">
      <c r="A10837" s="3">
        <f>10830</f>
        <v>10830</v>
      </c>
      <c r="B10837" s="3" t="s">
        <v>10839</v>
      </c>
      <c r="C10837" s="3" t="s">
        <v>9</v>
      </c>
      <c r="D10837" s="3" t="s">
        <v>10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/>
      <c r="P10837" s="3"/>
      <c r="Q10837" s="3"/>
    </row>
    <row r="10838" spans="1:17" ht="15" x14ac:dyDescent="0.25">
      <c r="A10838" s="3">
        <f>10831</f>
        <v>10831</v>
      </c>
      <c r="B10838" s="3" t="s">
        <v>10840</v>
      </c>
      <c r="C10838" s="3" t="s">
        <v>9</v>
      </c>
      <c r="D10838" s="3" t="s">
        <v>10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/>
      <c r="P10838" s="3"/>
      <c r="Q10838" s="3"/>
    </row>
    <row r="10839" spans="1:17" ht="15" x14ac:dyDescent="0.25">
      <c r="A10839" s="3">
        <f>10832</f>
        <v>10832</v>
      </c>
      <c r="B10839" s="3" t="s">
        <v>10841</v>
      </c>
      <c r="C10839" s="3" t="s">
        <v>9</v>
      </c>
      <c r="D10839" s="3" t="s">
        <v>10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/>
      <c r="P10839" s="3"/>
      <c r="Q10839" s="3"/>
    </row>
    <row r="10840" spans="1:17" ht="15" x14ac:dyDescent="0.25">
      <c r="A10840" s="3">
        <f>10833</f>
        <v>10833</v>
      </c>
      <c r="B10840" s="3" t="s">
        <v>10842</v>
      </c>
      <c r="C10840" s="3" t="s">
        <v>9</v>
      </c>
      <c r="D10840" s="3" t="s">
        <v>10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/>
      <c r="P10840" s="3"/>
      <c r="Q10840" s="3"/>
    </row>
    <row r="10841" spans="1:17" ht="15" x14ac:dyDescent="0.25">
      <c r="A10841" s="3">
        <f>10834</f>
        <v>10834</v>
      </c>
      <c r="B10841" s="3" t="s">
        <v>10843</v>
      </c>
      <c r="C10841" s="3" t="s">
        <v>9</v>
      </c>
      <c r="D10841" s="3" t="s">
        <v>10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/>
      <c r="P10841" s="3"/>
      <c r="Q10841" s="3"/>
    </row>
    <row r="10842" spans="1:17" ht="15" x14ac:dyDescent="0.25">
      <c r="A10842" s="3">
        <f>10835</f>
        <v>10835</v>
      </c>
      <c r="B10842" s="3" t="s">
        <v>10844</v>
      </c>
      <c r="C10842" s="3" t="s">
        <v>9</v>
      </c>
      <c r="D10842" s="3" t="s">
        <v>10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/>
      <c r="P10842" s="3"/>
      <c r="Q10842" s="3"/>
    </row>
    <row r="10843" spans="1:17" ht="15" x14ac:dyDescent="0.25">
      <c r="A10843" s="3">
        <f>10836</f>
        <v>10836</v>
      </c>
      <c r="B10843" s="3" t="s">
        <v>10845</v>
      </c>
      <c r="C10843" s="3" t="s">
        <v>9</v>
      </c>
      <c r="D10843" s="3" t="s">
        <v>10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/>
      <c r="P10843" s="3"/>
      <c r="Q10843" s="3"/>
    </row>
    <row r="10844" spans="1:17" ht="15" x14ac:dyDescent="0.25">
      <c r="A10844" s="3">
        <f>10837</f>
        <v>10837</v>
      </c>
      <c r="B10844" s="3" t="s">
        <v>10846</v>
      </c>
      <c r="C10844" s="3" t="s">
        <v>9</v>
      </c>
      <c r="D10844" s="3" t="s">
        <v>10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/>
      <c r="P10844" s="3"/>
      <c r="Q10844" s="3"/>
    </row>
    <row r="10845" spans="1:17" ht="15" x14ac:dyDescent="0.25">
      <c r="A10845" s="3">
        <f>10838</f>
        <v>10838</v>
      </c>
      <c r="B10845" s="3" t="s">
        <v>10847</v>
      </c>
      <c r="C10845" s="3" t="s">
        <v>9</v>
      </c>
      <c r="D10845" s="3" t="s">
        <v>10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/>
      <c r="P10845" s="3"/>
      <c r="Q10845" s="3"/>
    </row>
    <row r="10846" spans="1:17" ht="15" x14ac:dyDescent="0.25">
      <c r="A10846" s="3">
        <f>10839</f>
        <v>10839</v>
      </c>
      <c r="B10846" s="3" t="s">
        <v>10848</v>
      </c>
      <c r="C10846" s="3" t="s">
        <v>9</v>
      </c>
      <c r="D10846" s="3" t="s">
        <v>10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/>
      <c r="P10846" s="3"/>
      <c r="Q10846" s="3"/>
    </row>
    <row r="10847" spans="1:17" ht="15" x14ac:dyDescent="0.25">
      <c r="A10847" s="3">
        <f>10840</f>
        <v>10840</v>
      </c>
      <c r="B10847" s="3" t="s">
        <v>10849</v>
      </c>
      <c r="C10847" s="3" t="s">
        <v>9</v>
      </c>
      <c r="D10847" s="3" t="s">
        <v>10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/>
      <c r="P10847" s="3"/>
      <c r="Q10847" s="3"/>
    </row>
    <row r="10848" spans="1:17" ht="15" x14ac:dyDescent="0.25">
      <c r="A10848" s="3">
        <f>10841</f>
        <v>10841</v>
      </c>
      <c r="B10848" s="3" t="s">
        <v>10850</v>
      </c>
      <c r="C10848" s="3" t="s">
        <v>9</v>
      </c>
      <c r="D10848" s="3" t="s">
        <v>10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/>
      <c r="P10848" s="3"/>
      <c r="Q10848" s="3"/>
    </row>
    <row r="10849" spans="1:17" ht="15" x14ac:dyDescent="0.25">
      <c r="A10849" s="3">
        <f>10842</f>
        <v>10842</v>
      </c>
      <c r="B10849" s="3" t="s">
        <v>10851</v>
      </c>
      <c r="C10849" s="3" t="s">
        <v>9</v>
      </c>
      <c r="D10849" s="3" t="s">
        <v>10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/>
      <c r="P10849" s="3"/>
      <c r="Q10849" s="3"/>
    </row>
    <row r="10850" spans="1:17" ht="15" x14ac:dyDescent="0.25">
      <c r="A10850" s="3">
        <f>10843</f>
        <v>10843</v>
      </c>
      <c r="B10850" s="3" t="s">
        <v>10852</v>
      </c>
      <c r="C10850" s="3" t="s">
        <v>9</v>
      </c>
      <c r="D10850" s="3" t="s">
        <v>10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/>
      <c r="P10850" s="3"/>
      <c r="Q10850" s="3"/>
    </row>
    <row r="10851" spans="1:17" ht="15" x14ac:dyDescent="0.25">
      <c r="A10851" s="3">
        <f>10844</f>
        <v>10844</v>
      </c>
      <c r="B10851" s="3" t="s">
        <v>10853</v>
      </c>
      <c r="C10851" s="3" t="s">
        <v>9</v>
      </c>
      <c r="D10851" s="3" t="s">
        <v>10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/>
      <c r="P10851" s="3"/>
      <c r="Q10851" s="3"/>
    </row>
    <row r="10852" spans="1:17" ht="15" x14ac:dyDescent="0.25">
      <c r="A10852" s="3">
        <f>10845</f>
        <v>10845</v>
      </c>
      <c r="B10852" s="3" t="s">
        <v>10854</v>
      </c>
      <c r="C10852" s="3" t="s">
        <v>9</v>
      </c>
      <c r="D10852" s="3" t="s">
        <v>10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/>
      <c r="P10852" s="3"/>
      <c r="Q10852" s="3"/>
    </row>
    <row r="10853" spans="1:17" ht="15" x14ac:dyDescent="0.25">
      <c r="A10853" s="3">
        <f>10846</f>
        <v>10846</v>
      </c>
      <c r="B10853" s="3" t="s">
        <v>10855</v>
      </c>
      <c r="C10853" s="3" t="s">
        <v>9</v>
      </c>
      <c r="D10853" s="3" t="s">
        <v>10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/>
      <c r="P10853" s="3"/>
      <c r="Q10853" s="3"/>
    </row>
    <row r="10854" spans="1:17" ht="15" x14ac:dyDescent="0.25">
      <c r="A10854" s="3">
        <f>10847</f>
        <v>10847</v>
      </c>
      <c r="B10854" s="3" t="s">
        <v>10856</v>
      </c>
      <c r="C10854" s="3" t="s">
        <v>9</v>
      </c>
      <c r="D10854" s="3" t="s">
        <v>10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/>
      <c r="P10854" s="3"/>
      <c r="Q10854" s="3"/>
    </row>
    <row r="10855" spans="1:17" ht="15" x14ac:dyDescent="0.25">
      <c r="A10855" s="3">
        <f>10848</f>
        <v>10848</v>
      </c>
      <c r="B10855" s="3" t="s">
        <v>10857</v>
      </c>
      <c r="C10855" s="3" t="s">
        <v>9</v>
      </c>
      <c r="D10855" s="3" t="s">
        <v>10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/>
      <c r="P10855" s="3"/>
      <c r="Q10855" s="3"/>
    </row>
    <row r="10856" spans="1:17" ht="15" x14ac:dyDescent="0.25">
      <c r="A10856" s="3">
        <f>10849</f>
        <v>10849</v>
      </c>
      <c r="B10856" s="3" t="s">
        <v>10858</v>
      </c>
      <c r="C10856" s="3" t="s">
        <v>9</v>
      </c>
      <c r="D10856" s="3" t="s">
        <v>10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/>
      <c r="P10856" s="3"/>
      <c r="Q10856" s="3"/>
    </row>
    <row r="10857" spans="1:17" ht="15" x14ac:dyDescent="0.25">
      <c r="A10857" s="3">
        <f>10850</f>
        <v>10850</v>
      </c>
      <c r="B10857" s="3" t="s">
        <v>10859</v>
      </c>
      <c r="C10857" s="3" t="s">
        <v>9</v>
      </c>
      <c r="D10857" s="3" t="s">
        <v>10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/>
      <c r="P10857" s="3"/>
      <c r="Q10857" s="3"/>
    </row>
    <row r="10858" spans="1:17" ht="15" x14ac:dyDescent="0.25">
      <c r="A10858" s="3">
        <f>10851</f>
        <v>10851</v>
      </c>
      <c r="B10858" s="3" t="s">
        <v>10860</v>
      </c>
      <c r="C10858" s="3" t="s">
        <v>9</v>
      </c>
      <c r="D10858" s="3" t="s">
        <v>10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/>
      <c r="P10858" s="3"/>
      <c r="Q10858" s="3"/>
    </row>
    <row r="10859" spans="1:17" ht="15" x14ac:dyDescent="0.25">
      <c r="A10859" s="3">
        <f>10852</f>
        <v>10852</v>
      </c>
      <c r="B10859" s="3" t="s">
        <v>10861</v>
      </c>
      <c r="C10859" s="3" t="s">
        <v>9</v>
      </c>
      <c r="D10859" s="3" t="s">
        <v>10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/>
      <c r="P10859" s="3"/>
      <c r="Q10859" s="3"/>
    </row>
    <row r="10860" spans="1:17" ht="15" x14ac:dyDescent="0.25">
      <c r="A10860" s="3">
        <f>10853</f>
        <v>10853</v>
      </c>
      <c r="B10860" s="3" t="s">
        <v>10862</v>
      </c>
      <c r="C10860" s="3" t="s">
        <v>9</v>
      </c>
      <c r="D10860" s="3" t="s">
        <v>10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/>
      <c r="P10860" s="3"/>
      <c r="Q10860" s="3"/>
    </row>
    <row r="10861" spans="1:17" ht="15" x14ac:dyDescent="0.25">
      <c r="A10861" s="3">
        <f>10854</f>
        <v>10854</v>
      </c>
      <c r="B10861" s="3" t="s">
        <v>10863</v>
      </c>
      <c r="C10861" s="3" t="s">
        <v>9</v>
      </c>
      <c r="D10861" s="3" t="s">
        <v>10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/>
      <c r="P10861" s="3"/>
      <c r="Q10861" s="3"/>
    </row>
    <row r="10862" spans="1:17" ht="15" x14ac:dyDescent="0.25">
      <c r="A10862" s="3">
        <f>10855</f>
        <v>10855</v>
      </c>
      <c r="B10862" s="3" t="s">
        <v>10864</v>
      </c>
      <c r="C10862" s="3" t="s">
        <v>9</v>
      </c>
      <c r="D10862" s="3" t="s">
        <v>10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/>
      <c r="P10862" s="3"/>
      <c r="Q10862" s="3"/>
    </row>
    <row r="10863" spans="1:17" ht="15" x14ac:dyDescent="0.25">
      <c r="A10863" s="3">
        <f>10856</f>
        <v>10856</v>
      </c>
      <c r="B10863" s="3" t="s">
        <v>10865</v>
      </c>
      <c r="C10863" s="3" t="s">
        <v>9</v>
      </c>
      <c r="D10863" s="3" t="s">
        <v>10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/>
      <c r="P10863" s="3"/>
      <c r="Q10863" s="3"/>
    </row>
    <row r="10864" spans="1:17" ht="15" x14ac:dyDescent="0.25">
      <c r="A10864" s="3">
        <f>10857</f>
        <v>10857</v>
      </c>
      <c r="B10864" s="3" t="s">
        <v>10866</v>
      </c>
      <c r="C10864" s="3" t="s">
        <v>9</v>
      </c>
      <c r="D10864" s="3" t="s">
        <v>10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/>
      <c r="P10864" s="3"/>
      <c r="Q10864" s="3"/>
    </row>
    <row r="10865" spans="1:17" ht="15" x14ac:dyDescent="0.25">
      <c r="A10865" s="3">
        <f>10858</f>
        <v>10858</v>
      </c>
      <c r="B10865" s="3" t="s">
        <v>10867</v>
      </c>
      <c r="C10865" s="3" t="s">
        <v>9</v>
      </c>
      <c r="D10865" s="3" t="s">
        <v>10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/>
      <c r="P10865" s="3"/>
      <c r="Q10865" s="3"/>
    </row>
    <row r="10866" spans="1:17" ht="15" x14ac:dyDescent="0.25">
      <c r="A10866" s="3">
        <f>10859</f>
        <v>10859</v>
      </c>
      <c r="B10866" s="3" t="s">
        <v>10868</v>
      </c>
      <c r="C10866" s="3" t="s">
        <v>9</v>
      </c>
      <c r="D10866" s="3" t="s">
        <v>10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/>
      <c r="P10866" s="3"/>
      <c r="Q10866" s="3"/>
    </row>
    <row r="10867" spans="1:17" ht="15" x14ac:dyDescent="0.25">
      <c r="A10867" s="3">
        <f>10860</f>
        <v>10860</v>
      </c>
      <c r="B10867" s="3" t="s">
        <v>10869</v>
      </c>
      <c r="C10867" s="3" t="s">
        <v>9</v>
      </c>
      <c r="D10867" s="3" t="s">
        <v>10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/>
      <c r="P10867" s="3"/>
      <c r="Q10867" s="3"/>
    </row>
    <row r="10868" spans="1:17" ht="15" x14ac:dyDescent="0.25">
      <c r="A10868" s="3">
        <f>10861</f>
        <v>10861</v>
      </c>
      <c r="B10868" s="3" t="s">
        <v>10870</v>
      </c>
      <c r="C10868" s="3" t="s">
        <v>9</v>
      </c>
      <c r="D10868" s="3" t="s">
        <v>10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/>
      <c r="P10868" s="3"/>
      <c r="Q10868" s="3"/>
    </row>
    <row r="10869" spans="1:17" ht="15" x14ac:dyDescent="0.25">
      <c r="A10869" s="3">
        <f>10862</f>
        <v>10862</v>
      </c>
      <c r="B10869" s="3" t="s">
        <v>10871</v>
      </c>
      <c r="C10869" s="3" t="s">
        <v>9</v>
      </c>
      <c r="D10869" s="3" t="s">
        <v>10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/>
      <c r="P10869" s="3"/>
      <c r="Q10869" s="3"/>
    </row>
    <row r="10870" spans="1:17" ht="15" x14ac:dyDescent="0.25">
      <c r="A10870" s="3">
        <f>10863</f>
        <v>10863</v>
      </c>
      <c r="B10870" s="3" t="s">
        <v>10872</v>
      </c>
      <c r="C10870" s="3" t="s">
        <v>9</v>
      </c>
      <c r="D10870" s="3" t="s">
        <v>10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/>
      <c r="P10870" s="3"/>
      <c r="Q10870" s="3"/>
    </row>
    <row r="10871" spans="1:17" ht="15" x14ac:dyDescent="0.25">
      <c r="A10871" s="3">
        <f>10864</f>
        <v>10864</v>
      </c>
      <c r="B10871" s="3" t="s">
        <v>10873</v>
      </c>
      <c r="C10871" s="3" t="s">
        <v>9</v>
      </c>
      <c r="D10871" s="3" t="s">
        <v>10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/>
      <c r="P10871" s="3"/>
      <c r="Q10871" s="3"/>
    </row>
    <row r="10872" spans="1:17" ht="15" x14ac:dyDescent="0.25">
      <c r="A10872" s="3">
        <f>10865</f>
        <v>10865</v>
      </c>
      <c r="B10872" s="3" t="s">
        <v>10874</v>
      </c>
      <c r="C10872" s="3" t="s">
        <v>9</v>
      </c>
      <c r="D10872" s="3" t="s">
        <v>10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/>
      <c r="P10872" s="3"/>
      <c r="Q10872" s="3"/>
    </row>
    <row r="10873" spans="1:17" ht="15" x14ac:dyDescent="0.25">
      <c r="A10873" s="3">
        <f>10866</f>
        <v>10866</v>
      </c>
      <c r="B10873" s="3" t="s">
        <v>10875</v>
      </c>
      <c r="C10873" s="3" t="s">
        <v>9</v>
      </c>
      <c r="D10873" s="3" t="s">
        <v>10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/>
      <c r="P10873" s="3"/>
      <c r="Q10873" s="3"/>
    </row>
    <row r="10874" spans="1:17" ht="15" x14ac:dyDescent="0.25">
      <c r="A10874" s="3">
        <f>10867</f>
        <v>10867</v>
      </c>
      <c r="B10874" s="3" t="s">
        <v>10876</v>
      </c>
      <c r="C10874" s="3" t="s">
        <v>9</v>
      </c>
      <c r="D10874" s="3" t="s">
        <v>10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/>
      <c r="P10874" s="3"/>
      <c r="Q10874" s="3"/>
    </row>
    <row r="10875" spans="1:17" ht="15" x14ac:dyDescent="0.25">
      <c r="A10875" s="3">
        <f>10868</f>
        <v>10868</v>
      </c>
      <c r="B10875" s="3" t="s">
        <v>10877</v>
      </c>
      <c r="C10875" s="3" t="s">
        <v>9</v>
      </c>
      <c r="D10875" s="3" t="s">
        <v>10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/>
      <c r="P10875" s="3"/>
      <c r="Q10875" s="3"/>
    </row>
    <row r="10876" spans="1:17" ht="15" x14ac:dyDescent="0.25">
      <c r="A10876" s="3">
        <f>10869</f>
        <v>10869</v>
      </c>
      <c r="B10876" s="3" t="s">
        <v>10878</v>
      </c>
      <c r="C10876" s="3" t="s">
        <v>9</v>
      </c>
      <c r="D10876" s="3" t="s">
        <v>10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/>
      <c r="P10876" s="3"/>
      <c r="Q10876" s="3"/>
    </row>
    <row r="10877" spans="1:17" ht="15" x14ac:dyDescent="0.25">
      <c r="A10877" s="3">
        <f>10870</f>
        <v>10870</v>
      </c>
      <c r="B10877" s="3" t="s">
        <v>10879</v>
      </c>
      <c r="C10877" s="3" t="s">
        <v>9</v>
      </c>
      <c r="D10877" s="3" t="s">
        <v>10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/>
      <c r="P10877" s="3"/>
      <c r="Q10877" s="3"/>
    </row>
    <row r="10878" spans="1:17" ht="15" x14ac:dyDescent="0.25">
      <c r="A10878" s="3">
        <f>10871</f>
        <v>10871</v>
      </c>
      <c r="B10878" s="3" t="s">
        <v>10880</v>
      </c>
      <c r="C10878" s="3" t="s">
        <v>9</v>
      </c>
      <c r="D10878" s="3" t="s">
        <v>10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/>
      <c r="P10878" s="3"/>
      <c r="Q10878" s="3"/>
    </row>
    <row r="10879" spans="1:17" ht="15" x14ac:dyDescent="0.25">
      <c r="A10879" s="3">
        <f>10872</f>
        <v>10872</v>
      </c>
      <c r="B10879" s="3" t="s">
        <v>10881</v>
      </c>
      <c r="C10879" s="3" t="s">
        <v>9</v>
      </c>
      <c r="D10879" s="3" t="s">
        <v>10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/>
      <c r="P10879" s="3"/>
      <c r="Q10879" s="3"/>
    </row>
    <row r="10880" spans="1:17" ht="15" x14ac:dyDescent="0.25">
      <c r="A10880" s="3">
        <f>10873</f>
        <v>10873</v>
      </c>
      <c r="B10880" s="3" t="s">
        <v>10882</v>
      </c>
      <c r="C10880" s="3" t="s">
        <v>9</v>
      </c>
      <c r="D10880" s="3" t="s">
        <v>10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/>
      <c r="P10880" s="3"/>
      <c r="Q10880" s="3"/>
    </row>
    <row r="10881" spans="1:17" ht="15" x14ac:dyDescent="0.25">
      <c r="A10881" s="3">
        <f>10874</f>
        <v>10874</v>
      </c>
      <c r="B10881" s="3" t="s">
        <v>10883</v>
      </c>
      <c r="C10881" s="3" t="s">
        <v>9</v>
      </c>
      <c r="D10881" s="3" t="s">
        <v>10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/>
      <c r="P10881" s="3"/>
      <c r="Q10881" s="3"/>
    </row>
    <row r="10882" spans="1:17" ht="15" x14ac:dyDescent="0.25">
      <c r="A10882" s="3">
        <f>10875</f>
        <v>10875</v>
      </c>
      <c r="B10882" s="3" t="s">
        <v>10884</v>
      </c>
      <c r="C10882" s="3" t="s">
        <v>9</v>
      </c>
      <c r="D10882" s="3" t="s">
        <v>10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/>
      <c r="P10882" s="3"/>
      <c r="Q10882" s="3"/>
    </row>
    <row r="10883" spans="1:17" ht="15" x14ac:dyDescent="0.25">
      <c r="A10883" s="3">
        <f>10876</f>
        <v>10876</v>
      </c>
      <c r="B10883" s="3" t="s">
        <v>10885</v>
      </c>
      <c r="C10883" s="3" t="s">
        <v>9</v>
      </c>
      <c r="D10883" s="3" t="s">
        <v>10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/>
      <c r="P10883" s="3"/>
      <c r="Q10883" s="3"/>
    </row>
    <row r="10884" spans="1:17" ht="15" x14ac:dyDescent="0.25">
      <c r="A10884" s="3">
        <f>10877</f>
        <v>10877</v>
      </c>
      <c r="B10884" s="3" t="s">
        <v>10886</v>
      </c>
      <c r="C10884" s="3" t="s">
        <v>9</v>
      </c>
      <c r="D10884" s="3" t="s">
        <v>10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/>
      <c r="P10884" s="3"/>
      <c r="Q10884" s="3"/>
    </row>
    <row r="10885" spans="1:17" ht="15" x14ac:dyDescent="0.25">
      <c r="A10885" s="3">
        <f>10878</f>
        <v>10878</v>
      </c>
      <c r="B10885" s="3" t="s">
        <v>10887</v>
      </c>
      <c r="C10885" s="3" t="s">
        <v>9</v>
      </c>
      <c r="D10885" s="3" t="s">
        <v>10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/>
      <c r="P10885" s="3"/>
      <c r="Q10885" s="3"/>
    </row>
    <row r="10886" spans="1:17" ht="15" x14ac:dyDescent="0.25">
      <c r="A10886" s="3">
        <f>10879</f>
        <v>10879</v>
      </c>
      <c r="B10886" s="3" t="s">
        <v>10888</v>
      </c>
      <c r="C10886" s="3" t="s">
        <v>9</v>
      </c>
      <c r="D10886" s="3" t="s">
        <v>10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/>
      <c r="P10886" s="3"/>
      <c r="Q10886" s="3"/>
    </row>
    <row r="10887" spans="1:17" ht="15" x14ac:dyDescent="0.25">
      <c r="A10887" s="3">
        <f>10880</f>
        <v>10880</v>
      </c>
      <c r="B10887" s="3" t="s">
        <v>10889</v>
      </c>
      <c r="C10887" s="3" t="s">
        <v>9</v>
      </c>
      <c r="D10887" s="3" t="s">
        <v>10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/>
      <c r="P10887" s="3"/>
      <c r="Q10887" s="3"/>
    </row>
    <row r="10888" spans="1:17" ht="15" x14ac:dyDescent="0.25">
      <c r="A10888" s="3">
        <f>10881</f>
        <v>10881</v>
      </c>
      <c r="B10888" s="3" t="s">
        <v>10890</v>
      </c>
      <c r="C10888" s="3" t="s">
        <v>9</v>
      </c>
      <c r="D10888" s="3" t="s">
        <v>10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/>
      <c r="P10888" s="3"/>
      <c r="Q10888" s="3"/>
    </row>
    <row r="10889" spans="1:17" ht="15" x14ac:dyDescent="0.25">
      <c r="A10889" s="3">
        <f>10882</f>
        <v>10882</v>
      </c>
      <c r="B10889" s="3" t="s">
        <v>10891</v>
      </c>
      <c r="C10889" s="3" t="s">
        <v>9</v>
      </c>
      <c r="D10889" s="3" t="s">
        <v>10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/>
      <c r="P10889" s="3"/>
      <c r="Q10889" s="3"/>
    </row>
    <row r="10890" spans="1:17" ht="15" x14ac:dyDescent="0.25">
      <c r="A10890" s="3">
        <f>10883</f>
        <v>10883</v>
      </c>
      <c r="B10890" s="3" t="s">
        <v>10892</v>
      </c>
      <c r="C10890" s="3" t="s">
        <v>9</v>
      </c>
      <c r="D10890" s="3" t="s">
        <v>10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/>
      <c r="P10890" s="3"/>
      <c r="Q10890" s="3"/>
    </row>
    <row r="10891" spans="1:17" ht="15" x14ac:dyDescent="0.25">
      <c r="A10891" s="3">
        <f>10884</f>
        <v>10884</v>
      </c>
      <c r="B10891" s="3" t="s">
        <v>10893</v>
      </c>
      <c r="C10891" s="3" t="s">
        <v>9</v>
      </c>
      <c r="D10891" s="3" t="s">
        <v>10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/>
      <c r="P10891" s="3"/>
      <c r="Q10891" s="3"/>
    </row>
    <row r="10892" spans="1:17" ht="15" x14ac:dyDescent="0.25">
      <c r="A10892" s="3">
        <f>10885</f>
        <v>10885</v>
      </c>
      <c r="B10892" s="3" t="s">
        <v>10894</v>
      </c>
      <c r="C10892" s="3" t="s">
        <v>9</v>
      </c>
      <c r="D10892" s="3" t="s">
        <v>10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/>
      <c r="P10892" s="3"/>
      <c r="Q10892" s="3"/>
    </row>
    <row r="10893" spans="1:17" ht="15" x14ac:dyDescent="0.25">
      <c r="A10893" s="3">
        <f>10886</f>
        <v>10886</v>
      </c>
      <c r="B10893" s="3" t="s">
        <v>10895</v>
      </c>
      <c r="C10893" s="3" t="s">
        <v>9</v>
      </c>
      <c r="D10893" s="3" t="s">
        <v>10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/>
      <c r="P10893" s="3"/>
      <c r="Q10893" s="3"/>
    </row>
    <row r="10894" spans="1:17" ht="15" x14ac:dyDescent="0.25">
      <c r="A10894" s="3">
        <f>10887</f>
        <v>10887</v>
      </c>
      <c r="B10894" s="3" t="s">
        <v>10896</v>
      </c>
      <c r="C10894" s="3" t="s">
        <v>9</v>
      </c>
      <c r="D10894" s="3" t="s">
        <v>10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/>
      <c r="P10894" s="3"/>
      <c r="Q10894" s="3"/>
    </row>
    <row r="10895" spans="1:17" ht="15" x14ac:dyDescent="0.25">
      <c r="A10895" s="3">
        <f>10888</f>
        <v>10888</v>
      </c>
      <c r="B10895" s="3" t="s">
        <v>10897</v>
      </c>
      <c r="C10895" s="3" t="s">
        <v>9</v>
      </c>
      <c r="D10895" s="3" t="s">
        <v>10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/>
      <c r="P10895" s="3"/>
      <c r="Q10895" s="3"/>
    </row>
    <row r="10896" spans="1:17" ht="15" x14ac:dyDescent="0.25">
      <c r="A10896" s="3">
        <f>10889</f>
        <v>10889</v>
      </c>
      <c r="B10896" s="3" t="s">
        <v>10898</v>
      </c>
      <c r="C10896" s="3" t="s">
        <v>9</v>
      </c>
      <c r="D10896" s="3" t="s">
        <v>10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/>
      <c r="P10896" s="3"/>
      <c r="Q10896" s="3"/>
    </row>
    <row r="10897" spans="1:17" ht="15" x14ac:dyDescent="0.25">
      <c r="A10897" s="3">
        <f>10890</f>
        <v>10890</v>
      </c>
      <c r="B10897" s="3" t="s">
        <v>10899</v>
      </c>
      <c r="C10897" s="3" t="s">
        <v>9</v>
      </c>
      <c r="D10897" s="3" t="s">
        <v>10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/>
      <c r="P10897" s="3"/>
      <c r="Q10897" s="3"/>
    </row>
    <row r="10898" spans="1:17" ht="15" x14ac:dyDescent="0.25">
      <c r="A10898" s="3">
        <f>10891</f>
        <v>10891</v>
      </c>
      <c r="B10898" s="3" t="s">
        <v>10900</v>
      </c>
      <c r="C10898" s="3" t="s">
        <v>9</v>
      </c>
      <c r="D10898" s="3" t="s">
        <v>10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/>
      <c r="P10898" s="3"/>
      <c r="Q10898" s="3"/>
    </row>
    <row r="10899" spans="1:17" ht="15" x14ac:dyDescent="0.25">
      <c r="A10899" s="3">
        <f>10892</f>
        <v>10892</v>
      </c>
      <c r="B10899" s="3" t="s">
        <v>10901</v>
      </c>
      <c r="C10899" s="3" t="s">
        <v>9</v>
      </c>
      <c r="D10899" s="3" t="s">
        <v>10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/>
      <c r="P10899" s="3"/>
      <c r="Q10899" s="3"/>
    </row>
    <row r="10900" spans="1:17" ht="15" x14ac:dyDescent="0.25">
      <c r="A10900" s="3">
        <f>10893</f>
        <v>10893</v>
      </c>
      <c r="B10900" s="3" t="s">
        <v>10902</v>
      </c>
      <c r="C10900" s="3" t="s">
        <v>9</v>
      </c>
      <c r="D10900" s="3" t="s">
        <v>10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/>
      <c r="P10900" s="3"/>
      <c r="Q10900" s="3"/>
    </row>
    <row r="10901" spans="1:17" ht="15" x14ac:dyDescent="0.25">
      <c r="A10901" s="3">
        <f>10894</f>
        <v>10894</v>
      </c>
      <c r="B10901" s="3" t="s">
        <v>10903</v>
      </c>
      <c r="C10901" s="3" t="s">
        <v>9</v>
      </c>
      <c r="D10901" s="3" t="s">
        <v>10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/>
      <c r="P10901" s="3"/>
      <c r="Q10901" s="3"/>
    </row>
    <row r="10902" spans="1:17" ht="15" x14ac:dyDescent="0.25">
      <c r="A10902" s="3">
        <f>10895</f>
        <v>10895</v>
      </c>
      <c r="B10902" s="3" t="s">
        <v>10904</v>
      </c>
      <c r="C10902" s="3" t="s">
        <v>9</v>
      </c>
      <c r="D10902" s="3" t="s">
        <v>10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/>
      <c r="P10902" s="3"/>
      <c r="Q10902" s="3"/>
    </row>
    <row r="10903" spans="1:17" ht="15" x14ac:dyDescent="0.25">
      <c r="A10903" s="3">
        <f>10896</f>
        <v>10896</v>
      </c>
      <c r="B10903" s="3" t="s">
        <v>10905</v>
      </c>
      <c r="C10903" s="3" t="s">
        <v>9</v>
      </c>
      <c r="D10903" s="3" t="s">
        <v>10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/>
      <c r="P10903" s="3"/>
      <c r="Q10903" s="3"/>
    </row>
    <row r="10904" spans="1:17" ht="15" x14ac:dyDescent="0.25">
      <c r="A10904" s="3">
        <f>10897</f>
        <v>10897</v>
      </c>
      <c r="B10904" s="3" t="s">
        <v>10906</v>
      </c>
      <c r="C10904" s="3" t="s">
        <v>9</v>
      </c>
      <c r="D10904" s="3" t="s">
        <v>10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/>
      <c r="P10904" s="3"/>
      <c r="Q10904" s="3"/>
    </row>
    <row r="10905" spans="1:17" ht="15" x14ac:dyDescent="0.25">
      <c r="A10905" s="3">
        <f>10898</f>
        <v>10898</v>
      </c>
      <c r="B10905" s="3" t="s">
        <v>10907</v>
      </c>
      <c r="C10905" s="3" t="s">
        <v>9</v>
      </c>
      <c r="D10905" s="3" t="s">
        <v>10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/>
      <c r="P10905" s="3"/>
      <c r="Q10905" s="3"/>
    </row>
    <row r="10906" spans="1:17" ht="15" x14ac:dyDescent="0.25">
      <c r="A10906" s="3">
        <f>10899</f>
        <v>10899</v>
      </c>
      <c r="B10906" s="3" t="s">
        <v>10908</v>
      </c>
      <c r="C10906" s="3" t="s">
        <v>9</v>
      </c>
      <c r="D10906" s="3" t="s">
        <v>10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/>
      <c r="P10906" s="3"/>
      <c r="Q10906" s="3"/>
    </row>
    <row r="10907" spans="1:17" ht="15" x14ac:dyDescent="0.25">
      <c r="A10907" s="3">
        <f>10900</f>
        <v>10900</v>
      </c>
      <c r="B10907" s="3" t="s">
        <v>10909</v>
      </c>
      <c r="C10907" s="3" t="s">
        <v>9</v>
      </c>
      <c r="D10907" s="3" t="s">
        <v>10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/>
      <c r="P10907" s="3"/>
      <c r="Q10907" s="3"/>
    </row>
    <row r="10908" spans="1:17" ht="15" x14ac:dyDescent="0.25">
      <c r="A10908" s="3">
        <f>10901</f>
        <v>10901</v>
      </c>
      <c r="B10908" s="3" t="s">
        <v>10910</v>
      </c>
      <c r="C10908" s="3" t="s">
        <v>9</v>
      </c>
      <c r="D10908" s="3" t="s">
        <v>10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/>
      <c r="P10908" s="3"/>
      <c r="Q10908" s="3"/>
    </row>
    <row r="10909" spans="1:17" ht="15" x14ac:dyDescent="0.25">
      <c r="A10909" s="3">
        <f>10902</f>
        <v>10902</v>
      </c>
      <c r="B10909" s="3" t="s">
        <v>10911</v>
      </c>
      <c r="C10909" s="3" t="s">
        <v>9</v>
      </c>
      <c r="D10909" s="3" t="s">
        <v>10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/>
      <c r="P10909" s="3"/>
      <c r="Q10909" s="3"/>
    </row>
    <row r="10910" spans="1:17" ht="15" x14ac:dyDescent="0.25">
      <c r="A10910" s="3">
        <f>10903</f>
        <v>10903</v>
      </c>
      <c r="B10910" s="3" t="s">
        <v>10912</v>
      </c>
      <c r="C10910" s="3" t="s">
        <v>9</v>
      </c>
      <c r="D10910" s="3" t="s">
        <v>10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/>
      <c r="P10910" s="3"/>
      <c r="Q10910" s="3"/>
    </row>
    <row r="10911" spans="1:17" ht="15" x14ac:dyDescent="0.25">
      <c r="A10911" s="3">
        <f>10904</f>
        <v>10904</v>
      </c>
      <c r="B10911" s="3" t="s">
        <v>10913</v>
      </c>
      <c r="C10911" s="3" t="s">
        <v>9</v>
      </c>
      <c r="D10911" s="3" t="s">
        <v>10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/>
      <c r="P10911" s="3"/>
      <c r="Q10911" s="3"/>
    </row>
    <row r="10912" spans="1:17" ht="15" x14ac:dyDescent="0.25">
      <c r="A10912" s="3">
        <f>10905</f>
        <v>10905</v>
      </c>
      <c r="B10912" s="3" t="s">
        <v>10914</v>
      </c>
      <c r="C10912" s="3" t="s">
        <v>9</v>
      </c>
      <c r="D10912" s="3" t="s">
        <v>10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/>
      <c r="P10912" s="3"/>
      <c r="Q10912" s="3"/>
    </row>
    <row r="10913" spans="1:17" ht="15" x14ac:dyDescent="0.25">
      <c r="A10913" s="3">
        <f>10906</f>
        <v>10906</v>
      </c>
      <c r="B10913" s="3" t="s">
        <v>10915</v>
      </c>
      <c r="C10913" s="3" t="s">
        <v>9</v>
      </c>
      <c r="D10913" s="3" t="s">
        <v>10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/>
      <c r="P10913" s="3"/>
      <c r="Q10913" s="3"/>
    </row>
    <row r="10914" spans="1:17" ht="15" x14ac:dyDescent="0.25">
      <c r="A10914" s="3">
        <f>10907</f>
        <v>10907</v>
      </c>
      <c r="B10914" s="3" t="s">
        <v>10916</v>
      </c>
      <c r="C10914" s="3" t="s">
        <v>9</v>
      </c>
      <c r="D10914" s="3" t="s">
        <v>10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/>
      <c r="P10914" s="3"/>
      <c r="Q10914" s="3"/>
    </row>
    <row r="10915" spans="1:17" ht="15" x14ac:dyDescent="0.25">
      <c r="A10915" s="3">
        <f>10908</f>
        <v>10908</v>
      </c>
      <c r="B10915" s="3" t="s">
        <v>10917</v>
      </c>
      <c r="C10915" s="3" t="s">
        <v>9</v>
      </c>
      <c r="D10915" s="3" t="s">
        <v>10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/>
      <c r="P10915" s="3"/>
      <c r="Q10915" s="3"/>
    </row>
    <row r="10916" spans="1:17" ht="15" x14ac:dyDescent="0.25">
      <c r="A10916" s="3">
        <f>10909</f>
        <v>10909</v>
      </c>
      <c r="B10916" s="3" t="s">
        <v>10918</v>
      </c>
      <c r="C10916" s="3" t="s">
        <v>9</v>
      </c>
      <c r="D10916" s="3" t="s">
        <v>10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/>
      <c r="P10916" s="3"/>
      <c r="Q10916" s="3"/>
    </row>
    <row r="10917" spans="1:17" ht="15" x14ac:dyDescent="0.25">
      <c r="A10917" s="3">
        <f>10910</f>
        <v>10910</v>
      </c>
      <c r="B10917" s="3" t="s">
        <v>10919</v>
      </c>
      <c r="C10917" s="3" t="s">
        <v>9</v>
      </c>
      <c r="D10917" s="3" t="s">
        <v>10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/>
      <c r="P10917" s="3"/>
      <c r="Q10917" s="3"/>
    </row>
    <row r="10918" spans="1:17" ht="15" x14ac:dyDescent="0.25">
      <c r="A10918" s="3">
        <f>10911</f>
        <v>10911</v>
      </c>
      <c r="B10918" s="3" t="s">
        <v>10920</v>
      </c>
      <c r="C10918" s="3" t="s">
        <v>9</v>
      </c>
      <c r="D10918" s="3" t="s">
        <v>10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/>
      <c r="P10918" s="3"/>
      <c r="Q10918" s="3"/>
    </row>
    <row r="10919" spans="1:17" ht="15" x14ac:dyDescent="0.25">
      <c r="A10919" s="3">
        <f>10912</f>
        <v>10912</v>
      </c>
      <c r="B10919" s="3" t="s">
        <v>10921</v>
      </c>
      <c r="C10919" s="3" t="s">
        <v>9</v>
      </c>
      <c r="D10919" s="3" t="s">
        <v>10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/>
      <c r="P10919" s="3"/>
      <c r="Q10919" s="3"/>
    </row>
    <row r="10920" spans="1:17" ht="15" x14ac:dyDescent="0.25">
      <c r="A10920" s="3">
        <f>10913</f>
        <v>10913</v>
      </c>
      <c r="B10920" s="3" t="s">
        <v>10922</v>
      </c>
      <c r="C10920" s="3" t="s">
        <v>9</v>
      </c>
      <c r="D10920" s="3" t="s">
        <v>10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/>
      <c r="P10920" s="3"/>
      <c r="Q10920" s="3"/>
    </row>
    <row r="10921" spans="1:17" ht="15" x14ac:dyDescent="0.25">
      <c r="A10921" s="3">
        <f>10914</f>
        <v>10914</v>
      </c>
      <c r="B10921" s="3" t="s">
        <v>10923</v>
      </c>
      <c r="C10921" s="3" t="s">
        <v>9</v>
      </c>
      <c r="D10921" s="3" t="s">
        <v>10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/>
      <c r="P10921" s="3"/>
      <c r="Q10921" s="3"/>
    </row>
    <row r="10922" spans="1:17" ht="15" x14ac:dyDescent="0.25">
      <c r="A10922" s="3">
        <f>10915</f>
        <v>10915</v>
      </c>
      <c r="B10922" s="3" t="s">
        <v>10924</v>
      </c>
      <c r="C10922" s="3" t="s">
        <v>9</v>
      </c>
      <c r="D10922" s="3" t="s">
        <v>10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/>
      <c r="P10922" s="3"/>
      <c r="Q10922" s="3"/>
    </row>
    <row r="10923" spans="1:17" ht="15" x14ac:dyDescent="0.25">
      <c r="A10923" s="3">
        <f>10916</f>
        <v>10916</v>
      </c>
      <c r="B10923" s="3" t="s">
        <v>10925</v>
      </c>
      <c r="C10923" s="3" t="s">
        <v>9</v>
      </c>
      <c r="D10923" s="3" t="s">
        <v>10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/>
      <c r="P10923" s="3"/>
      <c r="Q10923" s="3"/>
    </row>
    <row r="10924" spans="1:17" ht="15" x14ac:dyDescent="0.25">
      <c r="A10924" s="3">
        <f>10917</f>
        <v>10917</v>
      </c>
      <c r="B10924" s="3" t="s">
        <v>10926</v>
      </c>
      <c r="C10924" s="3" t="s">
        <v>9</v>
      </c>
      <c r="D10924" s="3" t="s">
        <v>10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/>
      <c r="P10924" s="3"/>
      <c r="Q10924" s="3"/>
    </row>
    <row r="10925" spans="1:17" ht="15" x14ac:dyDescent="0.25">
      <c r="A10925" s="3">
        <f>10918</f>
        <v>10918</v>
      </c>
      <c r="B10925" s="3" t="s">
        <v>10927</v>
      </c>
      <c r="C10925" s="3" t="s">
        <v>9</v>
      </c>
      <c r="D10925" s="3" t="s">
        <v>10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/>
      <c r="P10925" s="3"/>
      <c r="Q10925" s="3"/>
    </row>
    <row r="10926" spans="1:17" ht="15" x14ac:dyDescent="0.25">
      <c r="A10926" s="3">
        <f>10919</f>
        <v>10919</v>
      </c>
      <c r="B10926" s="3" t="s">
        <v>10928</v>
      </c>
      <c r="C10926" s="3" t="s">
        <v>9</v>
      </c>
      <c r="D10926" s="3" t="s">
        <v>10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/>
      <c r="P10926" s="3"/>
      <c r="Q10926" s="3"/>
    </row>
    <row r="10927" spans="1:17" ht="15" x14ac:dyDescent="0.25">
      <c r="A10927" s="3">
        <f>10920</f>
        <v>10920</v>
      </c>
      <c r="B10927" s="3" t="s">
        <v>10929</v>
      </c>
      <c r="C10927" s="3" t="s">
        <v>9</v>
      </c>
      <c r="D10927" s="3" t="s">
        <v>10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/>
      <c r="P10927" s="3"/>
      <c r="Q10927" s="3"/>
    </row>
    <row r="10928" spans="1:17" ht="15" x14ac:dyDescent="0.25">
      <c r="A10928" s="3">
        <f>10921</f>
        <v>10921</v>
      </c>
      <c r="B10928" s="3" t="s">
        <v>10930</v>
      </c>
      <c r="C10928" s="3" t="s">
        <v>9</v>
      </c>
      <c r="D10928" s="3" t="s">
        <v>10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/>
      <c r="P10928" s="3"/>
      <c r="Q10928" s="3"/>
    </row>
    <row r="10929" spans="1:17" ht="15" x14ac:dyDescent="0.25">
      <c r="A10929" s="3">
        <f>10922</f>
        <v>10922</v>
      </c>
      <c r="B10929" s="3" t="s">
        <v>10931</v>
      </c>
      <c r="C10929" s="3" t="s">
        <v>9</v>
      </c>
      <c r="D10929" s="3" t="s">
        <v>10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/>
      <c r="P10929" s="3"/>
      <c r="Q10929" s="3"/>
    </row>
    <row r="10930" spans="1:17" ht="15" x14ac:dyDescent="0.25">
      <c r="A10930" s="3">
        <f>10923</f>
        <v>10923</v>
      </c>
      <c r="B10930" s="3" t="s">
        <v>10932</v>
      </c>
      <c r="C10930" s="3" t="s">
        <v>9</v>
      </c>
      <c r="D10930" s="3" t="s">
        <v>10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/>
      <c r="P10930" s="3"/>
      <c r="Q10930" s="3"/>
    </row>
    <row r="10931" spans="1:17" ht="15" x14ac:dyDescent="0.25">
      <c r="A10931" s="3">
        <f>10924</f>
        <v>10924</v>
      </c>
      <c r="B10931" s="3" t="s">
        <v>10933</v>
      </c>
      <c r="C10931" s="3" t="s">
        <v>9</v>
      </c>
      <c r="D10931" s="3" t="s">
        <v>10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/>
      <c r="P10931" s="3"/>
      <c r="Q10931" s="3"/>
    </row>
    <row r="10932" spans="1:17" ht="15" x14ac:dyDescent="0.25">
      <c r="A10932" s="3">
        <f>10925</f>
        <v>10925</v>
      </c>
      <c r="B10932" s="3" t="s">
        <v>10934</v>
      </c>
      <c r="C10932" s="3" t="s">
        <v>9</v>
      </c>
      <c r="D10932" s="3" t="s">
        <v>10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/>
      <c r="P10932" s="3"/>
      <c r="Q10932" s="3"/>
    </row>
    <row r="10933" spans="1:17" ht="15" x14ac:dyDescent="0.25">
      <c r="A10933" s="3">
        <f>10926</f>
        <v>10926</v>
      </c>
      <c r="B10933" s="3" t="s">
        <v>10935</v>
      </c>
      <c r="C10933" s="3" t="s">
        <v>9</v>
      </c>
      <c r="D10933" s="3" t="s">
        <v>10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/>
      <c r="P10933" s="3"/>
      <c r="Q10933" s="3"/>
    </row>
    <row r="10934" spans="1:17" ht="15" x14ac:dyDescent="0.25">
      <c r="A10934" s="3">
        <f>10927</f>
        <v>10927</v>
      </c>
      <c r="B10934" s="3" t="s">
        <v>10936</v>
      </c>
      <c r="C10934" s="3" t="s">
        <v>9</v>
      </c>
      <c r="D10934" s="3" t="s">
        <v>10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/>
      <c r="P10934" s="3"/>
      <c r="Q10934" s="3"/>
    </row>
    <row r="10935" spans="1:17" ht="15" x14ac:dyDescent="0.25">
      <c r="A10935" s="3">
        <f>10928</f>
        <v>10928</v>
      </c>
      <c r="B10935" s="3" t="s">
        <v>10937</v>
      </c>
      <c r="C10935" s="3" t="s">
        <v>9</v>
      </c>
      <c r="D10935" s="3" t="s">
        <v>10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/>
      <c r="P10935" s="3"/>
      <c r="Q10935" s="3"/>
    </row>
    <row r="10936" spans="1:17" ht="15" x14ac:dyDescent="0.25">
      <c r="A10936" s="3">
        <f>10929</f>
        <v>10929</v>
      </c>
      <c r="B10936" s="3" t="s">
        <v>10938</v>
      </c>
      <c r="C10936" s="3" t="s">
        <v>9</v>
      </c>
      <c r="D10936" s="3" t="s">
        <v>10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/>
      <c r="P10936" s="3"/>
      <c r="Q10936" s="3"/>
    </row>
    <row r="10937" spans="1:17" ht="15" x14ac:dyDescent="0.25">
      <c r="A10937" s="3">
        <f>10930</f>
        <v>10930</v>
      </c>
      <c r="B10937" s="3" t="s">
        <v>10939</v>
      </c>
      <c r="C10937" s="3" t="s">
        <v>9</v>
      </c>
      <c r="D10937" s="3" t="s">
        <v>10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/>
      <c r="P10937" s="3"/>
      <c r="Q10937" s="3"/>
    </row>
    <row r="10938" spans="1:17" ht="15" x14ac:dyDescent="0.25">
      <c r="A10938" s="3">
        <f>10931</f>
        <v>10931</v>
      </c>
      <c r="B10938" s="3" t="s">
        <v>10940</v>
      </c>
      <c r="C10938" s="3" t="s">
        <v>9</v>
      </c>
      <c r="D10938" s="3" t="s">
        <v>10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/>
      <c r="P10938" s="3"/>
      <c r="Q10938" s="3"/>
    </row>
    <row r="10939" spans="1:17" ht="15" x14ac:dyDescent="0.25">
      <c r="A10939" s="3">
        <f>10932</f>
        <v>10932</v>
      </c>
      <c r="B10939" s="3" t="s">
        <v>10941</v>
      </c>
      <c r="C10939" s="3" t="s">
        <v>9</v>
      </c>
      <c r="D10939" s="3" t="s">
        <v>10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/>
      <c r="P10939" s="3"/>
      <c r="Q10939" s="3"/>
    </row>
    <row r="10940" spans="1:17" ht="15" x14ac:dyDescent="0.25">
      <c r="A10940" s="3">
        <f>10933</f>
        <v>10933</v>
      </c>
      <c r="B10940" s="3" t="s">
        <v>10942</v>
      </c>
      <c r="C10940" s="3" t="s">
        <v>9</v>
      </c>
      <c r="D10940" s="3" t="s">
        <v>10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/>
      <c r="P10940" s="3"/>
      <c r="Q10940" s="3"/>
    </row>
    <row r="10941" spans="1:17" ht="15" x14ac:dyDescent="0.25">
      <c r="A10941" s="3">
        <f>10934</f>
        <v>10934</v>
      </c>
      <c r="B10941" s="3" t="s">
        <v>10943</v>
      </c>
      <c r="C10941" s="3" t="s">
        <v>9</v>
      </c>
      <c r="D10941" s="3" t="s">
        <v>10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/>
      <c r="P10941" s="3"/>
      <c r="Q10941" s="3"/>
    </row>
    <row r="10942" spans="1:17" ht="15" x14ac:dyDescent="0.25">
      <c r="A10942" s="3">
        <f>10935</f>
        <v>10935</v>
      </c>
      <c r="B10942" s="3" t="s">
        <v>10944</v>
      </c>
      <c r="C10942" s="3" t="s">
        <v>9</v>
      </c>
      <c r="D10942" s="3" t="s">
        <v>10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/>
      <c r="P10942" s="3"/>
      <c r="Q10942" s="3"/>
    </row>
    <row r="10943" spans="1:17" ht="15" x14ac:dyDescent="0.25">
      <c r="A10943" s="3">
        <f>10936</f>
        <v>10936</v>
      </c>
      <c r="B10943" s="3" t="s">
        <v>10945</v>
      </c>
      <c r="C10943" s="3" t="s">
        <v>9</v>
      </c>
      <c r="D10943" s="3" t="s">
        <v>10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/>
      <c r="P10943" s="3"/>
      <c r="Q10943" s="3"/>
    </row>
    <row r="10944" spans="1:17" ht="15" x14ac:dyDescent="0.25">
      <c r="A10944" s="3">
        <f>10937</f>
        <v>10937</v>
      </c>
      <c r="B10944" s="3" t="s">
        <v>10946</v>
      </c>
      <c r="C10944" s="3" t="s">
        <v>9</v>
      </c>
      <c r="D10944" s="3" t="s">
        <v>10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/>
      <c r="P10944" s="3"/>
      <c r="Q10944" s="3"/>
    </row>
    <row r="10945" spans="1:17" ht="15" x14ac:dyDescent="0.25">
      <c r="A10945" s="3">
        <f>10938</f>
        <v>10938</v>
      </c>
      <c r="B10945" s="3" t="s">
        <v>10947</v>
      </c>
      <c r="C10945" s="3" t="s">
        <v>9</v>
      </c>
      <c r="D10945" s="3" t="s">
        <v>10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/>
      <c r="P10945" s="3"/>
      <c r="Q10945" s="3"/>
    </row>
    <row r="10946" spans="1:17" ht="15" x14ac:dyDescent="0.25">
      <c r="A10946" s="3">
        <f>10939</f>
        <v>10939</v>
      </c>
      <c r="B10946" s="3" t="s">
        <v>10948</v>
      </c>
      <c r="C10946" s="3" t="s">
        <v>9</v>
      </c>
      <c r="D10946" s="3" t="s">
        <v>10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/>
      <c r="P10946" s="3"/>
      <c r="Q10946" s="3"/>
    </row>
    <row r="10947" spans="1:17" ht="15" x14ac:dyDescent="0.25">
      <c r="A10947" s="3">
        <f>10940</f>
        <v>10940</v>
      </c>
      <c r="B10947" s="3" t="s">
        <v>10949</v>
      </c>
      <c r="C10947" s="3" t="s">
        <v>9</v>
      </c>
      <c r="D10947" s="3" t="s">
        <v>10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/>
      <c r="P10947" s="3"/>
      <c r="Q10947" s="3"/>
    </row>
    <row r="10948" spans="1:17" ht="15" x14ac:dyDescent="0.25">
      <c r="A10948" s="3">
        <f>10941</f>
        <v>10941</v>
      </c>
      <c r="B10948" s="3" t="s">
        <v>10950</v>
      </c>
      <c r="C10948" s="3" t="s">
        <v>9</v>
      </c>
      <c r="D10948" s="3" t="s">
        <v>10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/>
      <c r="P10948" s="3"/>
      <c r="Q10948" s="3"/>
    </row>
    <row r="10949" spans="1:17" ht="15" x14ac:dyDescent="0.25">
      <c r="A10949" s="3">
        <f>10942</f>
        <v>10942</v>
      </c>
      <c r="B10949" s="3" t="s">
        <v>10951</v>
      </c>
      <c r="C10949" s="3" t="s">
        <v>9</v>
      </c>
      <c r="D10949" s="3" t="s">
        <v>10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/>
      <c r="P10949" s="3"/>
      <c r="Q10949" s="3"/>
    </row>
    <row r="10950" spans="1:17" ht="15" x14ac:dyDescent="0.25">
      <c r="A10950" s="3">
        <f>10943</f>
        <v>10943</v>
      </c>
      <c r="B10950" s="3" t="s">
        <v>10952</v>
      </c>
      <c r="C10950" s="3" t="s">
        <v>9</v>
      </c>
      <c r="D10950" s="3" t="s">
        <v>10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/>
      <c r="P10950" s="3"/>
      <c r="Q10950" s="3"/>
    </row>
    <row r="10951" spans="1:17" ht="15" x14ac:dyDescent="0.25">
      <c r="A10951" s="3">
        <f>10944</f>
        <v>10944</v>
      </c>
      <c r="B10951" s="3" t="s">
        <v>10953</v>
      </c>
      <c r="C10951" s="3" t="s">
        <v>9</v>
      </c>
      <c r="D10951" s="3" t="s">
        <v>10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/>
      <c r="P10951" s="3"/>
      <c r="Q10951" s="3"/>
    </row>
    <row r="10952" spans="1:17" ht="15" x14ac:dyDescent="0.25">
      <c r="A10952" s="3">
        <f>10945</f>
        <v>10945</v>
      </c>
      <c r="B10952" s="3" t="s">
        <v>10954</v>
      </c>
      <c r="C10952" s="3" t="s">
        <v>9</v>
      </c>
      <c r="D10952" s="3" t="s">
        <v>10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/>
      <c r="P10952" s="3"/>
      <c r="Q10952" s="3"/>
    </row>
    <row r="10953" spans="1:17" ht="15" x14ac:dyDescent="0.25">
      <c r="A10953" s="3">
        <f>10946</f>
        <v>10946</v>
      </c>
      <c r="B10953" s="3" t="s">
        <v>10955</v>
      </c>
      <c r="C10953" s="3" t="s">
        <v>9</v>
      </c>
      <c r="D10953" s="3" t="s">
        <v>10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/>
      <c r="P10953" s="3"/>
      <c r="Q10953" s="3"/>
    </row>
    <row r="10954" spans="1:17" ht="15" x14ac:dyDescent="0.25">
      <c r="A10954" s="3">
        <f>10947</f>
        <v>10947</v>
      </c>
      <c r="B10954" s="3" t="s">
        <v>10956</v>
      </c>
      <c r="C10954" s="3" t="s">
        <v>9</v>
      </c>
      <c r="D10954" s="3" t="s">
        <v>10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/>
      <c r="P10954" s="3"/>
      <c r="Q10954" s="3"/>
    </row>
    <row r="10955" spans="1:17" ht="15" x14ac:dyDescent="0.25">
      <c r="A10955" s="3">
        <f>10948</f>
        <v>10948</v>
      </c>
      <c r="B10955" s="3" t="s">
        <v>10957</v>
      </c>
      <c r="C10955" s="3" t="s">
        <v>9</v>
      </c>
      <c r="D10955" s="3" t="s">
        <v>10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/>
      <c r="P10955" s="3"/>
      <c r="Q10955" s="3"/>
    </row>
    <row r="10956" spans="1:17" ht="15" x14ac:dyDescent="0.25">
      <c r="A10956" s="3">
        <f>10949</f>
        <v>10949</v>
      </c>
      <c r="B10956" s="3" t="s">
        <v>10958</v>
      </c>
      <c r="C10956" s="3" t="s">
        <v>9</v>
      </c>
      <c r="D10956" s="3" t="s">
        <v>10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/>
      <c r="P10956" s="3"/>
      <c r="Q10956" s="3"/>
    </row>
    <row r="10957" spans="1:17" ht="15" x14ac:dyDescent="0.25">
      <c r="A10957" s="3">
        <f>10950</f>
        <v>10950</v>
      </c>
      <c r="B10957" s="3" t="s">
        <v>10959</v>
      </c>
      <c r="C10957" s="3" t="s">
        <v>9</v>
      </c>
      <c r="D10957" s="3" t="s">
        <v>10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/>
      <c r="P10957" s="3"/>
      <c r="Q10957" s="3"/>
    </row>
    <row r="10958" spans="1:17" ht="15" x14ac:dyDescent="0.25">
      <c r="A10958" s="3">
        <f>10951</f>
        <v>10951</v>
      </c>
      <c r="B10958" s="3" t="s">
        <v>10960</v>
      </c>
      <c r="C10958" s="3" t="s">
        <v>9</v>
      </c>
      <c r="D10958" s="3" t="s">
        <v>10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/>
      <c r="P10958" s="3"/>
      <c r="Q10958" s="3"/>
    </row>
    <row r="10959" spans="1:17" ht="15" x14ac:dyDescent="0.25">
      <c r="A10959" s="3">
        <f>10952</f>
        <v>10952</v>
      </c>
      <c r="B10959" s="3" t="s">
        <v>10961</v>
      </c>
      <c r="C10959" s="3" t="s">
        <v>9</v>
      </c>
      <c r="D10959" s="3" t="s">
        <v>10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/>
      <c r="P10959" s="3"/>
      <c r="Q10959" s="3"/>
    </row>
    <row r="10960" spans="1:17" ht="15" x14ac:dyDescent="0.25">
      <c r="A10960" s="3">
        <f>10953</f>
        <v>10953</v>
      </c>
      <c r="B10960" s="3" t="s">
        <v>10962</v>
      </c>
      <c r="C10960" s="3" t="s">
        <v>9</v>
      </c>
      <c r="D10960" s="3" t="s">
        <v>10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/>
      <c r="P10960" s="3"/>
      <c r="Q10960" s="3"/>
    </row>
    <row r="10961" spans="1:17" ht="15" x14ac:dyDescent="0.25">
      <c r="A10961" s="3">
        <f>10954</f>
        <v>10954</v>
      </c>
      <c r="B10961" s="3" t="s">
        <v>10963</v>
      </c>
      <c r="C10961" s="3" t="s">
        <v>9</v>
      </c>
      <c r="D10961" s="3" t="s">
        <v>10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/>
      <c r="P10961" s="3"/>
      <c r="Q10961" s="3"/>
    </row>
    <row r="10962" spans="1:17" ht="15" x14ac:dyDescent="0.25">
      <c r="A10962" s="3">
        <f>10955</f>
        <v>10955</v>
      </c>
      <c r="B10962" s="3" t="s">
        <v>10964</v>
      </c>
      <c r="C10962" s="3" t="s">
        <v>9</v>
      </c>
      <c r="D10962" s="3" t="s">
        <v>10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/>
      <c r="P10962" s="3"/>
      <c r="Q10962" s="3"/>
    </row>
    <row r="10963" spans="1:17" ht="15" x14ac:dyDescent="0.25">
      <c r="A10963" s="3">
        <f>10956</f>
        <v>10956</v>
      </c>
      <c r="B10963" s="3" t="s">
        <v>10965</v>
      </c>
      <c r="C10963" s="3" t="s">
        <v>9</v>
      </c>
      <c r="D10963" s="3" t="s">
        <v>10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/>
      <c r="P10963" s="3"/>
      <c r="Q10963" s="3"/>
    </row>
    <row r="10964" spans="1:17" ht="15" x14ac:dyDescent="0.25">
      <c r="A10964" s="3">
        <f>10957</f>
        <v>10957</v>
      </c>
      <c r="B10964" s="3" t="s">
        <v>10966</v>
      </c>
      <c r="C10964" s="3" t="s">
        <v>9</v>
      </c>
      <c r="D10964" s="3" t="s">
        <v>10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/>
      <c r="P10964" s="3"/>
      <c r="Q10964" s="3"/>
    </row>
    <row r="10965" spans="1:17" ht="15" x14ac:dyDescent="0.25">
      <c r="A10965" s="3">
        <f>10958</f>
        <v>10958</v>
      </c>
      <c r="B10965" s="3" t="s">
        <v>10967</v>
      </c>
      <c r="C10965" s="3" t="s">
        <v>9</v>
      </c>
      <c r="D10965" s="3" t="s">
        <v>10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/>
      <c r="P10965" s="3"/>
      <c r="Q10965" s="3"/>
    </row>
    <row r="10966" spans="1:17" ht="15" x14ac:dyDescent="0.25">
      <c r="A10966" s="3">
        <f>10959</f>
        <v>10959</v>
      </c>
      <c r="B10966" s="3" t="s">
        <v>10968</v>
      </c>
      <c r="C10966" s="3" t="s">
        <v>9</v>
      </c>
      <c r="D10966" s="3" t="s">
        <v>10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/>
      <c r="P10966" s="3"/>
      <c r="Q10966" s="3"/>
    </row>
    <row r="10967" spans="1:17" ht="15" x14ac:dyDescent="0.25">
      <c r="A10967" s="3">
        <f>10960</f>
        <v>10960</v>
      </c>
      <c r="B10967" s="3" t="s">
        <v>10969</v>
      </c>
      <c r="C10967" s="3" t="s">
        <v>9</v>
      </c>
      <c r="D10967" s="3" t="s">
        <v>10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/>
      <c r="P10967" s="3"/>
      <c r="Q10967" s="3"/>
    </row>
    <row r="10968" spans="1:17" ht="15" x14ac:dyDescent="0.25">
      <c r="A10968" s="3">
        <f>10961</f>
        <v>10961</v>
      </c>
      <c r="B10968" s="3" t="s">
        <v>10970</v>
      </c>
      <c r="C10968" s="3" t="s">
        <v>9</v>
      </c>
      <c r="D10968" s="3" t="s">
        <v>10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/>
      <c r="P10968" s="3"/>
      <c r="Q10968" s="3"/>
    </row>
    <row r="10969" spans="1:17" ht="15" x14ac:dyDescent="0.25">
      <c r="A10969" s="3">
        <f>10962</f>
        <v>10962</v>
      </c>
      <c r="B10969" s="3" t="s">
        <v>10971</v>
      </c>
      <c r="C10969" s="3" t="s">
        <v>9</v>
      </c>
      <c r="D10969" s="3" t="s">
        <v>10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/>
      <c r="P10969" s="3"/>
      <c r="Q10969" s="3"/>
    </row>
    <row r="10970" spans="1:17" ht="15" x14ac:dyDescent="0.25">
      <c r="A10970" s="3">
        <f>10963</f>
        <v>10963</v>
      </c>
      <c r="B10970" s="3" t="s">
        <v>10972</v>
      </c>
      <c r="C10970" s="3" t="s">
        <v>9</v>
      </c>
      <c r="D10970" s="3" t="s">
        <v>10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/>
      <c r="P10970" s="3"/>
      <c r="Q10970" s="3"/>
    </row>
    <row r="10971" spans="1:17" ht="15" x14ac:dyDescent="0.25">
      <c r="A10971" s="3">
        <f>10964</f>
        <v>10964</v>
      </c>
      <c r="B10971" s="3" t="s">
        <v>10973</v>
      </c>
      <c r="C10971" s="3" t="s">
        <v>9</v>
      </c>
      <c r="D10971" s="3" t="s">
        <v>10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/>
      <c r="P10971" s="3"/>
      <c r="Q10971" s="3"/>
    </row>
    <row r="10972" spans="1:17" ht="15" x14ac:dyDescent="0.25">
      <c r="A10972" s="3">
        <f>10965</f>
        <v>10965</v>
      </c>
      <c r="B10972" s="3" t="s">
        <v>10974</v>
      </c>
      <c r="C10972" s="3" t="s">
        <v>9</v>
      </c>
      <c r="D10972" s="3" t="s">
        <v>10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/>
      <c r="P10972" s="3"/>
      <c r="Q10972" s="3"/>
    </row>
    <row r="10973" spans="1:17" ht="15" x14ac:dyDescent="0.25">
      <c r="A10973" s="3">
        <f>10966</f>
        <v>10966</v>
      </c>
      <c r="B10973" s="3" t="s">
        <v>10975</v>
      </c>
      <c r="C10973" s="3" t="s">
        <v>9</v>
      </c>
      <c r="D10973" s="3" t="s">
        <v>10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/>
      <c r="P10973" s="3"/>
      <c r="Q10973" s="3"/>
    </row>
    <row r="10974" spans="1:17" ht="15" x14ac:dyDescent="0.25">
      <c r="A10974" s="3">
        <f>10967</f>
        <v>10967</v>
      </c>
      <c r="B10974" s="3" t="s">
        <v>10976</v>
      </c>
      <c r="C10974" s="3" t="s">
        <v>9</v>
      </c>
      <c r="D10974" s="3" t="s">
        <v>10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/>
      <c r="P10974" s="3"/>
      <c r="Q10974" s="3"/>
    </row>
    <row r="10975" spans="1:17" ht="15" x14ac:dyDescent="0.25">
      <c r="A10975" s="3">
        <f>10968</f>
        <v>10968</v>
      </c>
      <c r="B10975" s="3" t="s">
        <v>10977</v>
      </c>
      <c r="C10975" s="3" t="s">
        <v>9</v>
      </c>
      <c r="D10975" s="3" t="s">
        <v>10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/>
      <c r="P10975" s="3"/>
      <c r="Q10975" s="3"/>
    </row>
    <row r="10976" spans="1:17" ht="15" x14ac:dyDescent="0.25">
      <c r="A10976" s="3">
        <f>10969</f>
        <v>10969</v>
      </c>
      <c r="B10976" s="3" t="s">
        <v>10978</v>
      </c>
      <c r="C10976" s="3" t="s">
        <v>9</v>
      </c>
      <c r="D10976" s="3" t="s">
        <v>10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/>
      <c r="P10976" s="3"/>
      <c r="Q10976" s="3"/>
    </row>
    <row r="10977" spans="1:17" ht="15" x14ac:dyDescent="0.25">
      <c r="A10977" s="3">
        <f>10970</f>
        <v>10970</v>
      </c>
      <c r="B10977" s="3" t="s">
        <v>10979</v>
      </c>
      <c r="C10977" s="3" t="s">
        <v>9</v>
      </c>
      <c r="D10977" s="3" t="s">
        <v>10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/>
      <c r="P10977" s="3"/>
      <c r="Q10977" s="3"/>
    </row>
    <row r="10978" spans="1:17" ht="15" x14ac:dyDescent="0.25">
      <c r="A10978" s="3">
        <f>10971</f>
        <v>10971</v>
      </c>
      <c r="B10978" s="3" t="s">
        <v>10980</v>
      </c>
      <c r="C10978" s="3" t="s">
        <v>9</v>
      </c>
      <c r="D10978" s="3" t="s">
        <v>10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/>
      <c r="P10978" s="3"/>
      <c r="Q10978" s="3"/>
    </row>
    <row r="10979" spans="1:17" ht="15" x14ac:dyDescent="0.25">
      <c r="A10979" s="3">
        <f>10972</f>
        <v>10972</v>
      </c>
      <c r="B10979" s="3" t="s">
        <v>10981</v>
      </c>
      <c r="C10979" s="3" t="s">
        <v>9</v>
      </c>
      <c r="D10979" s="3" t="s">
        <v>10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/>
      <c r="P10979" s="3"/>
      <c r="Q10979" s="3"/>
    </row>
    <row r="10980" spans="1:17" ht="15" x14ac:dyDescent="0.25">
      <c r="A10980" s="3">
        <f>10973</f>
        <v>10973</v>
      </c>
      <c r="B10980" s="3" t="s">
        <v>10982</v>
      </c>
      <c r="C10980" s="3" t="s">
        <v>9</v>
      </c>
      <c r="D10980" s="3" t="s">
        <v>10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/>
      <c r="P10980" s="3"/>
      <c r="Q10980" s="3"/>
    </row>
    <row r="10981" spans="1:17" ht="15" x14ac:dyDescent="0.25">
      <c r="A10981" s="3">
        <f>10974</f>
        <v>10974</v>
      </c>
      <c r="B10981" s="3" t="s">
        <v>10983</v>
      </c>
      <c r="C10981" s="3" t="s">
        <v>9</v>
      </c>
      <c r="D10981" s="3" t="s">
        <v>10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/>
      <c r="P10981" s="3"/>
      <c r="Q10981" s="3"/>
    </row>
    <row r="10982" spans="1:17" ht="15" x14ac:dyDescent="0.25">
      <c r="A10982" s="3">
        <f>10975</f>
        <v>10975</v>
      </c>
      <c r="B10982" s="3" t="s">
        <v>10984</v>
      </c>
      <c r="C10982" s="3" t="s">
        <v>9</v>
      </c>
      <c r="D10982" s="3" t="s">
        <v>10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/>
      <c r="P10982" s="3"/>
      <c r="Q10982" s="3"/>
    </row>
    <row r="10983" spans="1:17" ht="15" x14ac:dyDescent="0.25">
      <c r="A10983" s="3">
        <f>10976</f>
        <v>10976</v>
      </c>
      <c r="B10983" s="3" t="s">
        <v>10985</v>
      </c>
      <c r="C10983" s="3" t="s">
        <v>9</v>
      </c>
      <c r="D10983" s="3" t="s">
        <v>10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/>
      <c r="P10983" s="3"/>
      <c r="Q10983" s="3"/>
    </row>
    <row r="10984" spans="1:17" ht="15" x14ac:dyDescent="0.25">
      <c r="A10984" s="3">
        <f>10977</f>
        <v>10977</v>
      </c>
      <c r="B10984" s="3" t="s">
        <v>10986</v>
      </c>
      <c r="C10984" s="3" t="s">
        <v>9</v>
      </c>
      <c r="D10984" s="3" t="s">
        <v>10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/>
      <c r="P10984" s="3"/>
      <c r="Q10984" s="3"/>
    </row>
    <row r="10985" spans="1:17" ht="15" x14ac:dyDescent="0.25">
      <c r="A10985" s="3">
        <f>10978</f>
        <v>10978</v>
      </c>
      <c r="B10985" s="3" t="s">
        <v>10987</v>
      </c>
      <c r="C10985" s="3" t="s">
        <v>9</v>
      </c>
      <c r="D10985" s="3" t="s">
        <v>10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/>
      <c r="P10985" s="3"/>
      <c r="Q10985" s="3"/>
    </row>
    <row r="10986" spans="1:17" ht="15" x14ac:dyDescent="0.25">
      <c r="A10986" s="3">
        <f>10979</f>
        <v>10979</v>
      </c>
      <c r="B10986" s="3" t="s">
        <v>10988</v>
      </c>
      <c r="C10986" s="3" t="s">
        <v>9</v>
      </c>
      <c r="D10986" s="3" t="s">
        <v>10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/>
      <c r="P10986" s="3"/>
      <c r="Q10986" s="3"/>
    </row>
    <row r="10987" spans="1:17" ht="15" x14ac:dyDescent="0.25">
      <c r="A10987" s="3">
        <f>10980</f>
        <v>10980</v>
      </c>
      <c r="B10987" s="3" t="s">
        <v>10989</v>
      </c>
      <c r="C10987" s="3" t="s">
        <v>9</v>
      </c>
      <c r="D10987" s="3" t="s">
        <v>10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/>
      <c r="P10987" s="3"/>
      <c r="Q10987" s="3"/>
    </row>
    <row r="10988" spans="1:17" ht="15" x14ac:dyDescent="0.25">
      <c r="A10988" s="3">
        <f>10981</f>
        <v>10981</v>
      </c>
      <c r="B10988" s="3" t="s">
        <v>10990</v>
      </c>
      <c r="C10988" s="3" t="s">
        <v>9</v>
      </c>
      <c r="D10988" s="3" t="s">
        <v>10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/>
      <c r="P10988" s="3"/>
      <c r="Q10988" s="3"/>
    </row>
    <row r="10989" spans="1:17" ht="15" x14ac:dyDescent="0.25">
      <c r="A10989" s="3">
        <f>10982</f>
        <v>10982</v>
      </c>
      <c r="B10989" s="3" t="s">
        <v>10991</v>
      </c>
      <c r="C10989" s="3" t="s">
        <v>9</v>
      </c>
      <c r="D10989" s="3" t="s">
        <v>10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/>
      <c r="P10989" s="3"/>
      <c r="Q10989" s="3"/>
    </row>
    <row r="10990" spans="1:17" ht="15" x14ac:dyDescent="0.25">
      <c r="A10990" s="3">
        <f>10983</f>
        <v>10983</v>
      </c>
      <c r="B10990" s="3" t="s">
        <v>10992</v>
      </c>
      <c r="C10990" s="3" t="s">
        <v>9</v>
      </c>
      <c r="D10990" s="3" t="s">
        <v>10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/>
      <c r="P10990" s="3"/>
      <c r="Q10990" s="3"/>
    </row>
    <row r="10991" spans="1:17" ht="15" x14ac:dyDescent="0.25">
      <c r="A10991" s="3">
        <f>10984</f>
        <v>10984</v>
      </c>
      <c r="B10991" s="3" t="s">
        <v>10993</v>
      </c>
      <c r="C10991" s="3" t="s">
        <v>9</v>
      </c>
      <c r="D10991" s="3" t="s">
        <v>10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/>
      <c r="P10991" s="3"/>
      <c r="Q10991" s="3"/>
    </row>
    <row r="10992" spans="1:17" ht="15" x14ac:dyDescent="0.25">
      <c r="A10992" s="3">
        <f>10985</f>
        <v>10985</v>
      </c>
      <c r="B10992" s="3" t="s">
        <v>10994</v>
      </c>
      <c r="C10992" s="3" t="s">
        <v>9</v>
      </c>
      <c r="D10992" s="3" t="s">
        <v>10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/>
      <c r="P10992" s="3"/>
      <c r="Q10992" s="3"/>
    </row>
    <row r="10993" spans="1:17" ht="15" x14ac:dyDescent="0.25">
      <c r="A10993" s="3">
        <f>10986</f>
        <v>10986</v>
      </c>
      <c r="B10993" s="3" t="s">
        <v>10995</v>
      </c>
      <c r="C10993" s="3" t="s">
        <v>9</v>
      </c>
      <c r="D10993" s="3" t="s">
        <v>10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/>
      <c r="P10993" s="3"/>
      <c r="Q10993" s="3"/>
    </row>
    <row r="10994" spans="1:17" ht="15" x14ac:dyDescent="0.25">
      <c r="A10994" s="3">
        <f>10987</f>
        <v>10987</v>
      </c>
      <c r="B10994" s="3" t="s">
        <v>10996</v>
      </c>
      <c r="C10994" s="3" t="s">
        <v>9</v>
      </c>
      <c r="D10994" s="3" t="s">
        <v>10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/>
      <c r="P10994" s="3"/>
      <c r="Q10994" s="3"/>
    </row>
    <row r="10995" spans="1:17" ht="15" x14ac:dyDescent="0.25">
      <c r="A10995" s="3">
        <f>10988</f>
        <v>10988</v>
      </c>
      <c r="B10995" s="3" t="s">
        <v>10997</v>
      </c>
      <c r="C10995" s="3" t="s">
        <v>9</v>
      </c>
      <c r="D10995" s="3" t="s">
        <v>10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/>
      <c r="P10995" s="3"/>
      <c r="Q10995" s="3"/>
    </row>
    <row r="10996" spans="1:17" ht="15" x14ac:dyDescent="0.25">
      <c r="A10996" s="3">
        <f>10989</f>
        <v>10989</v>
      </c>
      <c r="B10996" s="3" t="s">
        <v>10998</v>
      </c>
      <c r="C10996" s="3" t="s">
        <v>9</v>
      </c>
      <c r="D10996" s="3" t="s">
        <v>10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/>
      <c r="P10996" s="3"/>
      <c r="Q10996" s="3"/>
    </row>
    <row r="10997" spans="1:17" ht="15" x14ac:dyDescent="0.25">
      <c r="A10997" s="3">
        <f>10990</f>
        <v>10990</v>
      </c>
      <c r="B10997" s="3" t="s">
        <v>10999</v>
      </c>
      <c r="C10997" s="3" t="s">
        <v>9</v>
      </c>
      <c r="D10997" s="3" t="s">
        <v>10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/>
      <c r="P10997" s="3"/>
      <c r="Q10997" s="3"/>
    </row>
    <row r="10998" spans="1:17" ht="15" x14ac:dyDescent="0.25">
      <c r="A10998" s="3">
        <f>10991</f>
        <v>10991</v>
      </c>
      <c r="B10998" s="3" t="s">
        <v>11000</v>
      </c>
      <c r="C10998" s="3" t="s">
        <v>9</v>
      </c>
      <c r="D10998" s="3" t="s">
        <v>10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/>
      <c r="P10998" s="3"/>
      <c r="Q10998" s="3"/>
    </row>
    <row r="10999" spans="1:17" ht="15" x14ac:dyDescent="0.25">
      <c r="A10999" s="3">
        <f>10992</f>
        <v>10992</v>
      </c>
      <c r="B10999" s="3" t="s">
        <v>11001</v>
      </c>
      <c r="C10999" s="3" t="s">
        <v>9</v>
      </c>
      <c r="D10999" s="3" t="s">
        <v>10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/>
      <c r="P10999" s="3"/>
      <c r="Q10999" s="3"/>
    </row>
    <row r="11000" spans="1:17" ht="15" x14ac:dyDescent="0.25">
      <c r="A11000" s="3">
        <f>10993</f>
        <v>10993</v>
      </c>
      <c r="B11000" s="3" t="s">
        <v>11002</v>
      </c>
      <c r="C11000" s="3" t="s">
        <v>9</v>
      </c>
      <c r="D11000" s="3" t="s">
        <v>10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/>
      <c r="P11000" s="3"/>
      <c r="Q11000" s="3"/>
    </row>
    <row r="11001" spans="1:17" ht="15" x14ac:dyDescent="0.25">
      <c r="A11001" s="3">
        <f>10994</f>
        <v>10994</v>
      </c>
      <c r="B11001" s="3" t="s">
        <v>11003</v>
      </c>
      <c r="C11001" s="3" t="s">
        <v>9</v>
      </c>
      <c r="D11001" s="3" t="s">
        <v>10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/>
      <c r="P11001" s="3"/>
      <c r="Q11001" s="3"/>
    </row>
    <row r="11002" spans="1:17" ht="15" x14ac:dyDescent="0.25">
      <c r="A11002" s="3">
        <f>10995</f>
        <v>10995</v>
      </c>
      <c r="B11002" s="3" t="s">
        <v>11004</v>
      </c>
      <c r="C11002" s="3" t="s">
        <v>9</v>
      </c>
      <c r="D11002" s="3" t="s">
        <v>10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/>
      <c r="P11002" s="3"/>
      <c r="Q11002" s="3"/>
    </row>
    <row r="11003" spans="1:17" ht="15" x14ac:dyDescent="0.25">
      <c r="A11003" s="3">
        <f>10996</f>
        <v>10996</v>
      </c>
      <c r="B11003" s="3" t="s">
        <v>11005</v>
      </c>
      <c r="C11003" s="3" t="s">
        <v>9</v>
      </c>
      <c r="D11003" s="3" t="s">
        <v>10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/>
      <c r="P11003" s="3"/>
      <c r="Q11003" s="3"/>
    </row>
    <row r="11004" spans="1:17" ht="15" x14ac:dyDescent="0.25">
      <c r="A11004" s="3">
        <f>10997</f>
        <v>10997</v>
      </c>
      <c r="B11004" s="3" t="s">
        <v>11006</v>
      </c>
      <c r="C11004" s="3" t="s">
        <v>9</v>
      </c>
      <c r="D11004" s="3" t="s">
        <v>10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/>
      <c r="P11004" s="3"/>
      <c r="Q11004" s="3"/>
    </row>
    <row r="11005" spans="1:17" ht="15" x14ac:dyDescent="0.25">
      <c r="A11005" s="3">
        <f>10998</f>
        <v>10998</v>
      </c>
      <c r="B11005" s="3" t="s">
        <v>11007</v>
      </c>
      <c r="C11005" s="3" t="s">
        <v>9</v>
      </c>
      <c r="D11005" s="3" t="s">
        <v>10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/>
      <c r="P11005" s="3"/>
      <c r="Q11005" s="3"/>
    </row>
    <row r="11006" spans="1:17" ht="15" x14ac:dyDescent="0.25">
      <c r="A11006" s="3">
        <f>10999</f>
        <v>10999</v>
      </c>
      <c r="B11006" s="3" t="s">
        <v>11008</v>
      </c>
      <c r="C11006" s="3" t="s">
        <v>9</v>
      </c>
      <c r="D11006" s="3" t="s">
        <v>10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/>
      <c r="P11006" s="3"/>
      <c r="Q11006" s="3"/>
    </row>
    <row r="11007" spans="1:17" ht="15" x14ac:dyDescent="0.25">
      <c r="A11007" s="3">
        <f>11000</f>
        <v>11000</v>
      </c>
      <c r="B11007" s="3" t="s">
        <v>11009</v>
      </c>
      <c r="C11007" s="3" t="s">
        <v>9</v>
      </c>
      <c r="D11007" s="3" t="s">
        <v>10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/>
      <c r="P11007" s="3"/>
      <c r="Q11007" s="3"/>
    </row>
    <row r="11008" spans="1:17" ht="15" x14ac:dyDescent="0.25">
      <c r="A11008" s="3">
        <f>11001</f>
        <v>11001</v>
      </c>
      <c r="B11008" s="3" t="s">
        <v>11010</v>
      </c>
      <c r="C11008" s="3" t="s">
        <v>9</v>
      </c>
      <c r="D11008" s="3" t="s">
        <v>10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/>
      <c r="P11008" s="3"/>
      <c r="Q11008" s="3"/>
    </row>
    <row r="11009" spans="1:17" ht="15" x14ac:dyDescent="0.25">
      <c r="A11009" s="3">
        <f>11002</f>
        <v>11002</v>
      </c>
      <c r="B11009" s="3" t="s">
        <v>11011</v>
      </c>
      <c r="C11009" s="3" t="s">
        <v>9</v>
      </c>
      <c r="D11009" s="3" t="s">
        <v>10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/>
      <c r="P11009" s="3"/>
      <c r="Q11009" s="3"/>
    </row>
    <row r="11010" spans="1:17" ht="15" x14ac:dyDescent="0.25">
      <c r="A11010" s="3">
        <f>11003</f>
        <v>11003</v>
      </c>
      <c r="B11010" s="3" t="s">
        <v>11012</v>
      </c>
      <c r="C11010" s="3" t="s">
        <v>9</v>
      </c>
      <c r="D11010" s="3" t="s">
        <v>10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/>
      <c r="P11010" s="3"/>
      <c r="Q11010" s="3"/>
    </row>
    <row r="11011" spans="1:17" ht="15" x14ac:dyDescent="0.25">
      <c r="A11011" s="3">
        <f>11004</f>
        <v>11004</v>
      </c>
      <c r="B11011" s="3" t="s">
        <v>11013</v>
      </c>
      <c r="C11011" s="3" t="s">
        <v>9</v>
      </c>
      <c r="D11011" s="3" t="s">
        <v>10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/>
      <c r="P11011" s="3"/>
      <c r="Q11011" s="3"/>
    </row>
    <row r="11012" spans="1:17" ht="15" x14ac:dyDescent="0.25">
      <c r="A11012" s="3">
        <f>11005</f>
        <v>11005</v>
      </c>
      <c r="B11012" s="3" t="s">
        <v>11014</v>
      </c>
      <c r="C11012" s="3" t="s">
        <v>9</v>
      </c>
      <c r="D11012" s="3" t="s">
        <v>10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/>
      <c r="P11012" s="3"/>
      <c r="Q11012" s="3"/>
    </row>
    <row r="11013" spans="1:17" ht="15" x14ac:dyDescent="0.25">
      <c r="A11013" s="3">
        <f>11006</f>
        <v>11006</v>
      </c>
      <c r="B11013" s="3" t="s">
        <v>11015</v>
      </c>
      <c r="C11013" s="3" t="s">
        <v>9</v>
      </c>
      <c r="D11013" s="3" t="s">
        <v>10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/>
      <c r="P11013" s="3"/>
      <c r="Q11013" s="3"/>
    </row>
    <row r="11014" spans="1:17" ht="15" x14ac:dyDescent="0.25">
      <c r="A11014" s="3">
        <f>11007</f>
        <v>11007</v>
      </c>
      <c r="B11014" s="3" t="s">
        <v>11016</v>
      </c>
      <c r="C11014" s="3" t="s">
        <v>9</v>
      </c>
      <c r="D11014" s="3" t="s">
        <v>10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/>
      <c r="P11014" s="3"/>
      <c r="Q11014" s="3"/>
    </row>
    <row r="11015" spans="1:17" ht="15" x14ac:dyDescent="0.25">
      <c r="A11015" s="3">
        <f>11008</f>
        <v>11008</v>
      </c>
      <c r="B11015" s="3" t="s">
        <v>11017</v>
      </c>
      <c r="C11015" s="3" t="s">
        <v>9</v>
      </c>
      <c r="D11015" s="3" t="s">
        <v>10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/>
      <c r="P11015" s="3"/>
      <c r="Q11015" s="3"/>
    </row>
    <row r="11016" spans="1:17" ht="15" x14ac:dyDescent="0.25">
      <c r="A11016" s="3">
        <f>11009</f>
        <v>11009</v>
      </c>
      <c r="B11016" s="3" t="s">
        <v>11018</v>
      </c>
      <c r="C11016" s="3" t="s">
        <v>9</v>
      </c>
      <c r="D11016" s="3" t="s">
        <v>10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/>
      <c r="P11016" s="3"/>
      <c r="Q11016" s="3"/>
    </row>
    <row r="11017" spans="1:17" ht="15" x14ac:dyDescent="0.25">
      <c r="A11017" s="3">
        <f>11010</f>
        <v>11010</v>
      </c>
      <c r="B11017" s="3" t="s">
        <v>11019</v>
      </c>
      <c r="C11017" s="3" t="s">
        <v>9</v>
      </c>
      <c r="D11017" s="3" t="s">
        <v>10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/>
      <c r="P11017" s="3"/>
      <c r="Q11017" s="3"/>
    </row>
    <row r="11018" spans="1:17" ht="15" x14ac:dyDescent="0.25">
      <c r="A11018" s="3">
        <f>11011</f>
        <v>11011</v>
      </c>
      <c r="B11018" s="3" t="s">
        <v>11020</v>
      </c>
      <c r="C11018" s="3" t="s">
        <v>9</v>
      </c>
      <c r="D11018" s="3" t="s">
        <v>10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/>
      <c r="P11018" s="3"/>
      <c r="Q11018" s="3"/>
    </row>
    <row r="11019" spans="1:17" ht="15" x14ac:dyDescent="0.25">
      <c r="A11019" s="3">
        <f>11012</f>
        <v>11012</v>
      </c>
      <c r="B11019" s="3" t="s">
        <v>11021</v>
      </c>
      <c r="C11019" s="3" t="s">
        <v>9</v>
      </c>
      <c r="D11019" s="3" t="s">
        <v>10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/>
      <c r="P11019" s="3"/>
      <c r="Q11019" s="3"/>
    </row>
    <row r="11020" spans="1:17" ht="15" x14ac:dyDescent="0.25">
      <c r="A11020" s="3">
        <f>11013</f>
        <v>11013</v>
      </c>
      <c r="B11020" s="3" t="s">
        <v>11022</v>
      </c>
      <c r="C11020" s="3" t="s">
        <v>9</v>
      </c>
      <c r="D11020" s="3" t="s">
        <v>10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/>
      <c r="P11020" s="3"/>
      <c r="Q11020" s="3"/>
    </row>
    <row r="11021" spans="1:17" ht="15" x14ac:dyDescent="0.25">
      <c r="A11021" s="3">
        <f>11014</f>
        <v>11014</v>
      </c>
      <c r="B11021" s="3" t="s">
        <v>11023</v>
      </c>
      <c r="C11021" s="3" t="s">
        <v>9</v>
      </c>
      <c r="D11021" s="3" t="s">
        <v>10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/>
      <c r="P11021" s="3"/>
      <c r="Q11021" s="3"/>
    </row>
    <row r="11022" spans="1:17" ht="15" x14ac:dyDescent="0.25">
      <c r="A11022" s="3">
        <f>11015</f>
        <v>11015</v>
      </c>
      <c r="B11022" s="3" t="s">
        <v>11024</v>
      </c>
      <c r="C11022" s="3" t="s">
        <v>9</v>
      </c>
      <c r="D11022" s="3" t="s">
        <v>10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/>
      <c r="P11022" s="3"/>
      <c r="Q11022" s="3"/>
    </row>
    <row r="11023" spans="1:17" ht="15" x14ac:dyDescent="0.25">
      <c r="A11023" s="3">
        <f>11016</f>
        <v>11016</v>
      </c>
      <c r="B11023" s="3" t="s">
        <v>11025</v>
      </c>
      <c r="C11023" s="3" t="s">
        <v>9</v>
      </c>
      <c r="D11023" s="3" t="s">
        <v>10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/>
      <c r="P11023" s="3"/>
      <c r="Q11023" s="3"/>
    </row>
    <row r="11024" spans="1:17" ht="15" x14ac:dyDescent="0.25">
      <c r="A11024" s="3">
        <f>11017</f>
        <v>11017</v>
      </c>
      <c r="B11024" s="3" t="s">
        <v>11026</v>
      </c>
      <c r="C11024" s="3" t="s">
        <v>9</v>
      </c>
      <c r="D11024" s="3" t="s">
        <v>10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/>
      <c r="P11024" s="3"/>
      <c r="Q11024" s="3"/>
    </row>
    <row r="11025" spans="1:17" ht="15" x14ac:dyDescent="0.25">
      <c r="A11025" s="3">
        <f>11018</f>
        <v>11018</v>
      </c>
      <c r="B11025" s="3" t="s">
        <v>11027</v>
      </c>
      <c r="C11025" s="3" t="s">
        <v>9</v>
      </c>
      <c r="D11025" s="3" t="s">
        <v>10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/>
      <c r="P11025" s="3"/>
      <c r="Q11025" s="3"/>
    </row>
    <row r="11026" spans="1:17" ht="15" x14ac:dyDescent="0.25">
      <c r="A11026" s="3">
        <f>11019</f>
        <v>11019</v>
      </c>
      <c r="B11026" s="3" t="s">
        <v>11028</v>
      </c>
      <c r="C11026" s="3" t="s">
        <v>9</v>
      </c>
      <c r="D11026" s="3" t="s">
        <v>10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/>
      <c r="P11026" s="3"/>
      <c r="Q11026" s="3"/>
    </row>
    <row r="11027" spans="1:17" ht="15" x14ac:dyDescent="0.25">
      <c r="A11027" s="3">
        <f>11020</f>
        <v>11020</v>
      </c>
      <c r="B11027" s="3" t="s">
        <v>11029</v>
      </c>
      <c r="C11027" s="3" t="s">
        <v>9</v>
      </c>
      <c r="D11027" s="3" t="s">
        <v>10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/>
      <c r="P11027" s="3"/>
      <c r="Q11027" s="3"/>
    </row>
    <row r="11028" spans="1:17" ht="15" x14ac:dyDescent="0.25">
      <c r="A11028" s="3">
        <f>11021</f>
        <v>11021</v>
      </c>
      <c r="B11028" s="3" t="s">
        <v>11030</v>
      </c>
      <c r="C11028" s="3" t="s">
        <v>9</v>
      </c>
      <c r="D11028" s="3" t="s">
        <v>10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/>
      <c r="P11028" s="3"/>
      <c r="Q11028" s="3"/>
    </row>
    <row r="11029" spans="1:17" ht="15" x14ac:dyDescent="0.25">
      <c r="A11029" s="3">
        <f>11022</f>
        <v>11022</v>
      </c>
      <c r="B11029" s="3" t="s">
        <v>11031</v>
      </c>
      <c r="C11029" s="3" t="s">
        <v>9</v>
      </c>
      <c r="D11029" s="3" t="s">
        <v>10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/>
      <c r="P11029" s="3"/>
      <c r="Q11029" s="3"/>
    </row>
    <row r="11030" spans="1:17" ht="15" x14ac:dyDescent="0.25">
      <c r="A11030" s="3">
        <f>11023</f>
        <v>11023</v>
      </c>
      <c r="B11030" s="3" t="s">
        <v>11032</v>
      </c>
      <c r="C11030" s="3" t="s">
        <v>9</v>
      </c>
      <c r="D11030" s="3" t="s">
        <v>10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/>
      <c r="P11030" s="3"/>
      <c r="Q11030" s="3"/>
    </row>
    <row r="11031" spans="1:17" ht="15" x14ac:dyDescent="0.25">
      <c r="A11031" s="3">
        <f>11024</f>
        <v>11024</v>
      </c>
      <c r="B11031" s="3" t="s">
        <v>11033</v>
      </c>
      <c r="C11031" s="3" t="s">
        <v>9</v>
      </c>
      <c r="D11031" s="3" t="s">
        <v>10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/>
      <c r="P11031" s="3"/>
      <c r="Q11031" s="3"/>
    </row>
    <row r="11032" spans="1:17" ht="15" x14ac:dyDescent="0.25">
      <c r="A11032" s="3">
        <f>11025</f>
        <v>11025</v>
      </c>
      <c r="B11032" s="3" t="s">
        <v>11034</v>
      </c>
      <c r="C11032" s="3" t="s">
        <v>9</v>
      </c>
      <c r="D11032" s="3" t="s">
        <v>10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/>
      <c r="P11032" s="3"/>
      <c r="Q11032" s="3"/>
    </row>
    <row r="11033" spans="1:17" ht="15" x14ac:dyDescent="0.25">
      <c r="A11033" s="3">
        <f>11026</f>
        <v>11026</v>
      </c>
      <c r="B11033" s="3" t="s">
        <v>11035</v>
      </c>
      <c r="C11033" s="3" t="s">
        <v>9</v>
      </c>
      <c r="D11033" s="3" t="s">
        <v>10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/>
      <c r="P11033" s="3"/>
      <c r="Q11033" s="3"/>
    </row>
    <row r="11034" spans="1:17" ht="15" x14ac:dyDescent="0.25">
      <c r="A11034" s="3">
        <f>11027</f>
        <v>11027</v>
      </c>
      <c r="B11034" s="3" t="s">
        <v>11036</v>
      </c>
      <c r="C11034" s="3" t="s">
        <v>9</v>
      </c>
      <c r="D11034" s="3" t="s">
        <v>10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/>
      <c r="P11034" s="3"/>
      <c r="Q11034" s="3"/>
    </row>
    <row r="11035" spans="1:17" ht="15" x14ac:dyDescent="0.25">
      <c r="A11035" s="3">
        <f>11028</f>
        <v>11028</v>
      </c>
      <c r="B11035" s="3" t="s">
        <v>11037</v>
      </c>
      <c r="C11035" s="3" t="s">
        <v>9</v>
      </c>
      <c r="D11035" s="3" t="s">
        <v>10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/>
      <c r="P11035" s="3"/>
      <c r="Q11035" s="3"/>
    </row>
    <row r="11036" spans="1:17" ht="15" x14ac:dyDescent="0.25">
      <c r="A11036" s="3">
        <f>11029</f>
        <v>11029</v>
      </c>
      <c r="B11036" s="3" t="s">
        <v>11038</v>
      </c>
      <c r="C11036" s="3" t="s">
        <v>9</v>
      </c>
      <c r="D11036" s="3" t="s">
        <v>10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/>
      <c r="P11036" s="3"/>
      <c r="Q11036" s="3"/>
    </row>
    <row r="11037" spans="1:17" ht="15" x14ac:dyDescent="0.25">
      <c r="A11037" s="3">
        <f>11030</f>
        <v>11030</v>
      </c>
      <c r="B11037" s="3" t="s">
        <v>11039</v>
      </c>
      <c r="C11037" s="3" t="s">
        <v>9</v>
      </c>
      <c r="D11037" s="3" t="s">
        <v>10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/>
      <c r="P11037" s="3"/>
      <c r="Q11037" s="3"/>
    </row>
    <row r="11038" spans="1:17" ht="15" x14ac:dyDescent="0.25">
      <c r="A11038" s="3">
        <f>11031</f>
        <v>11031</v>
      </c>
      <c r="B11038" s="3" t="s">
        <v>11040</v>
      </c>
      <c r="C11038" s="3" t="s">
        <v>9</v>
      </c>
      <c r="D11038" s="3" t="s">
        <v>10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/>
      <c r="P11038" s="3"/>
      <c r="Q11038" s="3"/>
    </row>
    <row r="11039" spans="1:17" ht="15" x14ac:dyDescent="0.25">
      <c r="A11039" s="3">
        <f>11032</f>
        <v>11032</v>
      </c>
      <c r="B11039" s="3" t="s">
        <v>11041</v>
      </c>
      <c r="C11039" s="3" t="s">
        <v>9</v>
      </c>
      <c r="D11039" s="3" t="s">
        <v>10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/>
      <c r="P11039" s="3"/>
      <c r="Q11039" s="3"/>
    </row>
    <row r="11040" spans="1:17" ht="15" x14ac:dyDescent="0.25">
      <c r="A11040" s="3">
        <f>11033</f>
        <v>11033</v>
      </c>
      <c r="B11040" s="3" t="s">
        <v>11042</v>
      </c>
      <c r="C11040" s="3" t="s">
        <v>9</v>
      </c>
      <c r="D11040" s="3" t="s">
        <v>10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/>
      <c r="P11040" s="3"/>
      <c r="Q11040" s="3"/>
    </row>
    <row r="11041" spans="1:17" ht="15" x14ac:dyDescent="0.25">
      <c r="A11041" s="3">
        <f>11034</f>
        <v>11034</v>
      </c>
      <c r="B11041" s="3" t="s">
        <v>11043</v>
      </c>
      <c r="C11041" s="3" t="s">
        <v>9</v>
      </c>
      <c r="D11041" s="3" t="s">
        <v>10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/>
      <c r="P11041" s="3"/>
      <c r="Q11041" s="3"/>
    </row>
    <row r="11042" spans="1:17" ht="15" x14ac:dyDescent="0.25">
      <c r="A11042" s="3">
        <f>11035</f>
        <v>11035</v>
      </c>
      <c r="B11042" s="3" t="s">
        <v>11044</v>
      </c>
      <c r="C11042" s="3" t="s">
        <v>9</v>
      </c>
      <c r="D11042" s="3" t="s">
        <v>10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/>
      <c r="P11042" s="3"/>
      <c r="Q11042" s="3"/>
    </row>
    <row r="11043" spans="1:17" ht="15" x14ac:dyDescent="0.25">
      <c r="A11043" s="3">
        <f>11036</f>
        <v>11036</v>
      </c>
      <c r="B11043" s="3" t="s">
        <v>11045</v>
      </c>
      <c r="C11043" s="3" t="s">
        <v>9</v>
      </c>
      <c r="D11043" s="3" t="s">
        <v>10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/>
      <c r="P11043" s="3"/>
      <c r="Q11043" s="3"/>
    </row>
    <row r="11044" spans="1:17" ht="15" x14ac:dyDescent="0.25">
      <c r="A11044" s="3">
        <f>11037</f>
        <v>11037</v>
      </c>
      <c r="B11044" s="3" t="s">
        <v>11046</v>
      </c>
      <c r="C11044" s="3" t="s">
        <v>9</v>
      </c>
      <c r="D11044" s="3" t="s">
        <v>10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/>
      <c r="P11044" s="3"/>
      <c r="Q11044" s="3"/>
    </row>
    <row r="11045" spans="1:17" ht="15" x14ac:dyDescent="0.25">
      <c r="A11045" s="3">
        <f>11038</f>
        <v>11038</v>
      </c>
      <c r="B11045" s="3" t="s">
        <v>11047</v>
      </c>
      <c r="C11045" s="3" t="s">
        <v>9</v>
      </c>
      <c r="D11045" s="3" t="s">
        <v>10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/>
      <c r="P11045" s="3"/>
      <c r="Q11045" s="3"/>
    </row>
    <row r="11046" spans="1:17" ht="15" x14ac:dyDescent="0.25">
      <c r="A11046" s="3">
        <f>11039</f>
        <v>11039</v>
      </c>
      <c r="B11046" s="3" t="s">
        <v>11048</v>
      </c>
      <c r="C11046" s="3" t="s">
        <v>9</v>
      </c>
      <c r="D11046" s="3" t="s">
        <v>10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/>
      <c r="P11046" s="3"/>
      <c r="Q11046" s="3"/>
    </row>
    <row r="11047" spans="1:17" ht="15" x14ac:dyDescent="0.25">
      <c r="A11047" s="3">
        <f>11040</f>
        <v>11040</v>
      </c>
      <c r="B11047" s="3" t="s">
        <v>11049</v>
      </c>
      <c r="C11047" s="3" t="s">
        <v>9</v>
      </c>
      <c r="D11047" s="3" t="s">
        <v>10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/>
      <c r="P11047" s="3"/>
      <c r="Q11047" s="3"/>
    </row>
    <row r="11048" spans="1:17" ht="15" x14ac:dyDescent="0.25">
      <c r="A11048" s="3">
        <f>11041</f>
        <v>11041</v>
      </c>
      <c r="B11048" s="3" t="s">
        <v>11050</v>
      </c>
      <c r="C11048" s="3" t="s">
        <v>9</v>
      </c>
      <c r="D11048" s="3" t="s">
        <v>10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/>
      <c r="P11048" s="3"/>
      <c r="Q11048" s="3"/>
    </row>
    <row r="11049" spans="1:17" ht="15" x14ac:dyDescent="0.25">
      <c r="A11049" s="3">
        <f>11042</f>
        <v>11042</v>
      </c>
      <c r="B11049" s="3" t="s">
        <v>11051</v>
      </c>
      <c r="C11049" s="3" t="s">
        <v>9</v>
      </c>
      <c r="D11049" s="3" t="s">
        <v>10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/>
      <c r="P11049" s="3"/>
      <c r="Q11049" s="3"/>
    </row>
    <row r="11050" spans="1:17" ht="15" x14ac:dyDescent="0.25">
      <c r="A11050" s="3">
        <f>11043</f>
        <v>11043</v>
      </c>
      <c r="B11050" s="3" t="s">
        <v>11052</v>
      </c>
      <c r="C11050" s="3" t="s">
        <v>9</v>
      </c>
      <c r="D11050" s="3" t="s">
        <v>10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/>
      <c r="P11050" s="3"/>
      <c r="Q11050" s="3"/>
    </row>
    <row r="11051" spans="1:17" ht="15" x14ac:dyDescent="0.25">
      <c r="A11051" s="3">
        <f>11044</f>
        <v>11044</v>
      </c>
      <c r="B11051" s="3" t="s">
        <v>11053</v>
      </c>
      <c r="C11051" s="3" t="s">
        <v>9</v>
      </c>
      <c r="D11051" s="3" t="s">
        <v>10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/>
      <c r="P11051" s="3"/>
      <c r="Q11051" s="3"/>
    </row>
    <row r="11052" spans="1:17" ht="15" x14ac:dyDescent="0.25">
      <c r="A11052" s="3">
        <f>11045</f>
        <v>11045</v>
      </c>
      <c r="B11052" s="3" t="s">
        <v>11054</v>
      </c>
      <c r="C11052" s="3" t="s">
        <v>9</v>
      </c>
      <c r="D11052" s="3" t="s">
        <v>10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/>
      <c r="P11052" s="3"/>
      <c r="Q11052" s="3"/>
    </row>
    <row r="11053" spans="1:17" ht="15" x14ac:dyDescent="0.25">
      <c r="A11053" s="3">
        <f>11046</f>
        <v>11046</v>
      </c>
      <c r="B11053" s="3" t="s">
        <v>11055</v>
      </c>
      <c r="C11053" s="3" t="s">
        <v>9</v>
      </c>
      <c r="D11053" s="3" t="s">
        <v>10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/>
      <c r="P11053" s="3"/>
      <c r="Q11053" s="3"/>
    </row>
    <row r="11054" spans="1:17" ht="15" x14ac:dyDescent="0.25">
      <c r="A11054" s="3">
        <f>11047</f>
        <v>11047</v>
      </c>
      <c r="B11054" s="3" t="s">
        <v>11056</v>
      </c>
      <c r="C11054" s="3" t="s">
        <v>9</v>
      </c>
      <c r="D11054" s="3" t="s">
        <v>10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/>
      <c r="P11054" s="3"/>
      <c r="Q11054" s="3"/>
    </row>
    <row r="11055" spans="1:17" ht="15" x14ac:dyDescent="0.25">
      <c r="A11055" s="3">
        <f>11048</f>
        <v>11048</v>
      </c>
      <c r="B11055" s="3" t="s">
        <v>11057</v>
      </c>
      <c r="C11055" s="3" t="s">
        <v>9</v>
      </c>
      <c r="D11055" s="3" t="s">
        <v>10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/>
      <c r="P11055" s="3"/>
      <c r="Q11055" s="3"/>
    </row>
    <row r="11056" spans="1:17" ht="15" x14ac:dyDescent="0.25">
      <c r="A11056" s="3">
        <f>11049</f>
        <v>11049</v>
      </c>
      <c r="B11056" s="3" t="s">
        <v>11058</v>
      </c>
      <c r="C11056" s="3" t="s">
        <v>9</v>
      </c>
      <c r="D11056" s="3" t="s">
        <v>10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/>
      <c r="P11056" s="3"/>
      <c r="Q11056" s="3"/>
    </row>
    <row r="11057" spans="1:17" ht="15" x14ac:dyDescent="0.25">
      <c r="A11057" s="3">
        <f>11050</f>
        <v>11050</v>
      </c>
      <c r="B11057" s="3" t="s">
        <v>11059</v>
      </c>
      <c r="C11057" s="3" t="s">
        <v>9</v>
      </c>
      <c r="D11057" s="3" t="s">
        <v>10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/>
      <c r="P11057" s="3"/>
      <c r="Q11057" s="3"/>
    </row>
    <row r="11058" spans="1:17" ht="15" x14ac:dyDescent="0.25">
      <c r="A11058" s="3">
        <f>11051</f>
        <v>11051</v>
      </c>
      <c r="B11058" s="3" t="s">
        <v>11060</v>
      </c>
      <c r="C11058" s="3" t="s">
        <v>9</v>
      </c>
      <c r="D11058" s="3" t="s">
        <v>10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/>
      <c r="P11058" s="3"/>
      <c r="Q11058" s="3"/>
    </row>
    <row r="11059" spans="1:17" ht="15" x14ac:dyDescent="0.25">
      <c r="A11059" s="3">
        <f>11052</f>
        <v>11052</v>
      </c>
      <c r="B11059" s="3" t="s">
        <v>11061</v>
      </c>
      <c r="C11059" s="3" t="s">
        <v>9</v>
      </c>
      <c r="D11059" s="3" t="s">
        <v>10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/>
      <c r="P11059" s="3"/>
      <c r="Q11059" s="3"/>
    </row>
    <row r="11060" spans="1:17" ht="15" x14ac:dyDescent="0.25">
      <c r="A11060" s="3">
        <f>11053</f>
        <v>11053</v>
      </c>
      <c r="B11060" s="3" t="s">
        <v>11062</v>
      </c>
      <c r="C11060" s="3" t="s">
        <v>9</v>
      </c>
      <c r="D11060" s="3" t="s">
        <v>10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/>
      <c r="P11060" s="3"/>
      <c r="Q11060" s="3"/>
    </row>
    <row r="11061" spans="1:17" ht="15" x14ac:dyDescent="0.25">
      <c r="A11061" s="3">
        <f>11054</f>
        <v>11054</v>
      </c>
      <c r="B11061" s="3" t="s">
        <v>11063</v>
      </c>
      <c r="C11061" s="3" t="s">
        <v>9</v>
      </c>
      <c r="D11061" s="3" t="s">
        <v>10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/>
      <c r="P11061" s="3"/>
      <c r="Q11061" s="3"/>
    </row>
    <row r="11062" spans="1:17" ht="15" x14ac:dyDescent="0.25">
      <c r="A11062" s="3">
        <f>11055</f>
        <v>11055</v>
      </c>
      <c r="B11062" s="3" t="s">
        <v>11064</v>
      </c>
      <c r="C11062" s="3" t="s">
        <v>9</v>
      </c>
      <c r="D11062" s="3" t="s">
        <v>10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/>
      <c r="P11062" s="3"/>
      <c r="Q11062" s="3"/>
    </row>
    <row r="11063" spans="1:17" ht="15" x14ac:dyDescent="0.25">
      <c r="A11063" s="3">
        <f>11056</f>
        <v>11056</v>
      </c>
      <c r="B11063" s="3" t="s">
        <v>11065</v>
      </c>
      <c r="C11063" s="3" t="s">
        <v>9</v>
      </c>
      <c r="D11063" s="3" t="s">
        <v>10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/>
      <c r="P11063" s="3"/>
      <c r="Q11063" s="3"/>
    </row>
    <row r="11064" spans="1:17" ht="15" x14ac:dyDescent="0.25">
      <c r="A11064" s="3">
        <f>11057</f>
        <v>11057</v>
      </c>
      <c r="B11064" s="3" t="s">
        <v>11066</v>
      </c>
      <c r="C11064" s="3" t="s">
        <v>9</v>
      </c>
      <c r="D11064" s="3" t="s">
        <v>10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/>
      <c r="P11064" s="3"/>
      <c r="Q11064" s="3"/>
    </row>
    <row r="11065" spans="1:17" ht="15" x14ac:dyDescent="0.25">
      <c r="A11065" s="3">
        <f>11058</f>
        <v>11058</v>
      </c>
      <c r="B11065" s="3" t="s">
        <v>11067</v>
      </c>
      <c r="C11065" s="3" t="s">
        <v>9</v>
      </c>
      <c r="D11065" s="3" t="s">
        <v>10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/>
      <c r="P11065" s="3"/>
      <c r="Q11065" s="3"/>
    </row>
    <row r="11066" spans="1:17" ht="15" x14ac:dyDescent="0.25">
      <c r="A11066" s="3">
        <f>11059</f>
        <v>11059</v>
      </c>
      <c r="B11066" s="3" t="s">
        <v>11068</v>
      </c>
      <c r="C11066" s="3" t="s">
        <v>9</v>
      </c>
      <c r="D11066" s="3" t="s">
        <v>10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/>
      <c r="P11066" s="3"/>
      <c r="Q11066" s="3"/>
    </row>
    <row r="11067" spans="1:17" ht="15" x14ac:dyDescent="0.25">
      <c r="A11067" s="3">
        <f>11060</f>
        <v>11060</v>
      </c>
      <c r="B11067" s="3" t="s">
        <v>11069</v>
      </c>
      <c r="C11067" s="3" t="s">
        <v>9</v>
      </c>
      <c r="D11067" s="3" t="s">
        <v>10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/>
      <c r="P11067" s="3"/>
      <c r="Q11067" s="3"/>
    </row>
    <row r="11068" spans="1:17" ht="15" x14ac:dyDescent="0.25">
      <c r="A11068" s="3">
        <f>11061</f>
        <v>11061</v>
      </c>
      <c r="B11068" s="3" t="s">
        <v>11070</v>
      </c>
      <c r="C11068" s="3" t="s">
        <v>9</v>
      </c>
      <c r="D11068" s="3" t="s">
        <v>10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/>
      <c r="P11068" s="3"/>
      <c r="Q11068" s="3"/>
    </row>
    <row r="11069" spans="1:17" ht="15" x14ac:dyDescent="0.25">
      <c r="A11069" s="3">
        <f>11062</f>
        <v>11062</v>
      </c>
      <c r="B11069" s="3" t="s">
        <v>11071</v>
      </c>
      <c r="C11069" s="3" t="s">
        <v>9</v>
      </c>
      <c r="D11069" s="3" t="s">
        <v>10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/>
      <c r="P11069" s="3"/>
      <c r="Q11069" s="3"/>
    </row>
    <row r="11070" spans="1:17" ht="15" x14ac:dyDescent="0.25">
      <c r="A11070" s="3">
        <f>11063</f>
        <v>11063</v>
      </c>
      <c r="B11070" s="3" t="s">
        <v>11072</v>
      </c>
      <c r="C11070" s="3" t="s">
        <v>9</v>
      </c>
      <c r="D11070" s="3" t="s">
        <v>10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/>
      <c r="P11070" s="3"/>
      <c r="Q11070" s="3"/>
    </row>
    <row r="11071" spans="1:17" ht="15" x14ac:dyDescent="0.25">
      <c r="A11071" s="3">
        <f>11064</f>
        <v>11064</v>
      </c>
      <c r="B11071" s="3" t="s">
        <v>11073</v>
      </c>
      <c r="C11071" s="3" t="s">
        <v>9</v>
      </c>
      <c r="D11071" s="3" t="s">
        <v>10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/>
      <c r="P11071" s="3"/>
      <c r="Q11071" s="3"/>
    </row>
    <row r="11072" spans="1:17" ht="15" x14ac:dyDescent="0.25">
      <c r="A11072" s="3">
        <f>11065</f>
        <v>11065</v>
      </c>
      <c r="B11072" s="3" t="s">
        <v>11074</v>
      </c>
      <c r="C11072" s="3" t="s">
        <v>9</v>
      </c>
      <c r="D11072" s="3" t="s">
        <v>10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/>
      <c r="P11072" s="3"/>
      <c r="Q11072" s="3"/>
    </row>
    <row r="11073" spans="1:17" ht="15" x14ac:dyDescent="0.25">
      <c r="A11073" s="3">
        <f>11066</f>
        <v>11066</v>
      </c>
      <c r="B11073" s="3" t="s">
        <v>11075</v>
      </c>
      <c r="C11073" s="3" t="s">
        <v>9</v>
      </c>
      <c r="D11073" s="3" t="s">
        <v>10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/>
      <c r="P11073" s="3"/>
      <c r="Q11073" s="3"/>
    </row>
    <row r="11074" spans="1:17" ht="15" x14ac:dyDescent="0.25">
      <c r="A11074" s="3">
        <f>11067</f>
        <v>11067</v>
      </c>
      <c r="B11074" s="3" t="s">
        <v>11076</v>
      </c>
      <c r="C11074" s="3" t="s">
        <v>9</v>
      </c>
      <c r="D11074" s="3" t="s">
        <v>10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/>
      <c r="P11074" s="3"/>
      <c r="Q11074" s="3"/>
    </row>
    <row r="11075" spans="1:17" ht="15" x14ac:dyDescent="0.25">
      <c r="A11075" s="3">
        <f>11068</f>
        <v>11068</v>
      </c>
      <c r="B11075" s="3" t="s">
        <v>11077</v>
      </c>
      <c r="C11075" s="3" t="s">
        <v>9</v>
      </c>
      <c r="D11075" s="3" t="s">
        <v>10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/>
      <c r="P11075" s="3"/>
      <c r="Q11075" s="3"/>
    </row>
    <row r="11076" spans="1:17" ht="15" x14ac:dyDescent="0.25">
      <c r="A11076" s="3">
        <f>11069</f>
        <v>11069</v>
      </c>
      <c r="B11076" s="3" t="s">
        <v>11078</v>
      </c>
      <c r="C11076" s="3" t="s">
        <v>9</v>
      </c>
      <c r="D11076" s="3" t="s">
        <v>10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/>
      <c r="P11076" s="3"/>
      <c r="Q11076" s="3"/>
    </row>
    <row r="11077" spans="1:17" ht="15" x14ac:dyDescent="0.25">
      <c r="A11077" s="3">
        <f>11070</f>
        <v>11070</v>
      </c>
      <c r="B11077" s="3" t="s">
        <v>11079</v>
      </c>
      <c r="C11077" s="3" t="s">
        <v>9</v>
      </c>
      <c r="D11077" s="3" t="s">
        <v>10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/>
      <c r="P11077" s="3"/>
      <c r="Q11077" s="3"/>
    </row>
    <row r="11078" spans="1:17" ht="15" x14ac:dyDescent="0.25">
      <c r="A11078" s="3">
        <f>11071</f>
        <v>11071</v>
      </c>
      <c r="B11078" s="3" t="s">
        <v>11080</v>
      </c>
      <c r="C11078" s="3" t="s">
        <v>9</v>
      </c>
      <c r="D11078" s="3" t="s">
        <v>10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/>
      <c r="P11078" s="3"/>
      <c r="Q11078" s="3"/>
    </row>
    <row r="11079" spans="1:17" ht="15" x14ac:dyDescent="0.25">
      <c r="A11079" s="3">
        <f>11072</f>
        <v>11072</v>
      </c>
      <c r="B11079" s="3" t="s">
        <v>11081</v>
      </c>
      <c r="C11079" s="3" t="s">
        <v>9</v>
      </c>
      <c r="D11079" s="3" t="s">
        <v>10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/>
      <c r="P11079" s="3"/>
      <c r="Q11079" s="3"/>
    </row>
    <row r="11080" spans="1:17" ht="15" x14ac:dyDescent="0.25">
      <c r="A11080" s="3">
        <f>11073</f>
        <v>11073</v>
      </c>
      <c r="B11080" s="3" t="s">
        <v>11082</v>
      </c>
      <c r="C11080" s="3" t="s">
        <v>9</v>
      </c>
      <c r="D11080" s="3" t="s">
        <v>10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/>
      <c r="P11080" s="3"/>
      <c r="Q11080" s="3"/>
    </row>
    <row r="11081" spans="1:17" ht="15" x14ac:dyDescent="0.25">
      <c r="A11081" s="3">
        <f>11074</f>
        <v>11074</v>
      </c>
      <c r="B11081" s="3" t="s">
        <v>11083</v>
      </c>
      <c r="C11081" s="3" t="s">
        <v>9</v>
      </c>
      <c r="D11081" s="3" t="s">
        <v>10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/>
      <c r="P11081" s="3"/>
      <c r="Q11081" s="3"/>
    </row>
    <row r="11082" spans="1:17" ht="15" x14ac:dyDescent="0.25">
      <c r="A11082" s="3">
        <f>11075</f>
        <v>11075</v>
      </c>
      <c r="B11082" s="3" t="s">
        <v>11084</v>
      </c>
      <c r="C11082" s="3" t="s">
        <v>9</v>
      </c>
      <c r="D11082" s="3" t="s">
        <v>10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/>
      <c r="P11082" s="3"/>
      <c r="Q11082" s="3"/>
    </row>
    <row r="11083" spans="1:17" ht="15" x14ac:dyDescent="0.25">
      <c r="A11083" s="3">
        <f>11076</f>
        <v>11076</v>
      </c>
      <c r="B11083" s="3" t="s">
        <v>11085</v>
      </c>
      <c r="C11083" s="3" t="s">
        <v>9</v>
      </c>
      <c r="D11083" s="3" t="s">
        <v>10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/>
      <c r="P11083" s="3"/>
      <c r="Q11083" s="3"/>
    </row>
    <row r="11084" spans="1:17" ht="15" x14ac:dyDescent="0.25">
      <c r="A11084" s="3">
        <f>11077</f>
        <v>11077</v>
      </c>
      <c r="B11084" s="3" t="s">
        <v>11086</v>
      </c>
      <c r="C11084" s="3" t="s">
        <v>9</v>
      </c>
      <c r="D11084" s="3" t="s">
        <v>10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/>
      <c r="P11084" s="3"/>
      <c r="Q11084" s="3"/>
    </row>
    <row r="11085" spans="1:17" ht="15" x14ac:dyDescent="0.25">
      <c r="A11085" s="3">
        <f>11078</f>
        <v>11078</v>
      </c>
      <c r="B11085" s="3" t="s">
        <v>11087</v>
      </c>
      <c r="C11085" s="3" t="s">
        <v>9</v>
      </c>
      <c r="D11085" s="3" t="s">
        <v>10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/>
      <c r="P11085" s="3"/>
      <c r="Q11085" s="3"/>
    </row>
    <row r="11086" spans="1:17" ht="15" x14ac:dyDescent="0.25">
      <c r="A11086" s="3">
        <f>11079</f>
        <v>11079</v>
      </c>
      <c r="B11086" s="3" t="s">
        <v>11088</v>
      </c>
      <c r="C11086" s="3" t="s">
        <v>9</v>
      </c>
      <c r="D11086" s="3" t="s">
        <v>10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/>
      <c r="P11086" s="3"/>
      <c r="Q11086" s="3"/>
    </row>
    <row r="11087" spans="1:17" ht="15" x14ac:dyDescent="0.25">
      <c r="A11087" s="3">
        <f>11080</f>
        <v>11080</v>
      </c>
      <c r="B11087" s="3" t="s">
        <v>11089</v>
      </c>
      <c r="C11087" s="3" t="s">
        <v>9</v>
      </c>
      <c r="D11087" s="3" t="s">
        <v>10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/>
      <c r="P11087" s="3"/>
      <c r="Q11087" s="3"/>
    </row>
    <row r="11088" spans="1:17" ht="15" x14ac:dyDescent="0.25">
      <c r="A11088" s="3">
        <f>11081</f>
        <v>11081</v>
      </c>
      <c r="B11088" s="3" t="s">
        <v>11090</v>
      </c>
      <c r="C11088" s="3" t="s">
        <v>9</v>
      </c>
      <c r="D11088" s="3" t="s">
        <v>10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/>
      <c r="P11088" s="3"/>
      <c r="Q11088" s="3"/>
    </row>
    <row r="11089" spans="1:17" ht="15" x14ac:dyDescent="0.25">
      <c r="A11089" s="3">
        <f>11082</f>
        <v>11082</v>
      </c>
      <c r="B11089" s="3" t="s">
        <v>11091</v>
      </c>
      <c r="C11089" s="3" t="s">
        <v>9</v>
      </c>
      <c r="D11089" s="3" t="s">
        <v>10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/>
      <c r="P11089" s="3"/>
      <c r="Q11089" s="3"/>
    </row>
    <row r="11090" spans="1:17" ht="15" x14ac:dyDescent="0.25">
      <c r="A11090" s="3">
        <f>11083</f>
        <v>11083</v>
      </c>
      <c r="B11090" s="3" t="s">
        <v>11092</v>
      </c>
      <c r="C11090" s="3" t="s">
        <v>9</v>
      </c>
      <c r="D11090" s="3" t="s">
        <v>10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/>
      <c r="P11090" s="3"/>
      <c r="Q11090" s="3"/>
    </row>
    <row r="11091" spans="1:17" ht="15" x14ac:dyDescent="0.25">
      <c r="A11091" s="3">
        <f>11084</f>
        <v>11084</v>
      </c>
      <c r="B11091" s="3" t="s">
        <v>11093</v>
      </c>
      <c r="C11091" s="3" t="s">
        <v>9</v>
      </c>
      <c r="D11091" s="3" t="s">
        <v>10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/>
      <c r="P11091" s="3"/>
      <c r="Q11091" s="3"/>
    </row>
    <row r="11092" spans="1:17" ht="15" x14ac:dyDescent="0.25">
      <c r="A11092" s="3">
        <f>11085</f>
        <v>11085</v>
      </c>
      <c r="B11092" s="3" t="s">
        <v>11094</v>
      </c>
      <c r="C11092" s="3" t="s">
        <v>9</v>
      </c>
      <c r="D11092" s="3" t="s">
        <v>10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/>
      <c r="P11092" s="3"/>
      <c r="Q11092" s="3"/>
    </row>
    <row r="11093" spans="1:17" ht="15" x14ac:dyDescent="0.25">
      <c r="A11093" s="3">
        <f>11086</f>
        <v>11086</v>
      </c>
      <c r="B11093" s="3" t="s">
        <v>11095</v>
      </c>
      <c r="C11093" s="3" t="s">
        <v>9</v>
      </c>
      <c r="D11093" s="3" t="s">
        <v>10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/>
      <c r="P11093" s="3"/>
      <c r="Q11093" s="3"/>
    </row>
    <row r="11094" spans="1:17" ht="15" x14ac:dyDescent="0.25">
      <c r="A11094" s="3">
        <f>11087</f>
        <v>11087</v>
      </c>
      <c r="B11094" s="3" t="s">
        <v>11096</v>
      </c>
      <c r="C11094" s="3" t="s">
        <v>9</v>
      </c>
      <c r="D11094" s="3" t="s">
        <v>10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/>
      <c r="P11094" s="3"/>
      <c r="Q11094" s="3"/>
    </row>
    <row r="11095" spans="1:17" ht="15" x14ac:dyDescent="0.25">
      <c r="A11095" s="3">
        <f>11088</f>
        <v>11088</v>
      </c>
      <c r="B11095" s="3" t="s">
        <v>11097</v>
      </c>
      <c r="C11095" s="3" t="s">
        <v>9</v>
      </c>
      <c r="D11095" s="3" t="s">
        <v>10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/>
      <c r="P11095" s="3"/>
      <c r="Q11095" s="3"/>
    </row>
    <row r="11096" spans="1:17" ht="15" x14ac:dyDescent="0.25">
      <c r="A11096" s="3">
        <f>11089</f>
        <v>11089</v>
      </c>
      <c r="B11096" s="3" t="s">
        <v>11098</v>
      </c>
      <c r="C11096" s="3" t="s">
        <v>9</v>
      </c>
      <c r="D11096" s="3" t="s">
        <v>10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/>
      <c r="P11096" s="3"/>
      <c r="Q11096" s="3"/>
    </row>
    <row r="11097" spans="1:17" ht="15" x14ac:dyDescent="0.25">
      <c r="A11097" s="3">
        <f>11090</f>
        <v>11090</v>
      </c>
      <c r="B11097" s="3" t="s">
        <v>11099</v>
      </c>
      <c r="C11097" s="3" t="s">
        <v>9</v>
      </c>
      <c r="D11097" s="3" t="s">
        <v>10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/>
      <c r="P11097" s="3"/>
      <c r="Q11097" s="3"/>
    </row>
    <row r="11098" spans="1:17" ht="15" x14ac:dyDescent="0.25">
      <c r="A11098" s="3">
        <f>11091</f>
        <v>11091</v>
      </c>
      <c r="B11098" s="3" t="s">
        <v>11100</v>
      </c>
      <c r="C11098" s="3" t="s">
        <v>9</v>
      </c>
      <c r="D11098" s="3" t="s">
        <v>10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/>
      <c r="P11098" s="3"/>
      <c r="Q11098" s="3"/>
    </row>
    <row r="11099" spans="1:17" ht="15" x14ac:dyDescent="0.25">
      <c r="A11099" s="3">
        <f>11092</f>
        <v>11092</v>
      </c>
      <c r="B11099" s="3" t="s">
        <v>11101</v>
      </c>
      <c r="C11099" s="3" t="s">
        <v>9</v>
      </c>
      <c r="D11099" s="3" t="s">
        <v>10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/>
      <c r="P11099" s="3"/>
      <c r="Q11099" s="3"/>
    </row>
    <row r="11100" spans="1:17" ht="15" x14ac:dyDescent="0.25">
      <c r="A11100" s="3">
        <f>11093</f>
        <v>11093</v>
      </c>
      <c r="B11100" s="3" t="s">
        <v>11102</v>
      </c>
      <c r="C11100" s="3" t="s">
        <v>9</v>
      </c>
      <c r="D11100" s="3" t="s">
        <v>10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/>
      <c r="P11100" s="3"/>
      <c r="Q11100" s="3"/>
    </row>
    <row r="11101" spans="1:17" ht="15" x14ac:dyDescent="0.25">
      <c r="A11101" s="3">
        <f>11094</f>
        <v>11094</v>
      </c>
      <c r="B11101" s="3" t="s">
        <v>11103</v>
      </c>
      <c r="C11101" s="3" t="s">
        <v>9</v>
      </c>
      <c r="D11101" s="3" t="s">
        <v>10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/>
      <c r="P11101" s="3"/>
      <c r="Q11101" s="3"/>
    </row>
    <row r="11102" spans="1:17" ht="15" x14ac:dyDescent="0.25">
      <c r="A11102" s="3">
        <f>11095</f>
        <v>11095</v>
      </c>
      <c r="B11102" s="3" t="s">
        <v>11104</v>
      </c>
      <c r="C11102" s="3" t="s">
        <v>9</v>
      </c>
      <c r="D11102" s="3" t="s">
        <v>10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/>
      <c r="P11102" s="3"/>
      <c r="Q11102" s="3"/>
    </row>
    <row r="11103" spans="1:17" ht="15" x14ac:dyDescent="0.25">
      <c r="A11103" s="3">
        <f>11096</f>
        <v>11096</v>
      </c>
      <c r="B11103" s="3" t="s">
        <v>11105</v>
      </c>
      <c r="C11103" s="3" t="s">
        <v>9</v>
      </c>
      <c r="D11103" s="3" t="s">
        <v>10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/>
      <c r="P11103" s="3"/>
      <c r="Q11103" s="3"/>
    </row>
    <row r="11104" spans="1:17" ht="15" x14ac:dyDescent="0.25">
      <c r="A11104" s="3">
        <f>11097</f>
        <v>11097</v>
      </c>
      <c r="B11104" s="3" t="s">
        <v>11106</v>
      </c>
      <c r="C11104" s="3" t="s">
        <v>9</v>
      </c>
      <c r="D11104" s="3" t="s">
        <v>10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/>
      <c r="P11104" s="3"/>
      <c r="Q11104" s="3"/>
    </row>
    <row r="11105" spans="1:17" ht="15" x14ac:dyDescent="0.25">
      <c r="A11105" s="3">
        <f>11098</f>
        <v>11098</v>
      </c>
      <c r="B11105" s="3" t="s">
        <v>11107</v>
      </c>
      <c r="C11105" s="3" t="s">
        <v>9</v>
      </c>
      <c r="D11105" s="3" t="s">
        <v>10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/>
      <c r="P11105" s="3"/>
      <c r="Q11105" s="3"/>
    </row>
    <row r="11106" spans="1:17" ht="15" x14ac:dyDescent="0.25">
      <c r="A11106" s="3">
        <f>11099</f>
        <v>11099</v>
      </c>
      <c r="B11106" s="3" t="s">
        <v>11108</v>
      </c>
      <c r="C11106" s="3" t="s">
        <v>9</v>
      </c>
      <c r="D11106" s="3" t="s">
        <v>10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/>
      <c r="P11106" s="3"/>
      <c r="Q11106" s="3"/>
    </row>
    <row r="11107" spans="1:17" ht="15" x14ac:dyDescent="0.25">
      <c r="A11107" s="3">
        <f>11100</f>
        <v>11100</v>
      </c>
      <c r="B11107" s="3" t="s">
        <v>11109</v>
      </c>
      <c r="C11107" s="3" t="s">
        <v>9</v>
      </c>
      <c r="D11107" s="3" t="s">
        <v>10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/>
      <c r="P11107" s="3"/>
      <c r="Q11107" s="3"/>
    </row>
    <row r="11108" spans="1:17" ht="15" x14ac:dyDescent="0.25">
      <c r="A11108" s="3">
        <f>11101</f>
        <v>11101</v>
      </c>
      <c r="B11108" s="3" t="s">
        <v>11110</v>
      </c>
      <c r="C11108" s="3" t="s">
        <v>9</v>
      </c>
      <c r="D11108" s="3" t="s">
        <v>10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/>
      <c r="P11108" s="3"/>
      <c r="Q11108" s="3"/>
    </row>
    <row r="11109" spans="1:17" ht="15" x14ac:dyDescent="0.25">
      <c r="A11109" s="3">
        <f>11102</f>
        <v>11102</v>
      </c>
      <c r="B11109" s="3" t="s">
        <v>11111</v>
      </c>
      <c r="C11109" s="3" t="s">
        <v>9</v>
      </c>
      <c r="D11109" s="3" t="s">
        <v>10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/>
      <c r="P11109" s="3"/>
      <c r="Q11109" s="3"/>
    </row>
    <row r="11110" spans="1:17" ht="15" x14ac:dyDescent="0.25">
      <c r="A11110" s="3">
        <f>11103</f>
        <v>11103</v>
      </c>
      <c r="B11110" s="3" t="s">
        <v>11112</v>
      </c>
      <c r="C11110" s="3" t="s">
        <v>9</v>
      </c>
      <c r="D11110" s="3" t="s">
        <v>10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/>
      <c r="P11110" s="3"/>
      <c r="Q11110" s="3"/>
    </row>
    <row r="11111" spans="1:17" ht="15" x14ac:dyDescent="0.25">
      <c r="A11111" s="3">
        <f>11104</f>
        <v>11104</v>
      </c>
      <c r="B11111" s="3" t="s">
        <v>11113</v>
      </c>
      <c r="C11111" s="3" t="s">
        <v>9</v>
      </c>
      <c r="D11111" s="3" t="s">
        <v>10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/>
      <c r="P11111" s="3"/>
      <c r="Q11111" s="3"/>
    </row>
    <row r="11112" spans="1:17" ht="15" x14ac:dyDescent="0.25">
      <c r="A11112" s="3">
        <f>11105</f>
        <v>11105</v>
      </c>
      <c r="B11112" s="3" t="s">
        <v>11114</v>
      </c>
      <c r="C11112" s="3" t="s">
        <v>9</v>
      </c>
      <c r="D11112" s="3" t="s">
        <v>10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/>
      <c r="P11112" s="3"/>
      <c r="Q11112" s="3"/>
    </row>
    <row r="11113" spans="1:17" ht="15" x14ac:dyDescent="0.25">
      <c r="A11113" s="3">
        <f>11106</f>
        <v>11106</v>
      </c>
      <c r="B11113" s="3" t="s">
        <v>11115</v>
      </c>
      <c r="C11113" s="3" t="s">
        <v>9</v>
      </c>
      <c r="D11113" s="3" t="s">
        <v>10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/>
      <c r="P11113" s="3"/>
      <c r="Q11113" s="3"/>
    </row>
    <row r="11114" spans="1:17" ht="15" x14ac:dyDescent="0.25">
      <c r="A11114" s="3">
        <f>11107</f>
        <v>11107</v>
      </c>
      <c r="B11114" s="3" t="s">
        <v>11116</v>
      </c>
      <c r="C11114" s="3" t="s">
        <v>9</v>
      </c>
      <c r="D11114" s="3" t="s">
        <v>10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/>
      <c r="P11114" s="3"/>
      <c r="Q11114" s="3"/>
    </row>
    <row r="11115" spans="1:17" ht="15" x14ac:dyDescent="0.25">
      <c r="A11115" s="3">
        <f>11108</f>
        <v>11108</v>
      </c>
      <c r="B11115" s="3" t="s">
        <v>11117</v>
      </c>
      <c r="C11115" s="3" t="s">
        <v>9</v>
      </c>
      <c r="D11115" s="3" t="s">
        <v>10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/>
      <c r="P11115" s="3"/>
      <c r="Q11115" s="3"/>
    </row>
    <row r="11116" spans="1:17" ht="15" x14ac:dyDescent="0.25">
      <c r="A11116" s="3">
        <f>11109</f>
        <v>11109</v>
      </c>
      <c r="B11116" s="3" t="s">
        <v>11118</v>
      </c>
      <c r="C11116" s="3" t="s">
        <v>9</v>
      </c>
      <c r="D11116" s="3" t="s">
        <v>10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/>
      <c r="P11116" s="3"/>
      <c r="Q11116" s="3"/>
    </row>
    <row r="11117" spans="1:17" ht="15" x14ac:dyDescent="0.25">
      <c r="A11117" s="3">
        <f>11110</f>
        <v>11110</v>
      </c>
      <c r="B11117" s="3" t="s">
        <v>11119</v>
      </c>
      <c r="C11117" s="3" t="s">
        <v>9</v>
      </c>
      <c r="D11117" s="3" t="s">
        <v>10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/>
      <c r="P11117" s="3"/>
      <c r="Q11117" s="3"/>
    </row>
    <row r="11118" spans="1:17" ht="15" x14ac:dyDescent="0.25">
      <c r="A11118" s="3">
        <f>11111</f>
        <v>11111</v>
      </c>
      <c r="B11118" s="3" t="s">
        <v>11120</v>
      </c>
      <c r="C11118" s="3" t="s">
        <v>9</v>
      </c>
      <c r="D11118" s="3" t="s">
        <v>10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/>
      <c r="P11118" s="3"/>
      <c r="Q11118" s="3"/>
    </row>
    <row r="11119" spans="1:17" ht="15" x14ac:dyDescent="0.25">
      <c r="A11119" s="3">
        <f>11112</f>
        <v>11112</v>
      </c>
      <c r="B11119" s="3" t="s">
        <v>11121</v>
      </c>
      <c r="C11119" s="3" t="s">
        <v>9</v>
      </c>
      <c r="D11119" s="3" t="s">
        <v>10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/>
      <c r="P11119" s="3"/>
      <c r="Q11119" s="3"/>
    </row>
    <row r="11120" spans="1:17" ht="15" x14ac:dyDescent="0.25">
      <c r="A11120" s="3">
        <f>11113</f>
        <v>11113</v>
      </c>
      <c r="B11120" s="3" t="s">
        <v>11122</v>
      </c>
      <c r="C11120" s="3" t="s">
        <v>9</v>
      </c>
      <c r="D11120" s="3" t="s">
        <v>10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/>
      <c r="P11120" s="3"/>
      <c r="Q11120" s="3"/>
    </row>
    <row r="11121" spans="1:17" ht="15" x14ac:dyDescent="0.25">
      <c r="A11121" s="3">
        <f>11114</f>
        <v>11114</v>
      </c>
      <c r="B11121" s="3" t="s">
        <v>11123</v>
      </c>
      <c r="C11121" s="3" t="s">
        <v>9</v>
      </c>
      <c r="D11121" s="3" t="s">
        <v>10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/>
      <c r="P11121" s="3"/>
      <c r="Q11121" s="3"/>
    </row>
    <row r="11122" spans="1:17" ht="15" x14ac:dyDescent="0.25">
      <c r="A11122" s="3">
        <f>11115</f>
        <v>11115</v>
      </c>
      <c r="B11122" s="3" t="s">
        <v>11124</v>
      </c>
      <c r="C11122" s="3" t="s">
        <v>9</v>
      </c>
      <c r="D11122" s="3" t="s">
        <v>10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/>
      <c r="P11122" s="3"/>
      <c r="Q11122" s="3"/>
    </row>
    <row r="11123" spans="1:17" ht="15" x14ac:dyDescent="0.25">
      <c r="A11123" s="3">
        <f>11116</f>
        <v>11116</v>
      </c>
      <c r="B11123" s="3" t="s">
        <v>11125</v>
      </c>
      <c r="C11123" s="3" t="s">
        <v>9</v>
      </c>
      <c r="D11123" s="3" t="s">
        <v>10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/>
      <c r="P11123" s="3"/>
      <c r="Q11123" s="3"/>
    </row>
    <row r="11124" spans="1:17" ht="15" x14ac:dyDescent="0.25">
      <c r="A11124" s="3">
        <f>11117</f>
        <v>11117</v>
      </c>
      <c r="B11124" s="3" t="s">
        <v>11126</v>
      </c>
      <c r="C11124" s="3" t="s">
        <v>9</v>
      </c>
      <c r="D11124" s="3" t="s">
        <v>10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/>
      <c r="P11124" s="3"/>
      <c r="Q11124" s="3"/>
    </row>
    <row r="11125" spans="1:17" ht="15" x14ac:dyDescent="0.25">
      <c r="A11125" s="3">
        <f>11118</f>
        <v>11118</v>
      </c>
      <c r="B11125" s="3" t="s">
        <v>11127</v>
      </c>
      <c r="C11125" s="3" t="s">
        <v>9</v>
      </c>
      <c r="D11125" s="3" t="s">
        <v>10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/>
      <c r="P11125" s="3"/>
      <c r="Q11125" s="3"/>
    </row>
    <row r="11126" spans="1:17" ht="15" x14ac:dyDescent="0.25">
      <c r="A11126" s="3">
        <f>11119</f>
        <v>11119</v>
      </c>
      <c r="B11126" s="3" t="s">
        <v>11128</v>
      </c>
      <c r="C11126" s="3" t="s">
        <v>9</v>
      </c>
      <c r="D11126" s="3" t="s">
        <v>10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/>
      <c r="P11126" s="3"/>
      <c r="Q11126" s="3"/>
    </row>
    <row r="11127" spans="1:17" ht="15" x14ac:dyDescent="0.25">
      <c r="A11127" s="3">
        <f>11120</f>
        <v>11120</v>
      </c>
      <c r="B11127" s="3" t="s">
        <v>11129</v>
      </c>
      <c r="C11127" s="3" t="s">
        <v>9</v>
      </c>
      <c r="D11127" s="3" t="s">
        <v>10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/>
      <c r="P11127" s="3"/>
      <c r="Q11127" s="3"/>
    </row>
    <row r="11128" spans="1:17" ht="15" x14ac:dyDescent="0.25">
      <c r="A11128" s="3">
        <f>11121</f>
        <v>11121</v>
      </c>
      <c r="B11128" s="3" t="s">
        <v>11130</v>
      </c>
      <c r="C11128" s="3" t="s">
        <v>9</v>
      </c>
      <c r="D11128" s="3" t="s">
        <v>10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/>
      <c r="P11128" s="3"/>
      <c r="Q11128" s="3"/>
    </row>
    <row r="11129" spans="1:17" ht="15" x14ac:dyDescent="0.25">
      <c r="A11129" s="3">
        <f>11122</f>
        <v>11122</v>
      </c>
      <c r="B11129" s="3" t="s">
        <v>11131</v>
      </c>
      <c r="C11129" s="3" t="s">
        <v>9</v>
      </c>
      <c r="D11129" s="3" t="s">
        <v>10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/>
      <c r="P11129" s="3"/>
      <c r="Q11129" s="3"/>
    </row>
    <row r="11130" spans="1:17" ht="15" x14ac:dyDescent="0.25">
      <c r="A11130" s="3">
        <f>11123</f>
        <v>11123</v>
      </c>
      <c r="B11130" s="3" t="s">
        <v>11132</v>
      </c>
      <c r="C11130" s="3" t="s">
        <v>9</v>
      </c>
      <c r="D11130" s="3" t="s">
        <v>10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/>
      <c r="P11130" s="3"/>
      <c r="Q11130" s="3"/>
    </row>
    <row r="11131" spans="1:17" ht="15" x14ac:dyDescent="0.25">
      <c r="A11131" s="3">
        <f>11124</f>
        <v>11124</v>
      </c>
      <c r="B11131" s="3" t="s">
        <v>11133</v>
      </c>
      <c r="C11131" s="3" t="s">
        <v>9</v>
      </c>
      <c r="D11131" s="3" t="s">
        <v>10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/>
      <c r="P11131" s="3"/>
      <c r="Q11131" s="3"/>
    </row>
    <row r="11132" spans="1:17" ht="15" x14ac:dyDescent="0.25">
      <c r="A11132" s="3">
        <f>11125</f>
        <v>11125</v>
      </c>
      <c r="B11132" s="3" t="s">
        <v>11134</v>
      </c>
      <c r="C11132" s="3" t="s">
        <v>9</v>
      </c>
      <c r="D11132" s="3" t="s">
        <v>10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/>
      <c r="P11132" s="3"/>
      <c r="Q11132" s="3"/>
    </row>
    <row r="11133" spans="1:17" ht="15" x14ac:dyDescent="0.25">
      <c r="A11133" s="3">
        <f>11126</f>
        <v>11126</v>
      </c>
      <c r="B11133" s="3" t="s">
        <v>11135</v>
      </c>
      <c r="C11133" s="3" t="s">
        <v>9</v>
      </c>
      <c r="D11133" s="3" t="s">
        <v>10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/>
      <c r="P11133" s="3"/>
      <c r="Q11133" s="3"/>
    </row>
    <row r="11134" spans="1:17" ht="15" x14ac:dyDescent="0.25">
      <c r="A11134" s="3">
        <f>11127</f>
        <v>11127</v>
      </c>
      <c r="B11134" s="3" t="s">
        <v>11136</v>
      </c>
      <c r="C11134" s="3" t="s">
        <v>9</v>
      </c>
      <c r="D11134" s="3" t="s">
        <v>10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/>
      <c r="P11134" s="3"/>
      <c r="Q11134" s="3"/>
    </row>
    <row r="11135" spans="1:17" ht="15" x14ac:dyDescent="0.25">
      <c r="A11135" s="3">
        <f>11128</f>
        <v>11128</v>
      </c>
      <c r="B11135" s="3" t="s">
        <v>11137</v>
      </c>
      <c r="C11135" s="3" t="s">
        <v>9</v>
      </c>
      <c r="D11135" s="3" t="s">
        <v>10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/>
      <c r="P11135" s="3"/>
      <c r="Q11135" s="3"/>
    </row>
    <row r="11136" spans="1:17" ht="15" x14ac:dyDescent="0.25">
      <c r="A11136" s="3">
        <f>11129</f>
        <v>11129</v>
      </c>
      <c r="B11136" s="3" t="s">
        <v>11138</v>
      </c>
      <c r="C11136" s="3" t="s">
        <v>9</v>
      </c>
      <c r="D11136" s="3" t="s">
        <v>10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/>
      <c r="P11136" s="3"/>
      <c r="Q11136" s="3"/>
    </row>
    <row r="11137" spans="1:17" ht="15" x14ac:dyDescent="0.25">
      <c r="A11137" s="3">
        <f>11130</f>
        <v>11130</v>
      </c>
      <c r="B11137" s="3" t="s">
        <v>11139</v>
      </c>
      <c r="C11137" s="3" t="s">
        <v>9</v>
      </c>
      <c r="D11137" s="3" t="s">
        <v>10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/>
      <c r="P11137" s="3"/>
      <c r="Q11137" s="3"/>
    </row>
    <row r="11138" spans="1:17" ht="15" x14ac:dyDescent="0.25">
      <c r="A11138" s="3">
        <f>11131</f>
        <v>11131</v>
      </c>
      <c r="B11138" s="3" t="s">
        <v>11140</v>
      </c>
      <c r="C11138" s="3" t="s">
        <v>9</v>
      </c>
      <c r="D11138" s="3" t="s">
        <v>10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/>
      <c r="P11138" s="3"/>
      <c r="Q11138" s="3"/>
    </row>
    <row r="11139" spans="1:17" ht="15" x14ac:dyDescent="0.25">
      <c r="A11139" s="3">
        <f>11132</f>
        <v>11132</v>
      </c>
      <c r="B11139" s="3" t="s">
        <v>11141</v>
      </c>
      <c r="C11139" s="3" t="s">
        <v>9</v>
      </c>
      <c r="D11139" s="3" t="s">
        <v>10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/>
      <c r="P11139" s="3"/>
      <c r="Q11139" s="3"/>
    </row>
    <row r="11140" spans="1:17" ht="15" x14ac:dyDescent="0.25">
      <c r="A11140" s="3">
        <f>11133</f>
        <v>11133</v>
      </c>
      <c r="B11140" s="3" t="s">
        <v>11142</v>
      </c>
      <c r="C11140" s="3" t="s">
        <v>9</v>
      </c>
      <c r="D11140" s="3" t="s">
        <v>10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/>
      <c r="P11140" s="3"/>
      <c r="Q11140" s="3"/>
    </row>
    <row r="11141" spans="1:17" ht="15" x14ac:dyDescent="0.25">
      <c r="A11141" s="3">
        <f>11134</f>
        <v>11134</v>
      </c>
      <c r="B11141" s="3" t="s">
        <v>11143</v>
      </c>
      <c r="C11141" s="3" t="s">
        <v>9</v>
      </c>
      <c r="D11141" s="3" t="s">
        <v>10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/>
      <c r="P11141" s="3"/>
      <c r="Q11141" s="3"/>
    </row>
    <row r="11142" spans="1:17" ht="15" x14ac:dyDescent="0.25">
      <c r="A11142" s="3">
        <f>11135</f>
        <v>11135</v>
      </c>
      <c r="B11142" s="3" t="s">
        <v>11144</v>
      </c>
      <c r="C11142" s="3" t="s">
        <v>9</v>
      </c>
      <c r="D11142" s="3" t="s">
        <v>10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/>
      <c r="P11142" s="3"/>
      <c r="Q11142" s="3"/>
    </row>
    <row r="11143" spans="1:17" ht="15" x14ac:dyDescent="0.25">
      <c r="A11143" s="3">
        <f>11136</f>
        <v>11136</v>
      </c>
      <c r="B11143" s="3" t="s">
        <v>11145</v>
      </c>
      <c r="C11143" s="3" t="s">
        <v>9</v>
      </c>
      <c r="D11143" s="3" t="s">
        <v>10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/>
      <c r="P11143" s="3"/>
      <c r="Q11143" s="3"/>
    </row>
    <row r="11144" spans="1:17" ht="15" x14ac:dyDescent="0.25">
      <c r="A11144" s="3">
        <f>11137</f>
        <v>11137</v>
      </c>
      <c r="B11144" s="3" t="s">
        <v>11146</v>
      </c>
      <c r="C11144" s="3" t="s">
        <v>9</v>
      </c>
      <c r="D11144" s="3" t="s">
        <v>10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/>
      <c r="P11144" s="3"/>
      <c r="Q11144" s="3"/>
    </row>
    <row r="11145" spans="1:17" ht="15" x14ac:dyDescent="0.25">
      <c r="A11145" s="3">
        <f>11138</f>
        <v>11138</v>
      </c>
      <c r="B11145" s="3" t="s">
        <v>11147</v>
      </c>
      <c r="C11145" s="3" t="s">
        <v>9</v>
      </c>
      <c r="D11145" s="3" t="s">
        <v>10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/>
      <c r="P11145" s="3"/>
      <c r="Q11145" s="3"/>
    </row>
    <row r="11146" spans="1:17" ht="15" x14ac:dyDescent="0.25">
      <c r="A11146" s="3">
        <f>11139</f>
        <v>11139</v>
      </c>
      <c r="B11146" s="3" t="s">
        <v>11148</v>
      </c>
      <c r="C11146" s="3" t="s">
        <v>9</v>
      </c>
      <c r="D11146" s="3" t="s">
        <v>10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/>
      <c r="P11146" s="3"/>
      <c r="Q11146" s="3"/>
    </row>
    <row r="11147" spans="1:17" ht="15" x14ac:dyDescent="0.25">
      <c r="A11147" s="3">
        <f>11140</f>
        <v>11140</v>
      </c>
      <c r="B11147" s="3" t="s">
        <v>11149</v>
      </c>
      <c r="C11147" s="3" t="s">
        <v>9</v>
      </c>
      <c r="D11147" s="3" t="s">
        <v>10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/>
      <c r="P11147" s="3"/>
      <c r="Q11147" s="3"/>
    </row>
    <row r="11148" spans="1:17" ht="15" x14ac:dyDescent="0.25">
      <c r="A11148" s="3">
        <f>11141</f>
        <v>11141</v>
      </c>
      <c r="B11148" s="3" t="s">
        <v>11150</v>
      </c>
      <c r="C11148" s="3" t="s">
        <v>9</v>
      </c>
      <c r="D11148" s="3" t="s">
        <v>10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/>
      <c r="P11148" s="3"/>
      <c r="Q11148" s="3"/>
    </row>
    <row r="11149" spans="1:17" ht="15" x14ac:dyDescent="0.25">
      <c r="A11149" s="3">
        <f>11142</f>
        <v>11142</v>
      </c>
      <c r="B11149" s="3" t="s">
        <v>11151</v>
      </c>
      <c r="C11149" s="3" t="s">
        <v>9</v>
      </c>
      <c r="D11149" s="3" t="s">
        <v>10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/>
      <c r="P11149" s="3"/>
      <c r="Q11149" s="3"/>
    </row>
    <row r="11150" spans="1:17" ht="15" x14ac:dyDescent="0.25">
      <c r="A11150" s="3">
        <f>11143</f>
        <v>11143</v>
      </c>
      <c r="B11150" s="3" t="s">
        <v>11152</v>
      </c>
      <c r="C11150" s="3" t="s">
        <v>9</v>
      </c>
      <c r="D11150" s="3" t="s">
        <v>10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/>
      <c r="P11150" s="3"/>
      <c r="Q11150" s="3"/>
    </row>
    <row r="11151" spans="1:17" ht="15" x14ac:dyDescent="0.25">
      <c r="A11151" s="3">
        <f>11144</f>
        <v>11144</v>
      </c>
      <c r="B11151" s="3" t="s">
        <v>11153</v>
      </c>
      <c r="C11151" s="3" t="s">
        <v>9</v>
      </c>
      <c r="D11151" s="3" t="s">
        <v>10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/>
      <c r="P11151" s="3"/>
      <c r="Q11151" s="3"/>
    </row>
    <row r="11152" spans="1:17" ht="15" x14ac:dyDescent="0.25">
      <c r="A11152" s="3">
        <f>11145</f>
        <v>11145</v>
      </c>
      <c r="B11152" s="3" t="s">
        <v>11154</v>
      </c>
      <c r="C11152" s="3" t="s">
        <v>9</v>
      </c>
      <c r="D11152" s="3" t="s">
        <v>10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/>
      <c r="P11152" s="3"/>
      <c r="Q11152" s="3"/>
    </row>
    <row r="11153" spans="1:17" ht="15" x14ac:dyDescent="0.25">
      <c r="A11153" s="3">
        <f>11146</f>
        <v>11146</v>
      </c>
      <c r="B11153" s="3" t="s">
        <v>11155</v>
      </c>
      <c r="C11153" s="3" t="s">
        <v>9</v>
      </c>
      <c r="D11153" s="3" t="s">
        <v>10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/>
      <c r="P11153" s="3"/>
      <c r="Q11153" s="3"/>
    </row>
    <row r="11154" spans="1:17" ht="15" x14ac:dyDescent="0.25">
      <c r="A11154" s="3">
        <f>11147</f>
        <v>11147</v>
      </c>
      <c r="B11154" s="3" t="s">
        <v>11156</v>
      </c>
      <c r="C11154" s="3" t="s">
        <v>9</v>
      </c>
      <c r="D11154" s="3" t="s">
        <v>10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/>
      <c r="P11154" s="3"/>
      <c r="Q11154" s="3"/>
    </row>
    <row r="11155" spans="1:17" ht="15" x14ac:dyDescent="0.25">
      <c r="A11155" s="3">
        <f>11148</f>
        <v>11148</v>
      </c>
      <c r="B11155" s="3" t="s">
        <v>11157</v>
      </c>
      <c r="C11155" s="3" t="s">
        <v>9</v>
      </c>
      <c r="D11155" s="3" t="s">
        <v>10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/>
      <c r="P11155" s="3"/>
      <c r="Q11155" s="3"/>
    </row>
    <row r="11156" spans="1:17" ht="15" x14ac:dyDescent="0.25">
      <c r="A11156" s="3">
        <f>11149</f>
        <v>11149</v>
      </c>
      <c r="B11156" s="3" t="s">
        <v>11158</v>
      </c>
      <c r="C11156" s="3" t="s">
        <v>9</v>
      </c>
      <c r="D11156" s="3" t="s">
        <v>10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/>
      <c r="P11156" s="3"/>
      <c r="Q11156" s="3"/>
    </row>
    <row r="11157" spans="1:17" ht="15" x14ac:dyDescent="0.25">
      <c r="A11157" s="3">
        <f>11150</f>
        <v>11150</v>
      </c>
      <c r="B11157" s="3" t="s">
        <v>11159</v>
      </c>
      <c r="C11157" s="3" t="s">
        <v>9</v>
      </c>
      <c r="D11157" s="3" t="s">
        <v>10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/>
      <c r="P11157" s="3"/>
      <c r="Q11157" s="3"/>
    </row>
    <row r="11158" spans="1:17" ht="15" x14ac:dyDescent="0.25">
      <c r="A11158" s="3">
        <f>11151</f>
        <v>11151</v>
      </c>
      <c r="B11158" s="3" t="s">
        <v>11160</v>
      </c>
      <c r="C11158" s="3" t="s">
        <v>9</v>
      </c>
      <c r="D11158" s="3" t="s">
        <v>10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/>
      <c r="P11158" s="3"/>
      <c r="Q11158" s="3"/>
    </row>
    <row r="11159" spans="1:17" ht="15" x14ac:dyDescent="0.25">
      <c r="A11159" s="3">
        <f>11152</f>
        <v>11152</v>
      </c>
      <c r="B11159" s="3" t="s">
        <v>11161</v>
      </c>
      <c r="C11159" s="3" t="s">
        <v>9</v>
      </c>
      <c r="D11159" s="3" t="s">
        <v>10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/>
      <c r="P11159" s="3"/>
      <c r="Q11159" s="3"/>
    </row>
    <row r="11160" spans="1:17" ht="15" x14ac:dyDescent="0.25">
      <c r="A11160" s="3">
        <f>11153</f>
        <v>11153</v>
      </c>
      <c r="B11160" s="3" t="s">
        <v>11162</v>
      </c>
      <c r="C11160" s="3" t="s">
        <v>9</v>
      </c>
      <c r="D11160" s="3" t="s">
        <v>10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/>
      <c r="P11160" s="3"/>
      <c r="Q11160" s="3"/>
    </row>
    <row r="11161" spans="1:17" ht="15" x14ac:dyDescent="0.25">
      <c r="A11161" s="3">
        <f>11154</f>
        <v>11154</v>
      </c>
      <c r="B11161" s="3" t="s">
        <v>11163</v>
      </c>
      <c r="C11161" s="3" t="s">
        <v>9</v>
      </c>
      <c r="D11161" s="3" t="s">
        <v>10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/>
      <c r="P11161" s="3"/>
      <c r="Q11161" s="3"/>
    </row>
    <row r="11162" spans="1:17" ht="15" x14ac:dyDescent="0.25">
      <c r="A11162" s="3">
        <f>11155</f>
        <v>11155</v>
      </c>
      <c r="B11162" s="3" t="s">
        <v>11164</v>
      </c>
      <c r="C11162" s="3" t="s">
        <v>9</v>
      </c>
      <c r="D11162" s="3" t="s">
        <v>10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/>
      <c r="P11162" s="3"/>
      <c r="Q11162" s="3"/>
    </row>
    <row r="11163" spans="1:17" ht="15" x14ac:dyDescent="0.25">
      <c r="A11163" s="3">
        <f>11156</f>
        <v>11156</v>
      </c>
      <c r="B11163" s="3" t="s">
        <v>11165</v>
      </c>
      <c r="C11163" s="3" t="s">
        <v>9</v>
      </c>
      <c r="D11163" s="3" t="s">
        <v>10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/>
      <c r="P11163" s="3"/>
      <c r="Q11163" s="3"/>
    </row>
    <row r="11164" spans="1:17" ht="15" x14ac:dyDescent="0.25">
      <c r="A11164" s="3">
        <f>11157</f>
        <v>11157</v>
      </c>
      <c r="B11164" s="3" t="s">
        <v>11166</v>
      </c>
      <c r="C11164" s="3" t="s">
        <v>9</v>
      </c>
      <c r="D11164" s="3" t="s">
        <v>10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/>
      <c r="P11164" s="3"/>
      <c r="Q11164" s="3"/>
    </row>
    <row r="11165" spans="1:17" ht="15" x14ac:dyDescent="0.25">
      <c r="A11165" s="3">
        <f>11158</f>
        <v>11158</v>
      </c>
      <c r="B11165" s="3" t="s">
        <v>11167</v>
      </c>
      <c r="C11165" s="3" t="s">
        <v>9</v>
      </c>
      <c r="D11165" s="3" t="s">
        <v>10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/>
      <c r="P11165" s="3"/>
      <c r="Q11165" s="3"/>
    </row>
    <row r="11166" spans="1:17" ht="15" x14ac:dyDescent="0.25">
      <c r="A11166" s="3">
        <f>11159</f>
        <v>11159</v>
      </c>
      <c r="B11166" s="3" t="s">
        <v>11168</v>
      </c>
      <c r="C11166" s="3" t="s">
        <v>9</v>
      </c>
      <c r="D11166" s="3" t="s">
        <v>10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/>
      <c r="P11166" s="3"/>
      <c r="Q11166" s="3"/>
    </row>
    <row r="11167" spans="1:17" ht="15" x14ac:dyDescent="0.25">
      <c r="A11167" s="3">
        <f>11160</f>
        <v>11160</v>
      </c>
      <c r="B11167" s="3" t="s">
        <v>11169</v>
      </c>
      <c r="C11167" s="3" t="s">
        <v>9</v>
      </c>
      <c r="D11167" s="3" t="s">
        <v>10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/>
      <c r="P11167" s="3"/>
      <c r="Q11167" s="3"/>
    </row>
    <row r="11168" spans="1:17" ht="15" x14ac:dyDescent="0.25">
      <c r="A11168" s="3">
        <f>11161</f>
        <v>11161</v>
      </c>
      <c r="B11168" s="3" t="s">
        <v>11170</v>
      </c>
      <c r="C11168" s="3" t="s">
        <v>9</v>
      </c>
      <c r="D11168" s="3" t="s">
        <v>10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/>
      <c r="P11168" s="3"/>
      <c r="Q11168" s="3"/>
    </row>
    <row r="11169" spans="1:17" ht="15" x14ac:dyDescent="0.25">
      <c r="A11169" s="3">
        <f>11162</f>
        <v>11162</v>
      </c>
      <c r="B11169" s="3" t="s">
        <v>11171</v>
      </c>
      <c r="C11169" s="3" t="s">
        <v>9</v>
      </c>
      <c r="D11169" s="3" t="s">
        <v>10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/>
      <c r="P11169" s="3"/>
      <c r="Q11169" s="3"/>
    </row>
    <row r="11170" spans="1:17" ht="15" x14ac:dyDescent="0.25">
      <c r="A11170" s="3">
        <f>11163</f>
        <v>11163</v>
      </c>
      <c r="B11170" s="3" t="s">
        <v>11172</v>
      </c>
      <c r="C11170" s="3" t="s">
        <v>9</v>
      </c>
      <c r="D11170" s="3" t="s">
        <v>10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/>
      <c r="P11170" s="3"/>
      <c r="Q11170" s="3"/>
    </row>
    <row r="11171" spans="1:17" ht="15" x14ac:dyDescent="0.25">
      <c r="A11171" s="3">
        <f>11164</f>
        <v>11164</v>
      </c>
      <c r="B11171" s="3" t="s">
        <v>11173</v>
      </c>
      <c r="C11171" s="3" t="s">
        <v>9</v>
      </c>
      <c r="D11171" s="3" t="s">
        <v>10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/>
      <c r="P11171" s="3"/>
      <c r="Q11171" s="3"/>
    </row>
    <row r="11172" spans="1:17" ht="15" x14ac:dyDescent="0.25">
      <c r="A11172" s="3">
        <f>11165</f>
        <v>11165</v>
      </c>
      <c r="B11172" s="3" t="s">
        <v>11174</v>
      </c>
      <c r="C11172" s="3" t="s">
        <v>9</v>
      </c>
      <c r="D11172" s="3" t="s">
        <v>10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/>
      <c r="P11172" s="3"/>
      <c r="Q11172" s="3"/>
    </row>
    <row r="11173" spans="1:17" ht="15" x14ac:dyDescent="0.25">
      <c r="A11173" s="3">
        <f>11166</f>
        <v>11166</v>
      </c>
      <c r="B11173" s="3" t="s">
        <v>11175</v>
      </c>
      <c r="C11173" s="3" t="s">
        <v>9</v>
      </c>
      <c r="D11173" s="3" t="s">
        <v>10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/>
      <c r="P11173" s="3"/>
      <c r="Q11173" s="3"/>
    </row>
    <row r="11174" spans="1:17" ht="15" x14ac:dyDescent="0.25">
      <c r="A11174" s="3">
        <f>11167</f>
        <v>11167</v>
      </c>
      <c r="B11174" s="3" t="s">
        <v>11176</v>
      </c>
      <c r="C11174" s="3" t="s">
        <v>9</v>
      </c>
      <c r="D11174" s="3" t="s">
        <v>10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/>
      <c r="P11174" s="3"/>
      <c r="Q11174" s="3"/>
    </row>
    <row r="11175" spans="1:17" ht="15" x14ac:dyDescent="0.25">
      <c r="A11175" s="3">
        <f>11168</f>
        <v>11168</v>
      </c>
      <c r="B11175" s="3" t="s">
        <v>11177</v>
      </c>
      <c r="C11175" s="3" t="s">
        <v>9</v>
      </c>
      <c r="D11175" s="3" t="s">
        <v>10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/>
      <c r="P11175" s="3"/>
      <c r="Q11175" s="3"/>
    </row>
    <row r="11176" spans="1:17" ht="15" x14ac:dyDescent="0.25">
      <c r="A11176" s="3">
        <f>11169</f>
        <v>11169</v>
      </c>
      <c r="B11176" s="3" t="s">
        <v>11178</v>
      </c>
      <c r="C11176" s="3" t="s">
        <v>9</v>
      </c>
      <c r="D11176" s="3" t="s">
        <v>10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/>
      <c r="P11176" s="3"/>
      <c r="Q11176" s="3"/>
    </row>
    <row r="11177" spans="1:17" ht="15" x14ac:dyDescent="0.25">
      <c r="A11177" s="3">
        <f>11170</f>
        <v>11170</v>
      </c>
      <c r="B11177" s="3" t="s">
        <v>11179</v>
      </c>
      <c r="C11177" s="3" t="s">
        <v>9</v>
      </c>
      <c r="D11177" s="3" t="s">
        <v>10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/>
      <c r="P11177" s="3"/>
      <c r="Q11177" s="3"/>
    </row>
    <row r="11178" spans="1:17" ht="15" x14ac:dyDescent="0.25">
      <c r="A11178" s="3">
        <f>11171</f>
        <v>11171</v>
      </c>
      <c r="B11178" s="3" t="s">
        <v>11180</v>
      </c>
      <c r="C11178" s="3" t="s">
        <v>9</v>
      </c>
      <c r="D11178" s="3" t="s">
        <v>10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/>
      <c r="P11178" s="3"/>
      <c r="Q11178" s="3"/>
    </row>
    <row r="11179" spans="1:17" ht="15" x14ac:dyDescent="0.25">
      <c r="A11179" s="3">
        <f>11172</f>
        <v>11172</v>
      </c>
      <c r="B11179" s="3" t="s">
        <v>11181</v>
      </c>
      <c r="C11179" s="3" t="s">
        <v>9</v>
      </c>
      <c r="D11179" s="3" t="s">
        <v>10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/>
      <c r="P11179" s="3"/>
      <c r="Q11179" s="3"/>
    </row>
    <row r="11180" spans="1:17" ht="15" x14ac:dyDescent="0.25">
      <c r="A11180" s="3">
        <f>11173</f>
        <v>11173</v>
      </c>
      <c r="B11180" s="3" t="s">
        <v>11182</v>
      </c>
      <c r="C11180" s="3" t="s">
        <v>9</v>
      </c>
      <c r="D11180" s="3" t="s">
        <v>10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/>
      <c r="P11180" s="3"/>
      <c r="Q11180" s="3"/>
    </row>
    <row r="11181" spans="1:17" ht="15" x14ac:dyDescent="0.25">
      <c r="A11181" s="3">
        <f>11174</f>
        <v>11174</v>
      </c>
      <c r="B11181" s="3" t="s">
        <v>11183</v>
      </c>
      <c r="C11181" s="3" t="s">
        <v>9</v>
      </c>
      <c r="D11181" s="3" t="s">
        <v>10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/>
      <c r="P11181" s="3"/>
      <c r="Q11181" s="3"/>
    </row>
    <row r="11182" spans="1:17" ht="15" x14ac:dyDescent="0.25">
      <c r="A11182" s="3">
        <f>11175</f>
        <v>11175</v>
      </c>
      <c r="B11182" s="3" t="s">
        <v>11184</v>
      </c>
      <c r="C11182" s="3" t="s">
        <v>9</v>
      </c>
      <c r="D11182" s="3" t="s">
        <v>10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/>
      <c r="P11182" s="3"/>
      <c r="Q11182" s="3"/>
    </row>
    <row r="11183" spans="1:17" ht="15" x14ac:dyDescent="0.25">
      <c r="A11183" s="3">
        <f>11176</f>
        <v>11176</v>
      </c>
      <c r="B11183" s="3" t="s">
        <v>11185</v>
      </c>
      <c r="C11183" s="3" t="s">
        <v>9</v>
      </c>
      <c r="D11183" s="3" t="s">
        <v>10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/>
      <c r="P11183" s="3"/>
      <c r="Q11183" s="3"/>
    </row>
    <row r="11184" spans="1:17" ht="15" x14ac:dyDescent="0.25">
      <c r="A11184" s="3">
        <f>11177</f>
        <v>11177</v>
      </c>
      <c r="B11184" s="3" t="s">
        <v>11186</v>
      </c>
      <c r="C11184" s="3" t="s">
        <v>9</v>
      </c>
      <c r="D11184" s="3" t="s">
        <v>10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/>
      <c r="P11184" s="3"/>
      <c r="Q11184" s="3"/>
    </row>
    <row r="11185" spans="1:17" ht="15" x14ac:dyDescent="0.25">
      <c r="A11185" s="3">
        <f>11178</f>
        <v>11178</v>
      </c>
      <c r="B11185" s="3" t="s">
        <v>11187</v>
      </c>
      <c r="C11185" s="3" t="s">
        <v>9</v>
      </c>
      <c r="D11185" s="3" t="s">
        <v>10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/>
      <c r="P11185" s="3"/>
      <c r="Q11185" s="3"/>
    </row>
    <row r="11186" spans="1:17" ht="15" x14ac:dyDescent="0.25">
      <c r="A11186" s="3">
        <f>11179</f>
        <v>11179</v>
      </c>
      <c r="B11186" s="3" t="s">
        <v>11188</v>
      </c>
      <c r="C11186" s="3" t="s">
        <v>9</v>
      </c>
      <c r="D11186" s="3" t="s">
        <v>10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/>
      <c r="P11186" s="3"/>
      <c r="Q11186" s="3"/>
    </row>
    <row r="11187" spans="1:17" ht="15" x14ac:dyDescent="0.25">
      <c r="A11187" s="3">
        <f>11180</f>
        <v>11180</v>
      </c>
      <c r="B11187" s="3" t="s">
        <v>11189</v>
      </c>
      <c r="C11187" s="3" t="s">
        <v>9</v>
      </c>
      <c r="D11187" s="3" t="s">
        <v>10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/>
      <c r="P11187" s="3"/>
      <c r="Q11187" s="3"/>
    </row>
    <row r="11188" spans="1:17" ht="15" x14ac:dyDescent="0.25">
      <c r="A11188" s="3">
        <f>11181</f>
        <v>11181</v>
      </c>
      <c r="B11188" s="3" t="s">
        <v>11190</v>
      </c>
      <c r="C11188" s="3" t="s">
        <v>9</v>
      </c>
      <c r="D11188" s="3" t="s">
        <v>10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/>
      <c r="P11188" s="3"/>
      <c r="Q11188" s="3"/>
    </row>
    <row r="11189" spans="1:17" ht="15" x14ac:dyDescent="0.25">
      <c r="A11189" s="3">
        <f>11182</f>
        <v>11182</v>
      </c>
      <c r="B11189" s="3" t="s">
        <v>11191</v>
      </c>
      <c r="C11189" s="3" t="s">
        <v>9</v>
      </c>
      <c r="D11189" s="3" t="s">
        <v>10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/>
      <c r="P11189" s="3"/>
      <c r="Q11189" s="3"/>
    </row>
    <row r="11190" spans="1:17" ht="15" x14ac:dyDescent="0.25">
      <c r="A11190" s="3">
        <f>11183</f>
        <v>11183</v>
      </c>
      <c r="B11190" s="3" t="s">
        <v>11192</v>
      </c>
      <c r="C11190" s="3" t="s">
        <v>9</v>
      </c>
      <c r="D11190" s="3" t="s">
        <v>10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/>
      <c r="P11190" s="3"/>
      <c r="Q11190" s="3"/>
    </row>
    <row r="11191" spans="1:17" ht="15" x14ac:dyDescent="0.25">
      <c r="A11191" s="3">
        <f>11184</f>
        <v>11184</v>
      </c>
      <c r="B11191" s="3" t="s">
        <v>11193</v>
      </c>
      <c r="C11191" s="3" t="s">
        <v>9</v>
      </c>
      <c r="D11191" s="3" t="s">
        <v>10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/>
      <c r="P11191" s="3"/>
      <c r="Q11191" s="3"/>
    </row>
    <row r="11192" spans="1:17" ht="15" x14ac:dyDescent="0.25">
      <c r="A11192" s="3">
        <f>11185</f>
        <v>11185</v>
      </c>
      <c r="B11192" s="3" t="s">
        <v>11194</v>
      </c>
      <c r="C11192" s="3" t="s">
        <v>9</v>
      </c>
      <c r="D11192" s="3" t="s">
        <v>10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/>
      <c r="P11192" s="3"/>
      <c r="Q11192" s="3"/>
    </row>
    <row r="11193" spans="1:17" ht="15" x14ac:dyDescent="0.25">
      <c r="A11193" s="3">
        <f>11186</f>
        <v>11186</v>
      </c>
      <c r="B11193" s="3" t="s">
        <v>11195</v>
      </c>
      <c r="C11193" s="3" t="s">
        <v>9</v>
      </c>
      <c r="D11193" s="3" t="s">
        <v>10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/>
      <c r="P11193" s="3"/>
      <c r="Q11193" s="3"/>
    </row>
    <row r="11194" spans="1:17" ht="15" x14ac:dyDescent="0.25">
      <c r="A11194" s="3">
        <f>11187</f>
        <v>11187</v>
      </c>
      <c r="B11194" s="3" t="s">
        <v>11196</v>
      </c>
      <c r="C11194" s="3" t="s">
        <v>9</v>
      </c>
      <c r="D11194" s="3" t="s">
        <v>10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/>
      <c r="P11194" s="3"/>
      <c r="Q11194" s="3"/>
    </row>
    <row r="11195" spans="1:17" ht="15" x14ac:dyDescent="0.25">
      <c r="A11195" s="3">
        <f>11188</f>
        <v>11188</v>
      </c>
      <c r="B11195" s="3" t="s">
        <v>11197</v>
      </c>
      <c r="C11195" s="3" t="s">
        <v>9</v>
      </c>
      <c r="D11195" s="3" t="s">
        <v>10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/>
      <c r="P11195" s="3"/>
      <c r="Q11195" s="3"/>
    </row>
    <row r="11196" spans="1:17" ht="15" x14ac:dyDescent="0.25">
      <c r="A11196" s="3">
        <f>11189</f>
        <v>11189</v>
      </c>
      <c r="B11196" s="3" t="s">
        <v>11198</v>
      </c>
      <c r="C11196" s="3" t="s">
        <v>9</v>
      </c>
      <c r="D11196" s="3" t="s">
        <v>10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/>
      <c r="P11196" s="3"/>
      <c r="Q11196" s="3"/>
    </row>
    <row r="11197" spans="1:17" ht="15" x14ac:dyDescent="0.25">
      <c r="A11197" s="3">
        <f>11190</f>
        <v>11190</v>
      </c>
      <c r="B11197" s="3" t="s">
        <v>11199</v>
      </c>
      <c r="C11197" s="3" t="s">
        <v>9</v>
      </c>
      <c r="D11197" s="3" t="s">
        <v>10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/>
      <c r="P11197" s="3"/>
      <c r="Q11197" s="3"/>
    </row>
    <row r="11198" spans="1:17" ht="15" x14ac:dyDescent="0.25">
      <c r="A11198" s="3">
        <f>11191</f>
        <v>11191</v>
      </c>
      <c r="B11198" s="3" t="s">
        <v>11200</v>
      </c>
      <c r="C11198" s="3" t="s">
        <v>9</v>
      </c>
      <c r="D11198" s="3" t="s">
        <v>10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/>
      <c r="P11198" s="3"/>
      <c r="Q11198" s="3"/>
    </row>
    <row r="11199" spans="1:17" ht="15" x14ac:dyDescent="0.25">
      <c r="A11199" s="3">
        <f>11192</f>
        <v>11192</v>
      </c>
      <c r="B11199" s="3" t="s">
        <v>11201</v>
      </c>
      <c r="C11199" s="3" t="s">
        <v>9</v>
      </c>
      <c r="D11199" s="3" t="s">
        <v>10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/>
      <c r="P11199" s="3"/>
      <c r="Q11199" s="3"/>
    </row>
    <row r="11200" spans="1:17" ht="15" x14ac:dyDescent="0.25">
      <c r="A11200" s="3">
        <f>11193</f>
        <v>11193</v>
      </c>
      <c r="B11200" s="3" t="s">
        <v>11202</v>
      </c>
      <c r="C11200" s="3" t="s">
        <v>9</v>
      </c>
      <c r="D11200" s="3" t="s">
        <v>10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/>
      <c r="P11200" s="3"/>
      <c r="Q11200" s="3"/>
    </row>
    <row r="11201" spans="1:17" ht="15" x14ac:dyDescent="0.25">
      <c r="A11201" s="3">
        <f>11194</f>
        <v>11194</v>
      </c>
      <c r="B11201" s="3" t="s">
        <v>11203</v>
      </c>
      <c r="C11201" s="3" t="s">
        <v>9</v>
      </c>
      <c r="D11201" s="3" t="s">
        <v>10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/>
      <c r="P11201" s="3"/>
      <c r="Q11201" s="3"/>
    </row>
    <row r="11202" spans="1:17" ht="15" x14ac:dyDescent="0.25">
      <c r="A11202" s="3">
        <f>11195</f>
        <v>11195</v>
      </c>
      <c r="B11202" s="3" t="s">
        <v>11204</v>
      </c>
      <c r="C11202" s="3" t="s">
        <v>9</v>
      </c>
      <c r="D11202" s="3" t="s">
        <v>10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/>
      <c r="P11202" s="3"/>
      <c r="Q11202" s="3"/>
    </row>
    <row r="11203" spans="1:17" ht="15" x14ac:dyDescent="0.25">
      <c r="A11203" s="3">
        <f>11196</f>
        <v>11196</v>
      </c>
      <c r="B11203" s="3" t="s">
        <v>11205</v>
      </c>
      <c r="C11203" s="3" t="s">
        <v>9</v>
      </c>
      <c r="D11203" s="3" t="s">
        <v>10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/>
      <c r="P11203" s="3"/>
      <c r="Q11203" s="3"/>
    </row>
    <row r="11204" spans="1:17" ht="15" x14ac:dyDescent="0.25">
      <c r="A11204" s="3">
        <f>11197</f>
        <v>11197</v>
      </c>
      <c r="B11204" s="3" t="s">
        <v>11206</v>
      </c>
      <c r="C11204" s="3" t="s">
        <v>9</v>
      </c>
      <c r="D11204" s="3" t="s">
        <v>9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/>
      <c r="P11204" s="3"/>
      <c r="Q11204" s="3"/>
    </row>
    <row r="11205" spans="1:17" ht="15" x14ac:dyDescent="0.25">
      <c r="A11205" s="3">
        <f>11198</f>
        <v>11198</v>
      </c>
      <c r="B11205" s="3" t="s">
        <v>11207</v>
      </c>
      <c r="C11205" s="3" t="s">
        <v>10</v>
      </c>
      <c r="D11205" s="3" t="s">
        <v>9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/>
      <c r="P11205" s="3"/>
      <c r="Q11205" s="3"/>
    </row>
    <row r="11206" spans="1:17" ht="15" x14ac:dyDescent="0.25">
      <c r="A11206" s="3">
        <f>11199</f>
        <v>11199</v>
      </c>
      <c r="B11206" s="3" t="s">
        <v>11208</v>
      </c>
      <c r="C11206" s="3" t="s">
        <v>9</v>
      </c>
      <c r="D11206" s="3" t="s">
        <v>10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/>
      <c r="P11206" s="3"/>
      <c r="Q11206" s="3"/>
    </row>
    <row r="11207" spans="1:17" ht="15" x14ac:dyDescent="0.25">
      <c r="A11207" s="3">
        <f>11200</f>
        <v>11200</v>
      </c>
      <c r="B11207" s="3" t="s">
        <v>11209</v>
      </c>
      <c r="C11207" s="3" t="s">
        <v>9</v>
      </c>
      <c r="D11207" s="3" t="s">
        <v>10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/>
      <c r="P11207" s="3"/>
      <c r="Q11207" s="3"/>
    </row>
    <row r="11208" spans="1:17" ht="15" x14ac:dyDescent="0.25">
      <c r="A11208" s="3">
        <f>11201</f>
        <v>11201</v>
      </c>
      <c r="B11208" s="3" t="s">
        <v>11210</v>
      </c>
      <c r="C11208" s="3" t="s">
        <v>9</v>
      </c>
      <c r="D11208" s="3" t="s">
        <v>10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/>
      <c r="P11208" s="3"/>
      <c r="Q11208" s="3"/>
    </row>
    <row r="11209" spans="1:17" ht="15" x14ac:dyDescent="0.25">
      <c r="A11209" s="3">
        <f>11202</f>
        <v>11202</v>
      </c>
      <c r="B11209" s="3" t="s">
        <v>11211</v>
      </c>
      <c r="C11209" s="3" t="s">
        <v>9</v>
      </c>
      <c r="D11209" s="3" t="s">
        <v>10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/>
      <c r="P11209" s="3"/>
      <c r="Q11209" s="3"/>
    </row>
    <row r="11210" spans="1:17" ht="15" x14ac:dyDescent="0.25">
      <c r="A11210" s="3">
        <f>11203</f>
        <v>11203</v>
      </c>
      <c r="B11210" s="3" t="s">
        <v>11212</v>
      </c>
      <c r="C11210" s="3" t="s">
        <v>9</v>
      </c>
      <c r="D11210" s="3" t="s">
        <v>10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/>
      <c r="P11210" s="3"/>
      <c r="Q11210" s="3"/>
    </row>
    <row r="11211" spans="1:17" ht="15" x14ac:dyDescent="0.25">
      <c r="A11211" s="3">
        <f>11204</f>
        <v>11204</v>
      </c>
      <c r="B11211" s="3" t="s">
        <v>11213</v>
      </c>
      <c r="C11211" s="3" t="s">
        <v>9</v>
      </c>
      <c r="D11211" s="3" t="s">
        <v>10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/>
      <c r="P11211" s="3"/>
      <c r="Q11211" s="3"/>
    </row>
    <row r="11212" spans="1:17" ht="15" x14ac:dyDescent="0.25">
      <c r="A11212" s="3">
        <f>11205</f>
        <v>11205</v>
      </c>
      <c r="B11212" s="3" t="s">
        <v>11214</v>
      </c>
      <c r="C11212" s="3" t="s">
        <v>9</v>
      </c>
      <c r="D11212" s="3" t="s">
        <v>10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/>
      <c r="P11212" s="3"/>
      <c r="Q11212" s="3"/>
    </row>
    <row r="11213" spans="1:17" ht="15" x14ac:dyDescent="0.25">
      <c r="A11213" s="3">
        <f>11206</f>
        <v>11206</v>
      </c>
      <c r="B11213" s="3" t="s">
        <v>11215</v>
      </c>
      <c r="C11213" s="3" t="s">
        <v>9</v>
      </c>
      <c r="D11213" s="3" t="s">
        <v>10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/>
      <c r="P11213" s="3"/>
      <c r="Q11213" s="3"/>
    </row>
    <row r="11214" spans="1:17" ht="15" x14ac:dyDescent="0.25">
      <c r="A11214" s="3">
        <f>11207</f>
        <v>11207</v>
      </c>
      <c r="B11214" s="3" t="s">
        <v>11216</v>
      </c>
      <c r="C11214" s="3" t="s">
        <v>9</v>
      </c>
      <c r="D11214" s="3" t="s">
        <v>10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/>
      <c r="P11214" s="3"/>
      <c r="Q11214" s="3"/>
    </row>
    <row r="11215" spans="1:17" ht="15" x14ac:dyDescent="0.25">
      <c r="A11215" s="3">
        <f>11208</f>
        <v>11208</v>
      </c>
      <c r="B11215" s="3" t="s">
        <v>11217</v>
      </c>
      <c r="C11215" s="3" t="s">
        <v>9</v>
      </c>
      <c r="D11215" s="3" t="s">
        <v>10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/>
      <c r="P11215" s="3"/>
      <c r="Q11215" s="3"/>
    </row>
    <row r="11216" spans="1:17" ht="15" x14ac:dyDescent="0.25">
      <c r="A11216" s="3">
        <f>11209</f>
        <v>11209</v>
      </c>
      <c r="B11216" s="3" t="s">
        <v>11218</v>
      </c>
      <c r="C11216" s="3" t="s">
        <v>9</v>
      </c>
      <c r="D11216" s="3" t="s">
        <v>10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/>
      <c r="P11216" s="3"/>
      <c r="Q11216" s="3"/>
    </row>
    <row r="11217" spans="1:17" ht="15" x14ac:dyDescent="0.25">
      <c r="A11217" s="3">
        <f>11210</f>
        <v>11210</v>
      </c>
      <c r="B11217" s="3" t="s">
        <v>11219</v>
      </c>
      <c r="C11217" s="3" t="s">
        <v>9</v>
      </c>
      <c r="D11217" s="3" t="s">
        <v>10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/>
      <c r="P11217" s="3"/>
      <c r="Q11217" s="3"/>
    </row>
    <row r="11218" spans="1:17" ht="15" x14ac:dyDescent="0.25">
      <c r="A11218" s="3">
        <f>11211</f>
        <v>11211</v>
      </c>
      <c r="B11218" s="3" t="s">
        <v>11220</v>
      </c>
      <c r="C11218" s="3" t="s">
        <v>9</v>
      </c>
      <c r="D11218" s="3" t="s">
        <v>10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/>
      <c r="P11218" s="3"/>
      <c r="Q11218" s="3"/>
    </row>
    <row r="11219" spans="1:17" ht="15" x14ac:dyDescent="0.25">
      <c r="A11219" s="3">
        <f>11212</f>
        <v>11212</v>
      </c>
      <c r="B11219" s="3" t="s">
        <v>11221</v>
      </c>
      <c r="C11219" s="3" t="s">
        <v>9</v>
      </c>
      <c r="D11219" s="3" t="s">
        <v>10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/>
      <c r="P11219" s="3"/>
      <c r="Q11219" s="3"/>
    </row>
    <row r="11220" spans="1:17" ht="15" x14ac:dyDescent="0.25">
      <c r="A11220" s="3">
        <f>11213</f>
        <v>11213</v>
      </c>
      <c r="B11220" s="3" t="s">
        <v>11222</v>
      </c>
      <c r="C11220" s="3" t="s">
        <v>9</v>
      </c>
      <c r="D11220" s="3" t="s">
        <v>10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/>
      <c r="P11220" s="3"/>
      <c r="Q11220" s="3"/>
    </row>
    <row r="11221" spans="1:17" ht="15" x14ac:dyDescent="0.25">
      <c r="A11221" s="3">
        <f>11214</f>
        <v>11214</v>
      </c>
      <c r="B11221" s="3" t="s">
        <v>11223</v>
      </c>
      <c r="C11221" s="3" t="s">
        <v>9</v>
      </c>
      <c r="D11221" s="3" t="s">
        <v>10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/>
      <c r="P11221" s="3"/>
      <c r="Q11221" s="3"/>
    </row>
    <row r="11222" spans="1:17" ht="15" x14ac:dyDescent="0.25">
      <c r="A11222" s="3">
        <f>11215</f>
        <v>11215</v>
      </c>
      <c r="B11222" s="3" t="s">
        <v>11224</v>
      </c>
      <c r="C11222" s="3" t="s">
        <v>9</v>
      </c>
      <c r="D11222" s="3" t="s">
        <v>10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/>
      <c r="P11222" s="3"/>
      <c r="Q11222" s="3"/>
    </row>
    <row r="11223" spans="1:17" ht="15" x14ac:dyDescent="0.25">
      <c r="A11223" s="3">
        <f>11216</f>
        <v>11216</v>
      </c>
      <c r="B11223" s="3" t="s">
        <v>11225</v>
      </c>
      <c r="C11223" s="3" t="s">
        <v>9</v>
      </c>
      <c r="D11223" s="3" t="s">
        <v>10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/>
      <c r="P11223" s="3"/>
      <c r="Q11223" s="3"/>
    </row>
    <row r="11224" spans="1:17" ht="15" x14ac:dyDescent="0.25">
      <c r="A11224" s="3">
        <f>11217</f>
        <v>11217</v>
      </c>
      <c r="B11224" s="3" t="s">
        <v>11226</v>
      </c>
      <c r="C11224" s="3" t="s">
        <v>9</v>
      </c>
      <c r="D11224" s="3" t="s">
        <v>10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/>
      <c r="P11224" s="3"/>
      <c r="Q11224" s="3"/>
    </row>
    <row r="11225" spans="1:17" ht="15" x14ac:dyDescent="0.25">
      <c r="A11225" s="3">
        <f>11218</f>
        <v>11218</v>
      </c>
      <c r="B11225" s="3" t="s">
        <v>11227</v>
      </c>
      <c r="C11225" s="3" t="s">
        <v>9</v>
      </c>
      <c r="D11225" s="3" t="s">
        <v>10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/>
      <c r="P11225" s="3"/>
      <c r="Q11225" s="3"/>
    </row>
    <row r="11226" spans="1:17" ht="15" x14ac:dyDescent="0.25">
      <c r="A11226" s="3">
        <f>11219</f>
        <v>11219</v>
      </c>
      <c r="B11226" s="3" t="s">
        <v>11228</v>
      </c>
      <c r="C11226" s="3" t="s">
        <v>9</v>
      </c>
      <c r="D11226" s="3" t="s">
        <v>10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/>
      <c r="P11226" s="3"/>
      <c r="Q11226" s="3"/>
    </row>
    <row r="11227" spans="1:17" ht="15" x14ac:dyDescent="0.25">
      <c r="A11227" s="3">
        <f>11220</f>
        <v>11220</v>
      </c>
      <c r="B11227" s="3" t="s">
        <v>11229</v>
      </c>
      <c r="C11227" s="3" t="s">
        <v>9</v>
      </c>
      <c r="D11227" s="3" t="s">
        <v>10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/>
      <c r="P11227" s="3"/>
      <c r="Q11227" s="3"/>
    </row>
    <row r="11228" spans="1:17" ht="15" x14ac:dyDescent="0.25">
      <c r="A11228" s="3">
        <f>11221</f>
        <v>11221</v>
      </c>
      <c r="B11228" s="3" t="s">
        <v>11230</v>
      </c>
      <c r="C11228" s="3" t="s">
        <v>9</v>
      </c>
      <c r="D11228" s="3" t="s">
        <v>10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/>
      <c r="P11228" s="3"/>
      <c r="Q11228" s="3"/>
    </row>
    <row r="11229" spans="1:17" ht="15" x14ac:dyDescent="0.25">
      <c r="A11229" s="3">
        <f>11222</f>
        <v>11222</v>
      </c>
      <c r="B11229" s="3" t="s">
        <v>11231</v>
      </c>
      <c r="C11229" s="3" t="s">
        <v>9</v>
      </c>
      <c r="D11229" s="3" t="s">
        <v>10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/>
      <c r="P11229" s="3"/>
      <c r="Q11229" s="3"/>
    </row>
    <row r="11230" spans="1:17" ht="15" x14ac:dyDescent="0.25">
      <c r="A11230" s="3">
        <f>11223</f>
        <v>11223</v>
      </c>
      <c r="B11230" s="3" t="s">
        <v>11232</v>
      </c>
      <c r="C11230" s="3" t="s">
        <v>9</v>
      </c>
      <c r="D11230" s="3" t="s">
        <v>10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/>
      <c r="P11230" s="3"/>
      <c r="Q11230" s="3"/>
    </row>
    <row r="11231" spans="1:17" ht="15" x14ac:dyDescent="0.25">
      <c r="A11231" s="3">
        <f>11224</f>
        <v>11224</v>
      </c>
      <c r="B11231" s="3" t="s">
        <v>11233</v>
      </c>
      <c r="C11231" s="3" t="s">
        <v>9</v>
      </c>
      <c r="D11231" s="3" t="s">
        <v>10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/>
      <c r="P11231" s="3"/>
      <c r="Q11231" s="3"/>
    </row>
    <row r="11232" spans="1:17" ht="15" x14ac:dyDescent="0.25">
      <c r="A11232" s="3">
        <f>11225</f>
        <v>11225</v>
      </c>
      <c r="B11232" s="3" t="s">
        <v>11234</v>
      </c>
      <c r="C11232" s="3" t="s">
        <v>9</v>
      </c>
      <c r="D11232" s="3" t="s">
        <v>10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/>
      <c r="P11232" s="3"/>
      <c r="Q11232" s="3"/>
    </row>
    <row r="11233" spans="1:17" ht="15" x14ac:dyDescent="0.25">
      <c r="A11233" s="3">
        <f>11226</f>
        <v>11226</v>
      </c>
      <c r="B11233" s="3" t="s">
        <v>11235</v>
      </c>
      <c r="C11233" s="3" t="s">
        <v>9</v>
      </c>
      <c r="D11233" s="3" t="s">
        <v>10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/>
      <c r="P11233" s="3"/>
      <c r="Q11233" s="3"/>
    </row>
    <row r="11234" spans="1:17" ht="15" x14ac:dyDescent="0.25">
      <c r="A11234" s="3">
        <f>11227</f>
        <v>11227</v>
      </c>
      <c r="B11234" s="3" t="s">
        <v>11236</v>
      </c>
      <c r="C11234" s="3" t="s">
        <v>9</v>
      </c>
      <c r="D11234" s="3" t="s">
        <v>10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/>
      <c r="P11234" s="3"/>
      <c r="Q11234" s="3"/>
    </row>
    <row r="11235" spans="1:17" ht="15" x14ac:dyDescent="0.25">
      <c r="A11235" s="3">
        <f>11228</f>
        <v>11228</v>
      </c>
      <c r="B11235" s="3" t="s">
        <v>11237</v>
      </c>
      <c r="C11235" s="3" t="s">
        <v>9</v>
      </c>
      <c r="D11235" s="3" t="s">
        <v>10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/>
      <c r="P11235" s="3"/>
      <c r="Q11235" s="3"/>
    </row>
    <row r="11236" spans="1:17" ht="15" x14ac:dyDescent="0.25">
      <c r="A11236" s="3">
        <f>11229</f>
        <v>11229</v>
      </c>
      <c r="B11236" s="3" t="s">
        <v>11238</v>
      </c>
      <c r="C11236" s="3" t="s">
        <v>9</v>
      </c>
      <c r="D11236" s="3" t="s">
        <v>10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/>
      <c r="P11236" s="3"/>
      <c r="Q11236" s="3"/>
    </row>
    <row r="11237" spans="1:17" ht="15" x14ac:dyDescent="0.25">
      <c r="A11237" s="3">
        <f>11230</f>
        <v>11230</v>
      </c>
      <c r="B11237" s="3" t="s">
        <v>11239</v>
      </c>
      <c r="C11237" s="3" t="s">
        <v>9</v>
      </c>
      <c r="D11237" s="3" t="s">
        <v>10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/>
      <c r="P11237" s="3"/>
      <c r="Q11237" s="3"/>
    </row>
    <row r="11238" spans="1:17" ht="15" x14ac:dyDescent="0.25">
      <c r="A11238" s="3">
        <f>11231</f>
        <v>11231</v>
      </c>
      <c r="B11238" s="3" t="s">
        <v>11240</v>
      </c>
      <c r="C11238" s="3" t="s">
        <v>9</v>
      </c>
      <c r="D11238" s="3" t="s">
        <v>10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/>
      <c r="P11238" s="3"/>
      <c r="Q11238" s="3"/>
    </row>
    <row r="11239" spans="1:17" ht="15" x14ac:dyDescent="0.25">
      <c r="A11239" s="3">
        <f>11232</f>
        <v>11232</v>
      </c>
      <c r="B11239" s="3" t="s">
        <v>11241</v>
      </c>
      <c r="C11239" s="3" t="s">
        <v>9</v>
      </c>
      <c r="D11239" s="3" t="s">
        <v>10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/>
      <c r="P11239" s="3"/>
      <c r="Q11239" s="3"/>
    </row>
    <row r="11240" spans="1:17" ht="15" x14ac:dyDescent="0.25">
      <c r="A11240" s="3">
        <f>11233</f>
        <v>11233</v>
      </c>
      <c r="B11240" s="3" t="s">
        <v>11242</v>
      </c>
      <c r="C11240" s="3" t="s">
        <v>9</v>
      </c>
      <c r="D11240" s="3" t="s">
        <v>10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/>
      <c r="P11240" s="3"/>
      <c r="Q11240" s="3"/>
    </row>
    <row r="11241" spans="1:17" ht="15" x14ac:dyDescent="0.25">
      <c r="A11241" s="3">
        <f>11234</f>
        <v>11234</v>
      </c>
      <c r="B11241" s="3" t="s">
        <v>11243</v>
      </c>
      <c r="C11241" s="3" t="s">
        <v>9</v>
      </c>
      <c r="D11241" s="3" t="s">
        <v>10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/>
      <c r="P11241" s="3"/>
      <c r="Q11241" s="3"/>
    </row>
    <row r="11242" spans="1:17" ht="15" x14ac:dyDescent="0.25">
      <c r="A11242" s="3">
        <f>11235</f>
        <v>11235</v>
      </c>
      <c r="B11242" s="3" t="s">
        <v>11244</v>
      </c>
      <c r="C11242" s="3" t="s">
        <v>9</v>
      </c>
      <c r="D11242" s="3" t="s">
        <v>10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/>
      <c r="P11242" s="3"/>
      <c r="Q11242" s="3"/>
    </row>
    <row r="11243" spans="1:17" ht="15" x14ac:dyDescent="0.25">
      <c r="A11243" s="3">
        <f>11236</f>
        <v>11236</v>
      </c>
      <c r="B11243" s="3" t="s">
        <v>11245</v>
      </c>
      <c r="C11243" s="3" t="s">
        <v>9</v>
      </c>
      <c r="D11243" s="3" t="s">
        <v>10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/>
      <c r="P11243" s="3"/>
      <c r="Q11243" s="3"/>
    </row>
    <row r="11244" spans="1:17" ht="15" x14ac:dyDescent="0.25">
      <c r="A11244" s="3">
        <f>11237</f>
        <v>11237</v>
      </c>
      <c r="B11244" s="3" t="s">
        <v>11246</v>
      </c>
      <c r="C11244" s="3" t="s">
        <v>9</v>
      </c>
      <c r="D11244" s="3" t="s">
        <v>10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/>
      <c r="P11244" s="3"/>
      <c r="Q11244" s="3"/>
    </row>
    <row r="11245" spans="1:17" ht="15" x14ac:dyDescent="0.25">
      <c r="A11245" s="3">
        <f>11238</f>
        <v>11238</v>
      </c>
      <c r="B11245" s="3" t="s">
        <v>11247</v>
      </c>
      <c r="C11245" s="3" t="s">
        <v>9</v>
      </c>
      <c r="D11245" s="3" t="s">
        <v>10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/>
      <c r="P11245" s="3"/>
      <c r="Q11245" s="3"/>
    </row>
    <row r="11246" spans="1:17" ht="15" x14ac:dyDescent="0.25">
      <c r="A11246" s="3">
        <f>11239</f>
        <v>11239</v>
      </c>
      <c r="B11246" s="3" t="s">
        <v>11248</v>
      </c>
      <c r="C11246" s="3" t="s">
        <v>9</v>
      </c>
      <c r="D11246" s="3" t="s">
        <v>10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/>
      <c r="P11246" s="3"/>
      <c r="Q11246" s="3"/>
    </row>
    <row r="11247" spans="1:17" ht="15" x14ac:dyDescent="0.25">
      <c r="A11247" s="3">
        <f>11240</f>
        <v>11240</v>
      </c>
      <c r="B11247" s="3" t="s">
        <v>11249</v>
      </c>
      <c r="C11247" s="3" t="s">
        <v>9</v>
      </c>
      <c r="D11247" s="3" t="s">
        <v>10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/>
      <c r="P11247" s="3"/>
      <c r="Q11247" s="3"/>
    </row>
    <row r="11248" spans="1:17" ht="15" x14ac:dyDescent="0.25">
      <c r="A11248" s="3">
        <f>11241</f>
        <v>11241</v>
      </c>
      <c r="B11248" s="3" t="s">
        <v>11250</v>
      </c>
      <c r="C11248" s="3" t="s">
        <v>9</v>
      </c>
      <c r="D11248" s="3" t="s">
        <v>10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/>
      <c r="P11248" s="3"/>
      <c r="Q11248" s="3"/>
    </row>
    <row r="11249" spans="1:17" ht="15" x14ac:dyDescent="0.25">
      <c r="A11249" s="3">
        <f>11242</f>
        <v>11242</v>
      </c>
      <c r="B11249" s="3" t="s">
        <v>11251</v>
      </c>
      <c r="C11249" s="3" t="s">
        <v>9</v>
      </c>
      <c r="D11249" s="3" t="s">
        <v>10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/>
      <c r="P11249" s="3"/>
      <c r="Q11249" s="3"/>
    </row>
    <row r="11250" spans="1:17" ht="15" x14ac:dyDescent="0.25">
      <c r="A11250" s="3">
        <f>11243</f>
        <v>11243</v>
      </c>
      <c r="B11250" s="3" t="s">
        <v>11252</v>
      </c>
      <c r="C11250" s="3" t="s">
        <v>9</v>
      </c>
      <c r="D11250" s="3" t="s">
        <v>10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/>
      <c r="P11250" s="3"/>
      <c r="Q11250" s="3"/>
    </row>
    <row r="11251" spans="1:17" ht="15" x14ac:dyDescent="0.25">
      <c r="A11251" s="3">
        <f>11244</f>
        <v>11244</v>
      </c>
      <c r="B11251" s="3" t="s">
        <v>11253</v>
      </c>
      <c r="C11251" s="3" t="s">
        <v>9</v>
      </c>
      <c r="D11251" s="3" t="s">
        <v>10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/>
      <c r="P11251" s="3"/>
      <c r="Q11251" s="3"/>
    </row>
    <row r="11252" spans="1:17" ht="15" x14ac:dyDescent="0.25">
      <c r="A11252" s="3">
        <f>11245</f>
        <v>11245</v>
      </c>
      <c r="B11252" s="3" t="s">
        <v>11254</v>
      </c>
      <c r="C11252" s="3" t="s">
        <v>9</v>
      </c>
      <c r="D11252" s="3" t="s">
        <v>10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/>
      <c r="P11252" s="3"/>
      <c r="Q11252" s="3"/>
    </row>
    <row r="11253" spans="1:17" ht="15" x14ac:dyDescent="0.25">
      <c r="A11253" s="3">
        <f>11246</f>
        <v>11246</v>
      </c>
      <c r="B11253" s="3" t="s">
        <v>11255</v>
      </c>
      <c r="C11253" s="3" t="s">
        <v>9</v>
      </c>
      <c r="D11253" s="3" t="s">
        <v>10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/>
      <c r="P11253" s="3"/>
      <c r="Q11253" s="3"/>
    </row>
    <row r="11254" spans="1:17" ht="15" x14ac:dyDescent="0.25">
      <c r="A11254" s="3">
        <f>11247</f>
        <v>11247</v>
      </c>
      <c r="B11254" s="3" t="s">
        <v>11256</v>
      </c>
      <c r="C11254" s="3" t="s">
        <v>9</v>
      </c>
      <c r="D11254" s="3" t="s">
        <v>10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/>
      <c r="P11254" s="3"/>
      <c r="Q11254" s="3"/>
    </row>
    <row r="11255" spans="1:17" ht="15" x14ac:dyDescent="0.25">
      <c r="A11255" s="3">
        <f>11248</f>
        <v>11248</v>
      </c>
      <c r="B11255" s="3" t="s">
        <v>11257</v>
      </c>
      <c r="C11255" s="3" t="s">
        <v>9</v>
      </c>
      <c r="D11255" s="3" t="s">
        <v>10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/>
      <c r="P11255" s="3"/>
      <c r="Q11255" s="3"/>
    </row>
    <row r="11256" spans="1:17" ht="15" x14ac:dyDescent="0.25">
      <c r="A11256" s="3">
        <f>11249</f>
        <v>11249</v>
      </c>
      <c r="B11256" s="3" t="s">
        <v>11258</v>
      </c>
      <c r="C11256" s="3" t="s">
        <v>9</v>
      </c>
      <c r="D11256" s="3" t="s">
        <v>10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/>
      <c r="P11256" s="3"/>
      <c r="Q11256" s="3"/>
    </row>
    <row r="11257" spans="1:17" ht="15" x14ac:dyDescent="0.25">
      <c r="A11257" s="3">
        <f>11250</f>
        <v>11250</v>
      </c>
      <c r="B11257" s="3" t="s">
        <v>11259</v>
      </c>
      <c r="C11257" s="3" t="s">
        <v>9</v>
      </c>
      <c r="D11257" s="3" t="s">
        <v>10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/>
      <c r="P11257" s="3"/>
      <c r="Q11257" s="3"/>
    </row>
    <row r="11258" spans="1:17" ht="15" x14ac:dyDescent="0.25">
      <c r="A11258" s="3">
        <f>11251</f>
        <v>11251</v>
      </c>
      <c r="B11258" s="3" t="s">
        <v>11260</v>
      </c>
      <c r="C11258" s="3" t="s">
        <v>9</v>
      </c>
      <c r="D11258" s="3" t="s">
        <v>10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/>
      <c r="P11258" s="3"/>
      <c r="Q11258" s="3"/>
    </row>
    <row r="11259" spans="1:17" ht="15" x14ac:dyDescent="0.25">
      <c r="A11259" s="3">
        <f>11252</f>
        <v>11252</v>
      </c>
      <c r="B11259" s="3" t="s">
        <v>11261</v>
      </c>
      <c r="C11259" s="3" t="s">
        <v>9</v>
      </c>
      <c r="D11259" s="3" t="s">
        <v>10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/>
      <c r="P11259" s="3"/>
      <c r="Q11259" s="3"/>
    </row>
    <row r="11260" spans="1:17" ht="15" x14ac:dyDescent="0.25">
      <c r="A11260" s="3">
        <f>11253</f>
        <v>11253</v>
      </c>
      <c r="B11260" s="3" t="s">
        <v>11262</v>
      </c>
      <c r="C11260" s="3" t="s">
        <v>9</v>
      </c>
      <c r="D11260" s="3" t="s">
        <v>10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/>
      <c r="P11260" s="3"/>
      <c r="Q11260" s="3"/>
    </row>
    <row r="11261" spans="1:17" ht="15" x14ac:dyDescent="0.25">
      <c r="A11261" s="3">
        <f>11254</f>
        <v>11254</v>
      </c>
      <c r="B11261" s="3" t="s">
        <v>11263</v>
      </c>
      <c r="C11261" s="3" t="s">
        <v>9</v>
      </c>
      <c r="D11261" s="3" t="s">
        <v>10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/>
      <c r="P11261" s="3"/>
      <c r="Q11261" s="3"/>
    </row>
    <row r="11262" spans="1:17" ht="15" x14ac:dyDescent="0.25">
      <c r="A11262" s="3">
        <f>11255</f>
        <v>11255</v>
      </c>
      <c r="B11262" s="3" t="s">
        <v>11264</v>
      </c>
      <c r="C11262" s="3" t="s">
        <v>9</v>
      </c>
      <c r="D11262" s="3" t="s">
        <v>10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/>
      <c r="P11262" s="3"/>
      <c r="Q11262" s="3"/>
    </row>
    <row r="11263" spans="1:17" ht="15" x14ac:dyDescent="0.25">
      <c r="A11263" s="3">
        <f>11256</f>
        <v>11256</v>
      </c>
      <c r="B11263" s="3" t="s">
        <v>11265</v>
      </c>
      <c r="C11263" s="3" t="s">
        <v>9</v>
      </c>
      <c r="D11263" s="3" t="s">
        <v>10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/>
      <c r="P11263" s="3"/>
      <c r="Q11263" s="3"/>
    </row>
    <row r="11264" spans="1:17" ht="15" x14ac:dyDescent="0.25">
      <c r="A11264" s="3">
        <f>11257</f>
        <v>11257</v>
      </c>
      <c r="B11264" s="3" t="s">
        <v>11266</v>
      </c>
      <c r="C11264" s="3" t="s">
        <v>9</v>
      </c>
      <c r="D11264" s="3" t="s">
        <v>10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/>
      <c r="P11264" s="3"/>
      <c r="Q11264" s="3"/>
    </row>
    <row r="11265" spans="1:17" ht="15" x14ac:dyDescent="0.25">
      <c r="A11265" s="3">
        <f>11258</f>
        <v>11258</v>
      </c>
      <c r="B11265" s="3" t="s">
        <v>11267</v>
      </c>
      <c r="C11265" s="3" t="s">
        <v>9</v>
      </c>
      <c r="D11265" s="3" t="s">
        <v>10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/>
      <c r="P11265" s="3"/>
      <c r="Q11265" s="3"/>
    </row>
    <row r="11266" spans="1:17" ht="15" x14ac:dyDescent="0.25">
      <c r="A11266" s="3">
        <f>11259</f>
        <v>11259</v>
      </c>
      <c r="B11266" s="3" t="s">
        <v>11268</v>
      </c>
      <c r="C11266" s="3" t="s">
        <v>9</v>
      </c>
      <c r="D11266" s="3" t="s">
        <v>10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/>
      <c r="P11266" s="3"/>
      <c r="Q11266" s="3"/>
    </row>
    <row r="11267" spans="1:17" ht="15" x14ac:dyDescent="0.25">
      <c r="A11267" s="3">
        <f>11260</f>
        <v>11260</v>
      </c>
      <c r="B11267" s="3" t="s">
        <v>11269</v>
      </c>
      <c r="C11267" s="3" t="s">
        <v>9</v>
      </c>
      <c r="D11267" s="3" t="s">
        <v>10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/>
      <c r="P11267" s="3"/>
      <c r="Q11267" s="3"/>
    </row>
    <row r="11268" spans="1:17" ht="15" x14ac:dyDescent="0.25">
      <c r="A11268" s="3">
        <f>11261</f>
        <v>11261</v>
      </c>
      <c r="B11268" s="3" t="s">
        <v>11270</v>
      </c>
      <c r="C11268" s="3" t="s">
        <v>9</v>
      </c>
      <c r="D11268" s="3" t="s">
        <v>10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/>
      <c r="P11268" s="3"/>
      <c r="Q11268" s="3"/>
    </row>
    <row r="11269" spans="1:17" ht="15" x14ac:dyDescent="0.25">
      <c r="A11269" s="3">
        <f>11262</f>
        <v>11262</v>
      </c>
      <c r="B11269" s="3" t="s">
        <v>11271</v>
      </c>
      <c r="C11269" s="3" t="s">
        <v>9</v>
      </c>
      <c r="D11269" s="3" t="s">
        <v>10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/>
      <c r="P11269" s="3"/>
      <c r="Q11269" s="3"/>
    </row>
    <row r="11270" spans="1:17" ht="15" x14ac:dyDescent="0.25">
      <c r="A11270" s="3">
        <f>11263</f>
        <v>11263</v>
      </c>
      <c r="B11270" s="3" t="s">
        <v>11272</v>
      </c>
      <c r="C11270" s="3" t="s">
        <v>9</v>
      </c>
      <c r="D11270" s="3" t="s">
        <v>10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/>
      <c r="P11270" s="3"/>
      <c r="Q11270" s="3"/>
    </row>
    <row r="11271" spans="1:17" ht="15" x14ac:dyDescent="0.25">
      <c r="A11271" s="3">
        <f>11264</f>
        <v>11264</v>
      </c>
      <c r="B11271" s="3" t="s">
        <v>11273</v>
      </c>
      <c r="C11271" s="3" t="s">
        <v>9</v>
      </c>
      <c r="D11271" s="3" t="s">
        <v>10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/>
      <c r="P11271" s="3"/>
      <c r="Q11271" s="3"/>
    </row>
    <row r="11272" spans="1:17" ht="15" x14ac:dyDescent="0.25">
      <c r="A11272" s="3">
        <f>11265</f>
        <v>11265</v>
      </c>
      <c r="B11272" s="3" t="s">
        <v>11274</v>
      </c>
      <c r="C11272" s="3" t="s">
        <v>9</v>
      </c>
      <c r="D11272" s="3" t="s">
        <v>10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/>
      <c r="P11272" s="3"/>
      <c r="Q11272" s="3"/>
    </row>
    <row r="11273" spans="1:17" ht="15" x14ac:dyDescent="0.25">
      <c r="A11273" s="3">
        <f>11266</f>
        <v>11266</v>
      </c>
      <c r="B11273" s="3" t="s">
        <v>11275</v>
      </c>
      <c r="C11273" s="3" t="s">
        <v>9</v>
      </c>
      <c r="D11273" s="3" t="s">
        <v>10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/>
      <c r="P11273" s="3"/>
      <c r="Q11273" s="3"/>
    </row>
    <row r="11274" spans="1:17" ht="15" x14ac:dyDescent="0.25">
      <c r="A11274" s="3">
        <f>11267</f>
        <v>11267</v>
      </c>
      <c r="B11274" s="3" t="s">
        <v>11276</v>
      </c>
      <c r="C11274" s="3" t="s">
        <v>9</v>
      </c>
      <c r="D11274" s="3" t="s">
        <v>10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/>
      <c r="P11274" s="3"/>
      <c r="Q11274" s="3"/>
    </row>
    <row r="11275" spans="1:17" ht="15" x14ac:dyDescent="0.25">
      <c r="A11275" s="3">
        <f>11268</f>
        <v>11268</v>
      </c>
      <c r="B11275" s="3" t="s">
        <v>11277</v>
      </c>
      <c r="C11275" s="3" t="s">
        <v>9</v>
      </c>
      <c r="D11275" s="3" t="s">
        <v>10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/>
      <c r="P11275" s="3"/>
      <c r="Q11275" s="3"/>
    </row>
    <row r="11276" spans="1:17" ht="15" x14ac:dyDescent="0.25">
      <c r="A11276" s="3">
        <f>11269</f>
        <v>11269</v>
      </c>
      <c r="B11276" s="3" t="s">
        <v>11278</v>
      </c>
      <c r="C11276" s="3" t="s">
        <v>9</v>
      </c>
      <c r="D11276" s="3" t="s">
        <v>10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/>
      <c r="P11276" s="3"/>
      <c r="Q11276" s="3"/>
    </row>
    <row r="11277" spans="1:17" ht="15" x14ac:dyDescent="0.25">
      <c r="A11277" s="3">
        <f>11270</f>
        <v>11270</v>
      </c>
      <c r="B11277" s="3" t="s">
        <v>11279</v>
      </c>
      <c r="C11277" s="3" t="s">
        <v>9</v>
      </c>
      <c r="D11277" s="3" t="s">
        <v>10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/>
      <c r="P11277" s="3"/>
      <c r="Q11277" s="3"/>
    </row>
    <row r="11278" spans="1:17" ht="15" x14ac:dyDescent="0.25">
      <c r="A11278" s="3">
        <f>11271</f>
        <v>11271</v>
      </c>
      <c r="B11278" s="3" t="s">
        <v>11280</v>
      </c>
      <c r="C11278" s="3" t="s">
        <v>9</v>
      </c>
      <c r="D11278" s="3" t="s">
        <v>10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/>
      <c r="P11278" s="3"/>
      <c r="Q11278" s="3"/>
    </row>
    <row r="11279" spans="1:17" ht="15" x14ac:dyDescent="0.25">
      <c r="A11279" s="3">
        <f>11272</f>
        <v>11272</v>
      </c>
      <c r="B11279" s="3" t="s">
        <v>11281</v>
      </c>
      <c r="C11279" s="3" t="s">
        <v>9</v>
      </c>
      <c r="D11279" s="3" t="s">
        <v>10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/>
      <c r="P11279" s="3"/>
      <c r="Q11279" s="3"/>
    </row>
    <row r="11280" spans="1:17" ht="15" x14ac:dyDescent="0.25">
      <c r="A11280" s="3">
        <f>11273</f>
        <v>11273</v>
      </c>
      <c r="B11280" s="3" t="s">
        <v>11282</v>
      </c>
      <c r="C11280" s="3" t="s">
        <v>9</v>
      </c>
      <c r="D11280" s="3" t="s">
        <v>10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/>
      <c r="P11280" s="3"/>
      <c r="Q11280" s="3"/>
    </row>
    <row r="11281" spans="1:17" ht="15" x14ac:dyDescent="0.25">
      <c r="A11281" s="3">
        <f>11274</f>
        <v>11274</v>
      </c>
      <c r="B11281" s="3" t="s">
        <v>11283</v>
      </c>
      <c r="C11281" s="3" t="s">
        <v>9</v>
      </c>
      <c r="D11281" s="3" t="s">
        <v>10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/>
      <c r="P11281" s="3"/>
      <c r="Q11281" s="3"/>
    </row>
    <row r="11282" spans="1:17" ht="15" x14ac:dyDescent="0.25">
      <c r="A11282" s="3">
        <f>11275</f>
        <v>11275</v>
      </c>
      <c r="B11282" s="3" t="s">
        <v>11284</v>
      </c>
      <c r="C11282" s="3" t="s">
        <v>9</v>
      </c>
      <c r="D11282" s="3" t="s">
        <v>10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/>
      <c r="P11282" s="3"/>
      <c r="Q11282" s="3"/>
    </row>
    <row r="11283" spans="1:17" ht="15" x14ac:dyDescent="0.25">
      <c r="A11283" s="3">
        <f>11276</f>
        <v>11276</v>
      </c>
      <c r="B11283" s="3" t="s">
        <v>11285</v>
      </c>
      <c r="C11283" s="3" t="s">
        <v>9</v>
      </c>
      <c r="D11283" s="3" t="s">
        <v>10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/>
      <c r="P11283" s="3"/>
      <c r="Q11283" s="3"/>
    </row>
    <row r="11284" spans="1:17" ht="15" x14ac:dyDescent="0.25">
      <c r="A11284" s="3">
        <f>11277</f>
        <v>11277</v>
      </c>
      <c r="B11284" s="3" t="s">
        <v>11286</v>
      </c>
      <c r="C11284" s="3" t="s">
        <v>9</v>
      </c>
      <c r="D11284" s="3" t="s">
        <v>10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/>
      <c r="P11284" s="3"/>
      <c r="Q11284" s="3"/>
    </row>
    <row r="11285" spans="1:17" ht="15" x14ac:dyDescent="0.25">
      <c r="A11285" s="3">
        <f>11278</f>
        <v>11278</v>
      </c>
      <c r="B11285" s="3" t="s">
        <v>11287</v>
      </c>
      <c r="C11285" s="3" t="s">
        <v>9</v>
      </c>
      <c r="D11285" s="3" t="s">
        <v>10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/>
      <c r="P11285" s="3"/>
      <c r="Q11285" s="3"/>
    </row>
    <row r="11286" spans="1:17" ht="15" x14ac:dyDescent="0.25">
      <c r="A11286" s="3">
        <f>11279</f>
        <v>11279</v>
      </c>
      <c r="B11286" s="3" t="s">
        <v>11288</v>
      </c>
      <c r="C11286" s="3" t="s">
        <v>9</v>
      </c>
      <c r="D11286" s="3" t="s">
        <v>10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/>
      <c r="P11286" s="3"/>
      <c r="Q11286" s="3"/>
    </row>
    <row r="11287" spans="1:17" ht="15" x14ac:dyDescent="0.25">
      <c r="A11287" s="3">
        <f>11280</f>
        <v>11280</v>
      </c>
      <c r="B11287" s="3" t="s">
        <v>11289</v>
      </c>
      <c r="C11287" s="3" t="s">
        <v>9</v>
      </c>
      <c r="D11287" s="3" t="s">
        <v>10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/>
      <c r="P11287" s="3"/>
      <c r="Q11287" s="3"/>
    </row>
    <row r="11288" spans="1:17" ht="15" x14ac:dyDescent="0.25">
      <c r="A11288" s="3">
        <f>11281</f>
        <v>11281</v>
      </c>
      <c r="B11288" s="3" t="s">
        <v>11290</v>
      </c>
      <c r="C11288" s="3" t="s">
        <v>9</v>
      </c>
      <c r="D11288" s="3" t="s">
        <v>10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/>
      <c r="P11288" s="3"/>
      <c r="Q11288" s="3"/>
    </row>
    <row r="11289" spans="1:17" ht="15" x14ac:dyDescent="0.25">
      <c r="A11289" s="3">
        <f>11282</f>
        <v>11282</v>
      </c>
      <c r="B11289" s="3" t="s">
        <v>11291</v>
      </c>
      <c r="C11289" s="3" t="s">
        <v>9</v>
      </c>
      <c r="D11289" s="3" t="s">
        <v>10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/>
      <c r="P11289" s="3"/>
      <c r="Q11289" s="3"/>
    </row>
    <row r="11290" spans="1:17" ht="15" x14ac:dyDescent="0.25">
      <c r="A11290" s="3">
        <f>11283</f>
        <v>11283</v>
      </c>
      <c r="B11290" s="3" t="s">
        <v>11292</v>
      </c>
      <c r="C11290" s="3" t="s">
        <v>9</v>
      </c>
      <c r="D11290" s="3" t="s">
        <v>10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/>
      <c r="P11290" s="3"/>
      <c r="Q11290" s="3"/>
    </row>
    <row r="11291" spans="1:17" ht="15" x14ac:dyDescent="0.25">
      <c r="A11291" s="3">
        <f>11284</f>
        <v>11284</v>
      </c>
      <c r="B11291" s="3" t="s">
        <v>11293</v>
      </c>
      <c r="C11291" s="3" t="s">
        <v>9</v>
      </c>
      <c r="D11291" s="3" t="s">
        <v>10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/>
      <c r="P11291" s="3"/>
      <c r="Q11291" s="3"/>
    </row>
    <row r="11292" spans="1:17" ht="15" x14ac:dyDescent="0.25">
      <c r="A11292" s="3">
        <f>11285</f>
        <v>11285</v>
      </c>
      <c r="B11292" s="3" t="s">
        <v>11294</v>
      </c>
      <c r="C11292" s="3" t="s">
        <v>9</v>
      </c>
      <c r="D11292" s="3" t="s">
        <v>10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/>
      <c r="P11292" s="3"/>
      <c r="Q11292" s="3"/>
    </row>
    <row r="11293" spans="1:17" ht="15" x14ac:dyDescent="0.25">
      <c r="A11293" s="3">
        <f>11286</f>
        <v>11286</v>
      </c>
      <c r="B11293" s="3" t="s">
        <v>11295</v>
      </c>
      <c r="C11293" s="3" t="s">
        <v>9</v>
      </c>
      <c r="D11293" s="3" t="s">
        <v>10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/>
      <c r="P11293" s="3"/>
      <c r="Q11293" s="3"/>
    </row>
    <row r="11294" spans="1:17" ht="15" x14ac:dyDescent="0.25">
      <c r="A11294" s="3">
        <f>11287</f>
        <v>11287</v>
      </c>
      <c r="B11294" s="3" t="s">
        <v>11296</v>
      </c>
      <c r="C11294" s="3" t="s">
        <v>9</v>
      </c>
      <c r="D11294" s="3" t="s">
        <v>10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/>
      <c r="P11294" s="3"/>
      <c r="Q11294" s="3"/>
    </row>
    <row r="11295" spans="1:17" ht="15" x14ac:dyDescent="0.25">
      <c r="A11295" s="3">
        <f>11288</f>
        <v>11288</v>
      </c>
      <c r="B11295" s="3" t="s">
        <v>11297</v>
      </c>
      <c r="C11295" s="3" t="s">
        <v>9</v>
      </c>
      <c r="D11295" s="3" t="s">
        <v>10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/>
      <c r="P11295" s="3"/>
      <c r="Q11295" s="3"/>
    </row>
    <row r="11296" spans="1:17" ht="15" x14ac:dyDescent="0.25">
      <c r="A11296" s="3">
        <f>11289</f>
        <v>11289</v>
      </c>
      <c r="B11296" s="3" t="s">
        <v>11298</v>
      </c>
      <c r="C11296" s="3" t="s">
        <v>9</v>
      </c>
      <c r="D11296" s="3" t="s">
        <v>10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/>
      <c r="P11296" s="3"/>
      <c r="Q11296" s="3"/>
    </row>
    <row r="11297" spans="1:17" ht="15" x14ac:dyDescent="0.25">
      <c r="A11297" s="3">
        <f>11290</f>
        <v>11290</v>
      </c>
      <c r="B11297" s="3" t="s">
        <v>11299</v>
      </c>
      <c r="C11297" s="3" t="s">
        <v>9</v>
      </c>
      <c r="D11297" s="3" t="s">
        <v>10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/>
      <c r="P11297" s="3"/>
      <c r="Q11297" s="3"/>
    </row>
    <row r="11298" spans="1:17" ht="15" x14ac:dyDescent="0.25">
      <c r="A11298" s="3">
        <f>11291</f>
        <v>11291</v>
      </c>
      <c r="B11298" s="3" t="s">
        <v>11300</v>
      </c>
      <c r="C11298" s="3" t="s">
        <v>9</v>
      </c>
      <c r="D11298" s="3" t="s">
        <v>10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/>
      <c r="P11298" s="3"/>
      <c r="Q11298" s="3"/>
    </row>
    <row r="11299" spans="1:17" ht="15" x14ac:dyDescent="0.25">
      <c r="A11299" s="3">
        <f>11292</f>
        <v>11292</v>
      </c>
      <c r="B11299" s="3" t="s">
        <v>11301</v>
      </c>
      <c r="C11299" s="3" t="s">
        <v>9</v>
      </c>
      <c r="D11299" s="3" t="s">
        <v>10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/>
      <c r="P11299" s="3"/>
      <c r="Q11299" s="3"/>
    </row>
    <row r="11300" spans="1:17" ht="15" x14ac:dyDescent="0.25">
      <c r="A11300" s="3">
        <f>11293</f>
        <v>11293</v>
      </c>
      <c r="B11300" s="3" t="s">
        <v>11302</v>
      </c>
      <c r="C11300" s="3" t="s">
        <v>9</v>
      </c>
      <c r="D11300" s="3" t="s">
        <v>10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/>
      <c r="P11300" s="3"/>
      <c r="Q11300" s="3"/>
    </row>
    <row r="11301" spans="1:17" ht="15" x14ac:dyDescent="0.25">
      <c r="A11301" s="3">
        <f>11294</f>
        <v>11294</v>
      </c>
      <c r="B11301" s="3" t="s">
        <v>11303</v>
      </c>
      <c r="C11301" s="3" t="s">
        <v>9</v>
      </c>
      <c r="D11301" s="3" t="s">
        <v>10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/>
      <c r="P11301" s="3"/>
      <c r="Q11301" s="3"/>
    </row>
    <row r="11302" spans="1:17" ht="15" x14ac:dyDescent="0.25">
      <c r="A11302" s="3">
        <f>11295</f>
        <v>11295</v>
      </c>
      <c r="B11302" s="3" t="s">
        <v>11304</v>
      </c>
      <c r="C11302" s="3" t="s">
        <v>9</v>
      </c>
      <c r="D11302" s="3" t="s">
        <v>10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/>
      <c r="P11302" s="3"/>
      <c r="Q11302" s="3"/>
    </row>
    <row r="11303" spans="1:17" ht="15" x14ac:dyDescent="0.25">
      <c r="A11303" s="3">
        <f>11296</f>
        <v>11296</v>
      </c>
      <c r="B11303" s="3" t="s">
        <v>11305</v>
      </c>
      <c r="C11303" s="3" t="s">
        <v>9</v>
      </c>
      <c r="D11303" s="3" t="s">
        <v>10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/>
      <c r="P11303" s="3"/>
      <c r="Q11303" s="3"/>
    </row>
    <row r="11304" spans="1:17" ht="15" x14ac:dyDescent="0.25">
      <c r="A11304" s="3">
        <f>11297</f>
        <v>11297</v>
      </c>
      <c r="B11304" s="3" t="s">
        <v>11306</v>
      </c>
      <c r="C11304" s="3" t="s">
        <v>9</v>
      </c>
      <c r="D11304" s="3" t="s">
        <v>10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/>
      <c r="P11304" s="3"/>
      <c r="Q11304" s="3"/>
    </row>
    <row r="11305" spans="1:17" ht="15" x14ac:dyDescent="0.25">
      <c r="A11305" s="3">
        <f>11298</f>
        <v>11298</v>
      </c>
      <c r="B11305" s="3" t="s">
        <v>11307</v>
      </c>
      <c r="C11305" s="3" t="s">
        <v>9</v>
      </c>
      <c r="D11305" s="3" t="s">
        <v>10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/>
      <c r="P11305" s="3"/>
      <c r="Q11305" s="3"/>
    </row>
    <row r="11306" spans="1:17" ht="15" x14ac:dyDescent="0.25">
      <c r="A11306" s="3">
        <f>11299</f>
        <v>11299</v>
      </c>
      <c r="B11306" s="3" t="s">
        <v>11308</v>
      </c>
      <c r="C11306" s="3" t="s">
        <v>9</v>
      </c>
      <c r="D11306" s="3" t="s">
        <v>10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/>
      <c r="P11306" s="3"/>
      <c r="Q11306" s="3"/>
    </row>
    <row r="11307" spans="1:17" ht="15" x14ac:dyDescent="0.25">
      <c r="A11307" s="3">
        <f>11300</f>
        <v>11300</v>
      </c>
      <c r="B11307" s="3" t="s">
        <v>11309</v>
      </c>
      <c r="C11307" s="3" t="s">
        <v>9</v>
      </c>
      <c r="D11307" s="3" t="s">
        <v>10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/>
      <c r="P11307" s="3"/>
      <c r="Q11307" s="3"/>
    </row>
    <row r="11308" spans="1:17" ht="15" x14ac:dyDescent="0.25">
      <c r="A11308" s="3">
        <f>11301</f>
        <v>11301</v>
      </c>
      <c r="B11308" s="3" t="s">
        <v>11310</v>
      </c>
      <c r="C11308" s="3" t="s">
        <v>9</v>
      </c>
      <c r="D11308" s="3" t="s">
        <v>10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/>
      <c r="P11308" s="3"/>
      <c r="Q11308" s="3"/>
    </row>
    <row r="11309" spans="1:17" ht="15" x14ac:dyDescent="0.25">
      <c r="A11309" s="3">
        <f>11302</f>
        <v>11302</v>
      </c>
      <c r="B11309" s="3" t="s">
        <v>11311</v>
      </c>
      <c r="C11309" s="3" t="s">
        <v>9</v>
      </c>
      <c r="D11309" s="3" t="s">
        <v>10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/>
      <c r="P11309" s="3"/>
      <c r="Q11309" s="3"/>
    </row>
    <row r="11310" spans="1:17" ht="15" x14ac:dyDescent="0.25">
      <c r="A11310" s="3">
        <f>11303</f>
        <v>11303</v>
      </c>
      <c r="B11310" s="3" t="s">
        <v>11312</v>
      </c>
      <c r="C11310" s="3" t="s">
        <v>9</v>
      </c>
      <c r="D11310" s="3" t="s">
        <v>10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/>
      <c r="P11310" s="3"/>
      <c r="Q11310" s="3"/>
    </row>
    <row r="11311" spans="1:17" ht="15" x14ac:dyDescent="0.25">
      <c r="A11311" s="3">
        <f>11304</f>
        <v>11304</v>
      </c>
      <c r="B11311" s="3" t="s">
        <v>11313</v>
      </c>
      <c r="C11311" s="3" t="s">
        <v>9</v>
      </c>
      <c r="D11311" s="3" t="s">
        <v>10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/>
      <c r="P11311" s="3"/>
      <c r="Q11311" s="3"/>
    </row>
    <row r="11312" spans="1:17" ht="15" x14ac:dyDescent="0.25">
      <c r="A11312" s="3">
        <f>11305</f>
        <v>11305</v>
      </c>
      <c r="B11312" s="3" t="s">
        <v>11314</v>
      </c>
      <c r="C11312" s="3" t="s">
        <v>9</v>
      </c>
      <c r="D11312" s="3" t="s">
        <v>10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/>
      <c r="P11312" s="3"/>
      <c r="Q11312" s="3"/>
    </row>
    <row r="11313" spans="1:17" ht="15" x14ac:dyDescent="0.25">
      <c r="A11313" s="3">
        <f>11306</f>
        <v>11306</v>
      </c>
      <c r="B11313" s="3" t="s">
        <v>11315</v>
      </c>
      <c r="C11313" s="3" t="s">
        <v>9</v>
      </c>
      <c r="D11313" s="3" t="s">
        <v>10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/>
      <c r="P11313" s="3"/>
      <c r="Q11313" s="3"/>
    </row>
    <row r="11314" spans="1:17" ht="15" x14ac:dyDescent="0.25">
      <c r="A11314" s="3">
        <f>11307</f>
        <v>11307</v>
      </c>
      <c r="B11314" s="3" t="s">
        <v>11316</v>
      </c>
      <c r="C11314" s="3" t="s">
        <v>9</v>
      </c>
      <c r="D11314" s="3" t="s">
        <v>10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/>
      <c r="P11314" s="3"/>
      <c r="Q11314" s="3"/>
    </row>
    <row r="11315" spans="1:17" ht="15" x14ac:dyDescent="0.25">
      <c r="A11315" s="3">
        <f>11308</f>
        <v>11308</v>
      </c>
      <c r="B11315" s="3" t="s">
        <v>11317</v>
      </c>
      <c r="C11315" s="3" t="s">
        <v>9</v>
      </c>
      <c r="D11315" s="3" t="s">
        <v>10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/>
      <c r="P11315" s="3"/>
      <c r="Q11315" s="3"/>
    </row>
    <row r="11316" spans="1:17" ht="15" x14ac:dyDescent="0.25">
      <c r="A11316" s="3">
        <f>11309</f>
        <v>11309</v>
      </c>
      <c r="B11316" s="3" t="s">
        <v>11318</v>
      </c>
      <c r="C11316" s="3" t="s">
        <v>9</v>
      </c>
      <c r="D11316" s="3" t="s">
        <v>10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/>
      <c r="P11316" s="3"/>
      <c r="Q11316" s="3"/>
    </row>
    <row r="11317" spans="1:17" ht="15" x14ac:dyDescent="0.25">
      <c r="A11317" s="3">
        <f>11310</f>
        <v>11310</v>
      </c>
      <c r="B11317" s="3" t="s">
        <v>11319</v>
      </c>
      <c r="C11317" s="3" t="s">
        <v>9</v>
      </c>
      <c r="D11317" s="3" t="s">
        <v>10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/>
      <c r="P11317" s="3"/>
      <c r="Q11317" s="3"/>
    </row>
    <row r="11318" spans="1:17" ht="15" x14ac:dyDescent="0.25">
      <c r="A11318" s="3">
        <f>11311</f>
        <v>11311</v>
      </c>
      <c r="B11318" s="3" t="s">
        <v>11320</v>
      </c>
      <c r="C11318" s="3" t="s">
        <v>9</v>
      </c>
      <c r="D11318" s="3" t="s">
        <v>10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/>
      <c r="P11318" s="3"/>
      <c r="Q11318" s="3"/>
    </row>
    <row r="11319" spans="1:17" ht="15" x14ac:dyDescent="0.25">
      <c r="A11319" s="3">
        <f>11312</f>
        <v>11312</v>
      </c>
      <c r="B11319" s="3" t="s">
        <v>11321</v>
      </c>
      <c r="C11319" s="3" t="s">
        <v>9</v>
      </c>
      <c r="D11319" s="3" t="s">
        <v>10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/>
      <c r="P11319" s="3"/>
      <c r="Q11319" s="3"/>
    </row>
    <row r="11320" spans="1:17" ht="15" x14ac:dyDescent="0.25">
      <c r="A11320" s="3">
        <f>11313</f>
        <v>11313</v>
      </c>
      <c r="B11320" s="3" t="s">
        <v>11322</v>
      </c>
      <c r="C11320" s="3" t="s">
        <v>9</v>
      </c>
      <c r="D11320" s="3" t="s">
        <v>10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/>
      <c r="P11320" s="3"/>
      <c r="Q11320" s="3"/>
    </row>
    <row r="11321" spans="1:17" ht="15" x14ac:dyDescent="0.25">
      <c r="A11321" s="3">
        <f>11314</f>
        <v>11314</v>
      </c>
      <c r="B11321" s="3" t="s">
        <v>11323</v>
      </c>
      <c r="C11321" s="3" t="s">
        <v>9</v>
      </c>
      <c r="D11321" s="3" t="s">
        <v>10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/>
      <c r="P11321" s="3"/>
      <c r="Q11321" s="3"/>
    </row>
    <row r="11322" spans="1:17" ht="15" x14ac:dyDescent="0.25">
      <c r="A11322" s="3">
        <f>11315</f>
        <v>11315</v>
      </c>
      <c r="B11322" s="3" t="s">
        <v>11324</v>
      </c>
      <c r="C11322" s="3" t="s">
        <v>9</v>
      </c>
      <c r="D11322" s="3" t="s">
        <v>10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/>
      <c r="P11322" s="3"/>
      <c r="Q11322" s="3"/>
    </row>
    <row r="11323" spans="1:17" ht="15" x14ac:dyDescent="0.25">
      <c r="A11323" s="3">
        <f>11316</f>
        <v>11316</v>
      </c>
      <c r="B11323" s="3" t="s">
        <v>11325</v>
      </c>
      <c r="C11323" s="3" t="s">
        <v>9</v>
      </c>
      <c r="D11323" s="3" t="s">
        <v>10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/>
      <c r="P11323" s="3"/>
      <c r="Q11323" s="3"/>
    </row>
    <row r="11324" spans="1:17" ht="15" x14ac:dyDescent="0.25">
      <c r="A11324" s="3">
        <f>11317</f>
        <v>11317</v>
      </c>
      <c r="B11324" s="3" t="s">
        <v>11326</v>
      </c>
      <c r="C11324" s="3" t="s">
        <v>9</v>
      </c>
      <c r="D11324" s="3" t="s">
        <v>10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/>
      <c r="P11324" s="3"/>
      <c r="Q11324" s="3"/>
    </row>
    <row r="11325" spans="1:17" ht="15" x14ac:dyDescent="0.25">
      <c r="A11325" s="3">
        <f>11318</f>
        <v>11318</v>
      </c>
      <c r="B11325" s="3" t="s">
        <v>11327</v>
      </c>
      <c r="C11325" s="3" t="s">
        <v>9</v>
      </c>
      <c r="D11325" s="3" t="s">
        <v>10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s="3"/>
      <c r="P11325" s="3"/>
      <c r="Q11325" s="3"/>
    </row>
    <row r="11326" spans="1:17" ht="15" x14ac:dyDescent="0.25">
      <c r="A11326" s="3">
        <f>11319</f>
        <v>11319</v>
      </c>
      <c r="B11326" s="3" t="s">
        <v>11328</v>
      </c>
      <c r="C11326" s="3" t="s">
        <v>9</v>
      </c>
      <c r="D11326" s="3" t="s">
        <v>10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/>
      <c r="P11326" s="3"/>
      <c r="Q11326" s="3"/>
    </row>
    <row r="11327" spans="1:17" ht="15" x14ac:dyDescent="0.25">
      <c r="A11327" s="3">
        <f>11320</f>
        <v>11320</v>
      </c>
      <c r="B11327" s="3" t="s">
        <v>11329</v>
      </c>
      <c r="C11327" s="3" t="s">
        <v>9</v>
      </c>
      <c r="D11327" s="3" t="s">
        <v>10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/>
      <c r="P11327" s="3"/>
      <c r="Q11327" s="3"/>
    </row>
    <row r="11328" spans="1:17" ht="15" x14ac:dyDescent="0.25">
      <c r="A11328" s="3">
        <f>11321</f>
        <v>11321</v>
      </c>
      <c r="B11328" s="3" t="s">
        <v>11330</v>
      </c>
      <c r="C11328" s="3" t="s">
        <v>9</v>
      </c>
      <c r="D11328" s="3" t="s">
        <v>10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/>
      <c r="P11328" s="3"/>
      <c r="Q11328" s="3"/>
    </row>
    <row r="11329" spans="1:17" ht="15" x14ac:dyDescent="0.25">
      <c r="A11329" s="3">
        <f>11322</f>
        <v>11322</v>
      </c>
      <c r="B11329" s="3" t="s">
        <v>11331</v>
      </c>
      <c r="C11329" s="3" t="s">
        <v>9</v>
      </c>
      <c r="D11329" s="3" t="s">
        <v>10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/>
      <c r="P11329" s="3"/>
      <c r="Q11329" s="3"/>
    </row>
    <row r="11330" spans="1:17" ht="15" x14ac:dyDescent="0.25">
      <c r="A11330" s="3">
        <f>11323</f>
        <v>11323</v>
      </c>
      <c r="B11330" s="3" t="s">
        <v>11332</v>
      </c>
      <c r="C11330" s="3" t="s">
        <v>9</v>
      </c>
      <c r="D11330" s="3" t="s">
        <v>10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/>
      <c r="P11330" s="3"/>
      <c r="Q11330" s="3"/>
    </row>
    <row r="11331" spans="1:17" ht="15" x14ac:dyDescent="0.25">
      <c r="A11331" s="3">
        <f>11324</f>
        <v>11324</v>
      </c>
      <c r="B11331" s="3" t="s">
        <v>11333</v>
      </c>
      <c r="C11331" s="3" t="s">
        <v>9</v>
      </c>
      <c r="D11331" s="3" t="s">
        <v>10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/>
      <c r="P11331" s="3"/>
      <c r="Q11331" s="3"/>
    </row>
    <row r="11332" spans="1:17" ht="15" x14ac:dyDescent="0.25">
      <c r="A11332" s="3">
        <f>11325</f>
        <v>11325</v>
      </c>
      <c r="B11332" s="3" t="s">
        <v>11334</v>
      </c>
      <c r="C11332" s="3" t="s">
        <v>9</v>
      </c>
      <c r="D11332" s="3" t="s">
        <v>10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/>
      <c r="P11332" s="3"/>
      <c r="Q11332" s="3"/>
    </row>
    <row r="11333" spans="1:17" ht="15" x14ac:dyDescent="0.25">
      <c r="A11333" s="3">
        <f>11326</f>
        <v>11326</v>
      </c>
      <c r="B11333" s="3" t="s">
        <v>11335</v>
      </c>
      <c r="C11333" s="3" t="s">
        <v>9</v>
      </c>
      <c r="D11333" s="3" t="s">
        <v>10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/>
      <c r="P11333" s="3"/>
      <c r="Q11333" s="3"/>
    </row>
    <row r="11334" spans="1:17" ht="15" x14ac:dyDescent="0.25">
      <c r="A11334" s="3">
        <f>11327</f>
        <v>11327</v>
      </c>
      <c r="B11334" s="3" t="s">
        <v>11336</v>
      </c>
      <c r="C11334" s="3" t="s">
        <v>9</v>
      </c>
      <c r="D11334" s="3" t="s">
        <v>10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/>
      <c r="P11334" s="3"/>
      <c r="Q11334" s="3"/>
    </row>
    <row r="11335" spans="1:17" ht="15" x14ac:dyDescent="0.25">
      <c r="A11335" s="3">
        <f>11328</f>
        <v>11328</v>
      </c>
      <c r="B11335" s="3" t="s">
        <v>11337</v>
      </c>
      <c r="C11335" s="3" t="s">
        <v>9</v>
      </c>
      <c r="D11335" s="3" t="s">
        <v>10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/>
      <c r="P11335" s="3"/>
      <c r="Q11335" s="3"/>
    </row>
    <row r="11336" spans="1:17" ht="15" x14ac:dyDescent="0.25">
      <c r="A11336" s="3">
        <f>11329</f>
        <v>11329</v>
      </c>
      <c r="B11336" s="3" t="s">
        <v>11338</v>
      </c>
      <c r="C11336" s="3" t="s">
        <v>9</v>
      </c>
      <c r="D11336" s="3" t="s">
        <v>10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/>
      <c r="P11336" s="3"/>
      <c r="Q11336" s="3"/>
    </row>
    <row r="11337" spans="1:17" ht="15" x14ac:dyDescent="0.25">
      <c r="A11337" s="3">
        <f>11330</f>
        <v>11330</v>
      </c>
      <c r="B11337" s="3" t="s">
        <v>11339</v>
      </c>
      <c r="C11337" s="3" t="s">
        <v>9</v>
      </c>
      <c r="D11337" s="3" t="s">
        <v>10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/>
      <c r="P11337" s="3"/>
      <c r="Q11337" s="3"/>
    </row>
    <row r="11338" spans="1:17" ht="15" x14ac:dyDescent="0.25">
      <c r="A11338" s="3">
        <f>11331</f>
        <v>11331</v>
      </c>
      <c r="B11338" s="3" t="s">
        <v>11340</v>
      </c>
      <c r="C11338" s="3" t="s">
        <v>9</v>
      </c>
      <c r="D11338" s="3" t="s">
        <v>10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/>
      <c r="P11338" s="3"/>
      <c r="Q11338" s="3"/>
    </row>
    <row r="11339" spans="1:17" ht="15" x14ac:dyDescent="0.25">
      <c r="A11339" s="3">
        <f>11332</f>
        <v>11332</v>
      </c>
      <c r="B11339" s="3" t="s">
        <v>11341</v>
      </c>
      <c r="C11339" s="3" t="s">
        <v>9</v>
      </c>
      <c r="D11339" s="3" t="s">
        <v>10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/>
      <c r="P11339" s="3"/>
      <c r="Q11339" s="3"/>
    </row>
    <row r="11340" spans="1:17" ht="15" x14ac:dyDescent="0.25">
      <c r="A11340" s="3">
        <f>11333</f>
        <v>11333</v>
      </c>
      <c r="B11340" s="3" t="s">
        <v>11342</v>
      </c>
      <c r="C11340" s="3" t="s">
        <v>9</v>
      </c>
      <c r="D11340" s="3" t="s">
        <v>10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/>
      <c r="P11340" s="3"/>
      <c r="Q11340" s="3"/>
    </row>
    <row r="11341" spans="1:17" ht="15" x14ac:dyDescent="0.25">
      <c r="A11341" s="3">
        <f>11334</f>
        <v>11334</v>
      </c>
      <c r="B11341" s="3" t="s">
        <v>11343</v>
      </c>
      <c r="C11341" s="3" t="s">
        <v>9</v>
      </c>
      <c r="D11341" s="3" t="s">
        <v>10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/>
      <c r="P11341" s="3"/>
      <c r="Q11341" s="3"/>
    </row>
    <row r="11342" spans="1:17" ht="15" x14ac:dyDescent="0.25">
      <c r="A11342" s="3">
        <f>11335</f>
        <v>11335</v>
      </c>
      <c r="B11342" s="3" t="s">
        <v>11344</v>
      </c>
      <c r="C11342" s="3" t="s">
        <v>9</v>
      </c>
      <c r="D11342" s="3" t="s">
        <v>10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/>
      <c r="P11342" s="3"/>
      <c r="Q11342" s="3"/>
    </row>
    <row r="11343" spans="1:17" ht="15" x14ac:dyDescent="0.25">
      <c r="A11343" s="3">
        <f>11336</f>
        <v>11336</v>
      </c>
      <c r="B11343" s="3" t="s">
        <v>11345</v>
      </c>
      <c r="C11343" s="3" t="s">
        <v>9</v>
      </c>
      <c r="D11343" s="3" t="s">
        <v>10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/>
      <c r="P11343" s="3"/>
      <c r="Q11343" s="3"/>
    </row>
    <row r="11344" spans="1:17" ht="15" x14ac:dyDescent="0.25">
      <c r="A11344" s="3">
        <f>11337</f>
        <v>11337</v>
      </c>
      <c r="B11344" s="3" t="s">
        <v>11346</v>
      </c>
      <c r="C11344" s="3" t="s">
        <v>9</v>
      </c>
      <c r="D11344" s="3" t="s">
        <v>10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/>
      <c r="P11344" s="3"/>
      <c r="Q11344" s="3"/>
    </row>
    <row r="11345" spans="1:17" ht="15" x14ac:dyDescent="0.25">
      <c r="A11345" s="3">
        <f>11338</f>
        <v>11338</v>
      </c>
      <c r="B11345" s="3" t="s">
        <v>11347</v>
      </c>
      <c r="C11345" s="3" t="s">
        <v>9</v>
      </c>
      <c r="D11345" s="3" t="s">
        <v>10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/>
      <c r="P11345" s="3"/>
      <c r="Q11345" s="3"/>
    </row>
    <row r="11346" spans="1:17" ht="15" x14ac:dyDescent="0.25">
      <c r="A11346" s="3">
        <f>11339</f>
        <v>11339</v>
      </c>
      <c r="B11346" s="3" t="s">
        <v>11348</v>
      </c>
      <c r="C11346" s="3" t="s">
        <v>9</v>
      </c>
      <c r="D11346" s="3" t="s">
        <v>10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/>
      <c r="P11346" s="3"/>
      <c r="Q11346" s="3"/>
    </row>
    <row r="11347" spans="1:17" ht="15" x14ac:dyDescent="0.25">
      <c r="A11347" s="3">
        <f>11340</f>
        <v>11340</v>
      </c>
      <c r="B11347" s="3" t="s">
        <v>11349</v>
      </c>
      <c r="C11347" s="3" t="s">
        <v>9</v>
      </c>
      <c r="D11347" s="3" t="s">
        <v>10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/>
      <c r="P11347" s="3"/>
      <c r="Q11347" s="3"/>
    </row>
    <row r="11348" spans="1:17" ht="15" x14ac:dyDescent="0.25">
      <c r="A11348" s="3">
        <f>11341</f>
        <v>11341</v>
      </c>
      <c r="B11348" s="3" t="s">
        <v>11350</v>
      </c>
      <c r="C11348" s="3" t="s">
        <v>9</v>
      </c>
      <c r="D11348" s="3" t="s">
        <v>10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/>
      <c r="P11348" s="3"/>
      <c r="Q11348" s="3"/>
    </row>
    <row r="11349" spans="1:17" ht="15" x14ac:dyDescent="0.25">
      <c r="A11349" s="3">
        <f>11342</f>
        <v>11342</v>
      </c>
      <c r="B11349" s="3" t="s">
        <v>11351</v>
      </c>
      <c r="C11349" s="3" t="s">
        <v>9</v>
      </c>
      <c r="D11349" s="3" t="s">
        <v>10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/>
      <c r="P11349" s="3"/>
      <c r="Q11349" s="3"/>
    </row>
    <row r="11350" spans="1:17" ht="15" x14ac:dyDescent="0.25">
      <c r="A11350" s="3">
        <f>11343</f>
        <v>11343</v>
      </c>
      <c r="B11350" s="3" t="s">
        <v>11352</v>
      </c>
      <c r="C11350" s="3" t="s">
        <v>9</v>
      </c>
      <c r="D11350" s="3" t="s">
        <v>10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/>
      <c r="P11350" s="3"/>
      <c r="Q11350" s="3"/>
    </row>
    <row r="11351" spans="1:17" ht="15" x14ac:dyDescent="0.25">
      <c r="A11351" s="3">
        <f>11344</f>
        <v>11344</v>
      </c>
      <c r="B11351" s="3" t="s">
        <v>11353</v>
      </c>
      <c r="C11351" s="3" t="s">
        <v>9</v>
      </c>
      <c r="D11351" s="3" t="s">
        <v>10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/>
      <c r="P11351" s="3"/>
      <c r="Q11351" s="3"/>
    </row>
    <row r="11352" spans="1:17" ht="15" x14ac:dyDescent="0.25">
      <c r="A11352" s="3">
        <f>11345</f>
        <v>11345</v>
      </c>
      <c r="B11352" s="3" t="s">
        <v>11354</v>
      </c>
      <c r="C11352" s="3" t="s">
        <v>9</v>
      </c>
      <c r="D11352" s="3" t="s">
        <v>10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/>
      <c r="P11352" s="3"/>
      <c r="Q11352" s="3"/>
    </row>
    <row r="11353" spans="1:17" ht="15" x14ac:dyDescent="0.25">
      <c r="A11353" s="3">
        <f>11346</f>
        <v>11346</v>
      </c>
      <c r="B11353" s="3" t="s">
        <v>11355</v>
      </c>
      <c r="C11353" s="3" t="s">
        <v>9</v>
      </c>
      <c r="D11353" s="3" t="s">
        <v>10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/>
      <c r="P11353" s="3"/>
      <c r="Q11353" s="3"/>
    </row>
    <row r="11354" spans="1:17" ht="15" x14ac:dyDescent="0.25">
      <c r="A11354" s="3">
        <f>11347</f>
        <v>11347</v>
      </c>
      <c r="B11354" s="3" t="s">
        <v>11356</v>
      </c>
      <c r="C11354" s="3" t="s">
        <v>9</v>
      </c>
      <c r="D11354" s="3" t="s">
        <v>10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/>
      <c r="P11354" s="3"/>
      <c r="Q11354" s="3"/>
    </row>
    <row r="11355" spans="1:17" ht="15" x14ac:dyDescent="0.25">
      <c r="A11355" s="3">
        <f>11348</f>
        <v>11348</v>
      </c>
      <c r="B11355" s="3" t="s">
        <v>11357</v>
      </c>
      <c r="C11355" s="3" t="s">
        <v>9</v>
      </c>
      <c r="D11355" s="3" t="s">
        <v>10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/>
      <c r="P11355" s="3"/>
      <c r="Q11355" s="3"/>
    </row>
    <row r="11356" spans="1:17" ht="15" x14ac:dyDescent="0.25">
      <c r="A11356" s="3">
        <f>11349</f>
        <v>11349</v>
      </c>
      <c r="B11356" s="3" t="s">
        <v>11358</v>
      </c>
      <c r="C11356" s="3" t="s">
        <v>9</v>
      </c>
      <c r="D11356" s="3" t="s">
        <v>10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/>
      <c r="P11356" s="3"/>
      <c r="Q11356" s="3"/>
    </row>
    <row r="11357" spans="1:17" ht="15" x14ac:dyDescent="0.25">
      <c r="A11357" s="3">
        <f>11350</f>
        <v>11350</v>
      </c>
      <c r="B11357" s="3" t="s">
        <v>11359</v>
      </c>
      <c r="C11357" s="3" t="s">
        <v>9</v>
      </c>
      <c r="D11357" s="3" t="s">
        <v>10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/>
      <c r="P11357" s="3"/>
      <c r="Q11357" s="3"/>
    </row>
    <row r="11358" spans="1:17" ht="15" x14ac:dyDescent="0.25">
      <c r="A11358" s="3">
        <f>11351</f>
        <v>11351</v>
      </c>
      <c r="B11358" s="3" t="s">
        <v>11360</v>
      </c>
      <c r="C11358" s="3" t="s">
        <v>9</v>
      </c>
      <c r="D11358" s="3" t="s">
        <v>10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/>
      <c r="P11358" s="3"/>
      <c r="Q11358" s="3"/>
    </row>
    <row r="11359" spans="1:17" ht="15" x14ac:dyDescent="0.25">
      <c r="A11359" s="3">
        <f>11352</f>
        <v>11352</v>
      </c>
      <c r="B11359" s="3" t="s">
        <v>11361</v>
      </c>
      <c r="C11359" s="3" t="s">
        <v>9</v>
      </c>
      <c r="D11359" s="3" t="s">
        <v>10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/>
      <c r="P11359" s="3"/>
      <c r="Q11359" s="3"/>
    </row>
    <row r="11360" spans="1:17" ht="15" x14ac:dyDescent="0.25">
      <c r="A11360" s="3">
        <f>11353</f>
        <v>11353</v>
      </c>
      <c r="B11360" s="3" t="s">
        <v>11362</v>
      </c>
      <c r="C11360" s="3" t="s">
        <v>9</v>
      </c>
      <c r="D11360" s="3" t="s">
        <v>10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/>
      <c r="P11360" s="3"/>
      <c r="Q11360" s="3"/>
    </row>
    <row r="11361" spans="1:17" ht="15" x14ac:dyDescent="0.25">
      <c r="A11361" s="3">
        <f>11354</f>
        <v>11354</v>
      </c>
      <c r="B11361" s="3" t="s">
        <v>11363</v>
      </c>
      <c r="C11361" s="3" t="s">
        <v>9</v>
      </c>
      <c r="D11361" s="3" t="s">
        <v>10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/>
      <c r="P11361" s="3"/>
      <c r="Q11361" s="3"/>
    </row>
    <row r="11362" spans="1:17" ht="15" x14ac:dyDescent="0.25">
      <c r="A11362" s="3">
        <f>11355</f>
        <v>11355</v>
      </c>
      <c r="B11362" s="3" t="s">
        <v>11364</v>
      </c>
      <c r="C11362" s="3" t="s">
        <v>9</v>
      </c>
      <c r="D11362" s="3" t="s">
        <v>10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/>
      <c r="P11362" s="3"/>
      <c r="Q11362" s="3"/>
    </row>
    <row r="11363" spans="1:17" ht="15" x14ac:dyDescent="0.25">
      <c r="A11363" s="3">
        <f>11356</f>
        <v>11356</v>
      </c>
      <c r="B11363" s="3" t="s">
        <v>11365</v>
      </c>
      <c r="C11363" s="3" t="s">
        <v>9</v>
      </c>
      <c r="D11363" s="3" t="s">
        <v>10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/>
      <c r="P11363" s="3"/>
      <c r="Q11363" s="3"/>
    </row>
    <row r="11364" spans="1:17" ht="15" x14ac:dyDescent="0.25">
      <c r="A11364" s="3">
        <f>11357</f>
        <v>11357</v>
      </c>
      <c r="B11364" s="3" t="s">
        <v>11366</v>
      </c>
      <c r="C11364" s="3" t="s">
        <v>9</v>
      </c>
      <c r="D11364" s="3" t="s">
        <v>10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/>
      <c r="P11364" s="3"/>
      <c r="Q11364" s="3"/>
    </row>
    <row r="11365" spans="1:17" ht="15" x14ac:dyDescent="0.25">
      <c r="A11365" s="3">
        <f>11358</f>
        <v>11358</v>
      </c>
      <c r="B11365" s="3" t="s">
        <v>11367</v>
      </c>
      <c r="C11365" s="3" t="s">
        <v>9</v>
      </c>
      <c r="D11365" s="3" t="s">
        <v>10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/>
      <c r="P11365" s="3"/>
      <c r="Q11365" s="3"/>
    </row>
    <row r="11366" spans="1:17" ht="15" x14ac:dyDescent="0.25">
      <c r="A11366" s="3">
        <f>11359</f>
        <v>11359</v>
      </c>
      <c r="B11366" s="3" t="s">
        <v>11368</v>
      </c>
      <c r="C11366" s="3" t="s">
        <v>9</v>
      </c>
      <c r="D11366" s="3" t="s">
        <v>10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/>
      <c r="P11366" s="3"/>
      <c r="Q11366" s="3"/>
    </row>
    <row r="11367" spans="1:17" ht="15" x14ac:dyDescent="0.25">
      <c r="A11367" s="3">
        <f>11360</f>
        <v>11360</v>
      </c>
      <c r="B11367" s="3" t="s">
        <v>11369</v>
      </c>
      <c r="C11367" s="3" t="s">
        <v>9</v>
      </c>
      <c r="D11367" s="3" t="s">
        <v>10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/>
      <c r="P11367" s="3"/>
      <c r="Q11367" s="3"/>
    </row>
    <row r="11368" spans="1:17" ht="15" x14ac:dyDescent="0.25">
      <c r="A11368" s="3">
        <f>11361</f>
        <v>11361</v>
      </c>
      <c r="B11368" s="3" t="s">
        <v>11370</v>
      </c>
      <c r="C11368" s="3" t="s">
        <v>9</v>
      </c>
      <c r="D11368" s="3" t="s">
        <v>10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/>
      <c r="P11368" s="3"/>
      <c r="Q11368" s="3"/>
    </row>
    <row r="11369" spans="1:17" ht="15" x14ac:dyDescent="0.25">
      <c r="A11369" s="3">
        <f>11362</f>
        <v>11362</v>
      </c>
      <c r="B11369" s="3" t="s">
        <v>11371</v>
      </c>
      <c r="C11369" s="3" t="s">
        <v>9</v>
      </c>
      <c r="D11369" s="3" t="s">
        <v>10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/>
      <c r="P11369" s="3"/>
      <c r="Q11369" s="3"/>
    </row>
    <row r="11370" spans="1:17" ht="15" x14ac:dyDescent="0.25">
      <c r="A11370" s="3">
        <f>11363</f>
        <v>11363</v>
      </c>
      <c r="B11370" s="3" t="s">
        <v>11372</v>
      </c>
      <c r="C11370" s="3" t="s">
        <v>9</v>
      </c>
      <c r="D11370" s="3" t="s">
        <v>10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/>
      <c r="P11370" s="3"/>
      <c r="Q11370" s="3"/>
    </row>
    <row r="11371" spans="1:17" ht="15" x14ac:dyDescent="0.25">
      <c r="A11371" s="3">
        <f>11364</f>
        <v>11364</v>
      </c>
      <c r="B11371" s="3" t="s">
        <v>11373</v>
      </c>
      <c r="C11371" s="3" t="s">
        <v>9</v>
      </c>
      <c r="D11371" s="3" t="s">
        <v>10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/>
      <c r="P11371" s="3"/>
      <c r="Q11371" s="3"/>
    </row>
    <row r="11372" spans="1:17" ht="15" x14ac:dyDescent="0.25">
      <c r="A11372" s="3">
        <f>11365</f>
        <v>11365</v>
      </c>
      <c r="B11372" s="3" t="s">
        <v>11374</v>
      </c>
      <c r="C11372" s="3" t="s">
        <v>9</v>
      </c>
      <c r="D11372" s="3" t="s">
        <v>10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/>
      <c r="P11372" s="3"/>
      <c r="Q11372" s="3"/>
    </row>
    <row r="11373" spans="1:17" ht="15" x14ac:dyDescent="0.25">
      <c r="A11373" s="3">
        <f>11366</f>
        <v>11366</v>
      </c>
      <c r="B11373" s="3" t="s">
        <v>11375</v>
      </c>
      <c r="C11373" s="3" t="s">
        <v>9</v>
      </c>
      <c r="D11373" s="3" t="s">
        <v>10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/>
      <c r="P11373" s="3"/>
      <c r="Q11373" s="3"/>
    </row>
    <row r="11374" spans="1:17" ht="15" x14ac:dyDescent="0.25">
      <c r="A11374" s="3">
        <f>11367</f>
        <v>11367</v>
      </c>
      <c r="B11374" s="3" t="s">
        <v>11376</v>
      </c>
      <c r="C11374" s="3" t="s">
        <v>9</v>
      </c>
      <c r="D11374" s="3" t="s">
        <v>10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/>
      <c r="P11374" s="3"/>
      <c r="Q11374" s="3"/>
    </row>
    <row r="11375" spans="1:17" ht="15" x14ac:dyDescent="0.25">
      <c r="A11375" s="3">
        <f>11368</f>
        <v>11368</v>
      </c>
      <c r="B11375" s="3" t="s">
        <v>11377</v>
      </c>
      <c r="C11375" s="3" t="s">
        <v>9</v>
      </c>
      <c r="D11375" s="3" t="s">
        <v>10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/>
      <c r="P11375" s="3"/>
      <c r="Q11375" s="3"/>
    </row>
    <row r="11376" spans="1:17" ht="15" x14ac:dyDescent="0.25">
      <c r="A11376" s="3">
        <f>11369</f>
        <v>11369</v>
      </c>
      <c r="B11376" s="3" t="s">
        <v>11378</v>
      </c>
      <c r="C11376" s="3" t="s">
        <v>9</v>
      </c>
      <c r="D11376" s="3" t="s">
        <v>10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/>
      <c r="P11376" s="3"/>
      <c r="Q11376" s="3"/>
    </row>
    <row r="11377" spans="1:17" ht="15" x14ac:dyDescent="0.25">
      <c r="A11377" s="3">
        <f>11370</f>
        <v>11370</v>
      </c>
      <c r="B11377" s="3" t="s">
        <v>11379</v>
      </c>
      <c r="C11377" s="3" t="s">
        <v>9</v>
      </c>
      <c r="D11377" s="3" t="s">
        <v>10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/>
      <c r="P11377" s="3"/>
      <c r="Q11377" s="3"/>
    </row>
    <row r="11378" spans="1:17" ht="15" x14ac:dyDescent="0.25">
      <c r="A11378" s="3">
        <f>11371</f>
        <v>11371</v>
      </c>
      <c r="B11378" s="3" t="s">
        <v>11380</v>
      </c>
      <c r="C11378" s="3" t="s">
        <v>9</v>
      </c>
      <c r="D11378" s="3" t="s">
        <v>10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/>
      <c r="P11378" s="3"/>
      <c r="Q11378" s="3"/>
    </row>
    <row r="11379" spans="1:17" ht="15" x14ac:dyDescent="0.25">
      <c r="A11379" s="3">
        <f>11372</f>
        <v>11372</v>
      </c>
      <c r="B11379" s="3" t="s">
        <v>11381</v>
      </c>
      <c r="C11379" s="3" t="s">
        <v>9</v>
      </c>
      <c r="D11379" s="3" t="s">
        <v>10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/>
      <c r="P11379" s="3"/>
      <c r="Q11379" s="3"/>
    </row>
    <row r="11380" spans="1:17" ht="15" x14ac:dyDescent="0.25">
      <c r="A11380" s="3">
        <f>11373</f>
        <v>11373</v>
      </c>
      <c r="B11380" s="3" t="s">
        <v>11382</v>
      </c>
      <c r="C11380" s="3" t="s">
        <v>9</v>
      </c>
      <c r="D11380" s="3" t="s">
        <v>10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/>
      <c r="P11380" s="3"/>
      <c r="Q11380" s="3"/>
    </row>
    <row r="11381" spans="1:17" ht="15" x14ac:dyDescent="0.25">
      <c r="A11381" s="3">
        <f>11374</f>
        <v>11374</v>
      </c>
      <c r="B11381" s="3" t="s">
        <v>11383</v>
      </c>
      <c r="C11381" s="3" t="s">
        <v>9</v>
      </c>
      <c r="D11381" s="3" t="s">
        <v>10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/>
      <c r="P11381" s="3"/>
      <c r="Q11381" s="3"/>
    </row>
    <row r="11382" spans="1:17" ht="15" x14ac:dyDescent="0.25">
      <c r="A11382" s="3">
        <f>11375</f>
        <v>11375</v>
      </c>
      <c r="B11382" s="3" t="s">
        <v>11384</v>
      </c>
      <c r="C11382" s="3" t="s">
        <v>9</v>
      </c>
      <c r="D11382" s="3" t="s">
        <v>10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/>
      <c r="P11382" s="3"/>
      <c r="Q11382" s="3"/>
    </row>
    <row r="11383" spans="1:17" ht="15" x14ac:dyDescent="0.25">
      <c r="A11383" s="3">
        <f>11376</f>
        <v>11376</v>
      </c>
      <c r="B11383" s="3" t="s">
        <v>11385</v>
      </c>
      <c r="C11383" s="3" t="s">
        <v>9</v>
      </c>
      <c r="D11383" s="3" t="s">
        <v>10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/>
      <c r="P11383" s="3"/>
      <c r="Q11383" s="3"/>
    </row>
    <row r="11384" spans="1:17" ht="15" x14ac:dyDescent="0.25">
      <c r="A11384" s="3">
        <f>11377</f>
        <v>11377</v>
      </c>
      <c r="B11384" s="3" t="s">
        <v>11386</v>
      </c>
      <c r="C11384" s="3" t="s">
        <v>9</v>
      </c>
      <c r="D11384" s="3" t="s">
        <v>10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/>
      <c r="P11384" s="3"/>
      <c r="Q11384" s="3"/>
    </row>
    <row r="11385" spans="1:17" ht="15" x14ac:dyDescent="0.25">
      <c r="A11385" s="3">
        <f>11378</f>
        <v>11378</v>
      </c>
      <c r="B11385" s="3" t="s">
        <v>11387</v>
      </c>
      <c r="C11385" s="3" t="s">
        <v>9</v>
      </c>
      <c r="D11385" s="3" t="s">
        <v>10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/>
      <c r="P11385" s="3"/>
      <c r="Q11385" s="3"/>
    </row>
    <row r="11386" spans="1:17" ht="15" x14ac:dyDescent="0.25">
      <c r="A11386" s="3">
        <f>11379</f>
        <v>11379</v>
      </c>
      <c r="B11386" s="3" t="s">
        <v>11388</v>
      </c>
      <c r="C11386" s="3" t="s">
        <v>9</v>
      </c>
      <c r="D11386" s="3" t="s">
        <v>10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/>
      <c r="P11386" s="3"/>
      <c r="Q11386" s="3"/>
    </row>
    <row r="11387" spans="1:17" ht="15" x14ac:dyDescent="0.25">
      <c r="A11387" s="3">
        <f>11380</f>
        <v>11380</v>
      </c>
      <c r="B11387" s="3" t="s">
        <v>11389</v>
      </c>
      <c r="C11387" s="3" t="s">
        <v>9</v>
      </c>
      <c r="D11387" s="3" t="s">
        <v>10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/>
      <c r="P11387" s="3"/>
      <c r="Q11387" s="3"/>
    </row>
    <row r="11388" spans="1:17" ht="15" x14ac:dyDescent="0.25">
      <c r="A11388" s="3">
        <f>11381</f>
        <v>11381</v>
      </c>
      <c r="B11388" s="3" t="s">
        <v>11390</v>
      </c>
      <c r="C11388" s="3" t="s">
        <v>9</v>
      </c>
      <c r="D11388" s="3" t="s">
        <v>10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/>
      <c r="P11388" s="3"/>
      <c r="Q11388" s="3"/>
    </row>
    <row r="11389" spans="1:17" ht="15" x14ac:dyDescent="0.25">
      <c r="A11389" s="3">
        <f>11382</f>
        <v>11382</v>
      </c>
      <c r="B11389" s="3" t="s">
        <v>11391</v>
      </c>
      <c r="C11389" s="3" t="s">
        <v>9</v>
      </c>
      <c r="D11389" s="3" t="s">
        <v>10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/>
      <c r="P11389" s="3"/>
      <c r="Q11389" s="3"/>
    </row>
    <row r="11390" spans="1:17" ht="15" x14ac:dyDescent="0.25">
      <c r="A11390" s="3">
        <f>11383</f>
        <v>11383</v>
      </c>
      <c r="B11390" s="3" t="s">
        <v>11392</v>
      </c>
      <c r="C11390" s="3" t="s">
        <v>9</v>
      </c>
      <c r="D11390" s="3" t="s">
        <v>10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/>
      <c r="P11390" s="3"/>
      <c r="Q11390" s="3"/>
    </row>
    <row r="11391" spans="1:17" ht="15" x14ac:dyDescent="0.25">
      <c r="A11391" s="3">
        <f>11384</f>
        <v>11384</v>
      </c>
      <c r="B11391" s="3" t="s">
        <v>11393</v>
      </c>
      <c r="C11391" s="3" t="s">
        <v>9</v>
      </c>
      <c r="D11391" s="3" t="s">
        <v>10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/>
      <c r="P11391" s="3"/>
      <c r="Q11391" s="3"/>
    </row>
    <row r="11392" spans="1:17" ht="15" x14ac:dyDescent="0.25">
      <c r="A11392" s="3">
        <f>11385</f>
        <v>11385</v>
      </c>
      <c r="B11392" s="3" t="s">
        <v>11394</v>
      </c>
      <c r="C11392" s="3" t="s">
        <v>9</v>
      </c>
      <c r="D11392" s="3" t="s">
        <v>10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/>
      <c r="P11392" s="3"/>
      <c r="Q11392" s="3"/>
    </row>
    <row r="11393" spans="1:17" ht="15" x14ac:dyDescent="0.25">
      <c r="A11393" s="3">
        <f>11386</f>
        <v>11386</v>
      </c>
      <c r="B11393" s="3" t="s">
        <v>11395</v>
      </c>
      <c r="C11393" s="3" t="s">
        <v>9</v>
      </c>
      <c r="D11393" s="3" t="s">
        <v>10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/>
      <c r="P11393" s="3"/>
      <c r="Q11393" s="3"/>
    </row>
    <row r="11394" spans="1:17" ht="15" x14ac:dyDescent="0.25">
      <c r="A11394" s="3">
        <f>11387</f>
        <v>11387</v>
      </c>
      <c r="B11394" s="3" t="s">
        <v>11396</v>
      </c>
      <c r="C11394" s="3" t="s">
        <v>9</v>
      </c>
      <c r="D11394" s="3" t="s">
        <v>10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/>
      <c r="P11394" s="3"/>
      <c r="Q11394" s="3"/>
    </row>
    <row r="11395" spans="1:17" ht="15" x14ac:dyDescent="0.25">
      <c r="A11395" s="3">
        <f>11388</f>
        <v>11388</v>
      </c>
      <c r="B11395" s="3" t="s">
        <v>11397</v>
      </c>
      <c r="C11395" s="3" t="s">
        <v>9</v>
      </c>
      <c r="D11395" s="3" t="s">
        <v>10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/>
      <c r="P11395" s="3"/>
      <c r="Q11395" s="3"/>
    </row>
    <row r="11396" spans="1:17" ht="15" x14ac:dyDescent="0.25">
      <c r="A11396" s="3">
        <f>11389</f>
        <v>11389</v>
      </c>
      <c r="B11396" s="3" t="s">
        <v>11398</v>
      </c>
      <c r="C11396" s="3" t="s">
        <v>9</v>
      </c>
      <c r="D11396" s="3" t="s">
        <v>10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/>
      <c r="P11396" s="3"/>
      <c r="Q11396" s="3"/>
    </row>
    <row r="11397" spans="1:17" ht="15" x14ac:dyDescent="0.25">
      <c r="A11397" s="3">
        <f>11390</f>
        <v>11390</v>
      </c>
      <c r="B11397" s="3" t="s">
        <v>11399</v>
      </c>
      <c r="C11397" s="3" t="s">
        <v>9</v>
      </c>
      <c r="D11397" s="3" t="s">
        <v>10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/>
      <c r="P11397" s="3"/>
      <c r="Q11397" s="3"/>
    </row>
    <row r="11398" spans="1:17" ht="15" x14ac:dyDescent="0.25">
      <c r="A11398" s="3">
        <f>11391</f>
        <v>11391</v>
      </c>
      <c r="B11398" s="3" t="s">
        <v>11400</v>
      </c>
      <c r="C11398" s="3" t="s">
        <v>9</v>
      </c>
      <c r="D11398" s="3" t="s">
        <v>10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/>
      <c r="P11398" s="3"/>
      <c r="Q11398" s="3"/>
    </row>
    <row r="11399" spans="1:17" ht="15" x14ac:dyDescent="0.25">
      <c r="A11399" s="3">
        <f>11392</f>
        <v>11392</v>
      </c>
      <c r="B11399" s="3" t="s">
        <v>11401</v>
      </c>
      <c r="C11399" s="3" t="s">
        <v>9</v>
      </c>
      <c r="D11399" s="3" t="s">
        <v>10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/>
      <c r="P11399" s="3"/>
      <c r="Q11399" s="3"/>
    </row>
    <row r="11400" spans="1:17" ht="15" x14ac:dyDescent="0.25">
      <c r="A11400" s="3">
        <f>11393</f>
        <v>11393</v>
      </c>
      <c r="B11400" s="3" t="s">
        <v>11402</v>
      </c>
      <c r="C11400" s="3" t="s">
        <v>9</v>
      </c>
      <c r="D11400" s="3" t="s">
        <v>10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/>
      <c r="P11400" s="3"/>
      <c r="Q11400" s="3"/>
    </row>
    <row r="11401" spans="1:17" ht="15" x14ac:dyDescent="0.25">
      <c r="A11401" s="3">
        <f>11394</f>
        <v>11394</v>
      </c>
      <c r="B11401" s="3" t="s">
        <v>11403</v>
      </c>
      <c r="C11401" s="3" t="s">
        <v>9</v>
      </c>
      <c r="D11401" s="3" t="s">
        <v>10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/>
      <c r="P11401" s="3"/>
      <c r="Q11401" s="3"/>
    </row>
    <row r="11402" spans="1:17" ht="15" x14ac:dyDescent="0.25">
      <c r="A11402" s="3">
        <f>11395</f>
        <v>11395</v>
      </c>
      <c r="B11402" s="3" t="s">
        <v>11404</v>
      </c>
      <c r="C11402" s="3" t="s">
        <v>9</v>
      </c>
      <c r="D11402" s="3" t="s">
        <v>10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/>
      <c r="P11402" s="3"/>
      <c r="Q11402" s="3"/>
    </row>
    <row r="11403" spans="1:17" ht="15" x14ac:dyDescent="0.25">
      <c r="A11403" s="3">
        <f>11396</f>
        <v>11396</v>
      </c>
      <c r="B11403" s="3" t="s">
        <v>11405</v>
      </c>
      <c r="C11403" s="3" t="s">
        <v>9</v>
      </c>
      <c r="D11403" s="3" t="s">
        <v>10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/>
      <c r="P11403" s="3"/>
      <c r="Q11403" s="3"/>
    </row>
    <row r="11404" spans="1:17" ht="15" x14ac:dyDescent="0.25">
      <c r="A11404" s="3">
        <f>11397</f>
        <v>11397</v>
      </c>
      <c r="B11404" s="3" t="s">
        <v>11406</v>
      </c>
      <c r="C11404" s="3" t="s">
        <v>9</v>
      </c>
      <c r="D11404" s="3" t="s">
        <v>10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/>
      <c r="P11404" s="3"/>
      <c r="Q11404" s="3"/>
    </row>
    <row r="11405" spans="1:17" ht="15" x14ac:dyDescent="0.25">
      <c r="A11405" s="3">
        <f>11398</f>
        <v>11398</v>
      </c>
      <c r="B11405" s="3" t="s">
        <v>11407</v>
      </c>
      <c r="C11405" s="3" t="s">
        <v>9</v>
      </c>
      <c r="D11405" s="3" t="s">
        <v>10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/>
      <c r="P11405" s="3"/>
      <c r="Q11405" s="3"/>
    </row>
    <row r="11406" spans="1:17" ht="15" x14ac:dyDescent="0.25">
      <c r="A11406" s="3">
        <f>11399</f>
        <v>11399</v>
      </c>
      <c r="B11406" s="3" t="s">
        <v>11408</v>
      </c>
      <c r="C11406" s="3" t="s">
        <v>9</v>
      </c>
      <c r="D11406" s="3" t="s">
        <v>10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/>
      <c r="P11406" s="3"/>
      <c r="Q11406" s="3"/>
    </row>
    <row r="11407" spans="1:17" ht="15" x14ac:dyDescent="0.25">
      <c r="A11407" s="3">
        <f>11400</f>
        <v>11400</v>
      </c>
      <c r="B11407" s="3" t="s">
        <v>11409</v>
      </c>
      <c r="C11407" s="3" t="s">
        <v>9</v>
      </c>
      <c r="D11407" s="3" t="s">
        <v>10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/>
      <c r="P11407" s="3"/>
      <c r="Q11407" s="3"/>
    </row>
    <row r="11408" spans="1:17" ht="15" x14ac:dyDescent="0.25">
      <c r="A11408" s="3">
        <f>11401</f>
        <v>11401</v>
      </c>
      <c r="B11408" s="3" t="s">
        <v>11410</v>
      </c>
      <c r="C11408" s="3" t="s">
        <v>9</v>
      </c>
      <c r="D11408" s="3" t="s">
        <v>10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/>
      <c r="P11408" s="3"/>
      <c r="Q11408" s="3"/>
    </row>
    <row r="11409" spans="1:17" ht="15" x14ac:dyDescent="0.25">
      <c r="A11409" s="3">
        <f>11402</f>
        <v>11402</v>
      </c>
      <c r="B11409" s="3" t="s">
        <v>11411</v>
      </c>
      <c r="C11409" s="3" t="s">
        <v>9</v>
      </c>
      <c r="D11409" s="3" t="s">
        <v>10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/>
      <c r="P11409" s="3"/>
      <c r="Q11409" s="3"/>
    </row>
    <row r="11410" spans="1:17" ht="15" x14ac:dyDescent="0.25">
      <c r="A11410" s="3">
        <f>11403</f>
        <v>11403</v>
      </c>
      <c r="B11410" s="3" t="s">
        <v>11412</v>
      </c>
      <c r="C11410" s="3" t="s">
        <v>9</v>
      </c>
      <c r="D11410" s="3" t="s">
        <v>10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/>
      <c r="P11410" s="3"/>
      <c r="Q11410" s="3"/>
    </row>
    <row r="11411" spans="1:17" ht="15" x14ac:dyDescent="0.25">
      <c r="A11411" s="3">
        <f>11404</f>
        <v>11404</v>
      </c>
      <c r="B11411" s="3" t="s">
        <v>11413</v>
      </c>
      <c r="C11411" s="3" t="s">
        <v>9</v>
      </c>
      <c r="D11411" s="3" t="s">
        <v>10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/>
      <c r="P11411" s="3"/>
      <c r="Q11411" s="3"/>
    </row>
    <row r="11412" spans="1:17" ht="15" x14ac:dyDescent="0.25">
      <c r="A11412" s="3">
        <f>11405</f>
        <v>11405</v>
      </c>
      <c r="B11412" s="3" t="s">
        <v>11414</v>
      </c>
      <c r="C11412" s="3" t="s">
        <v>9</v>
      </c>
      <c r="D11412" s="3" t="s">
        <v>10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/>
      <c r="P11412" s="3"/>
      <c r="Q11412" s="3"/>
    </row>
    <row r="11413" spans="1:17" ht="15" x14ac:dyDescent="0.25">
      <c r="A11413" s="3">
        <f>11406</f>
        <v>11406</v>
      </c>
      <c r="B11413" s="3" t="s">
        <v>11415</v>
      </c>
      <c r="C11413" s="3" t="s">
        <v>9</v>
      </c>
      <c r="D11413" s="3" t="s">
        <v>10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/>
      <c r="P11413" s="3"/>
      <c r="Q11413" s="3"/>
    </row>
    <row r="11414" spans="1:17" ht="15" x14ac:dyDescent="0.25">
      <c r="A11414" s="3">
        <f>11407</f>
        <v>11407</v>
      </c>
      <c r="B11414" s="3" t="s">
        <v>11416</v>
      </c>
      <c r="C11414" s="3" t="s">
        <v>9</v>
      </c>
      <c r="D11414" s="3" t="s">
        <v>10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/>
      <c r="P11414" s="3"/>
      <c r="Q11414" s="3"/>
    </row>
    <row r="11415" spans="1:17" ht="15" x14ac:dyDescent="0.25">
      <c r="A11415" s="3">
        <f>11408</f>
        <v>11408</v>
      </c>
      <c r="B11415" s="3" t="s">
        <v>11417</v>
      </c>
      <c r="C11415" s="3" t="s">
        <v>9</v>
      </c>
      <c r="D11415" s="3" t="s">
        <v>10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/>
      <c r="P11415" s="3"/>
      <c r="Q11415" s="3"/>
    </row>
    <row r="11416" spans="1:17" ht="15" x14ac:dyDescent="0.25">
      <c r="A11416" s="3">
        <f>11409</f>
        <v>11409</v>
      </c>
      <c r="B11416" s="3" t="s">
        <v>11418</v>
      </c>
      <c r="C11416" s="3" t="s">
        <v>9</v>
      </c>
      <c r="D11416" s="3" t="s">
        <v>10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/>
      <c r="P11416" s="3"/>
      <c r="Q11416" s="3"/>
    </row>
    <row r="11417" spans="1:17" ht="15" x14ac:dyDescent="0.25">
      <c r="A11417" s="3">
        <f>11410</f>
        <v>11410</v>
      </c>
      <c r="B11417" s="3" t="s">
        <v>11419</v>
      </c>
      <c r="C11417" s="3" t="s">
        <v>9</v>
      </c>
      <c r="D11417" s="3" t="s">
        <v>10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/>
      <c r="P11417" s="3"/>
      <c r="Q11417" s="3"/>
    </row>
    <row r="11418" spans="1:17" ht="15" x14ac:dyDescent="0.25">
      <c r="A11418" s="3">
        <f>11411</f>
        <v>11411</v>
      </c>
      <c r="B11418" s="3" t="s">
        <v>11420</v>
      </c>
      <c r="C11418" s="3" t="s">
        <v>9</v>
      </c>
      <c r="D11418" s="3" t="s">
        <v>10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/>
      <c r="P11418" s="3"/>
      <c r="Q11418" s="3"/>
    </row>
    <row r="11419" spans="1:17" ht="15" x14ac:dyDescent="0.25">
      <c r="A11419" s="3">
        <f>11412</f>
        <v>11412</v>
      </c>
      <c r="B11419" s="3" t="s">
        <v>11421</v>
      </c>
      <c r="C11419" s="3" t="s">
        <v>9</v>
      </c>
      <c r="D11419" s="3" t="s">
        <v>10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/>
      <c r="P11419" s="3"/>
      <c r="Q11419" s="3"/>
    </row>
    <row r="11420" spans="1:17" ht="15" x14ac:dyDescent="0.25">
      <c r="A11420" s="3">
        <f>11413</f>
        <v>11413</v>
      </c>
      <c r="B11420" s="3" t="s">
        <v>11422</v>
      </c>
      <c r="C11420" s="3" t="s">
        <v>9</v>
      </c>
      <c r="D11420" s="3" t="s">
        <v>10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/>
      <c r="P11420" s="3"/>
      <c r="Q11420" s="3"/>
    </row>
    <row r="11421" spans="1:17" ht="15" x14ac:dyDescent="0.25">
      <c r="A11421" s="3">
        <f>11414</f>
        <v>11414</v>
      </c>
      <c r="B11421" s="3" t="s">
        <v>11423</v>
      </c>
      <c r="C11421" s="3" t="s">
        <v>9</v>
      </c>
      <c r="D11421" s="3" t="s">
        <v>10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/>
      <c r="P11421" s="3"/>
      <c r="Q11421" s="3"/>
    </row>
    <row r="11422" spans="1:17" ht="15" x14ac:dyDescent="0.25">
      <c r="A11422" s="3">
        <f>11415</f>
        <v>11415</v>
      </c>
      <c r="B11422" s="3" t="s">
        <v>11424</v>
      </c>
      <c r="C11422" s="3" t="s">
        <v>9</v>
      </c>
      <c r="D11422" s="3" t="s">
        <v>10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/>
      <c r="P11422" s="3"/>
      <c r="Q11422" s="3"/>
    </row>
    <row r="11423" spans="1:17" ht="15" x14ac:dyDescent="0.25">
      <c r="A11423" s="3">
        <f>11416</f>
        <v>11416</v>
      </c>
      <c r="B11423" s="3" t="s">
        <v>11425</v>
      </c>
      <c r="C11423" s="3" t="s">
        <v>9</v>
      </c>
      <c r="D11423" s="3" t="s">
        <v>10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/>
      <c r="P11423" s="3"/>
      <c r="Q11423" s="3"/>
    </row>
    <row r="11424" spans="1:17" ht="15" x14ac:dyDescent="0.25">
      <c r="A11424" s="3">
        <f>11417</f>
        <v>11417</v>
      </c>
      <c r="B11424" s="3" t="s">
        <v>11426</v>
      </c>
      <c r="C11424" s="3" t="s">
        <v>9</v>
      </c>
      <c r="D11424" s="3" t="s">
        <v>10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/>
      <c r="P11424" s="3"/>
      <c r="Q11424" s="3"/>
    </row>
    <row r="11425" spans="1:17" ht="15" x14ac:dyDescent="0.25">
      <c r="A11425" s="3">
        <f>11418</f>
        <v>11418</v>
      </c>
      <c r="B11425" s="3" t="s">
        <v>11427</v>
      </c>
      <c r="C11425" s="3" t="s">
        <v>9</v>
      </c>
      <c r="D11425" s="3" t="s">
        <v>10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/>
      <c r="P11425" s="3"/>
      <c r="Q11425" s="3"/>
    </row>
    <row r="11426" spans="1:17" ht="15" x14ac:dyDescent="0.25">
      <c r="A11426" s="3">
        <f>11419</f>
        <v>11419</v>
      </c>
      <c r="B11426" s="3" t="s">
        <v>11428</v>
      </c>
      <c r="C11426" s="3" t="s">
        <v>9</v>
      </c>
      <c r="D11426" s="3" t="s">
        <v>10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/>
      <c r="P11426" s="3"/>
      <c r="Q11426" s="3"/>
    </row>
    <row r="11427" spans="1:17" ht="15" x14ac:dyDescent="0.25">
      <c r="A11427" s="3">
        <f>11420</f>
        <v>11420</v>
      </c>
      <c r="B11427" s="3" t="s">
        <v>11429</v>
      </c>
      <c r="C11427" s="3" t="s">
        <v>9</v>
      </c>
      <c r="D11427" s="3" t="s">
        <v>10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/>
      <c r="P11427" s="3"/>
      <c r="Q11427" s="3"/>
    </row>
    <row r="11428" spans="1:17" ht="15" x14ac:dyDescent="0.25">
      <c r="A11428" s="3">
        <f>11421</f>
        <v>11421</v>
      </c>
      <c r="B11428" s="3" t="s">
        <v>11430</v>
      </c>
      <c r="C11428" s="3" t="s">
        <v>9</v>
      </c>
      <c r="D11428" s="3" t="s">
        <v>10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/>
      <c r="P11428" s="3"/>
      <c r="Q11428" s="3"/>
    </row>
    <row r="11429" spans="1:17" ht="15" x14ac:dyDescent="0.25">
      <c r="A11429" s="3">
        <f>11422</f>
        <v>11422</v>
      </c>
      <c r="B11429" s="3" t="s">
        <v>11431</v>
      </c>
      <c r="C11429" s="3" t="s">
        <v>9</v>
      </c>
      <c r="D11429" s="3" t="s">
        <v>10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/>
      <c r="P11429" s="3"/>
      <c r="Q11429" s="3"/>
    </row>
    <row r="11430" spans="1:17" ht="15" x14ac:dyDescent="0.25">
      <c r="A11430" s="3">
        <f>11423</f>
        <v>11423</v>
      </c>
      <c r="B11430" s="3" t="s">
        <v>11432</v>
      </c>
      <c r="C11430" s="3" t="s">
        <v>9</v>
      </c>
      <c r="D11430" s="3" t="s">
        <v>10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/>
      <c r="P11430" s="3"/>
      <c r="Q11430" s="3"/>
    </row>
    <row r="11431" spans="1:17" ht="15" x14ac:dyDescent="0.25">
      <c r="A11431" s="3">
        <f>11424</f>
        <v>11424</v>
      </c>
      <c r="B11431" s="3" t="s">
        <v>11433</v>
      </c>
      <c r="C11431" s="3" t="s">
        <v>9</v>
      </c>
      <c r="D11431" s="3" t="s">
        <v>10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/>
      <c r="P11431" s="3"/>
      <c r="Q11431" s="3"/>
    </row>
    <row r="11432" spans="1:17" ht="15" x14ac:dyDescent="0.25">
      <c r="A11432" s="3">
        <f>11425</f>
        <v>11425</v>
      </c>
      <c r="B11432" s="3" t="s">
        <v>11434</v>
      </c>
      <c r="C11432" s="3" t="s">
        <v>9</v>
      </c>
      <c r="D11432" s="3" t="s">
        <v>10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/>
      <c r="P11432" s="3"/>
      <c r="Q11432" s="3"/>
    </row>
    <row r="11433" spans="1:17" ht="15" x14ac:dyDescent="0.25">
      <c r="A11433" s="3">
        <f>11426</f>
        <v>11426</v>
      </c>
      <c r="B11433" s="3" t="s">
        <v>11435</v>
      </c>
      <c r="C11433" s="3" t="s">
        <v>9</v>
      </c>
      <c r="D11433" s="3" t="s">
        <v>10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/>
      <c r="P11433" s="3"/>
      <c r="Q11433" s="3"/>
    </row>
    <row r="11434" spans="1:17" ht="15" x14ac:dyDescent="0.25">
      <c r="A11434" s="3">
        <f>11427</f>
        <v>11427</v>
      </c>
      <c r="B11434" s="3" t="s">
        <v>11436</v>
      </c>
      <c r="C11434" s="3" t="s">
        <v>9</v>
      </c>
      <c r="D11434" s="3" t="s">
        <v>10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/>
      <c r="P11434" s="3"/>
      <c r="Q11434" s="3"/>
    </row>
    <row r="11435" spans="1:17" ht="15" x14ac:dyDescent="0.25">
      <c r="A11435" s="3">
        <f>11428</f>
        <v>11428</v>
      </c>
      <c r="B11435" s="3" t="s">
        <v>11437</v>
      </c>
      <c r="C11435" s="3" t="s">
        <v>9</v>
      </c>
      <c r="D11435" s="3" t="s">
        <v>10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/>
      <c r="P11435" s="3"/>
      <c r="Q11435" s="3"/>
    </row>
    <row r="11436" spans="1:17" ht="15" x14ac:dyDescent="0.25">
      <c r="A11436" s="3">
        <f>11429</f>
        <v>11429</v>
      </c>
      <c r="B11436" s="3" t="s">
        <v>11438</v>
      </c>
      <c r="C11436" s="3" t="s">
        <v>9</v>
      </c>
      <c r="D11436" s="3" t="s">
        <v>10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/>
      <c r="P11436" s="3"/>
      <c r="Q11436" s="3"/>
    </row>
    <row r="11437" spans="1:17" ht="15" x14ac:dyDescent="0.25">
      <c r="A11437" s="3">
        <f>11430</f>
        <v>11430</v>
      </c>
      <c r="B11437" s="3" t="s">
        <v>11439</v>
      </c>
      <c r="C11437" s="3" t="s">
        <v>9</v>
      </c>
      <c r="D11437" s="3" t="s">
        <v>10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/>
      <c r="P11437" s="3"/>
      <c r="Q11437" s="3"/>
    </row>
    <row r="11438" spans="1:17" ht="15" x14ac:dyDescent="0.25">
      <c r="A11438" s="3">
        <f>11431</f>
        <v>11431</v>
      </c>
      <c r="B11438" s="3" t="s">
        <v>11440</v>
      </c>
      <c r="C11438" s="3" t="s">
        <v>9</v>
      </c>
      <c r="D11438" s="3" t="s">
        <v>10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/>
      <c r="P11438" s="3"/>
      <c r="Q11438" s="3"/>
    </row>
    <row r="11439" spans="1:17" ht="15" x14ac:dyDescent="0.25">
      <c r="A11439" s="3">
        <f>11432</f>
        <v>11432</v>
      </c>
      <c r="B11439" s="3" t="s">
        <v>11441</v>
      </c>
      <c r="C11439" s="3" t="s">
        <v>9</v>
      </c>
      <c r="D11439" s="3" t="s">
        <v>10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/>
      <c r="P11439" s="3"/>
      <c r="Q11439" s="3"/>
    </row>
    <row r="11440" spans="1:17" ht="15" x14ac:dyDescent="0.25">
      <c r="A11440" s="3">
        <f>11433</f>
        <v>11433</v>
      </c>
      <c r="B11440" s="3" t="s">
        <v>11442</v>
      </c>
      <c r="C11440" s="3" t="s">
        <v>9</v>
      </c>
      <c r="D11440" s="3" t="s">
        <v>10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/>
      <c r="P11440" s="3"/>
      <c r="Q11440" s="3"/>
    </row>
    <row r="11441" spans="1:17" ht="15" x14ac:dyDescent="0.25">
      <c r="A11441" s="3">
        <f>11434</f>
        <v>11434</v>
      </c>
      <c r="B11441" s="3" t="s">
        <v>11443</v>
      </c>
      <c r="C11441" s="3" t="s">
        <v>9</v>
      </c>
      <c r="D11441" s="3" t="s">
        <v>10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/>
      <c r="P11441" s="3"/>
      <c r="Q11441" s="3"/>
    </row>
    <row r="11442" spans="1:17" ht="15" x14ac:dyDescent="0.25">
      <c r="A11442" s="3">
        <f>11435</f>
        <v>11435</v>
      </c>
      <c r="B11442" s="3" t="s">
        <v>11444</v>
      </c>
      <c r="C11442" s="3" t="s">
        <v>9</v>
      </c>
      <c r="D11442" s="3" t="s">
        <v>10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/>
      <c r="P11442" s="3"/>
      <c r="Q11442" s="3"/>
    </row>
    <row r="11443" spans="1:17" ht="15" x14ac:dyDescent="0.25">
      <c r="A11443" s="3">
        <f>11436</f>
        <v>11436</v>
      </c>
      <c r="B11443" s="3" t="s">
        <v>11445</v>
      </c>
      <c r="C11443" s="3" t="s">
        <v>9</v>
      </c>
      <c r="D11443" s="3" t="s">
        <v>10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/>
      <c r="P11443" s="3"/>
      <c r="Q11443" s="3"/>
    </row>
    <row r="11444" spans="1:17" ht="15" x14ac:dyDescent="0.25">
      <c r="A11444" s="3">
        <f>11437</f>
        <v>11437</v>
      </c>
      <c r="B11444" s="3" t="s">
        <v>11446</v>
      </c>
      <c r="C11444" s="3" t="s">
        <v>10</v>
      </c>
      <c r="D11444" s="3" t="s">
        <v>9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/>
      <c r="P11444" s="3"/>
      <c r="Q11444" s="3"/>
    </row>
    <row r="11445" spans="1:17" ht="15" x14ac:dyDescent="0.25">
      <c r="A11445" s="3">
        <f>11438</f>
        <v>11438</v>
      </c>
      <c r="B11445" s="3" t="s">
        <v>11447</v>
      </c>
      <c r="C11445" s="3" t="s">
        <v>10</v>
      </c>
      <c r="D11445" s="3" t="s">
        <v>9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/>
      <c r="P11445" s="3"/>
      <c r="Q11445" s="3"/>
    </row>
    <row r="11446" spans="1:17" ht="15" x14ac:dyDescent="0.25">
      <c r="A11446" s="3">
        <f>11439</f>
        <v>11439</v>
      </c>
      <c r="B11446" s="3" t="s">
        <v>11448</v>
      </c>
      <c r="C11446" s="3" t="s">
        <v>10</v>
      </c>
      <c r="D11446" s="3" t="s">
        <v>9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/>
      <c r="P11446" s="3"/>
      <c r="Q11446" s="3"/>
    </row>
    <row r="11447" spans="1:17" ht="15" x14ac:dyDescent="0.25">
      <c r="A11447" s="3">
        <f>11440</f>
        <v>11440</v>
      </c>
      <c r="B11447" s="3" t="s">
        <v>11449</v>
      </c>
      <c r="C11447" s="3" t="s">
        <v>10</v>
      </c>
      <c r="D11447" s="3" t="s">
        <v>9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/>
      <c r="P11447" s="3"/>
      <c r="Q11447" s="3"/>
    </row>
    <row r="11448" spans="1:17" ht="15" x14ac:dyDescent="0.25">
      <c r="A11448" s="3">
        <f>11441</f>
        <v>11441</v>
      </c>
      <c r="B11448" s="3" t="s">
        <v>11450</v>
      </c>
      <c r="C11448" s="3" t="s">
        <v>10</v>
      </c>
      <c r="D11448" s="3" t="s">
        <v>9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/>
      <c r="P11448" s="3"/>
      <c r="Q11448" s="3"/>
    </row>
    <row r="11449" spans="1:17" ht="15" x14ac:dyDescent="0.25">
      <c r="A11449" s="3">
        <f>11442</f>
        <v>11442</v>
      </c>
      <c r="B11449" s="3" t="s">
        <v>11451</v>
      </c>
      <c r="C11449" s="3" t="s">
        <v>10</v>
      </c>
      <c r="D11449" s="3" t="s">
        <v>9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/>
      <c r="P11449" s="3"/>
      <c r="Q11449" s="3"/>
    </row>
    <row r="11450" spans="1:17" ht="15" x14ac:dyDescent="0.25">
      <c r="A11450" s="3">
        <f>11443</f>
        <v>11443</v>
      </c>
      <c r="B11450" s="3" t="s">
        <v>11452</v>
      </c>
      <c r="C11450" s="3" t="s">
        <v>10</v>
      </c>
      <c r="D11450" s="3" t="s">
        <v>9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/>
      <c r="P11450" s="3"/>
      <c r="Q11450" s="3"/>
    </row>
    <row r="11451" spans="1:17" ht="15" x14ac:dyDescent="0.25">
      <c r="A11451" s="3">
        <f>11444</f>
        <v>11444</v>
      </c>
      <c r="B11451" s="3" t="s">
        <v>11453</v>
      </c>
      <c r="C11451" s="3" t="s">
        <v>10</v>
      </c>
      <c r="D11451" s="3" t="s">
        <v>9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/>
      <c r="P11451" s="3"/>
      <c r="Q11451" s="3"/>
    </row>
    <row r="11452" spans="1:17" ht="15" x14ac:dyDescent="0.25">
      <c r="A11452" s="3">
        <f>11445</f>
        <v>11445</v>
      </c>
      <c r="B11452" s="3" t="s">
        <v>11454</v>
      </c>
      <c r="C11452" s="3" t="s">
        <v>9</v>
      </c>
      <c r="D11452" s="3" t="s">
        <v>10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/>
      <c r="P11452" s="3"/>
      <c r="Q11452" s="3"/>
    </row>
    <row r="11453" spans="1:17" ht="15" x14ac:dyDescent="0.25">
      <c r="A11453" s="3">
        <f>11446</f>
        <v>11446</v>
      </c>
      <c r="B11453" s="3" t="s">
        <v>11455</v>
      </c>
      <c r="C11453" s="3" t="s">
        <v>9</v>
      </c>
      <c r="D11453" s="3" t="s">
        <v>10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/>
      <c r="P11453" s="3"/>
      <c r="Q11453" s="3"/>
    </row>
    <row r="11454" spans="1:17" ht="15" x14ac:dyDescent="0.25">
      <c r="A11454" s="3">
        <f>11447</f>
        <v>11447</v>
      </c>
      <c r="B11454" s="3" t="s">
        <v>11456</v>
      </c>
      <c r="C11454" s="3" t="s">
        <v>9</v>
      </c>
      <c r="D11454" s="3" t="s">
        <v>10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/>
      <c r="P11454" s="3"/>
      <c r="Q11454" s="3"/>
    </row>
    <row r="11455" spans="1:17" ht="15" x14ac:dyDescent="0.25">
      <c r="A11455" s="3">
        <f>11448</f>
        <v>11448</v>
      </c>
      <c r="B11455" s="3" t="s">
        <v>11457</v>
      </c>
      <c r="C11455" s="3" t="s">
        <v>9</v>
      </c>
      <c r="D11455" s="3" t="s">
        <v>10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/>
      <c r="P11455" s="3"/>
      <c r="Q11455" s="3"/>
    </row>
    <row r="11456" spans="1:17" ht="15" x14ac:dyDescent="0.25">
      <c r="A11456" s="3">
        <f>11449</f>
        <v>11449</v>
      </c>
      <c r="B11456" s="3" t="s">
        <v>11458</v>
      </c>
      <c r="C11456" s="3" t="s">
        <v>9</v>
      </c>
      <c r="D11456" s="3" t="s">
        <v>10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/>
      <c r="P11456" s="3"/>
      <c r="Q11456" s="3"/>
    </row>
    <row r="11457" spans="1:17" ht="15" x14ac:dyDescent="0.25">
      <c r="A11457" s="3">
        <f>11450</f>
        <v>11450</v>
      </c>
      <c r="B11457" s="3" t="s">
        <v>11459</v>
      </c>
      <c r="C11457" s="3" t="s">
        <v>9</v>
      </c>
      <c r="D11457" s="3" t="s">
        <v>10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/>
      <c r="P11457" s="3"/>
      <c r="Q11457" s="3"/>
    </row>
    <row r="11458" spans="1:17" ht="15" x14ac:dyDescent="0.25">
      <c r="A11458" s="3">
        <f>11451</f>
        <v>11451</v>
      </c>
      <c r="B11458" s="3" t="s">
        <v>11460</v>
      </c>
      <c r="C11458" s="3" t="s">
        <v>9</v>
      </c>
      <c r="D11458" s="3" t="s">
        <v>10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/>
      <c r="P11458" s="3"/>
      <c r="Q11458" s="3"/>
    </row>
    <row r="11459" spans="1:17" ht="15" x14ac:dyDescent="0.25">
      <c r="A11459" s="3">
        <f>11452</f>
        <v>11452</v>
      </c>
      <c r="B11459" s="3" t="s">
        <v>11461</v>
      </c>
      <c r="C11459" s="3" t="s">
        <v>9</v>
      </c>
      <c r="D11459" s="3" t="s">
        <v>10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/>
      <c r="P11459" s="3"/>
      <c r="Q11459" s="3"/>
    </row>
    <row r="11460" spans="1:17" ht="15" x14ac:dyDescent="0.25">
      <c r="A11460" s="3">
        <f>11453</f>
        <v>11453</v>
      </c>
      <c r="B11460" s="3" t="s">
        <v>11462</v>
      </c>
      <c r="C11460" s="3" t="s">
        <v>9</v>
      </c>
      <c r="D11460" s="3" t="s">
        <v>10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/>
      <c r="P11460" s="3"/>
      <c r="Q11460" s="3"/>
    </row>
    <row r="11461" spans="1:17" ht="15" x14ac:dyDescent="0.25">
      <c r="A11461" s="3">
        <f>11454</f>
        <v>11454</v>
      </c>
      <c r="B11461" s="3" t="s">
        <v>11463</v>
      </c>
      <c r="C11461" s="3" t="s">
        <v>10</v>
      </c>
      <c r="D11461" s="3" t="s">
        <v>9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/>
      <c r="P11461" s="3"/>
      <c r="Q11461" s="3"/>
    </row>
    <row r="11462" spans="1:17" ht="15" x14ac:dyDescent="0.25">
      <c r="A11462" s="3">
        <f>11455</f>
        <v>11455</v>
      </c>
      <c r="B11462" s="3" t="s">
        <v>11464</v>
      </c>
      <c r="C11462" s="3" t="s">
        <v>10</v>
      </c>
      <c r="D11462" s="3" t="s">
        <v>9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/>
      <c r="P11462" s="3"/>
      <c r="Q11462" s="3"/>
    </row>
    <row r="11463" spans="1:17" ht="15" x14ac:dyDescent="0.25">
      <c r="A11463" s="3">
        <f>11456</f>
        <v>11456</v>
      </c>
      <c r="B11463" s="3" t="s">
        <v>11465</v>
      </c>
      <c r="C11463" s="3" t="s">
        <v>10</v>
      </c>
      <c r="D11463" s="3" t="s">
        <v>9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/>
      <c r="P11463" s="3"/>
      <c r="Q11463" s="3"/>
    </row>
    <row r="11464" spans="1:17" ht="15" x14ac:dyDescent="0.25">
      <c r="A11464" s="3">
        <f>11457</f>
        <v>11457</v>
      </c>
      <c r="B11464" s="3" t="s">
        <v>11466</v>
      </c>
      <c r="C11464" s="3" t="s">
        <v>10</v>
      </c>
      <c r="D11464" s="3" t="s">
        <v>9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/>
      <c r="P11464" s="3"/>
      <c r="Q11464" s="3"/>
    </row>
    <row r="11465" spans="1:17" ht="15" x14ac:dyDescent="0.25">
      <c r="A11465" s="3">
        <f>11458</f>
        <v>11458</v>
      </c>
      <c r="B11465" s="3" t="s">
        <v>11467</v>
      </c>
      <c r="C11465" s="3" t="s">
        <v>10</v>
      </c>
      <c r="D11465" s="3" t="s">
        <v>9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/>
      <c r="P11465" s="3"/>
      <c r="Q11465" s="3"/>
    </row>
    <row r="11466" spans="1:17" ht="15" x14ac:dyDescent="0.25">
      <c r="A11466" s="3">
        <f>11459</f>
        <v>11459</v>
      </c>
      <c r="B11466" s="3" t="s">
        <v>11468</v>
      </c>
      <c r="C11466" s="3" t="s">
        <v>10</v>
      </c>
      <c r="D11466" s="3" t="s">
        <v>9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/>
      <c r="P11466" s="3"/>
      <c r="Q11466" s="3"/>
    </row>
    <row r="11467" spans="1:17" ht="15" x14ac:dyDescent="0.25">
      <c r="A11467" s="3">
        <f>11460</f>
        <v>11460</v>
      </c>
      <c r="B11467" s="3" t="s">
        <v>11469</v>
      </c>
      <c r="C11467" s="3" t="s">
        <v>10</v>
      </c>
      <c r="D11467" s="3" t="s">
        <v>9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/>
      <c r="P11467" s="3"/>
      <c r="Q11467" s="3"/>
    </row>
    <row r="11468" spans="1:17" ht="15" x14ac:dyDescent="0.25">
      <c r="A11468" s="3">
        <f>11461</f>
        <v>11461</v>
      </c>
      <c r="B11468" s="3" t="s">
        <v>11470</v>
      </c>
      <c r="C11468" s="3" t="s">
        <v>10</v>
      </c>
      <c r="D11468" s="3" t="s">
        <v>9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/>
      <c r="P11468" s="3"/>
      <c r="Q11468" s="3"/>
    </row>
    <row r="11469" spans="1:17" ht="15" x14ac:dyDescent="0.25">
      <c r="A11469" s="3">
        <f>11462</f>
        <v>11462</v>
      </c>
      <c r="B11469" s="3" t="s">
        <v>11471</v>
      </c>
      <c r="C11469" s="3" t="s">
        <v>10</v>
      </c>
      <c r="D11469" s="3" t="s">
        <v>9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/>
      <c r="P11469" s="3"/>
      <c r="Q11469" s="3"/>
    </row>
    <row r="11470" spans="1:17" ht="15" x14ac:dyDescent="0.25">
      <c r="A11470" s="3">
        <f>11463</f>
        <v>11463</v>
      </c>
      <c r="B11470" s="3" t="s">
        <v>11472</v>
      </c>
      <c r="C11470" s="3" t="s">
        <v>10</v>
      </c>
      <c r="D11470" s="3" t="s">
        <v>9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/>
      <c r="P11470" s="3"/>
      <c r="Q11470" s="3"/>
    </row>
    <row r="11471" spans="1:17" ht="15" x14ac:dyDescent="0.25">
      <c r="A11471" s="3">
        <f>11464</f>
        <v>11464</v>
      </c>
      <c r="B11471" s="3" t="s">
        <v>11473</v>
      </c>
      <c r="C11471" s="3" t="s">
        <v>9</v>
      </c>
      <c r="D11471" s="3" t="s">
        <v>10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/>
      <c r="P11471" s="3"/>
      <c r="Q11471" s="3"/>
    </row>
    <row r="11472" spans="1:17" ht="15" x14ac:dyDescent="0.25">
      <c r="A11472" s="3">
        <f>11465</f>
        <v>11465</v>
      </c>
      <c r="B11472" s="3" t="s">
        <v>11474</v>
      </c>
      <c r="C11472" s="3" t="s">
        <v>10</v>
      </c>
      <c r="D11472" s="3" t="s">
        <v>9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/>
      <c r="P11472" s="3"/>
      <c r="Q11472" s="3"/>
    </row>
    <row r="11473" spans="1:17" ht="15" x14ac:dyDescent="0.25">
      <c r="A11473" s="3">
        <f>11466</f>
        <v>11466</v>
      </c>
      <c r="B11473" s="3" t="s">
        <v>11475</v>
      </c>
      <c r="C11473" s="3" t="s">
        <v>10</v>
      </c>
      <c r="D11473" s="3" t="s">
        <v>9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/>
      <c r="P11473" s="3"/>
      <c r="Q11473" s="3"/>
    </row>
    <row r="11474" spans="1:17" ht="15" x14ac:dyDescent="0.25">
      <c r="A11474" s="3">
        <f>11467</f>
        <v>11467</v>
      </c>
      <c r="B11474" s="3" t="s">
        <v>11476</v>
      </c>
      <c r="C11474" s="3" t="s">
        <v>10</v>
      </c>
      <c r="D11474" s="3" t="s">
        <v>9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/>
      <c r="P11474" s="3"/>
      <c r="Q11474" s="3"/>
    </row>
    <row r="11475" spans="1:17" ht="15" x14ac:dyDescent="0.25">
      <c r="A11475" s="3">
        <f>11468</f>
        <v>11468</v>
      </c>
      <c r="B11475" s="3" t="s">
        <v>11477</v>
      </c>
      <c r="C11475" s="3" t="s">
        <v>10</v>
      </c>
      <c r="D11475" s="3" t="s">
        <v>9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/>
      <c r="P11475" s="3"/>
      <c r="Q11475" s="3"/>
    </row>
    <row r="11476" spans="1:17" ht="15" x14ac:dyDescent="0.25">
      <c r="A11476" s="3">
        <f>11469</f>
        <v>11469</v>
      </c>
      <c r="B11476" s="3" t="s">
        <v>11478</v>
      </c>
      <c r="C11476" s="3" t="s">
        <v>10</v>
      </c>
      <c r="D11476" s="3" t="s">
        <v>9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/>
      <c r="P11476" s="3"/>
      <c r="Q11476" s="3"/>
    </row>
    <row r="11477" spans="1:17" ht="15" x14ac:dyDescent="0.25">
      <c r="A11477" s="3">
        <f>11470</f>
        <v>11470</v>
      </c>
      <c r="B11477" s="3" t="s">
        <v>11479</v>
      </c>
      <c r="C11477" s="3" t="s">
        <v>10</v>
      </c>
      <c r="D11477" s="3" t="s">
        <v>9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/>
      <c r="P11477" s="3"/>
      <c r="Q11477" s="3"/>
    </row>
    <row r="11478" spans="1:17" ht="15" x14ac:dyDescent="0.25">
      <c r="A11478" s="3">
        <f>11471</f>
        <v>11471</v>
      </c>
      <c r="B11478" s="3" t="s">
        <v>11480</v>
      </c>
      <c r="C11478" s="3" t="s">
        <v>10</v>
      </c>
      <c r="D11478" s="3" t="s">
        <v>9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/>
      <c r="P11478" s="3"/>
      <c r="Q11478" s="3"/>
    </row>
    <row r="11479" spans="1:17" ht="15" x14ac:dyDescent="0.25">
      <c r="A11479" s="3">
        <f>11472</f>
        <v>11472</v>
      </c>
      <c r="B11479" s="3" t="s">
        <v>11481</v>
      </c>
      <c r="C11479" s="3" t="s">
        <v>10</v>
      </c>
      <c r="D11479" s="3" t="s">
        <v>9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/>
      <c r="P11479" s="3"/>
      <c r="Q11479" s="3"/>
    </row>
    <row r="11480" spans="1:17" ht="15" x14ac:dyDescent="0.25">
      <c r="A11480" s="3">
        <f>11473</f>
        <v>11473</v>
      </c>
      <c r="B11480" s="3" t="s">
        <v>11482</v>
      </c>
      <c r="C11480" s="3" t="s">
        <v>10</v>
      </c>
      <c r="D11480" s="3" t="s">
        <v>9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/>
      <c r="P11480" s="3"/>
      <c r="Q11480" s="3"/>
    </row>
    <row r="11481" spans="1:17" ht="15" x14ac:dyDescent="0.25">
      <c r="A11481" s="3">
        <f>11474</f>
        <v>11474</v>
      </c>
      <c r="B11481" s="3" t="s">
        <v>11483</v>
      </c>
      <c r="C11481" s="3" t="s">
        <v>10</v>
      </c>
      <c r="D11481" s="3" t="s">
        <v>9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/>
      <c r="P11481" s="3"/>
      <c r="Q11481" s="3"/>
    </row>
    <row r="11482" spans="1:17" ht="15" x14ac:dyDescent="0.25">
      <c r="A11482" s="3">
        <f>11475</f>
        <v>11475</v>
      </c>
      <c r="B11482" s="3" t="s">
        <v>11484</v>
      </c>
      <c r="C11482" s="3" t="s">
        <v>10</v>
      </c>
      <c r="D11482" s="3" t="s">
        <v>9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/>
      <c r="P11482" s="3"/>
      <c r="Q11482" s="3"/>
    </row>
    <row r="11483" spans="1:17" ht="15" x14ac:dyDescent="0.25">
      <c r="A11483" s="3">
        <f>11476</f>
        <v>11476</v>
      </c>
      <c r="B11483" s="3" t="s">
        <v>11485</v>
      </c>
      <c r="C11483" s="3" t="s">
        <v>10</v>
      </c>
      <c r="D11483" s="3" t="s">
        <v>9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/>
      <c r="P11483" s="3"/>
      <c r="Q11483" s="3"/>
    </row>
    <row r="11484" spans="1:17" ht="15" x14ac:dyDescent="0.25">
      <c r="A11484" s="3">
        <f>11477</f>
        <v>11477</v>
      </c>
      <c r="B11484" s="3" t="s">
        <v>11486</v>
      </c>
      <c r="C11484" s="3" t="s">
        <v>10</v>
      </c>
      <c r="D11484" s="3" t="s">
        <v>9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/>
      <c r="P11484" s="3"/>
      <c r="Q11484" s="3"/>
    </row>
    <row r="11485" spans="1:17" ht="15" x14ac:dyDescent="0.25">
      <c r="A11485" s="3">
        <f>11478</f>
        <v>11478</v>
      </c>
      <c r="B11485" s="3" t="s">
        <v>11487</v>
      </c>
      <c r="C11485" s="3" t="s">
        <v>10</v>
      </c>
      <c r="D11485" s="3" t="s">
        <v>9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/>
      <c r="P11485" s="3"/>
      <c r="Q11485" s="3"/>
    </row>
    <row r="11486" spans="1:17" ht="15" x14ac:dyDescent="0.25">
      <c r="A11486" s="3">
        <f>11479</f>
        <v>11479</v>
      </c>
      <c r="B11486" s="3" t="s">
        <v>11488</v>
      </c>
      <c r="C11486" s="3" t="s">
        <v>10</v>
      </c>
      <c r="D11486" s="3" t="s">
        <v>9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/>
      <c r="P11486" s="3"/>
      <c r="Q11486" s="3"/>
    </row>
    <row r="11487" spans="1:17" ht="15" x14ac:dyDescent="0.25">
      <c r="A11487" s="3">
        <f>11480</f>
        <v>11480</v>
      </c>
      <c r="B11487" s="3" t="s">
        <v>11489</v>
      </c>
      <c r="C11487" s="3" t="s">
        <v>10</v>
      </c>
      <c r="D11487" s="3" t="s">
        <v>9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/>
      <c r="P11487" s="3"/>
      <c r="Q11487" s="3"/>
    </row>
    <row r="11488" spans="1:17" ht="15" x14ac:dyDescent="0.25">
      <c r="A11488" s="3">
        <f>11481</f>
        <v>11481</v>
      </c>
      <c r="B11488" s="3" t="s">
        <v>11490</v>
      </c>
      <c r="C11488" s="3" t="s">
        <v>10</v>
      </c>
      <c r="D11488" s="3" t="s">
        <v>9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/>
      <c r="P11488" s="3"/>
      <c r="Q11488" s="3"/>
    </row>
    <row r="11489" spans="1:17" ht="15" x14ac:dyDescent="0.25">
      <c r="A11489" s="3">
        <f>11482</f>
        <v>11482</v>
      </c>
      <c r="B11489" s="3" t="s">
        <v>11491</v>
      </c>
      <c r="C11489" s="3" t="s">
        <v>10</v>
      </c>
      <c r="D11489" s="3" t="s">
        <v>9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/>
      <c r="P11489" s="3"/>
      <c r="Q11489" s="3"/>
    </row>
    <row r="11490" spans="1:17" ht="15" x14ac:dyDescent="0.25">
      <c r="A11490" s="3">
        <f>11483</f>
        <v>11483</v>
      </c>
      <c r="B11490" s="3" t="s">
        <v>11492</v>
      </c>
      <c r="C11490" s="3" t="s">
        <v>10</v>
      </c>
      <c r="D11490" s="3" t="s">
        <v>9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/>
      <c r="P11490" s="3"/>
      <c r="Q11490" s="3"/>
    </row>
    <row r="11491" spans="1:17" ht="15" x14ac:dyDescent="0.25">
      <c r="A11491" s="3">
        <f>11484</f>
        <v>11484</v>
      </c>
      <c r="B11491" s="3" t="s">
        <v>11493</v>
      </c>
      <c r="C11491" s="3" t="s">
        <v>10</v>
      </c>
      <c r="D11491" s="3" t="s">
        <v>9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/>
      <c r="P11491" s="3"/>
      <c r="Q11491" s="3"/>
    </row>
    <row r="11492" spans="1:17" ht="15" x14ac:dyDescent="0.25">
      <c r="A11492" s="3">
        <f>11485</f>
        <v>11485</v>
      </c>
      <c r="B11492" s="3" t="s">
        <v>11494</v>
      </c>
      <c r="C11492" s="3" t="s">
        <v>10</v>
      </c>
      <c r="D11492" s="3" t="s">
        <v>9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/>
      <c r="P11492" s="3"/>
      <c r="Q11492" s="3"/>
    </row>
    <row r="11493" spans="1:17" ht="15" x14ac:dyDescent="0.25">
      <c r="A11493" s="3">
        <f>11486</f>
        <v>11486</v>
      </c>
      <c r="B11493" s="3" t="s">
        <v>11495</v>
      </c>
      <c r="C11493" s="3" t="s">
        <v>10</v>
      </c>
      <c r="D11493" s="3" t="s">
        <v>9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/>
      <c r="P11493" s="3"/>
      <c r="Q11493" s="3"/>
    </row>
    <row r="11494" spans="1:17" ht="15" x14ac:dyDescent="0.25">
      <c r="A11494" s="3">
        <f>11487</f>
        <v>11487</v>
      </c>
      <c r="B11494" s="3" t="s">
        <v>11496</v>
      </c>
      <c r="C11494" s="3" t="s">
        <v>10</v>
      </c>
      <c r="D11494" s="3" t="s">
        <v>9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/>
      <c r="P11494" s="3"/>
      <c r="Q11494" s="3"/>
    </row>
    <row r="11495" spans="1:17" ht="15" x14ac:dyDescent="0.25">
      <c r="A11495" s="3">
        <f>11488</f>
        <v>11488</v>
      </c>
      <c r="B11495" s="3" t="s">
        <v>11497</v>
      </c>
      <c r="C11495" s="3" t="s">
        <v>10</v>
      </c>
      <c r="D11495" s="3" t="s">
        <v>9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/>
      <c r="P11495" s="3"/>
      <c r="Q11495" s="3"/>
    </row>
    <row r="11496" spans="1:17" ht="15" x14ac:dyDescent="0.25">
      <c r="A11496" s="3">
        <f>11489</f>
        <v>11489</v>
      </c>
      <c r="B11496" s="3" t="s">
        <v>11498</v>
      </c>
      <c r="C11496" s="3" t="s">
        <v>10</v>
      </c>
      <c r="D11496" s="3" t="s">
        <v>9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/>
      <c r="P11496" s="3"/>
      <c r="Q11496" s="3"/>
    </row>
    <row r="11497" spans="1:17" ht="15" x14ac:dyDescent="0.25">
      <c r="A11497" s="3">
        <f>11490</f>
        <v>11490</v>
      </c>
      <c r="B11497" s="3" t="s">
        <v>11499</v>
      </c>
      <c r="C11497" s="3" t="s">
        <v>10</v>
      </c>
      <c r="D11497" s="3" t="s">
        <v>9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/>
      <c r="P11497" s="3"/>
      <c r="Q11497" s="3"/>
    </row>
    <row r="11498" spans="1:17" ht="15" x14ac:dyDescent="0.25">
      <c r="A11498" s="3">
        <f>11491</f>
        <v>11491</v>
      </c>
      <c r="B11498" s="3" t="s">
        <v>11500</v>
      </c>
      <c r="C11498" s="3" t="s">
        <v>10</v>
      </c>
      <c r="D11498" s="3" t="s">
        <v>9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/>
      <c r="P11498" s="3"/>
      <c r="Q11498" s="3"/>
    </row>
    <row r="11499" spans="1:17" ht="15" x14ac:dyDescent="0.25">
      <c r="A11499" s="3">
        <f>11492</f>
        <v>11492</v>
      </c>
      <c r="B11499" s="3" t="s">
        <v>11501</v>
      </c>
      <c r="C11499" s="3" t="s">
        <v>9</v>
      </c>
      <c r="D11499" s="3" t="s">
        <v>10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/>
      <c r="P11499" s="3"/>
      <c r="Q11499" s="3"/>
    </row>
    <row r="11500" spans="1:17" ht="15" x14ac:dyDescent="0.25">
      <c r="A11500" s="3">
        <f>11493</f>
        <v>11493</v>
      </c>
      <c r="B11500" s="3" t="s">
        <v>11502</v>
      </c>
      <c r="C11500" s="3" t="s">
        <v>9</v>
      </c>
      <c r="D11500" s="3" t="s">
        <v>10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/>
      <c r="P11500" s="3"/>
      <c r="Q11500" s="3"/>
    </row>
    <row r="11501" spans="1:17" ht="15" x14ac:dyDescent="0.25">
      <c r="A11501" s="3">
        <f>11494</f>
        <v>11494</v>
      </c>
      <c r="B11501" s="3" t="s">
        <v>11503</v>
      </c>
      <c r="C11501" s="3" t="s">
        <v>9</v>
      </c>
      <c r="D11501" s="3" t="s">
        <v>10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/>
      <c r="P11501" s="3"/>
      <c r="Q11501" s="3"/>
    </row>
    <row r="11502" spans="1:17" ht="15" x14ac:dyDescent="0.25">
      <c r="A11502" s="3">
        <f>11495</f>
        <v>11495</v>
      </c>
      <c r="B11502" s="3" t="s">
        <v>11504</v>
      </c>
      <c r="C11502" s="3" t="s">
        <v>9</v>
      </c>
      <c r="D11502" s="3" t="s">
        <v>10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/>
      <c r="P11502" s="3"/>
      <c r="Q11502" s="3"/>
    </row>
    <row r="11503" spans="1:17" ht="15" x14ac:dyDescent="0.25">
      <c r="A11503" s="3">
        <f>11496</f>
        <v>11496</v>
      </c>
      <c r="B11503" s="3" t="s">
        <v>11505</v>
      </c>
      <c r="C11503" s="3" t="s">
        <v>9</v>
      </c>
      <c r="D11503" s="3" t="s">
        <v>10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/>
      <c r="P11503" s="3"/>
      <c r="Q11503" s="3"/>
    </row>
    <row r="11504" spans="1:17" ht="15" x14ac:dyDescent="0.25">
      <c r="A11504" s="3">
        <f>11497</f>
        <v>11497</v>
      </c>
      <c r="B11504" s="3" t="s">
        <v>11506</v>
      </c>
      <c r="C11504" s="3" t="s">
        <v>9</v>
      </c>
      <c r="D11504" s="3" t="s">
        <v>10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/>
      <c r="P11504" s="3"/>
      <c r="Q11504" s="3"/>
    </row>
    <row r="11505" spans="1:17" ht="15" x14ac:dyDescent="0.25">
      <c r="A11505" s="3">
        <f>11498</f>
        <v>11498</v>
      </c>
      <c r="B11505" s="3" t="s">
        <v>11507</v>
      </c>
      <c r="C11505" s="3" t="s">
        <v>9</v>
      </c>
      <c r="D11505" s="3" t="s">
        <v>10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/>
      <c r="P11505" s="3"/>
      <c r="Q11505" s="3"/>
    </row>
    <row r="11506" spans="1:17" ht="15" x14ac:dyDescent="0.25">
      <c r="A11506" s="3">
        <f>11499</f>
        <v>11499</v>
      </c>
      <c r="B11506" s="3" t="s">
        <v>11508</v>
      </c>
      <c r="C11506" s="3" t="s">
        <v>10</v>
      </c>
      <c r="D11506" s="3" t="s">
        <v>9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/>
      <c r="P11506" s="3"/>
      <c r="Q11506" s="3"/>
    </row>
    <row r="11507" spans="1:17" ht="15" x14ac:dyDescent="0.25">
      <c r="A11507" s="3">
        <f>11500</f>
        <v>11500</v>
      </c>
      <c r="B11507" s="3" t="s">
        <v>11509</v>
      </c>
      <c r="C11507" s="3" t="s">
        <v>10</v>
      </c>
      <c r="D11507" s="3" t="s">
        <v>9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/>
      <c r="P11507" s="3"/>
      <c r="Q11507" s="3"/>
    </row>
    <row r="11508" spans="1:17" ht="15" x14ac:dyDescent="0.25">
      <c r="A11508" s="3">
        <f>11501</f>
        <v>11501</v>
      </c>
      <c r="B11508" s="3" t="s">
        <v>11510</v>
      </c>
      <c r="C11508" s="3" t="s">
        <v>10</v>
      </c>
      <c r="D11508" s="3" t="s">
        <v>9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/>
      <c r="P11508" s="3"/>
      <c r="Q11508" s="3"/>
    </row>
    <row r="11509" spans="1:17" ht="15" x14ac:dyDescent="0.25">
      <c r="A11509" s="3">
        <f>11502</f>
        <v>11502</v>
      </c>
      <c r="B11509" s="3" t="s">
        <v>11511</v>
      </c>
      <c r="C11509" s="3" t="s">
        <v>10</v>
      </c>
      <c r="D11509" s="3" t="s">
        <v>9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/>
      <c r="P11509" s="3"/>
      <c r="Q11509" s="3"/>
    </row>
    <row r="11510" spans="1:17" ht="15" x14ac:dyDescent="0.25">
      <c r="A11510" s="3">
        <f>11503</f>
        <v>11503</v>
      </c>
      <c r="B11510" s="3" t="s">
        <v>11512</v>
      </c>
      <c r="C11510" s="3" t="s">
        <v>10</v>
      </c>
      <c r="D11510" s="3" t="s">
        <v>9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/>
      <c r="P11510" s="3"/>
      <c r="Q11510" s="3"/>
    </row>
    <row r="11511" spans="1:17" ht="15" x14ac:dyDescent="0.25">
      <c r="A11511" s="3">
        <f>11504</f>
        <v>11504</v>
      </c>
      <c r="B11511" s="3" t="s">
        <v>11513</v>
      </c>
      <c r="C11511" s="3" t="s">
        <v>10</v>
      </c>
      <c r="D11511" s="3" t="s">
        <v>9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/>
      <c r="P11511" s="3"/>
      <c r="Q11511" s="3"/>
    </row>
    <row r="11512" spans="1:17" ht="15" x14ac:dyDescent="0.25">
      <c r="A11512" s="3">
        <f>11505</f>
        <v>11505</v>
      </c>
      <c r="B11512" s="3" t="s">
        <v>11514</v>
      </c>
      <c r="C11512" s="3" t="s">
        <v>10</v>
      </c>
      <c r="D11512" s="3" t="s">
        <v>9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/>
      <c r="P11512" s="3"/>
      <c r="Q11512" s="3"/>
    </row>
    <row r="11513" spans="1:17" ht="15" x14ac:dyDescent="0.25">
      <c r="A11513" s="3">
        <f>11506</f>
        <v>11506</v>
      </c>
      <c r="B11513" s="3" t="s">
        <v>11515</v>
      </c>
      <c r="C11513" s="3" t="s">
        <v>10</v>
      </c>
      <c r="D11513" s="3" t="s">
        <v>9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/>
      <c r="P11513" s="3"/>
      <c r="Q11513" s="3"/>
    </row>
    <row r="11514" spans="1:17" ht="15" x14ac:dyDescent="0.25">
      <c r="A11514" s="3">
        <f>11507</f>
        <v>11507</v>
      </c>
      <c r="B11514" s="3" t="s">
        <v>11516</v>
      </c>
      <c r="C11514" s="3" t="s">
        <v>10</v>
      </c>
      <c r="D11514" s="3" t="s">
        <v>9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/>
      <c r="P11514" s="3"/>
      <c r="Q11514" s="3"/>
    </row>
    <row r="11515" spans="1:17" ht="15" x14ac:dyDescent="0.25">
      <c r="A11515" s="3">
        <f>11508</f>
        <v>11508</v>
      </c>
      <c r="B11515" s="3" t="s">
        <v>11517</v>
      </c>
      <c r="C11515" s="3" t="s">
        <v>10</v>
      </c>
      <c r="D11515" s="3" t="s">
        <v>9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/>
      <c r="P11515" s="3"/>
      <c r="Q11515" s="3"/>
    </row>
    <row r="11516" spans="1:17" ht="15" x14ac:dyDescent="0.25">
      <c r="A11516" s="3">
        <f>11509</f>
        <v>11509</v>
      </c>
      <c r="B11516" s="3" t="s">
        <v>11518</v>
      </c>
      <c r="C11516" s="3" t="s">
        <v>10</v>
      </c>
      <c r="D11516" s="3" t="s">
        <v>9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/>
      <c r="P11516" s="3"/>
      <c r="Q11516" s="3"/>
    </row>
    <row r="11517" spans="1:17" ht="15" x14ac:dyDescent="0.25">
      <c r="A11517" s="3">
        <f>11510</f>
        <v>11510</v>
      </c>
      <c r="B11517" s="3" t="s">
        <v>11519</v>
      </c>
      <c r="C11517" s="3" t="s">
        <v>9</v>
      </c>
      <c r="D11517" s="3" t="s">
        <v>10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/>
      <c r="P11517" s="3"/>
      <c r="Q11517" s="3"/>
    </row>
    <row r="11518" spans="1:17" ht="15" x14ac:dyDescent="0.25">
      <c r="A11518" s="3">
        <f>11511</f>
        <v>11511</v>
      </c>
      <c r="B11518" s="3" t="s">
        <v>11520</v>
      </c>
      <c r="C11518" s="3" t="s">
        <v>10</v>
      </c>
      <c r="D11518" s="3" t="s">
        <v>9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/>
      <c r="P11518" s="3"/>
      <c r="Q11518" s="3"/>
    </row>
    <row r="11519" spans="1:17" ht="15" x14ac:dyDescent="0.25">
      <c r="A11519" s="3">
        <f>11512</f>
        <v>11512</v>
      </c>
      <c r="B11519" s="3" t="s">
        <v>11521</v>
      </c>
      <c r="C11519" s="3" t="s">
        <v>10</v>
      </c>
      <c r="D11519" s="3" t="s">
        <v>9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/>
      <c r="P11519" s="3"/>
      <c r="Q11519" s="3"/>
    </row>
    <row r="11520" spans="1:17" ht="15" x14ac:dyDescent="0.25">
      <c r="A11520" s="3">
        <f>11513</f>
        <v>11513</v>
      </c>
      <c r="B11520" s="3" t="s">
        <v>11522</v>
      </c>
      <c r="C11520" s="3" t="s">
        <v>10</v>
      </c>
      <c r="D11520" s="3" t="s">
        <v>9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/>
      <c r="P11520" s="3"/>
      <c r="Q11520" s="3"/>
    </row>
    <row r="11521" spans="1:17" ht="15" x14ac:dyDescent="0.25">
      <c r="A11521" s="3">
        <f>11514</f>
        <v>11514</v>
      </c>
      <c r="B11521" s="3" t="s">
        <v>11523</v>
      </c>
      <c r="C11521" s="3" t="s">
        <v>10</v>
      </c>
      <c r="D11521" s="3" t="s">
        <v>9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/>
      <c r="P11521" s="3"/>
      <c r="Q11521" s="3"/>
    </row>
    <row r="11522" spans="1:17" ht="15" x14ac:dyDescent="0.25">
      <c r="A11522" s="3">
        <f>11515</f>
        <v>11515</v>
      </c>
      <c r="B11522" s="3" t="s">
        <v>11524</v>
      </c>
      <c r="C11522" s="3" t="s">
        <v>10</v>
      </c>
      <c r="D11522" s="3" t="s">
        <v>9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/>
      <c r="P11522" s="3"/>
      <c r="Q11522" s="3"/>
    </row>
    <row r="11523" spans="1:17" ht="15" x14ac:dyDescent="0.25">
      <c r="A11523" s="3">
        <f>11516</f>
        <v>11516</v>
      </c>
      <c r="B11523" s="3" t="s">
        <v>11525</v>
      </c>
      <c r="C11523" s="3" t="s">
        <v>10</v>
      </c>
      <c r="D11523" s="3" t="s">
        <v>9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/>
      <c r="P11523" s="3"/>
      <c r="Q11523" s="3"/>
    </row>
    <row r="11524" spans="1:17" ht="15" x14ac:dyDescent="0.25">
      <c r="A11524" s="3">
        <f>11517</f>
        <v>11517</v>
      </c>
      <c r="B11524" s="3" t="s">
        <v>11526</v>
      </c>
      <c r="C11524" s="3" t="s">
        <v>10</v>
      </c>
      <c r="D11524" s="3" t="s">
        <v>9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/>
      <c r="P11524" s="3"/>
      <c r="Q11524" s="3"/>
    </row>
    <row r="11525" spans="1:17" ht="15" x14ac:dyDescent="0.25">
      <c r="A11525" s="3">
        <f>11518</f>
        <v>11518</v>
      </c>
      <c r="B11525" s="3" t="s">
        <v>11527</v>
      </c>
      <c r="C11525" s="3" t="s">
        <v>10</v>
      </c>
      <c r="D11525" s="3" t="s">
        <v>9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/>
      <c r="P11525" s="3"/>
      <c r="Q11525" s="3"/>
    </row>
    <row r="11526" spans="1:17" ht="15" x14ac:dyDescent="0.25">
      <c r="A11526" s="3">
        <f>11519</f>
        <v>11519</v>
      </c>
      <c r="B11526" s="3" t="s">
        <v>11528</v>
      </c>
      <c r="C11526" s="3" t="s">
        <v>10</v>
      </c>
      <c r="D11526" s="3" t="s">
        <v>9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/>
      <c r="P11526" s="3"/>
      <c r="Q11526" s="3"/>
    </row>
    <row r="11527" spans="1:17" ht="15" x14ac:dyDescent="0.25">
      <c r="A11527" s="3">
        <f>11520</f>
        <v>11520</v>
      </c>
      <c r="B11527" s="3" t="s">
        <v>11529</v>
      </c>
      <c r="C11527" s="3" t="s">
        <v>10</v>
      </c>
      <c r="D11527" s="3" t="s">
        <v>9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/>
      <c r="P11527" s="3"/>
      <c r="Q11527" s="3"/>
    </row>
    <row r="11528" spans="1:17" ht="15" x14ac:dyDescent="0.25">
      <c r="A11528" s="3">
        <f>11521</f>
        <v>11521</v>
      </c>
      <c r="B11528" s="3" t="s">
        <v>11530</v>
      </c>
      <c r="C11528" s="3" t="s">
        <v>10</v>
      </c>
      <c r="D11528" s="3" t="s">
        <v>9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/>
      <c r="P11528" s="3"/>
      <c r="Q11528" s="3"/>
    </row>
    <row r="11529" spans="1:17" ht="15" x14ac:dyDescent="0.25">
      <c r="A11529" s="3">
        <f>11522</f>
        <v>11522</v>
      </c>
      <c r="B11529" s="3" t="s">
        <v>11531</v>
      </c>
      <c r="C11529" s="3" t="s">
        <v>10</v>
      </c>
      <c r="D11529" s="3" t="s">
        <v>9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/>
      <c r="P11529" s="3"/>
      <c r="Q11529" s="3"/>
    </row>
    <row r="11530" spans="1:17" ht="15" x14ac:dyDescent="0.25">
      <c r="A11530" s="3">
        <f>11523</f>
        <v>11523</v>
      </c>
      <c r="B11530" s="3" t="s">
        <v>11532</v>
      </c>
      <c r="C11530" s="3" t="s">
        <v>10</v>
      </c>
      <c r="D11530" s="3" t="s">
        <v>9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/>
      <c r="P11530" s="3"/>
      <c r="Q11530" s="3"/>
    </row>
    <row r="11531" spans="1:17" ht="15" x14ac:dyDescent="0.25">
      <c r="A11531" s="3">
        <f>11524</f>
        <v>11524</v>
      </c>
      <c r="B11531" s="3" t="s">
        <v>11533</v>
      </c>
      <c r="C11531" s="3" t="s">
        <v>10</v>
      </c>
      <c r="D11531" s="3" t="s">
        <v>9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/>
      <c r="P11531" s="3"/>
      <c r="Q11531" s="3"/>
    </row>
    <row r="11532" spans="1:17" ht="15" x14ac:dyDescent="0.25">
      <c r="A11532" s="3">
        <f>11525</f>
        <v>11525</v>
      </c>
      <c r="B11532" s="3" t="s">
        <v>11534</v>
      </c>
      <c r="C11532" s="3" t="s">
        <v>10</v>
      </c>
      <c r="D11532" s="3" t="s">
        <v>9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/>
      <c r="P11532" s="3"/>
      <c r="Q11532" s="3"/>
    </row>
    <row r="11533" spans="1:17" ht="15" x14ac:dyDescent="0.25">
      <c r="A11533" s="3">
        <f>11526</f>
        <v>11526</v>
      </c>
      <c r="B11533" s="3" t="s">
        <v>11535</v>
      </c>
      <c r="C11533" s="3" t="s">
        <v>10</v>
      </c>
      <c r="D11533" s="3" t="s">
        <v>9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/>
      <c r="P11533" s="3"/>
      <c r="Q11533" s="3"/>
    </row>
    <row r="11534" spans="1:17" ht="15" x14ac:dyDescent="0.25">
      <c r="A11534" s="3">
        <f>11527</f>
        <v>11527</v>
      </c>
      <c r="B11534" s="3" t="s">
        <v>11536</v>
      </c>
      <c r="C11534" s="3" t="s">
        <v>10</v>
      </c>
      <c r="D11534" s="3" t="s">
        <v>9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/>
      <c r="P11534" s="3"/>
      <c r="Q11534" s="3"/>
    </row>
    <row r="11535" spans="1:17" ht="15" x14ac:dyDescent="0.25">
      <c r="A11535" s="3">
        <f>11528</f>
        <v>11528</v>
      </c>
      <c r="B11535" s="3" t="s">
        <v>11537</v>
      </c>
      <c r="C11535" s="3" t="s">
        <v>10</v>
      </c>
      <c r="D11535" s="3" t="s">
        <v>9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/>
      <c r="P11535" s="3"/>
      <c r="Q11535" s="3"/>
    </row>
    <row r="11536" spans="1:17" ht="15" x14ac:dyDescent="0.25">
      <c r="A11536" s="3">
        <f>11529</f>
        <v>11529</v>
      </c>
      <c r="B11536" s="3" t="s">
        <v>11538</v>
      </c>
      <c r="C11536" s="3" t="s">
        <v>10</v>
      </c>
      <c r="D11536" s="3" t="s">
        <v>9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/>
      <c r="P11536" s="3"/>
      <c r="Q11536" s="3"/>
    </row>
    <row r="11537" spans="1:17" ht="15" x14ac:dyDescent="0.25">
      <c r="A11537" s="3">
        <f>11530</f>
        <v>11530</v>
      </c>
      <c r="B11537" s="3" t="s">
        <v>11539</v>
      </c>
      <c r="C11537" s="3" t="s">
        <v>10</v>
      </c>
      <c r="D11537" s="3" t="s">
        <v>9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/>
      <c r="P11537" s="3"/>
      <c r="Q11537" s="3"/>
    </row>
    <row r="11538" spans="1:17" ht="15" x14ac:dyDescent="0.25">
      <c r="A11538" s="3">
        <f>11531</f>
        <v>11531</v>
      </c>
      <c r="B11538" s="3" t="s">
        <v>11540</v>
      </c>
      <c r="C11538" s="3" t="s">
        <v>10</v>
      </c>
      <c r="D11538" s="3" t="s">
        <v>9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/>
      <c r="P11538" s="3"/>
      <c r="Q11538" s="3"/>
    </row>
    <row r="11539" spans="1:17" ht="15" x14ac:dyDescent="0.25">
      <c r="A11539" s="3">
        <f>11532</f>
        <v>11532</v>
      </c>
      <c r="B11539" s="3" t="s">
        <v>11541</v>
      </c>
      <c r="C11539" s="3" t="s">
        <v>10</v>
      </c>
      <c r="D11539" s="3" t="s">
        <v>9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/>
      <c r="P11539" s="3"/>
      <c r="Q11539" s="3"/>
    </row>
    <row r="11540" spans="1:17" ht="15" x14ac:dyDescent="0.25">
      <c r="A11540" s="3">
        <f>11533</f>
        <v>11533</v>
      </c>
      <c r="B11540" s="3" t="s">
        <v>11542</v>
      </c>
      <c r="C11540" s="3" t="s">
        <v>10</v>
      </c>
      <c r="D11540" s="3" t="s">
        <v>9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/>
      <c r="P11540" s="3"/>
      <c r="Q11540" s="3"/>
    </row>
    <row r="11541" spans="1:17" ht="15" x14ac:dyDescent="0.25">
      <c r="A11541" s="3">
        <f>11534</f>
        <v>11534</v>
      </c>
      <c r="B11541" s="3" t="s">
        <v>11543</v>
      </c>
      <c r="C11541" s="3" t="s">
        <v>10</v>
      </c>
      <c r="D11541" s="3" t="s">
        <v>9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/>
      <c r="P11541" s="3"/>
      <c r="Q11541" s="3"/>
    </row>
    <row r="11542" spans="1:17" ht="15" x14ac:dyDescent="0.25">
      <c r="A11542" s="3">
        <f>11535</f>
        <v>11535</v>
      </c>
      <c r="B11542" s="3" t="s">
        <v>11544</v>
      </c>
      <c r="C11542" s="3" t="s">
        <v>10</v>
      </c>
      <c r="D11542" s="3" t="s">
        <v>9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/>
      <c r="P11542" s="3"/>
      <c r="Q11542" s="3"/>
    </row>
    <row r="11543" spans="1:17" ht="15" x14ac:dyDescent="0.25">
      <c r="A11543" s="3">
        <f>11536</f>
        <v>11536</v>
      </c>
      <c r="B11543" s="3" t="s">
        <v>11545</v>
      </c>
      <c r="C11543" s="3" t="s">
        <v>10</v>
      </c>
      <c r="D11543" s="3" t="s">
        <v>9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/>
      <c r="P11543" s="3"/>
      <c r="Q11543" s="3"/>
    </row>
    <row r="11544" spans="1:17" ht="15" x14ac:dyDescent="0.25">
      <c r="A11544" s="3">
        <f>11537</f>
        <v>11537</v>
      </c>
      <c r="B11544" s="3" t="s">
        <v>11546</v>
      </c>
      <c r="C11544" s="3" t="s">
        <v>10</v>
      </c>
      <c r="D11544" s="3" t="s">
        <v>9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/>
      <c r="P11544" s="3"/>
      <c r="Q11544" s="3"/>
    </row>
    <row r="11545" spans="1:17" ht="15" x14ac:dyDescent="0.25">
      <c r="A11545" s="3">
        <f>11538</f>
        <v>11538</v>
      </c>
      <c r="B11545" s="3" t="s">
        <v>11547</v>
      </c>
      <c r="C11545" s="3" t="s">
        <v>10</v>
      </c>
      <c r="D11545" s="3" t="s">
        <v>9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/>
      <c r="P11545" s="3"/>
      <c r="Q11545" s="3"/>
    </row>
    <row r="11546" spans="1:17" ht="15" x14ac:dyDescent="0.25">
      <c r="A11546" s="3">
        <f>11539</f>
        <v>11539</v>
      </c>
      <c r="B11546" s="3" t="s">
        <v>11548</v>
      </c>
      <c r="C11546" s="3" t="s">
        <v>10</v>
      </c>
      <c r="D11546" s="3" t="s">
        <v>9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/>
      <c r="P11546" s="3"/>
      <c r="Q11546" s="3"/>
    </row>
    <row r="11547" spans="1:17" ht="15" x14ac:dyDescent="0.25">
      <c r="A11547" s="3">
        <f>11540</f>
        <v>11540</v>
      </c>
      <c r="B11547" s="3" t="s">
        <v>11549</v>
      </c>
      <c r="C11547" s="3" t="s">
        <v>10</v>
      </c>
      <c r="D11547" s="3" t="s">
        <v>9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/>
      <c r="P11547" s="3"/>
      <c r="Q11547" s="3"/>
    </row>
    <row r="11548" spans="1:17" ht="15" x14ac:dyDescent="0.25">
      <c r="A11548" s="3">
        <f>11541</f>
        <v>11541</v>
      </c>
      <c r="B11548" s="3" t="s">
        <v>11550</v>
      </c>
      <c r="C11548" s="3" t="s">
        <v>9</v>
      </c>
      <c r="D11548" s="3" t="s">
        <v>10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/>
      <c r="P11548" s="3"/>
      <c r="Q11548" s="3"/>
    </row>
    <row r="11549" spans="1:17" ht="15" x14ac:dyDescent="0.25">
      <c r="A11549" s="3">
        <f>11542</f>
        <v>11542</v>
      </c>
      <c r="B11549" s="3" t="s">
        <v>11551</v>
      </c>
      <c r="C11549" s="3" t="s">
        <v>9</v>
      </c>
      <c r="D11549" s="3" t="s">
        <v>10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/>
      <c r="P11549" s="3"/>
      <c r="Q11549" s="3"/>
    </row>
    <row r="11550" spans="1:17" ht="15" x14ac:dyDescent="0.25">
      <c r="A11550" s="3">
        <f>11543</f>
        <v>11543</v>
      </c>
      <c r="B11550" s="3" t="s">
        <v>11552</v>
      </c>
      <c r="C11550" s="3" t="s">
        <v>9</v>
      </c>
      <c r="D11550" s="3" t="s">
        <v>10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/>
      <c r="P11550" s="3"/>
      <c r="Q11550" s="3"/>
    </row>
    <row r="11551" spans="1:17" ht="15" x14ac:dyDescent="0.25">
      <c r="A11551" s="3">
        <f>11544</f>
        <v>11544</v>
      </c>
      <c r="B11551" s="3" t="s">
        <v>11553</v>
      </c>
      <c r="C11551" s="3" t="s">
        <v>9</v>
      </c>
      <c r="D11551" s="3" t="s">
        <v>10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/>
      <c r="P11551" s="3"/>
      <c r="Q11551" s="3"/>
    </row>
    <row r="11552" spans="1:17" ht="15" x14ac:dyDescent="0.25">
      <c r="A11552" s="3">
        <f>11545</f>
        <v>11545</v>
      </c>
      <c r="B11552" s="3" t="s">
        <v>11554</v>
      </c>
      <c r="C11552" s="3" t="s">
        <v>9</v>
      </c>
      <c r="D11552" s="3" t="s">
        <v>10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/>
      <c r="P11552" s="3"/>
      <c r="Q11552" s="3"/>
    </row>
    <row r="11553" spans="1:17" ht="15" x14ac:dyDescent="0.25">
      <c r="A11553" s="3">
        <f>11546</f>
        <v>11546</v>
      </c>
      <c r="B11553" s="3" t="s">
        <v>11555</v>
      </c>
      <c r="C11553" s="3" t="s">
        <v>9</v>
      </c>
      <c r="D11553" s="3" t="s">
        <v>10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/>
      <c r="P11553" s="3"/>
      <c r="Q11553" s="3"/>
    </row>
    <row r="11554" spans="1:17" ht="15" x14ac:dyDescent="0.25">
      <c r="A11554" s="3">
        <f>11547</f>
        <v>11547</v>
      </c>
      <c r="B11554" s="3" t="s">
        <v>11556</v>
      </c>
      <c r="C11554" s="3" t="s">
        <v>9</v>
      </c>
      <c r="D11554" s="3" t="s">
        <v>10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/>
      <c r="P11554" s="3"/>
      <c r="Q11554" s="3"/>
    </row>
    <row r="11555" spans="1:17" ht="15" x14ac:dyDescent="0.25">
      <c r="A11555" s="3">
        <f>11548</f>
        <v>11548</v>
      </c>
      <c r="B11555" s="3" t="s">
        <v>11557</v>
      </c>
      <c r="C11555" s="3" t="s">
        <v>9</v>
      </c>
      <c r="D11555" s="3" t="s">
        <v>10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/>
      <c r="P11555" s="3"/>
      <c r="Q11555" s="3"/>
    </row>
    <row r="11556" spans="1:17" ht="15" x14ac:dyDescent="0.25">
      <c r="A11556" s="3">
        <f>11549</f>
        <v>11549</v>
      </c>
      <c r="B11556" s="3" t="s">
        <v>11558</v>
      </c>
      <c r="C11556" s="3" t="s">
        <v>9</v>
      </c>
      <c r="D11556" s="3" t="s">
        <v>10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/>
      <c r="P11556" s="3"/>
      <c r="Q11556" s="3"/>
    </row>
    <row r="11557" spans="1:17" ht="15" x14ac:dyDescent="0.25">
      <c r="A11557" s="3">
        <f>11550</f>
        <v>11550</v>
      </c>
      <c r="B11557" s="3" t="s">
        <v>11559</v>
      </c>
      <c r="C11557" s="3" t="s">
        <v>9</v>
      </c>
      <c r="D11557" s="3" t="s">
        <v>10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/>
      <c r="P11557" s="3"/>
      <c r="Q11557" s="3"/>
    </row>
    <row r="11558" spans="1:17" ht="15" x14ac:dyDescent="0.25">
      <c r="A11558" s="3">
        <f>11551</f>
        <v>11551</v>
      </c>
      <c r="B11558" s="3" t="s">
        <v>11560</v>
      </c>
      <c r="C11558" s="3" t="s">
        <v>9</v>
      </c>
      <c r="D11558" s="3" t="s">
        <v>10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/>
      <c r="P11558" s="3"/>
      <c r="Q11558" s="3"/>
    </row>
    <row r="11559" spans="1:17" ht="15" x14ac:dyDescent="0.25">
      <c r="A11559" s="3">
        <f>11552</f>
        <v>11552</v>
      </c>
      <c r="B11559" s="3" t="s">
        <v>11561</v>
      </c>
      <c r="C11559" s="3" t="s">
        <v>10</v>
      </c>
      <c r="D11559" s="3" t="s">
        <v>9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/>
      <c r="P11559" s="3"/>
      <c r="Q11559" s="3"/>
    </row>
    <row r="11560" spans="1:17" ht="15" x14ac:dyDescent="0.25">
      <c r="A11560" s="3">
        <f>11553</f>
        <v>11553</v>
      </c>
      <c r="B11560" s="3" t="s">
        <v>11562</v>
      </c>
      <c r="C11560" s="3" t="s">
        <v>10</v>
      </c>
      <c r="D11560" s="3" t="s">
        <v>9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/>
      <c r="P11560" s="3"/>
      <c r="Q11560" s="3"/>
    </row>
    <row r="11561" spans="1:17" ht="15" x14ac:dyDescent="0.25">
      <c r="A11561" s="3">
        <f>11554</f>
        <v>11554</v>
      </c>
      <c r="B11561" s="3" t="s">
        <v>11563</v>
      </c>
      <c r="C11561" s="3" t="s">
        <v>10</v>
      </c>
      <c r="D11561" s="3" t="s">
        <v>9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/>
      <c r="P11561" s="3"/>
      <c r="Q11561" s="3"/>
    </row>
    <row r="11562" spans="1:17" ht="15" x14ac:dyDescent="0.25">
      <c r="A11562" s="3">
        <f>11555</f>
        <v>11555</v>
      </c>
      <c r="B11562" s="3" t="s">
        <v>11564</v>
      </c>
      <c r="C11562" s="3" t="s">
        <v>9</v>
      </c>
      <c r="D11562" s="3" t="s">
        <v>10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/>
      <c r="P11562" s="3"/>
      <c r="Q11562" s="3"/>
    </row>
    <row r="11563" spans="1:17" ht="15" x14ac:dyDescent="0.25">
      <c r="A11563" s="3">
        <f>11556</f>
        <v>11556</v>
      </c>
      <c r="B11563" s="3" t="s">
        <v>11565</v>
      </c>
      <c r="C11563" s="3" t="s">
        <v>10</v>
      </c>
      <c r="D11563" s="3" t="s">
        <v>9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/>
      <c r="P11563" s="3"/>
      <c r="Q11563" s="3"/>
    </row>
    <row r="11564" spans="1:17" ht="15" x14ac:dyDescent="0.25">
      <c r="A11564" s="3">
        <f>11557</f>
        <v>11557</v>
      </c>
      <c r="B11564" s="3" t="s">
        <v>11566</v>
      </c>
      <c r="C11564" s="3" t="s">
        <v>10</v>
      </c>
      <c r="D11564" s="3" t="s">
        <v>9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/>
      <c r="P11564" s="3"/>
      <c r="Q11564" s="3"/>
    </row>
    <row r="11565" spans="1:17" ht="15" x14ac:dyDescent="0.25">
      <c r="A11565" s="3">
        <f>11558</f>
        <v>11558</v>
      </c>
      <c r="B11565" s="3" t="s">
        <v>11567</v>
      </c>
      <c r="C11565" s="3" t="s">
        <v>10</v>
      </c>
      <c r="D11565" s="3" t="s">
        <v>9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/>
      <c r="P11565" s="3"/>
      <c r="Q11565" s="3"/>
    </row>
    <row r="11566" spans="1:17" ht="15" x14ac:dyDescent="0.25">
      <c r="A11566" s="3">
        <f>11559</f>
        <v>11559</v>
      </c>
      <c r="B11566" s="3" t="s">
        <v>11568</v>
      </c>
      <c r="C11566" s="3" t="s">
        <v>10</v>
      </c>
      <c r="D11566" s="3" t="s">
        <v>9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/>
      <c r="P11566" s="3"/>
      <c r="Q11566" s="3"/>
    </row>
    <row r="11567" spans="1:17" ht="15" x14ac:dyDescent="0.25">
      <c r="A11567" s="3">
        <f>11560</f>
        <v>11560</v>
      </c>
      <c r="B11567" s="3" t="s">
        <v>11569</v>
      </c>
      <c r="C11567" s="3" t="s">
        <v>10</v>
      </c>
      <c r="D11567" s="3" t="s">
        <v>9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/>
      <c r="P11567" s="3"/>
      <c r="Q11567" s="3"/>
    </row>
    <row r="11568" spans="1:17" ht="15" x14ac:dyDescent="0.25">
      <c r="A11568" s="3">
        <f>11561</f>
        <v>11561</v>
      </c>
      <c r="B11568" s="3" t="s">
        <v>11570</v>
      </c>
      <c r="C11568" s="3" t="s">
        <v>10</v>
      </c>
      <c r="D11568" s="3" t="s">
        <v>9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/>
      <c r="P11568" s="3"/>
      <c r="Q11568" s="3"/>
    </row>
    <row r="11569" spans="1:17" ht="15" x14ac:dyDescent="0.25">
      <c r="A11569" s="3">
        <f>11562</f>
        <v>11562</v>
      </c>
      <c r="B11569" s="3" t="s">
        <v>11571</v>
      </c>
      <c r="C11569" s="3" t="s">
        <v>10</v>
      </c>
      <c r="D11569" s="3" t="s">
        <v>9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/>
      <c r="P11569" s="3"/>
      <c r="Q11569" s="3"/>
    </row>
    <row r="11570" spans="1:17" ht="15" x14ac:dyDescent="0.25">
      <c r="A11570" s="3">
        <f>11563</f>
        <v>11563</v>
      </c>
      <c r="B11570" s="3" t="s">
        <v>11572</v>
      </c>
      <c r="C11570" s="3" t="s">
        <v>9</v>
      </c>
      <c r="D11570" s="3" t="s">
        <v>10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/>
      <c r="P11570" s="3"/>
      <c r="Q11570" s="3"/>
    </row>
    <row r="11571" spans="1:17" ht="15" x14ac:dyDescent="0.25">
      <c r="A11571" s="3">
        <f>11564</f>
        <v>11564</v>
      </c>
      <c r="B11571" s="3" t="s">
        <v>11573</v>
      </c>
      <c r="C11571" s="3" t="s">
        <v>10</v>
      </c>
      <c r="D11571" s="3" t="s">
        <v>9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/>
      <c r="P11571" s="3"/>
      <c r="Q11571" s="3"/>
    </row>
    <row r="11572" spans="1:17" ht="15" x14ac:dyDescent="0.25">
      <c r="A11572" s="3">
        <f>11565</f>
        <v>11565</v>
      </c>
      <c r="B11572" s="3" t="s">
        <v>11574</v>
      </c>
      <c r="C11572" s="3" t="s">
        <v>10</v>
      </c>
      <c r="D11572" s="3" t="s">
        <v>9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/>
      <c r="P11572" s="3"/>
      <c r="Q11572" s="3"/>
    </row>
    <row r="11573" spans="1:17" ht="15" x14ac:dyDescent="0.25">
      <c r="A11573" s="3">
        <f>11566</f>
        <v>11566</v>
      </c>
      <c r="B11573" s="3" t="s">
        <v>11575</v>
      </c>
      <c r="C11573" s="3" t="s">
        <v>10</v>
      </c>
      <c r="D11573" s="3" t="s">
        <v>9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/>
      <c r="P11573" s="3"/>
      <c r="Q11573" s="3"/>
    </row>
    <row r="11574" spans="1:17" ht="15" x14ac:dyDescent="0.25">
      <c r="A11574" s="3">
        <f>11567</f>
        <v>11567</v>
      </c>
      <c r="B11574" s="3" t="s">
        <v>11576</v>
      </c>
      <c r="C11574" s="3" t="s">
        <v>10</v>
      </c>
      <c r="D11574" s="3" t="s">
        <v>9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/>
      <c r="P11574" s="3"/>
      <c r="Q11574" s="3"/>
    </row>
    <row r="11575" spans="1:17" ht="15" x14ac:dyDescent="0.25">
      <c r="A11575" s="3">
        <f>11568</f>
        <v>11568</v>
      </c>
      <c r="B11575" s="3" t="s">
        <v>11577</v>
      </c>
      <c r="C11575" s="3" t="s">
        <v>10</v>
      </c>
      <c r="D11575" s="3" t="s">
        <v>9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/>
      <c r="P11575" s="3"/>
      <c r="Q11575" s="3"/>
    </row>
    <row r="11576" spans="1:17" ht="15" x14ac:dyDescent="0.25">
      <c r="A11576" s="3">
        <f>11569</f>
        <v>11569</v>
      </c>
      <c r="B11576" s="3" t="s">
        <v>11578</v>
      </c>
      <c r="C11576" s="3" t="s">
        <v>10</v>
      </c>
      <c r="D11576" s="3" t="s">
        <v>9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/>
      <c r="P11576" s="3"/>
      <c r="Q11576" s="3"/>
    </row>
    <row r="11577" spans="1:17" ht="15" x14ac:dyDescent="0.25">
      <c r="A11577" s="3">
        <f>11570</f>
        <v>11570</v>
      </c>
      <c r="B11577" s="3" t="s">
        <v>11579</v>
      </c>
      <c r="C11577" s="3" t="s">
        <v>10</v>
      </c>
      <c r="D11577" s="3" t="s">
        <v>9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/>
      <c r="P11577" s="3"/>
      <c r="Q11577" s="3"/>
    </row>
    <row r="11578" spans="1:17" ht="15" x14ac:dyDescent="0.25">
      <c r="A11578" s="3">
        <f>11571</f>
        <v>11571</v>
      </c>
      <c r="B11578" s="3" t="s">
        <v>11580</v>
      </c>
      <c r="C11578" s="3" t="s">
        <v>10</v>
      </c>
      <c r="D11578" s="3" t="s">
        <v>9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/>
      <c r="P11578" s="3"/>
      <c r="Q11578" s="3"/>
    </row>
    <row r="11579" spans="1:17" ht="15" x14ac:dyDescent="0.25">
      <c r="A11579" s="3">
        <f>11572</f>
        <v>11572</v>
      </c>
      <c r="B11579" s="3" t="s">
        <v>11581</v>
      </c>
      <c r="C11579" s="3" t="s">
        <v>10</v>
      </c>
      <c r="D11579" s="3" t="s">
        <v>9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/>
      <c r="P11579" s="3"/>
      <c r="Q11579" s="3"/>
    </row>
    <row r="11580" spans="1:17" ht="15" x14ac:dyDescent="0.25">
      <c r="A11580" s="3">
        <f>11573</f>
        <v>11573</v>
      </c>
      <c r="B11580" s="3" t="s">
        <v>11582</v>
      </c>
      <c r="C11580" s="3" t="s">
        <v>10</v>
      </c>
      <c r="D11580" s="3" t="s">
        <v>9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/>
      <c r="P11580" s="3"/>
      <c r="Q11580" s="3"/>
    </row>
    <row r="11581" spans="1:17" ht="15" x14ac:dyDescent="0.25">
      <c r="A11581" s="3">
        <f>11574</f>
        <v>11574</v>
      </c>
      <c r="B11581" s="3" t="s">
        <v>11583</v>
      </c>
      <c r="C11581" s="3" t="s">
        <v>10</v>
      </c>
      <c r="D11581" s="3" t="s">
        <v>9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/>
      <c r="P11581" s="3"/>
      <c r="Q11581" s="3"/>
    </row>
    <row r="11582" spans="1:17" ht="15" x14ac:dyDescent="0.25">
      <c r="A11582" s="3">
        <f>11575</f>
        <v>11575</v>
      </c>
      <c r="B11582" s="3" t="s">
        <v>11584</v>
      </c>
      <c r="C11582" s="3" t="s">
        <v>10</v>
      </c>
      <c r="D11582" s="3" t="s">
        <v>9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/>
      <c r="P11582" s="3"/>
      <c r="Q11582" s="3"/>
    </row>
    <row r="11583" spans="1:17" ht="15" x14ac:dyDescent="0.25">
      <c r="A11583" s="3">
        <f>11576</f>
        <v>11576</v>
      </c>
      <c r="B11583" s="3" t="s">
        <v>11585</v>
      </c>
      <c r="C11583" s="3" t="s">
        <v>10</v>
      </c>
      <c r="D11583" s="3" t="s">
        <v>9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/>
      <c r="P11583" s="3"/>
      <c r="Q11583" s="3"/>
    </row>
    <row r="11584" spans="1:17" ht="15" x14ac:dyDescent="0.25">
      <c r="A11584" s="3">
        <f>11577</f>
        <v>11577</v>
      </c>
      <c r="B11584" s="3" t="s">
        <v>11586</v>
      </c>
      <c r="C11584" s="3" t="s">
        <v>10</v>
      </c>
      <c r="D11584" s="3" t="s">
        <v>9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/>
      <c r="P11584" s="3"/>
      <c r="Q11584" s="3"/>
    </row>
    <row r="11585" spans="1:17" ht="15" x14ac:dyDescent="0.25">
      <c r="A11585" s="3">
        <f>11578</f>
        <v>11578</v>
      </c>
      <c r="B11585" s="3" t="s">
        <v>11587</v>
      </c>
      <c r="C11585" s="3" t="s">
        <v>10</v>
      </c>
      <c r="D11585" s="3" t="s">
        <v>9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/>
      <c r="P11585" s="3"/>
      <c r="Q11585" s="3"/>
    </row>
    <row r="11586" spans="1:17" ht="15" x14ac:dyDescent="0.25">
      <c r="A11586" s="3">
        <f>11579</f>
        <v>11579</v>
      </c>
      <c r="B11586" s="3" t="s">
        <v>11588</v>
      </c>
      <c r="C11586" s="3" t="s">
        <v>9</v>
      </c>
      <c r="D11586" s="3" t="s">
        <v>10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/>
      <c r="P11586" s="3"/>
      <c r="Q11586" s="3"/>
    </row>
    <row r="11587" spans="1:17" ht="15" x14ac:dyDescent="0.25">
      <c r="A11587" s="3">
        <f>11580</f>
        <v>11580</v>
      </c>
      <c r="B11587" s="3" t="s">
        <v>11589</v>
      </c>
      <c r="C11587" s="3" t="s">
        <v>10</v>
      </c>
      <c r="D11587" s="3" t="s">
        <v>9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/>
      <c r="P11587" s="3"/>
      <c r="Q11587" s="3"/>
    </row>
    <row r="11588" spans="1:17" ht="15" x14ac:dyDescent="0.25">
      <c r="A11588" s="3">
        <f>11581</f>
        <v>11581</v>
      </c>
      <c r="B11588" s="3" t="s">
        <v>11590</v>
      </c>
      <c r="C11588" s="3" t="s">
        <v>10</v>
      </c>
      <c r="D11588" s="3" t="s">
        <v>9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/>
      <c r="P11588" s="3"/>
      <c r="Q11588" s="3"/>
    </row>
    <row r="11589" spans="1:17" ht="15" x14ac:dyDescent="0.25">
      <c r="A11589" s="3">
        <f>11582</f>
        <v>11582</v>
      </c>
      <c r="B11589" s="3" t="s">
        <v>11591</v>
      </c>
      <c r="C11589" s="3" t="s">
        <v>9</v>
      </c>
      <c r="D11589" s="3" t="s">
        <v>10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/>
      <c r="P11589" s="3"/>
      <c r="Q11589" s="3"/>
    </row>
    <row r="11590" spans="1:17" ht="15" x14ac:dyDescent="0.25">
      <c r="A11590" s="3">
        <f>11583</f>
        <v>11583</v>
      </c>
      <c r="B11590" s="3" t="s">
        <v>11592</v>
      </c>
      <c r="C11590" s="3" t="s">
        <v>10</v>
      </c>
      <c r="D11590" s="3" t="s">
        <v>9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/>
      <c r="P11590" s="3"/>
      <c r="Q11590" s="3"/>
    </row>
    <row r="11591" spans="1:17" ht="15" x14ac:dyDescent="0.25">
      <c r="A11591" s="3">
        <f>11584</f>
        <v>11584</v>
      </c>
      <c r="B11591" s="3" t="s">
        <v>11593</v>
      </c>
      <c r="C11591" s="3" t="s">
        <v>10</v>
      </c>
      <c r="D11591" s="3" t="s">
        <v>9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/>
      <c r="P11591" s="3"/>
      <c r="Q11591" s="3"/>
    </row>
    <row r="11592" spans="1:17" ht="15" x14ac:dyDescent="0.25">
      <c r="A11592" s="3">
        <f>11585</f>
        <v>11585</v>
      </c>
      <c r="B11592" s="3" t="s">
        <v>11594</v>
      </c>
      <c r="C11592" s="3" t="s">
        <v>10</v>
      </c>
      <c r="D11592" s="3" t="s">
        <v>9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/>
      <c r="P11592" s="3"/>
      <c r="Q11592" s="3"/>
    </row>
    <row r="11593" spans="1:17" ht="15" x14ac:dyDescent="0.25">
      <c r="A11593" s="3">
        <f>11586</f>
        <v>11586</v>
      </c>
      <c r="B11593" s="3" t="s">
        <v>11595</v>
      </c>
      <c r="C11593" s="3" t="s">
        <v>10</v>
      </c>
      <c r="D11593" s="3" t="s">
        <v>9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/>
      <c r="P11593" s="3"/>
      <c r="Q11593" s="3"/>
    </row>
    <row r="11594" spans="1:17" ht="15" x14ac:dyDescent="0.25">
      <c r="A11594" s="3">
        <f>11587</f>
        <v>11587</v>
      </c>
      <c r="B11594" s="3" t="s">
        <v>11596</v>
      </c>
      <c r="C11594" s="3" t="s">
        <v>10</v>
      </c>
      <c r="D11594" s="3" t="s">
        <v>9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/>
      <c r="P11594" s="3"/>
      <c r="Q11594" s="3"/>
    </row>
    <row r="11595" spans="1:17" ht="15" x14ac:dyDescent="0.25">
      <c r="A11595" s="3">
        <f>11588</f>
        <v>11588</v>
      </c>
      <c r="B11595" s="3" t="s">
        <v>11597</v>
      </c>
      <c r="C11595" s="3" t="s">
        <v>10</v>
      </c>
      <c r="D11595" s="3" t="s">
        <v>9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/>
      <c r="P11595" s="3"/>
      <c r="Q11595" s="3"/>
    </row>
    <row r="11596" spans="1:17" ht="15" x14ac:dyDescent="0.25">
      <c r="A11596" s="3">
        <f>11589</f>
        <v>11589</v>
      </c>
      <c r="B11596" s="3" t="s">
        <v>11598</v>
      </c>
      <c r="C11596" s="3" t="s">
        <v>10</v>
      </c>
      <c r="D11596" s="3" t="s">
        <v>9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/>
      <c r="P11596" s="3"/>
      <c r="Q11596" s="3"/>
    </row>
    <row r="11597" spans="1:17" ht="15" x14ac:dyDescent="0.25">
      <c r="A11597" s="3">
        <f>11590</f>
        <v>11590</v>
      </c>
      <c r="B11597" s="3" t="s">
        <v>11599</v>
      </c>
      <c r="C11597" s="3" t="s">
        <v>10</v>
      </c>
      <c r="D11597" s="3" t="s">
        <v>9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/>
      <c r="P11597" s="3"/>
      <c r="Q11597" s="3"/>
    </row>
    <row r="11598" spans="1:17" ht="15" x14ac:dyDescent="0.25">
      <c r="A11598" s="3">
        <f>11591</f>
        <v>11591</v>
      </c>
      <c r="B11598" s="3" t="s">
        <v>11600</v>
      </c>
      <c r="C11598" s="3" t="s">
        <v>10</v>
      </c>
      <c r="D11598" s="3" t="s">
        <v>9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/>
      <c r="P11598" s="3"/>
      <c r="Q11598" s="3"/>
    </row>
    <row r="11599" spans="1:17" ht="15" x14ac:dyDescent="0.25">
      <c r="A11599" s="3">
        <f>11592</f>
        <v>11592</v>
      </c>
      <c r="B11599" s="3" t="s">
        <v>11601</v>
      </c>
      <c r="C11599" s="3" t="s">
        <v>10</v>
      </c>
      <c r="D11599" s="3" t="s">
        <v>9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/>
      <c r="P11599" s="3"/>
      <c r="Q11599" s="3"/>
    </row>
    <row r="11600" spans="1:17" ht="15" x14ac:dyDescent="0.25">
      <c r="A11600" s="3">
        <f>11593</f>
        <v>11593</v>
      </c>
      <c r="B11600" s="3" t="s">
        <v>11602</v>
      </c>
      <c r="C11600" s="3" t="s">
        <v>10</v>
      </c>
      <c r="D11600" s="3" t="s">
        <v>9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/>
      <c r="P11600" s="3"/>
      <c r="Q11600" s="3"/>
    </row>
    <row r="11601" spans="1:17" ht="15" x14ac:dyDescent="0.25">
      <c r="A11601" s="3">
        <f>11594</f>
        <v>11594</v>
      </c>
      <c r="B11601" s="3" t="s">
        <v>11603</v>
      </c>
      <c r="C11601" s="3" t="s">
        <v>10</v>
      </c>
      <c r="D11601" s="3" t="s">
        <v>9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/>
      <c r="P11601" s="3"/>
      <c r="Q11601" s="3"/>
    </row>
    <row r="11602" spans="1:17" ht="15" x14ac:dyDescent="0.25">
      <c r="A11602" s="3">
        <f>11595</f>
        <v>11595</v>
      </c>
      <c r="B11602" s="3" t="s">
        <v>11604</v>
      </c>
      <c r="C11602" s="3" t="s">
        <v>10</v>
      </c>
      <c r="D11602" s="3" t="s">
        <v>9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/>
      <c r="P11602" s="3"/>
      <c r="Q11602" s="3"/>
    </row>
    <row r="11603" spans="1:17" ht="15" x14ac:dyDescent="0.25">
      <c r="A11603" s="3">
        <f>11596</f>
        <v>11596</v>
      </c>
      <c r="B11603" s="3" t="s">
        <v>11605</v>
      </c>
      <c r="C11603" s="3" t="s">
        <v>10</v>
      </c>
      <c r="D11603" s="3" t="s">
        <v>9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/>
      <c r="P11603" s="3"/>
      <c r="Q11603" s="3"/>
    </row>
    <row r="11604" spans="1:17" ht="15" x14ac:dyDescent="0.25">
      <c r="A11604" s="3">
        <f>11597</f>
        <v>11597</v>
      </c>
      <c r="B11604" s="3" t="s">
        <v>11606</v>
      </c>
      <c r="C11604" s="3" t="s">
        <v>9</v>
      </c>
      <c r="D11604" s="3" t="s">
        <v>10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/>
      <c r="P11604" s="3"/>
      <c r="Q11604" s="3"/>
    </row>
    <row r="11605" spans="1:17" ht="15" x14ac:dyDescent="0.25">
      <c r="A11605" s="3">
        <f>11598</f>
        <v>11598</v>
      </c>
      <c r="B11605" s="3" t="s">
        <v>11607</v>
      </c>
      <c r="C11605" s="3" t="s">
        <v>9</v>
      </c>
      <c r="D11605" s="3" t="s">
        <v>10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/>
      <c r="P11605" s="3"/>
      <c r="Q11605" s="3"/>
    </row>
    <row r="11606" spans="1:17" ht="15" x14ac:dyDescent="0.25">
      <c r="A11606" s="3">
        <f>11599</f>
        <v>11599</v>
      </c>
      <c r="B11606" s="3" t="s">
        <v>11608</v>
      </c>
      <c r="C11606" s="3" t="s">
        <v>9</v>
      </c>
      <c r="D11606" s="3" t="s">
        <v>10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/>
      <c r="P11606" s="3"/>
      <c r="Q11606" s="3"/>
    </row>
    <row r="11607" spans="1:17" ht="15" x14ac:dyDescent="0.25">
      <c r="A11607" s="3">
        <f>11600</f>
        <v>11600</v>
      </c>
      <c r="B11607" s="3" t="s">
        <v>11609</v>
      </c>
      <c r="C11607" s="3" t="s">
        <v>9</v>
      </c>
      <c r="D11607" s="3" t="s">
        <v>10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/>
      <c r="P11607" s="3"/>
      <c r="Q11607" s="3"/>
    </row>
    <row r="11608" spans="1:17" ht="15" x14ac:dyDescent="0.25">
      <c r="A11608" s="3">
        <f>11601</f>
        <v>11601</v>
      </c>
      <c r="B11608" s="3" t="s">
        <v>11610</v>
      </c>
      <c r="C11608" s="3" t="s">
        <v>9</v>
      </c>
      <c r="D11608" s="3" t="s">
        <v>10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/>
      <c r="P11608" s="3"/>
      <c r="Q11608" s="3"/>
    </row>
    <row r="11609" spans="1:17" ht="15" x14ac:dyDescent="0.25">
      <c r="A11609" s="3">
        <f>11602</f>
        <v>11602</v>
      </c>
      <c r="B11609" s="3" t="s">
        <v>11611</v>
      </c>
      <c r="C11609" s="3" t="s">
        <v>9</v>
      </c>
      <c r="D11609" s="3" t="s">
        <v>10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/>
      <c r="P11609" s="3"/>
      <c r="Q11609" s="3"/>
    </row>
    <row r="11610" spans="1:17" ht="15" x14ac:dyDescent="0.25">
      <c r="A11610" s="3">
        <f>11603</f>
        <v>11603</v>
      </c>
      <c r="B11610" s="3" t="s">
        <v>11612</v>
      </c>
      <c r="C11610" s="3" t="s">
        <v>9</v>
      </c>
      <c r="D11610" s="3" t="s">
        <v>10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/>
      <c r="P11610" s="3"/>
      <c r="Q11610" s="3"/>
    </row>
    <row r="11611" spans="1:17" ht="15" x14ac:dyDescent="0.25">
      <c r="A11611" s="3">
        <f>11604</f>
        <v>11604</v>
      </c>
      <c r="B11611" s="3" t="s">
        <v>11613</v>
      </c>
      <c r="C11611" s="3" t="s">
        <v>9</v>
      </c>
      <c r="D11611" s="3" t="s">
        <v>10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/>
      <c r="P11611" s="3"/>
      <c r="Q11611" s="3"/>
    </row>
    <row r="11612" spans="1:17" ht="15" x14ac:dyDescent="0.25">
      <c r="A11612" s="3">
        <f>11605</f>
        <v>11605</v>
      </c>
      <c r="B11612" s="3" t="s">
        <v>11614</v>
      </c>
      <c r="C11612" s="3" t="s">
        <v>9</v>
      </c>
      <c r="D11612" s="3" t="s">
        <v>10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/>
      <c r="P11612" s="3"/>
      <c r="Q11612" s="3"/>
    </row>
    <row r="11613" spans="1:17" ht="15" x14ac:dyDescent="0.25">
      <c r="A11613" s="3">
        <f>11606</f>
        <v>11606</v>
      </c>
      <c r="B11613" s="3" t="s">
        <v>11615</v>
      </c>
      <c r="C11613" s="3" t="s">
        <v>9</v>
      </c>
      <c r="D11613" s="3" t="s">
        <v>10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/>
      <c r="P11613" s="3"/>
      <c r="Q11613" s="3"/>
    </row>
    <row r="11614" spans="1:17" ht="15" x14ac:dyDescent="0.25">
      <c r="A11614" s="3">
        <f>11607</f>
        <v>11607</v>
      </c>
      <c r="B11614" s="3" t="s">
        <v>11616</v>
      </c>
      <c r="C11614" s="3" t="s">
        <v>9</v>
      </c>
      <c r="D11614" s="3" t="s">
        <v>10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/>
      <c r="P11614" s="3"/>
      <c r="Q11614" s="3"/>
    </row>
    <row r="11615" spans="1:17" ht="15" x14ac:dyDescent="0.25">
      <c r="A11615" s="3">
        <f>11608</f>
        <v>11608</v>
      </c>
      <c r="B11615" s="3" t="s">
        <v>11617</v>
      </c>
      <c r="C11615" s="3" t="s">
        <v>9</v>
      </c>
      <c r="D11615" s="3" t="s">
        <v>10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/>
      <c r="P11615" s="3"/>
      <c r="Q11615" s="3"/>
    </row>
    <row r="11616" spans="1:17" ht="15" x14ac:dyDescent="0.25">
      <c r="A11616" s="3">
        <f>11609</f>
        <v>11609</v>
      </c>
      <c r="B11616" s="3" t="s">
        <v>11618</v>
      </c>
      <c r="C11616" s="3" t="s">
        <v>9</v>
      </c>
      <c r="D11616" s="3" t="s">
        <v>10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/>
      <c r="P11616" s="3"/>
      <c r="Q11616" s="3"/>
    </row>
    <row r="11617" spans="1:17" ht="15" x14ac:dyDescent="0.25">
      <c r="A11617" s="3">
        <f>11610</f>
        <v>11610</v>
      </c>
      <c r="B11617" s="3" t="s">
        <v>11619</v>
      </c>
      <c r="C11617" s="3" t="s">
        <v>9</v>
      </c>
      <c r="D11617" s="3" t="s">
        <v>10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/>
      <c r="P11617" s="3"/>
      <c r="Q11617" s="3"/>
    </row>
    <row r="11618" spans="1:17" ht="15" x14ac:dyDescent="0.25">
      <c r="A11618" s="3">
        <f>11611</f>
        <v>11611</v>
      </c>
      <c r="B11618" s="3" t="s">
        <v>11620</v>
      </c>
      <c r="C11618" s="3" t="s">
        <v>9</v>
      </c>
      <c r="D11618" s="3" t="s">
        <v>10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/>
      <c r="P11618" s="3"/>
      <c r="Q11618" s="3"/>
    </row>
    <row r="11619" spans="1:17" ht="15" x14ac:dyDescent="0.25">
      <c r="A11619" s="3">
        <f>11612</f>
        <v>11612</v>
      </c>
      <c r="B11619" s="3" t="s">
        <v>11621</v>
      </c>
      <c r="C11619" s="3" t="s">
        <v>9</v>
      </c>
      <c r="D11619" s="3" t="s">
        <v>10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/>
      <c r="P11619" s="3"/>
      <c r="Q11619" s="3"/>
    </row>
    <row r="11620" spans="1:17" ht="15" x14ac:dyDescent="0.25">
      <c r="A11620" s="3">
        <f>11613</f>
        <v>11613</v>
      </c>
      <c r="B11620" s="3" t="s">
        <v>11622</v>
      </c>
      <c r="C11620" s="3" t="s">
        <v>9</v>
      </c>
      <c r="D11620" s="3" t="s">
        <v>10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/>
      <c r="P11620" s="3"/>
      <c r="Q11620" s="3"/>
    </row>
    <row r="11621" spans="1:17" ht="15" x14ac:dyDescent="0.25">
      <c r="A11621" s="3">
        <f>11614</f>
        <v>11614</v>
      </c>
      <c r="B11621" s="3" t="s">
        <v>11623</v>
      </c>
      <c r="C11621" s="3" t="s">
        <v>9</v>
      </c>
      <c r="D11621" s="3" t="s">
        <v>10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/>
      <c r="P11621" s="3"/>
      <c r="Q11621" s="3"/>
    </row>
    <row r="11622" spans="1:17" ht="15" x14ac:dyDescent="0.25">
      <c r="A11622" s="3">
        <f>11615</f>
        <v>11615</v>
      </c>
      <c r="B11622" s="3" t="s">
        <v>11624</v>
      </c>
      <c r="C11622" s="3" t="s">
        <v>9</v>
      </c>
      <c r="D11622" s="3" t="s">
        <v>10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/>
      <c r="P11622" s="3"/>
      <c r="Q11622" s="3"/>
    </row>
    <row r="11623" spans="1:17" ht="15" x14ac:dyDescent="0.25">
      <c r="A11623" s="3">
        <f>11616</f>
        <v>11616</v>
      </c>
      <c r="B11623" s="3" t="s">
        <v>11625</v>
      </c>
      <c r="C11623" s="3" t="s">
        <v>9</v>
      </c>
      <c r="D11623" s="3" t="s">
        <v>10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/>
      <c r="P11623" s="3"/>
      <c r="Q11623" s="3"/>
    </row>
    <row r="11624" spans="1:17" ht="15" x14ac:dyDescent="0.25">
      <c r="A11624" s="3">
        <f>11617</f>
        <v>11617</v>
      </c>
      <c r="B11624" s="3" t="s">
        <v>11626</v>
      </c>
      <c r="C11624" s="3" t="s">
        <v>9</v>
      </c>
      <c r="D11624" s="3" t="s">
        <v>10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/>
      <c r="P11624" s="3"/>
      <c r="Q11624" s="3"/>
    </row>
    <row r="11625" spans="1:17" ht="15" x14ac:dyDescent="0.25">
      <c r="A11625" s="3">
        <f>11618</f>
        <v>11618</v>
      </c>
      <c r="B11625" s="3" t="s">
        <v>11627</v>
      </c>
      <c r="C11625" s="3" t="s">
        <v>9</v>
      </c>
      <c r="D11625" s="3" t="s">
        <v>10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/>
      <c r="P11625" s="3"/>
      <c r="Q11625" s="3"/>
    </row>
    <row r="11626" spans="1:17" ht="15" x14ac:dyDescent="0.25">
      <c r="A11626" s="3">
        <f>11619</f>
        <v>11619</v>
      </c>
      <c r="B11626" s="3" t="s">
        <v>11628</v>
      </c>
      <c r="C11626" s="3" t="s">
        <v>9</v>
      </c>
      <c r="D11626" s="3" t="s">
        <v>10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/>
      <c r="P11626" s="3"/>
      <c r="Q11626" s="3"/>
    </row>
    <row r="11627" spans="1:17" ht="15" x14ac:dyDescent="0.25">
      <c r="A11627" s="3">
        <f>11620</f>
        <v>11620</v>
      </c>
      <c r="B11627" s="3" t="s">
        <v>11629</v>
      </c>
      <c r="C11627" s="3" t="s">
        <v>9</v>
      </c>
      <c r="D11627" s="3" t="s">
        <v>10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/>
      <c r="P11627" s="3"/>
      <c r="Q11627" s="3"/>
    </row>
    <row r="11628" spans="1:17" ht="15" x14ac:dyDescent="0.25">
      <c r="A11628" s="3">
        <f>11621</f>
        <v>11621</v>
      </c>
      <c r="B11628" s="3" t="s">
        <v>11630</v>
      </c>
      <c r="C11628" s="3" t="s">
        <v>9</v>
      </c>
      <c r="D11628" s="3" t="s">
        <v>10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/>
      <c r="P11628" s="3"/>
      <c r="Q11628" s="3"/>
    </row>
    <row r="11629" spans="1:17" ht="15" x14ac:dyDescent="0.25">
      <c r="A11629" s="3">
        <f>11622</f>
        <v>11622</v>
      </c>
      <c r="B11629" s="3" t="s">
        <v>11631</v>
      </c>
      <c r="C11629" s="3" t="s">
        <v>9</v>
      </c>
      <c r="D11629" s="3" t="s">
        <v>10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/>
      <c r="P11629" s="3"/>
      <c r="Q11629" s="3"/>
    </row>
    <row r="11630" spans="1:17" ht="15" x14ac:dyDescent="0.25">
      <c r="A11630" s="3">
        <f>11623</f>
        <v>11623</v>
      </c>
      <c r="B11630" s="3" t="s">
        <v>11632</v>
      </c>
      <c r="C11630" s="3" t="s">
        <v>9</v>
      </c>
      <c r="D11630" s="3" t="s">
        <v>10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/>
      <c r="P11630" s="3"/>
      <c r="Q11630" s="3"/>
    </row>
    <row r="11631" spans="1:17" ht="15" x14ac:dyDescent="0.25">
      <c r="A11631" s="3">
        <f>11624</f>
        <v>11624</v>
      </c>
      <c r="B11631" s="3" t="s">
        <v>11633</v>
      </c>
      <c r="C11631" s="3" t="s">
        <v>9</v>
      </c>
      <c r="D11631" s="3" t="s">
        <v>10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/>
      <c r="P11631" s="3"/>
      <c r="Q11631" s="3"/>
    </row>
    <row r="11632" spans="1:17" ht="15" x14ac:dyDescent="0.25">
      <c r="A11632" s="3">
        <f>11625</f>
        <v>11625</v>
      </c>
      <c r="B11632" s="3" t="s">
        <v>11634</v>
      </c>
      <c r="C11632" s="3" t="s">
        <v>9</v>
      </c>
      <c r="D11632" s="3" t="s">
        <v>10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/>
      <c r="P11632" s="3"/>
      <c r="Q11632" s="3"/>
    </row>
    <row r="11633" spans="1:17" ht="15" x14ac:dyDescent="0.25">
      <c r="A11633" s="3">
        <f>11626</f>
        <v>11626</v>
      </c>
      <c r="B11633" s="3" t="s">
        <v>11635</v>
      </c>
      <c r="C11633" s="3" t="s">
        <v>9</v>
      </c>
      <c r="D11633" s="3" t="s">
        <v>10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/>
      <c r="P11633" s="3"/>
      <c r="Q11633" s="3"/>
    </row>
    <row r="11634" spans="1:17" ht="15" x14ac:dyDescent="0.25">
      <c r="A11634" s="3">
        <f>11627</f>
        <v>11627</v>
      </c>
      <c r="B11634" s="3" t="s">
        <v>11636</v>
      </c>
      <c r="C11634" s="3" t="s">
        <v>9</v>
      </c>
      <c r="D11634" s="3" t="s">
        <v>10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/>
      <c r="P11634" s="3"/>
      <c r="Q11634" s="3"/>
    </row>
    <row r="11635" spans="1:17" ht="15" x14ac:dyDescent="0.25">
      <c r="A11635" s="3">
        <f>11628</f>
        <v>11628</v>
      </c>
      <c r="B11635" s="3" t="s">
        <v>11637</v>
      </c>
      <c r="C11635" s="3" t="s">
        <v>9</v>
      </c>
      <c r="D11635" s="3" t="s">
        <v>10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/>
      <c r="P11635" s="3"/>
      <c r="Q11635" s="3"/>
    </row>
    <row r="11636" spans="1:17" ht="15" x14ac:dyDescent="0.25">
      <c r="A11636" s="3">
        <f>11629</f>
        <v>11629</v>
      </c>
      <c r="B11636" s="3" t="s">
        <v>11638</v>
      </c>
      <c r="C11636" s="3" t="s">
        <v>9</v>
      </c>
      <c r="D11636" s="3" t="s">
        <v>10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/>
      <c r="P11636" s="3"/>
      <c r="Q11636" s="3"/>
    </row>
    <row r="11637" spans="1:17" ht="15" x14ac:dyDescent="0.25">
      <c r="A11637" s="3">
        <f>11630</f>
        <v>11630</v>
      </c>
      <c r="B11637" s="3" t="s">
        <v>11639</v>
      </c>
      <c r="C11637" s="3" t="s">
        <v>9</v>
      </c>
      <c r="D11637" s="3" t="s">
        <v>10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/>
      <c r="P11637" s="3"/>
      <c r="Q11637" s="3"/>
    </row>
    <row r="11638" spans="1:17" ht="15" x14ac:dyDescent="0.25">
      <c r="A11638" s="3">
        <f>11631</f>
        <v>11631</v>
      </c>
      <c r="B11638" s="3" t="s">
        <v>11640</v>
      </c>
      <c r="C11638" s="3" t="s">
        <v>9</v>
      </c>
      <c r="D11638" s="3" t="s">
        <v>10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/>
      <c r="P11638" s="3"/>
      <c r="Q11638" s="3"/>
    </row>
    <row r="11639" spans="1:17" ht="15" x14ac:dyDescent="0.25">
      <c r="A11639" s="3">
        <f>11632</f>
        <v>11632</v>
      </c>
      <c r="B11639" s="3" t="s">
        <v>11641</v>
      </c>
      <c r="C11639" s="3" t="s">
        <v>9</v>
      </c>
      <c r="D11639" s="3" t="s">
        <v>10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/>
      <c r="P11639" s="3"/>
      <c r="Q11639" s="3"/>
    </row>
    <row r="11640" spans="1:17" ht="15" x14ac:dyDescent="0.25">
      <c r="A11640" s="3">
        <f>11633</f>
        <v>11633</v>
      </c>
      <c r="B11640" s="3" t="s">
        <v>11642</v>
      </c>
      <c r="C11640" s="3" t="s">
        <v>9</v>
      </c>
      <c r="D11640" s="3" t="s">
        <v>10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/>
      <c r="P11640" s="3"/>
      <c r="Q11640" s="3"/>
    </row>
    <row r="11641" spans="1:17" ht="15" x14ac:dyDescent="0.25">
      <c r="A11641" s="3">
        <f>11634</f>
        <v>11634</v>
      </c>
      <c r="B11641" s="3" t="s">
        <v>11643</v>
      </c>
      <c r="C11641" s="3" t="s">
        <v>9</v>
      </c>
      <c r="D11641" s="3" t="s">
        <v>10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/>
      <c r="P11641" s="3"/>
      <c r="Q11641" s="3"/>
    </row>
    <row r="11642" spans="1:17" ht="15" x14ac:dyDescent="0.25">
      <c r="A11642" s="3">
        <f>11635</f>
        <v>11635</v>
      </c>
      <c r="B11642" s="3" t="s">
        <v>11644</v>
      </c>
      <c r="C11642" s="3" t="s">
        <v>9</v>
      </c>
      <c r="D11642" s="3" t="s">
        <v>10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/>
      <c r="P11642" s="3"/>
      <c r="Q11642" s="3"/>
    </row>
    <row r="11643" spans="1:17" ht="15" x14ac:dyDescent="0.25">
      <c r="A11643" s="3">
        <f>11636</f>
        <v>11636</v>
      </c>
      <c r="B11643" s="3" t="s">
        <v>11645</v>
      </c>
      <c r="C11643" s="3" t="s">
        <v>9</v>
      </c>
      <c r="D11643" s="3" t="s">
        <v>10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/>
      <c r="P11643" s="3"/>
      <c r="Q11643" s="3"/>
    </row>
    <row r="11644" spans="1:17" ht="15" x14ac:dyDescent="0.25">
      <c r="A11644" s="3">
        <f>11637</f>
        <v>11637</v>
      </c>
      <c r="B11644" s="3" t="s">
        <v>11646</v>
      </c>
      <c r="C11644" s="3" t="s">
        <v>9</v>
      </c>
      <c r="D11644" s="3" t="s">
        <v>10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/>
      <c r="P11644" s="3"/>
      <c r="Q11644" s="3"/>
    </row>
    <row r="11645" spans="1:17" ht="15" x14ac:dyDescent="0.25">
      <c r="A11645" s="3">
        <f>11638</f>
        <v>11638</v>
      </c>
      <c r="B11645" s="3" t="s">
        <v>11647</v>
      </c>
      <c r="C11645" s="3" t="s">
        <v>9</v>
      </c>
      <c r="D11645" s="3" t="s">
        <v>10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/>
      <c r="P11645" s="3"/>
      <c r="Q11645" s="3"/>
    </row>
    <row r="11646" spans="1:17" ht="15" x14ac:dyDescent="0.25">
      <c r="A11646" s="3">
        <f>11639</f>
        <v>11639</v>
      </c>
      <c r="B11646" s="3" t="s">
        <v>11648</v>
      </c>
      <c r="C11646" s="3" t="s">
        <v>9</v>
      </c>
      <c r="D11646" s="3" t="s">
        <v>10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/>
      <c r="P11646" s="3"/>
      <c r="Q11646" s="3"/>
    </row>
    <row r="11647" spans="1:17" ht="15" x14ac:dyDescent="0.25">
      <c r="A11647" s="3">
        <f>11640</f>
        <v>11640</v>
      </c>
      <c r="B11647" s="3" t="s">
        <v>11649</v>
      </c>
      <c r="C11647" s="3" t="s">
        <v>9</v>
      </c>
      <c r="D11647" s="3" t="s">
        <v>10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/>
      <c r="P11647" s="3"/>
      <c r="Q11647" s="3"/>
    </row>
    <row r="11648" spans="1:17" ht="15" x14ac:dyDescent="0.25">
      <c r="A11648" s="3">
        <f>11641</f>
        <v>11641</v>
      </c>
      <c r="B11648" s="3" t="s">
        <v>11650</v>
      </c>
      <c r="C11648" s="3" t="s">
        <v>9</v>
      </c>
      <c r="D11648" s="3" t="s">
        <v>10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/>
      <c r="P11648" s="3"/>
      <c r="Q11648" s="3"/>
    </row>
    <row r="11649" spans="1:17" ht="15" x14ac:dyDescent="0.25">
      <c r="A11649" s="3">
        <f>11642</f>
        <v>11642</v>
      </c>
      <c r="B11649" s="3" t="s">
        <v>11651</v>
      </c>
      <c r="C11649" s="3" t="s">
        <v>9</v>
      </c>
      <c r="D11649" s="3" t="s">
        <v>10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/>
      <c r="P11649" s="3"/>
      <c r="Q11649" s="3"/>
    </row>
    <row r="11650" spans="1:17" ht="15" x14ac:dyDescent="0.25">
      <c r="A11650" s="3">
        <f>11643</f>
        <v>11643</v>
      </c>
      <c r="B11650" s="3" t="s">
        <v>11652</v>
      </c>
      <c r="C11650" s="3" t="s">
        <v>9</v>
      </c>
      <c r="D11650" s="3" t="s">
        <v>10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/>
      <c r="P11650" s="3"/>
      <c r="Q11650" s="3"/>
    </row>
    <row r="11651" spans="1:17" ht="15" x14ac:dyDescent="0.25">
      <c r="A11651" s="3">
        <f>11644</f>
        <v>11644</v>
      </c>
      <c r="B11651" s="3" t="s">
        <v>11653</v>
      </c>
      <c r="C11651" s="3" t="s">
        <v>9</v>
      </c>
      <c r="D11651" s="3" t="s">
        <v>10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/>
      <c r="P11651" s="3"/>
      <c r="Q11651" s="3"/>
    </row>
    <row r="11652" spans="1:17" ht="15" x14ac:dyDescent="0.25">
      <c r="A11652" s="3">
        <f>11645</f>
        <v>11645</v>
      </c>
      <c r="B11652" s="3" t="s">
        <v>11654</v>
      </c>
      <c r="C11652" s="3" t="s">
        <v>9</v>
      </c>
      <c r="D11652" s="3" t="s">
        <v>10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/>
      <c r="P11652" s="3"/>
      <c r="Q11652" s="3"/>
    </row>
    <row r="11653" spans="1:17" ht="15" x14ac:dyDescent="0.25">
      <c r="A11653" s="3">
        <f>11646</f>
        <v>11646</v>
      </c>
      <c r="B11653" s="3" t="s">
        <v>11655</v>
      </c>
      <c r="C11653" s="3" t="s">
        <v>9</v>
      </c>
      <c r="D11653" s="3" t="s">
        <v>10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/>
      <c r="P11653" s="3"/>
      <c r="Q11653" s="3"/>
    </row>
    <row r="11654" spans="1:17" ht="15" x14ac:dyDescent="0.25">
      <c r="A11654" s="3">
        <f>11647</f>
        <v>11647</v>
      </c>
      <c r="B11654" s="3" t="s">
        <v>11656</v>
      </c>
      <c r="C11654" s="3" t="s">
        <v>9</v>
      </c>
      <c r="D11654" s="3" t="s">
        <v>10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/>
      <c r="P11654" s="3"/>
      <c r="Q11654" s="3"/>
    </row>
    <row r="11655" spans="1:17" ht="15" x14ac:dyDescent="0.25">
      <c r="A11655" s="3">
        <f>11648</f>
        <v>11648</v>
      </c>
      <c r="B11655" s="3" t="s">
        <v>11657</v>
      </c>
      <c r="C11655" s="3" t="s">
        <v>9</v>
      </c>
      <c r="D11655" s="3" t="s">
        <v>10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/>
      <c r="P11655" s="3"/>
      <c r="Q11655" s="3"/>
    </row>
    <row r="11656" spans="1:17" ht="15" x14ac:dyDescent="0.25">
      <c r="A11656" s="3">
        <f>11649</f>
        <v>11649</v>
      </c>
      <c r="B11656" s="3" t="s">
        <v>11658</v>
      </c>
      <c r="C11656" s="3" t="s">
        <v>9</v>
      </c>
      <c r="D11656" s="3" t="s">
        <v>10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/>
      <c r="P11656" s="3"/>
      <c r="Q11656" s="3"/>
    </row>
    <row r="11657" spans="1:17" ht="15" x14ac:dyDescent="0.25">
      <c r="A11657" s="3">
        <f>11650</f>
        <v>11650</v>
      </c>
      <c r="B11657" s="3" t="s">
        <v>11659</v>
      </c>
      <c r="C11657" s="3" t="s">
        <v>9</v>
      </c>
      <c r="D11657" s="3" t="s">
        <v>10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/>
      <c r="P11657" s="3"/>
      <c r="Q11657" s="3"/>
    </row>
    <row r="11658" spans="1:17" ht="15" x14ac:dyDescent="0.25">
      <c r="A11658" s="3">
        <f>11651</f>
        <v>11651</v>
      </c>
      <c r="B11658" s="3" t="s">
        <v>11660</v>
      </c>
      <c r="C11658" s="3" t="s">
        <v>9</v>
      </c>
      <c r="D11658" s="3" t="s">
        <v>10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/>
      <c r="P11658" s="3"/>
      <c r="Q11658" s="3"/>
    </row>
    <row r="11659" spans="1:17" ht="15" x14ac:dyDescent="0.25">
      <c r="A11659" s="3">
        <f>11652</f>
        <v>11652</v>
      </c>
      <c r="B11659" s="3" t="s">
        <v>11661</v>
      </c>
      <c r="C11659" s="3" t="s">
        <v>9</v>
      </c>
      <c r="D11659" s="3" t="s">
        <v>10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/>
      <c r="P11659" s="3"/>
      <c r="Q11659" s="3"/>
    </row>
    <row r="11660" spans="1:17" ht="15" x14ac:dyDescent="0.25">
      <c r="A11660" s="3">
        <f>11653</f>
        <v>11653</v>
      </c>
      <c r="B11660" s="3" t="s">
        <v>11662</v>
      </c>
      <c r="C11660" s="3" t="s">
        <v>9</v>
      </c>
      <c r="D11660" s="3" t="s">
        <v>10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/>
      <c r="P11660" s="3"/>
      <c r="Q11660" s="3"/>
    </row>
    <row r="11661" spans="1:17" ht="15" x14ac:dyDescent="0.25">
      <c r="A11661" s="3">
        <f>11654</f>
        <v>11654</v>
      </c>
      <c r="B11661" s="3" t="s">
        <v>11663</v>
      </c>
      <c r="C11661" s="3" t="s">
        <v>9</v>
      </c>
      <c r="D11661" s="3" t="s">
        <v>10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/>
      <c r="P11661" s="3"/>
      <c r="Q11661" s="3"/>
    </row>
    <row r="11662" spans="1:17" ht="15" x14ac:dyDescent="0.25">
      <c r="A11662" s="3">
        <f>11655</f>
        <v>11655</v>
      </c>
      <c r="B11662" s="3" t="s">
        <v>11664</v>
      </c>
      <c r="C11662" s="3" t="s">
        <v>9</v>
      </c>
      <c r="D11662" s="3" t="s">
        <v>10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/>
      <c r="P11662" s="3"/>
      <c r="Q11662" s="3"/>
    </row>
    <row r="11663" spans="1:17" ht="15" x14ac:dyDescent="0.25">
      <c r="A11663" s="3">
        <f>11656</f>
        <v>11656</v>
      </c>
      <c r="B11663" s="3" t="s">
        <v>11665</v>
      </c>
      <c r="C11663" s="3" t="s">
        <v>9</v>
      </c>
      <c r="D11663" s="3" t="s">
        <v>10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/>
      <c r="P11663" s="3"/>
      <c r="Q11663" s="3"/>
    </row>
    <row r="11664" spans="1:17" ht="15" x14ac:dyDescent="0.25">
      <c r="A11664" s="3">
        <f>11657</f>
        <v>11657</v>
      </c>
      <c r="B11664" s="3" t="s">
        <v>11666</v>
      </c>
      <c r="C11664" s="3" t="s">
        <v>9</v>
      </c>
      <c r="D11664" s="3" t="s">
        <v>10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/>
      <c r="P11664" s="3"/>
      <c r="Q11664" s="3"/>
    </row>
    <row r="11665" spans="1:17" ht="15" x14ac:dyDescent="0.25">
      <c r="A11665" s="3">
        <f>11658</f>
        <v>11658</v>
      </c>
      <c r="B11665" s="3" t="s">
        <v>11667</v>
      </c>
      <c r="C11665" s="3" t="s">
        <v>9</v>
      </c>
      <c r="D11665" s="3" t="s">
        <v>10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/>
      <c r="P11665" s="3"/>
      <c r="Q11665" s="3"/>
    </row>
    <row r="11666" spans="1:17" ht="15" x14ac:dyDescent="0.25">
      <c r="A11666" s="3">
        <f>11659</f>
        <v>11659</v>
      </c>
      <c r="B11666" s="3" t="s">
        <v>11668</v>
      </c>
      <c r="C11666" s="3" t="s">
        <v>9</v>
      </c>
      <c r="D11666" s="3" t="s">
        <v>10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/>
      <c r="P11666" s="3"/>
      <c r="Q11666" s="3"/>
    </row>
    <row r="11667" spans="1:17" ht="15" x14ac:dyDescent="0.25">
      <c r="A11667" s="3">
        <f>11660</f>
        <v>11660</v>
      </c>
      <c r="B11667" s="3" t="s">
        <v>11669</v>
      </c>
      <c r="C11667" s="3" t="s">
        <v>9</v>
      </c>
      <c r="D11667" s="3" t="s">
        <v>10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/>
      <c r="P11667" s="3"/>
      <c r="Q11667" s="3"/>
    </row>
    <row r="11668" spans="1:17" ht="15" x14ac:dyDescent="0.25">
      <c r="A11668" s="3">
        <f>11661</f>
        <v>11661</v>
      </c>
      <c r="B11668" s="3" t="s">
        <v>11670</v>
      </c>
      <c r="C11668" s="3" t="s">
        <v>9</v>
      </c>
      <c r="D11668" s="3" t="s">
        <v>10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/>
      <c r="P11668" s="3"/>
      <c r="Q11668" s="3"/>
    </row>
    <row r="11669" spans="1:17" ht="15" x14ac:dyDescent="0.25">
      <c r="A11669" s="3">
        <f>11662</f>
        <v>11662</v>
      </c>
      <c r="B11669" s="3" t="s">
        <v>11671</v>
      </c>
      <c r="C11669" s="3" t="s">
        <v>9</v>
      </c>
      <c r="D11669" s="3" t="s">
        <v>10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/>
      <c r="P11669" s="3"/>
      <c r="Q11669" s="3"/>
    </row>
    <row r="11670" spans="1:17" ht="15" x14ac:dyDescent="0.25">
      <c r="A11670" s="3">
        <f>11663</f>
        <v>11663</v>
      </c>
      <c r="B11670" s="3" t="s">
        <v>11672</v>
      </c>
      <c r="C11670" s="3" t="s">
        <v>9</v>
      </c>
      <c r="D11670" s="3" t="s">
        <v>10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/>
      <c r="P11670" s="3"/>
      <c r="Q11670" s="3"/>
    </row>
    <row r="11671" spans="1:17" ht="15" x14ac:dyDescent="0.25">
      <c r="A11671" s="3">
        <f>11664</f>
        <v>11664</v>
      </c>
      <c r="B11671" s="3" t="s">
        <v>11673</v>
      </c>
      <c r="C11671" s="3" t="s">
        <v>9</v>
      </c>
      <c r="D11671" s="3" t="s">
        <v>10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/>
      <c r="P11671" s="3"/>
      <c r="Q11671" s="3"/>
    </row>
    <row r="11672" spans="1:17" ht="15" x14ac:dyDescent="0.25">
      <c r="A11672" s="3">
        <f>11665</f>
        <v>11665</v>
      </c>
      <c r="B11672" s="3" t="s">
        <v>11674</v>
      </c>
      <c r="C11672" s="3" t="s">
        <v>9</v>
      </c>
      <c r="D11672" s="3" t="s">
        <v>10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/>
      <c r="P11672" s="3"/>
      <c r="Q11672" s="3"/>
    </row>
    <row r="11673" spans="1:17" ht="15" x14ac:dyDescent="0.25">
      <c r="A11673" s="3">
        <f>11666</f>
        <v>11666</v>
      </c>
      <c r="B11673" s="3" t="s">
        <v>11675</v>
      </c>
      <c r="C11673" s="3" t="s">
        <v>9</v>
      </c>
      <c r="D11673" s="3" t="s">
        <v>10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/>
      <c r="P11673" s="3"/>
      <c r="Q11673" s="3"/>
    </row>
    <row r="11674" spans="1:17" ht="15" x14ac:dyDescent="0.25">
      <c r="A11674" s="3">
        <f>11667</f>
        <v>11667</v>
      </c>
      <c r="B11674" s="3" t="s">
        <v>11676</v>
      </c>
      <c r="C11674" s="3" t="s">
        <v>9</v>
      </c>
      <c r="D11674" s="3" t="s">
        <v>10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/>
      <c r="P11674" s="3"/>
      <c r="Q11674" s="3"/>
    </row>
    <row r="11675" spans="1:17" ht="15" x14ac:dyDescent="0.25">
      <c r="A11675" s="3">
        <f>11668</f>
        <v>11668</v>
      </c>
      <c r="B11675" s="3" t="s">
        <v>11677</v>
      </c>
      <c r="C11675" s="3" t="s">
        <v>9</v>
      </c>
      <c r="D11675" s="3" t="s">
        <v>10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/>
      <c r="P11675" s="3"/>
      <c r="Q11675" s="3"/>
    </row>
    <row r="11676" spans="1:17" ht="15" x14ac:dyDescent="0.25">
      <c r="A11676" s="3">
        <f>11669</f>
        <v>11669</v>
      </c>
      <c r="B11676" s="3" t="s">
        <v>11678</v>
      </c>
      <c r="C11676" s="3" t="s">
        <v>9</v>
      </c>
      <c r="D11676" s="3" t="s">
        <v>10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/>
      <c r="P11676" s="3"/>
      <c r="Q11676" s="3"/>
    </row>
    <row r="11677" spans="1:17" ht="15" x14ac:dyDescent="0.25">
      <c r="A11677" s="3">
        <f>11670</f>
        <v>11670</v>
      </c>
      <c r="B11677" s="3" t="s">
        <v>11679</v>
      </c>
      <c r="C11677" s="3" t="s">
        <v>9</v>
      </c>
      <c r="D11677" s="3" t="s">
        <v>10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/>
      <c r="P11677" s="3"/>
      <c r="Q11677" s="3"/>
    </row>
    <row r="11678" spans="1:17" ht="15" x14ac:dyDescent="0.25">
      <c r="A11678" s="3">
        <f>11671</f>
        <v>11671</v>
      </c>
      <c r="B11678" s="3" t="s">
        <v>11680</v>
      </c>
      <c r="C11678" s="3" t="s">
        <v>9</v>
      </c>
      <c r="D11678" s="3" t="s">
        <v>10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/>
      <c r="P11678" s="3"/>
      <c r="Q11678" s="3"/>
    </row>
    <row r="11679" spans="1:17" ht="15" x14ac:dyDescent="0.25">
      <c r="A11679" s="3">
        <f>11672</f>
        <v>11672</v>
      </c>
      <c r="B11679" s="3" t="s">
        <v>11681</v>
      </c>
      <c r="C11679" s="3" t="s">
        <v>9</v>
      </c>
      <c r="D11679" s="3" t="s">
        <v>10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/>
      <c r="P11679" s="3"/>
      <c r="Q11679" s="3"/>
    </row>
    <row r="11680" spans="1:17" ht="15" x14ac:dyDescent="0.25">
      <c r="A11680" s="3">
        <f>11673</f>
        <v>11673</v>
      </c>
      <c r="B11680" s="3" t="s">
        <v>11682</v>
      </c>
      <c r="C11680" s="3" t="s">
        <v>9</v>
      </c>
      <c r="D11680" s="3" t="s">
        <v>10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/>
      <c r="P11680" s="3"/>
      <c r="Q11680" s="3"/>
    </row>
    <row r="11681" spans="1:17" ht="15" x14ac:dyDescent="0.25">
      <c r="A11681" s="3">
        <f>11674</f>
        <v>11674</v>
      </c>
      <c r="B11681" s="3" t="s">
        <v>11683</v>
      </c>
      <c r="C11681" s="3" t="s">
        <v>9</v>
      </c>
      <c r="D11681" s="3" t="s">
        <v>10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/>
      <c r="P11681" s="3"/>
      <c r="Q11681" s="3"/>
    </row>
    <row r="11682" spans="1:17" ht="15" x14ac:dyDescent="0.25">
      <c r="A11682" s="3">
        <f>11675</f>
        <v>11675</v>
      </c>
      <c r="B11682" s="3" t="s">
        <v>11684</v>
      </c>
      <c r="C11682" s="3" t="s">
        <v>9</v>
      </c>
      <c r="D11682" s="3" t="s">
        <v>10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/>
      <c r="P11682" s="3"/>
      <c r="Q11682" s="3"/>
    </row>
    <row r="11683" spans="1:17" ht="15" x14ac:dyDescent="0.25">
      <c r="A11683" s="3">
        <f>11676</f>
        <v>11676</v>
      </c>
      <c r="B11683" s="3" t="s">
        <v>11685</v>
      </c>
      <c r="C11683" s="3" t="s">
        <v>9</v>
      </c>
      <c r="D11683" s="3" t="s">
        <v>10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/>
      <c r="P11683" s="3"/>
      <c r="Q11683" s="3"/>
    </row>
    <row r="11684" spans="1:17" ht="15" x14ac:dyDescent="0.25">
      <c r="A11684" s="3">
        <f>11677</f>
        <v>11677</v>
      </c>
      <c r="B11684" s="3" t="s">
        <v>11686</v>
      </c>
      <c r="C11684" s="3" t="s">
        <v>9</v>
      </c>
      <c r="D11684" s="3" t="s">
        <v>10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/>
      <c r="P11684" s="3"/>
      <c r="Q11684" s="3"/>
    </row>
    <row r="11685" spans="1:17" ht="15" x14ac:dyDescent="0.25">
      <c r="A11685" s="3">
        <f>11678</f>
        <v>11678</v>
      </c>
      <c r="B11685" s="3" t="s">
        <v>11687</v>
      </c>
      <c r="C11685" s="3" t="s">
        <v>9</v>
      </c>
      <c r="D11685" s="3" t="s">
        <v>10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/>
      <c r="P11685" s="3"/>
      <c r="Q11685" s="3"/>
    </row>
    <row r="11686" spans="1:17" ht="15" x14ac:dyDescent="0.25">
      <c r="A11686" s="3">
        <f>11679</f>
        <v>11679</v>
      </c>
      <c r="B11686" s="3" t="s">
        <v>11688</v>
      </c>
      <c r="C11686" s="3" t="s">
        <v>9</v>
      </c>
      <c r="D11686" s="3" t="s">
        <v>10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/>
      <c r="P11686" s="3"/>
      <c r="Q11686" s="3"/>
    </row>
    <row r="11687" spans="1:17" ht="15" x14ac:dyDescent="0.25">
      <c r="A11687" s="3">
        <f>11680</f>
        <v>11680</v>
      </c>
      <c r="B11687" s="3" t="s">
        <v>11689</v>
      </c>
      <c r="C11687" s="3" t="s">
        <v>9</v>
      </c>
      <c r="D11687" s="3" t="s">
        <v>10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/>
      <c r="P11687" s="3"/>
      <c r="Q11687" s="3"/>
    </row>
    <row r="11688" spans="1:17" ht="15" x14ac:dyDescent="0.25">
      <c r="A11688" s="3">
        <f>11681</f>
        <v>11681</v>
      </c>
      <c r="B11688" s="3" t="s">
        <v>11690</v>
      </c>
      <c r="C11688" s="3" t="s">
        <v>9</v>
      </c>
      <c r="D11688" s="3" t="s">
        <v>10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/>
      <c r="P11688" s="3"/>
      <c r="Q11688" s="3"/>
    </row>
    <row r="11689" spans="1:17" ht="15" x14ac:dyDescent="0.25">
      <c r="A11689" s="3">
        <f>11682</f>
        <v>11682</v>
      </c>
      <c r="B11689" s="3" t="s">
        <v>11691</v>
      </c>
      <c r="C11689" s="3" t="s">
        <v>9</v>
      </c>
      <c r="D11689" s="3" t="s">
        <v>10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/>
      <c r="P11689" s="3"/>
      <c r="Q11689" s="3"/>
    </row>
    <row r="11690" spans="1:17" ht="15" x14ac:dyDescent="0.25">
      <c r="A11690" s="3">
        <f>11683</f>
        <v>11683</v>
      </c>
      <c r="B11690" s="3" t="s">
        <v>11692</v>
      </c>
      <c r="C11690" s="3" t="s">
        <v>9</v>
      </c>
      <c r="D11690" s="3" t="s">
        <v>10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/>
      <c r="P11690" s="3"/>
      <c r="Q11690" s="3"/>
    </row>
    <row r="11691" spans="1:17" ht="15" x14ac:dyDescent="0.25">
      <c r="A11691" s="3">
        <f>11684</f>
        <v>11684</v>
      </c>
      <c r="B11691" s="3" t="s">
        <v>11693</v>
      </c>
      <c r="C11691" s="3" t="s">
        <v>9</v>
      </c>
      <c r="D11691" s="3" t="s">
        <v>10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/>
      <c r="P11691" s="3"/>
      <c r="Q11691" s="3"/>
    </row>
    <row r="11692" spans="1:17" ht="15" x14ac:dyDescent="0.25">
      <c r="A11692" s="3">
        <f>11685</f>
        <v>11685</v>
      </c>
      <c r="B11692" s="3" t="s">
        <v>11694</v>
      </c>
      <c r="C11692" s="3" t="s">
        <v>9</v>
      </c>
      <c r="D11692" s="3" t="s">
        <v>10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/>
      <c r="P11692" s="3"/>
      <c r="Q11692" s="3"/>
    </row>
    <row r="11693" spans="1:17" ht="15" x14ac:dyDescent="0.25">
      <c r="A11693" s="3">
        <f>11686</f>
        <v>11686</v>
      </c>
      <c r="B11693" s="3" t="s">
        <v>11695</v>
      </c>
      <c r="C11693" s="3" t="s">
        <v>9</v>
      </c>
      <c r="D11693" s="3" t="s">
        <v>10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/>
      <c r="P11693" s="3"/>
      <c r="Q11693" s="3"/>
    </row>
    <row r="11694" spans="1:17" ht="15" x14ac:dyDescent="0.25">
      <c r="A11694" s="3">
        <f>11687</f>
        <v>11687</v>
      </c>
      <c r="B11694" s="3" t="s">
        <v>11696</v>
      </c>
      <c r="C11694" s="3" t="s">
        <v>9</v>
      </c>
      <c r="D11694" s="3" t="s">
        <v>10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/>
      <c r="P11694" s="3"/>
      <c r="Q11694" s="3"/>
    </row>
    <row r="11695" spans="1:17" ht="15" x14ac:dyDescent="0.25">
      <c r="A11695" s="3">
        <f>11688</f>
        <v>11688</v>
      </c>
      <c r="B11695" s="3" t="s">
        <v>11697</v>
      </c>
      <c r="C11695" s="3" t="s">
        <v>9</v>
      </c>
      <c r="D11695" s="3" t="s">
        <v>10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/>
      <c r="P11695" s="3"/>
      <c r="Q11695" s="3"/>
    </row>
    <row r="11696" spans="1:17" ht="15" x14ac:dyDescent="0.25">
      <c r="A11696" s="3">
        <f>11689</f>
        <v>11689</v>
      </c>
      <c r="B11696" s="3" t="s">
        <v>11698</v>
      </c>
      <c r="C11696" s="3" t="s">
        <v>9</v>
      </c>
      <c r="D11696" s="3" t="s">
        <v>10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/>
      <c r="P11696" s="3"/>
      <c r="Q11696" s="3"/>
    </row>
    <row r="11697" spans="1:17" ht="15" x14ac:dyDescent="0.25">
      <c r="A11697" s="3">
        <f>11690</f>
        <v>11690</v>
      </c>
      <c r="B11697" s="3" t="s">
        <v>11699</v>
      </c>
      <c r="C11697" s="3" t="s">
        <v>9</v>
      </c>
      <c r="D11697" s="3" t="s">
        <v>10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/>
      <c r="P11697" s="3"/>
      <c r="Q11697" s="3"/>
    </row>
    <row r="11698" spans="1:17" ht="15" x14ac:dyDescent="0.25">
      <c r="A11698" s="3">
        <f>11691</f>
        <v>11691</v>
      </c>
      <c r="B11698" s="3" t="s">
        <v>11700</v>
      </c>
      <c r="C11698" s="3" t="s">
        <v>9</v>
      </c>
      <c r="D11698" s="3" t="s">
        <v>10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/>
      <c r="P11698" s="3"/>
      <c r="Q11698" s="3"/>
    </row>
    <row r="11699" spans="1:17" ht="15" x14ac:dyDescent="0.25">
      <c r="A11699" s="3">
        <f>11692</f>
        <v>11692</v>
      </c>
      <c r="B11699" s="3" t="s">
        <v>11701</v>
      </c>
      <c r="C11699" s="3" t="s">
        <v>9</v>
      </c>
      <c r="D11699" s="3" t="s">
        <v>10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/>
      <c r="P11699" s="3"/>
      <c r="Q11699" s="3"/>
    </row>
    <row r="11700" spans="1:17" ht="15" x14ac:dyDescent="0.25">
      <c r="A11700" s="3">
        <f>11693</f>
        <v>11693</v>
      </c>
      <c r="B11700" s="3" t="s">
        <v>11702</v>
      </c>
      <c r="C11700" s="3" t="s">
        <v>9</v>
      </c>
      <c r="D11700" s="3" t="s">
        <v>10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/>
      <c r="P11700" s="3"/>
      <c r="Q11700" s="3"/>
    </row>
    <row r="11701" spans="1:17" ht="15" x14ac:dyDescent="0.25">
      <c r="A11701" s="3">
        <f>11694</f>
        <v>11694</v>
      </c>
      <c r="B11701" s="3" t="s">
        <v>11703</v>
      </c>
      <c r="C11701" s="3" t="s">
        <v>9</v>
      </c>
      <c r="D11701" s="3" t="s">
        <v>10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/>
      <c r="P11701" s="3"/>
      <c r="Q11701" s="3"/>
    </row>
    <row r="11702" spans="1:17" ht="15" x14ac:dyDescent="0.25">
      <c r="A11702" s="3">
        <f>11695</f>
        <v>11695</v>
      </c>
      <c r="B11702" s="3" t="s">
        <v>11704</v>
      </c>
      <c r="C11702" s="3" t="s">
        <v>9</v>
      </c>
      <c r="D11702" s="3" t="s">
        <v>10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/>
      <c r="P11702" s="3"/>
      <c r="Q11702" s="3"/>
    </row>
    <row r="11703" spans="1:17" ht="15" x14ac:dyDescent="0.25">
      <c r="A11703" s="3">
        <f>11696</f>
        <v>11696</v>
      </c>
      <c r="B11703" s="3" t="s">
        <v>11705</v>
      </c>
      <c r="C11703" s="3" t="s">
        <v>9</v>
      </c>
      <c r="D11703" s="3" t="s">
        <v>10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/>
      <c r="P11703" s="3"/>
      <c r="Q11703" s="3"/>
    </row>
    <row r="11704" spans="1:17" ht="15" x14ac:dyDescent="0.25">
      <c r="A11704" s="3">
        <f>11697</f>
        <v>11697</v>
      </c>
      <c r="B11704" s="3" t="s">
        <v>11706</v>
      </c>
      <c r="C11704" s="3" t="s">
        <v>9</v>
      </c>
      <c r="D11704" s="3" t="s">
        <v>10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/>
      <c r="P11704" s="3"/>
      <c r="Q11704" s="3"/>
    </row>
    <row r="11705" spans="1:17" ht="15" x14ac:dyDescent="0.25">
      <c r="A11705" s="3">
        <f>11698</f>
        <v>11698</v>
      </c>
      <c r="B11705" s="3" t="s">
        <v>11707</v>
      </c>
      <c r="C11705" s="3" t="s">
        <v>9</v>
      </c>
      <c r="D11705" s="3" t="s">
        <v>10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/>
      <c r="P11705" s="3"/>
      <c r="Q11705" s="3"/>
    </row>
    <row r="11706" spans="1:17" ht="15" x14ac:dyDescent="0.25">
      <c r="A11706" s="3">
        <f>11699</f>
        <v>11699</v>
      </c>
      <c r="B11706" s="3" t="s">
        <v>11708</v>
      </c>
      <c r="C11706" s="3" t="s">
        <v>9</v>
      </c>
      <c r="D11706" s="3" t="s">
        <v>10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/>
      <c r="P11706" s="3"/>
      <c r="Q11706" s="3"/>
    </row>
    <row r="11707" spans="1:17" ht="15" x14ac:dyDescent="0.25">
      <c r="A11707" s="3">
        <f>11700</f>
        <v>11700</v>
      </c>
      <c r="B11707" s="3" t="s">
        <v>11709</v>
      </c>
      <c r="C11707" s="3" t="s">
        <v>9</v>
      </c>
      <c r="D11707" s="3" t="s">
        <v>10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/>
      <c r="P11707" s="3"/>
      <c r="Q11707" s="3"/>
    </row>
    <row r="11708" spans="1:17" ht="15" x14ac:dyDescent="0.25">
      <c r="A11708" s="3">
        <f>11701</f>
        <v>11701</v>
      </c>
      <c r="B11708" s="3" t="s">
        <v>11710</v>
      </c>
      <c r="C11708" s="3" t="s">
        <v>9</v>
      </c>
      <c r="D11708" s="3" t="s">
        <v>10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/>
      <c r="P11708" s="3"/>
      <c r="Q11708" s="3"/>
    </row>
    <row r="11709" spans="1:17" ht="15" x14ac:dyDescent="0.25">
      <c r="A11709" s="3">
        <f>11702</f>
        <v>11702</v>
      </c>
      <c r="B11709" s="3" t="s">
        <v>11711</v>
      </c>
      <c r="C11709" s="3" t="s">
        <v>9</v>
      </c>
      <c r="D11709" s="3" t="s">
        <v>10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/>
      <c r="P11709" s="3"/>
      <c r="Q11709" s="3"/>
    </row>
    <row r="11710" spans="1:17" ht="15" x14ac:dyDescent="0.25">
      <c r="A11710" s="3">
        <f>11703</f>
        <v>11703</v>
      </c>
      <c r="B11710" s="3" t="s">
        <v>11712</v>
      </c>
      <c r="C11710" s="3" t="s">
        <v>9</v>
      </c>
      <c r="D11710" s="3" t="s">
        <v>10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/>
      <c r="P11710" s="3"/>
      <c r="Q11710" s="3"/>
    </row>
    <row r="11711" spans="1:17" ht="15" x14ac:dyDescent="0.25">
      <c r="A11711" s="3">
        <f>11704</f>
        <v>11704</v>
      </c>
      <c r="B11711" s="3" t="s">
        <v>11713</v>
      </c>
      <c r="C11711" s="3" t="s">
        <v>9</v>
      </c>
      <c r="D11711" s="3" t="s">
        <v>10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/>
      <c r="P11711" s="3"/>
      <c r="Q11711" s="3"/>
    </row>
    <row r="11712" spans="1:17" ht="15" x14ac:dyDescent="0.25">
      <c r="A11712" s="3">
        <f>11705</f>
        <v>11705</v>
      </c>
      <c r="B11712" s="3" t="s">
        <v>11714</v>
      </c>
      <c r="C11712" s="3" t="s">
        <v>9</v>
      </c>
      <c r="D11712" s="3" t="s">
        <v>10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/>
      <c r="P11712" s="3"/>
      <c r="Q11712" s="3"/>
    </row>
    <row r="11713" spans="1:17" ht="15" x14ac:dyDescent="0.25">
      <c r="A11713" s="3">
        <f>11706</f>
        <v>11706</v>
      </c>
      <c r="B11713" s="3" t="s">
        <v>11715</v>
      </c>
      <c r="C11713" s="3" t="s">
        <v>9</v>
      </c>
      <c r="D11713" s="3" t="s">
        <v>10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/>
      <c r="P11713" s="3"/>
      <c r="Q11713" s="3"/>
    </row>
    <row r="11714" spans="1:17" ht="15" x14ac:dyDescent="0.25">
      <c r="A11714" s="3">
        <f>11707</f>
        <v>11707</v>
      </c>
      <c r="B11714" s="3" t="s">
        <v>11716</v>
      </c>
      <c r="C11714" s="3" t="s">
        <v>9</v>
      </c>
      <c r="D11714" s="3" t="s">
        <v>10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/>
      <c r="P11714" s="3"/>
      <c r="Q11714" s="3"/>
    </row>
    <row r="11715" spans="1:17" ht="15" x14ac:dyDescent="0.25">
      <c r="A11715" s="3">
        <f>11708</f>
        <v>11708</v>
      </c>
      <c r="B11715" s="3" t="s">
        <v>11717</v>
      </c>
      <c r="C11715" s="3" t="s">
        <v>9</v>
      </c>
      <c r="D11715" s="3" t="s">
        <v>10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/>
      <c r="P11715" s="3"/>
      <c r="Q11715" s="3"/>
    </row>
    <row r="11716" spans="1:17" ht="15" x14ac:dyDescent="0.25">
      <c r="A11716" s="3">
        <f>11709</f>
        <v>11709</v>
      </c>
      <c r="B11716" s="3" t="s">
        <v>11718</v>
      </c>
      <c r="C11716" s="3" t="s">
        <v>9</v>
      </c>
      <c r="D11716" s="3" t="s">
        <v>10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/>
      <c r="P11716" s="3"/>
      <c r="Q11716" s="3"/>
    </row>
    <row r="11717" spans="1:17" ht="15" x14ac:dyDescent="0.25">
      <c r="A11717" s="3">
        <f>11710</f>
        <v>11710</v>
      </c>
      <c r="B11717" s="3" t="s">
        <v>11719</v>
      </c>
      <c r="C11717" s="3" t="s">
        <v>9</v>
      </c>
      <c r="D11717" s="3" t="s">
        <v>10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/>
      <c r="P11717" s="3"/>
      <c r="Q11717" s="3"/>
    </row>
    <row r="11718" spans="1:17" ht="15" x14ac:dyDescent="0.25">
      <c r="A11718" s="3">
        <f>11711</f>
        <v>11711</v>
      </c>
      <c r="B11718" s="3" t="s">
        <v>11720</v>
      </c>
      <c r="C11718" s="3" t="s">
        <v>9</v>
      </c>
      <c r="D11718" s="3" t="s">
        <v>10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/>
      <c r="P11718" s="3"/>
      <c r="Q11718" s="3"/>
    </row>
    <row r="11719" spans="1:17" ht="15" x14ac:dyDescent="0.25">
      <c r="A11719" s="3">
        <f>11712</f>
        <v>11712</v>
      </c>
      <c r="B11719" s="3" t="s">
        <v>11721</v>
      </c>
      <c r="C11719" s="3" t="s">
        <v>9</v>
      </c>
      <c r="D11719" s="3" t="s">
        <v>10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/>
      <c r="P11719" s="3"/>
      <c r="Q11719" s="3"/>
    </row>
    <row r="11720" spans="1:17" ht="15" x14ac:dyDescent="0.25">
      <c r="A11720" s="3">
        <f>11713</f>
        <v>11713</v>
      </c>
      <c r="B11720" s="3" t="s">
        <v>11722</v>
      </c>
      <c r="C11720" s="3" t="s">
        <v>9</v>
      </c>
      <c r="D11720" s="3" t="s">
        <v>10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/>
      <c r="P11720" s="3"/>
      <c r="Q11720" s="3"/>
    </row>
    <row r="11721" spans="1:17" ht="15" x14ac:dyDescent="0.25">
      <c r="A11721" s="3">
        <f>11714</f>
        <v>11714</v>
      </c>
      <c r="B11721" s="3" t="s">
        <v>11723</v>
      </c>
      <c r="C11721" s="3" t="s">
        <v>9</v>
      </c>
      <c r="D11721" s="3" t="s">
        <v>10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/>
      <c r="P11721" s="3"/>
      <c r="Q11721" s="3"/>
    </row>
    <row r="11722" spans="1:17" ht="15" x14ac:dyDescent="0.25">
      <c r="A11722" s="3">
        <f>11715</f>
        <v>11715</v>
      </c>
      <c r="B11722" s="3" t="s">
        <v>11724</v>
      </c>
      <c r="C11722" s="3" t="s">
        <v>9</v>
      </c>
      <c r="D11722" s="3" t="s">
        <v>10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/>
      <c r="P11722" s="3"/>
      <c r="Q11722" s="3"/>
    </row>
    <row r="11723" spans="1:17" ht="15" x14ac:dyDescent="0.25">
      <c r="A11723" s="3">
        <f>11716</f>
        <v>11716</v>
      </c>
      <c r="B11723" s="3" t="s">
        <v>11725</v>
      </c>
      <c r="C11723" s="3" t="s">
        <v>9</v>
      </c>
      <c r="D11723" s="3" t="s">
        <v>10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/>
      <c r="P11723" s="3"/>
      <c r="Q11723" s="3"/>
    </row>
    <row r="11724" spans="1:17" ht="15" x14ac:dyDescent="0.25">
      <c r="A11724" s="3">
        <f>11717</f>
        <v>11717</v>
      </c>
      <c r="B11724" s="3" t="s">
        <v>11726</v>
      </c>
      <c r="C11724" s="3" t="s">
        <v>9</v>
      </c>
      <c r="D11724" s="3" t="s">
        <v>10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/>
      <c r="P11724" s="3"/>
      <c r="Q11724" s="3"/>
    </row>
    <row r="11725" spans="1:17" ht="15" x14ac:dyDescent="0.25">
      <c r="A11725" s="3">
        <f>11718</f>
        <v>11718</v>
      </c>
      <c r="B11725" s="3" t="s">
        <v>11727</v>
      </c>
      <c r="C11725" s="3" t="s">
        <v>9</v>
      </c>
      <c r="D11725" s="3" t="s">
        <v>10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/>
      <c r="P11725" s="3"/>
      <c r="Q11725" s="3"/>
    </row>
    <row r="11726" spans="1:17" ht="15" x14ac:dyDescent="0.25">
      <c r="A11726" s="3">
        <f>11719</f>
        <v>11719</v>
      </c>
      <c r="B11726" s="3" t="s">
        <v>11728</v>
      </c>
      <c r="C11726" s="3" t="s">
        <v>9</v>
      </c>
      <c r="D11726" s="3" t="s">
        <v>10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/>
      <c r="P11726" s="3"/>
      <c r="Q11726" s="3"/>
    </row>
    <row r="11727" spans="1:17" ht="15" x14ac:dyDescent="0.25">
      <c r="A11727" s="3">
        <f>11720</f>
        <v>11720</v>
      </c>
      <c r="B11727" s="3" t="s">
        <v>11729</v>
      </c>
      <c r="C11727" s="3" t="s">
        <v>9</v>
      </c>
      <c r="D11727" s="3" t="s">
        <v>10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/>
      <c r="P11727" s="3"/>
      <c r="Q11727" s="3"/>
    </row>
    <row r="11728" spans="1:17" ht="15" x14ac:dyDescent="0.25">
      <c r="A11728" s="3">
        <f>11721</f>
        <v>11721</v>
      </c>
      <c r="B11728" s="3" t="s">
        <v>11730</v>
      </c>
      <c r="C11728" s="3" t="s">
        <v>9</v>
      </c>
      <c r="D11728" s="3" t="s">
        <v>10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/>
      <c r="P11728" s="3"/>
      <c r="Q11728" s="3"/>
    </row>
    <row r="11729" spans="1:17" ht="15" x14ac:dyDescent="0.25">
      <c r="A11729" s="3">
        <f>11722</f>
        <v>11722</v>
      </c>
      <c r="B11729" s="3" t="s">
        <v>11731</v>
      </c>
      <c r="C11729" s="3" t="s">
        <v>9</v>
      </c>
      <c r="D11729" s="3" t="s">
        <v>10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/>
      <c r="P11729" s="3"/>
      <c r="Q11729" s="3"/>
    </row>
    <row r="11730" spans="1:17" ht="15" x14ac:dyDescent="0.25">
      <c r="A11730" s="3">
        <f>11723</f>
        <v>11723</v>
      </c>
      <c r="B11730" s="3" t="s">
        <v>11732</v>
      </c>
      <c r="C11730" s="3" t="s">
        <v>9</v>
      </c>
      <c r="D11730" s="3" t="s">
        <v>10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/>
      <c r="P11730" s="3"/>
      <c r="Q11730" s="3"/>
    </row>
    <row r="11731" spans="1:17" ht="15" x14ac:dyDescent="0.25">
      <c r="A11731" s="3">
        <f>11724</f>
        <v>11724</v>
      </c>
      <c r="B11731" s="3" t="s">
        <v>11733</v>
      </c>
      <c r="C11731" s="3" t="s">
        <v>9</v>
      </c>
      <c r="D11731" s="3" t="s">
        <v>10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/>
      <c r="P11731" s="3"/>
      <c r="Q11731" s="3"/>
    </row>
    <row r="11732" spans="1:17" ht="15" x14ac:dyDescent="0.25">
      <c r="A11732" s="3">
        <f>11725</f>
        <v>11725</v>
      </c>
      <c r="B11732" s="3" t="s">
        <v>11734</v>
      </c>
      <c r="C11732" s="3" t="s">
        <v>9</v>
      </c>
      <c r="D11732" s="3" t="s">
        <v>10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/>
      <c r="P11732" s="3"/>
      <c r="Q11732" s="3"/>
    </row>
    <row r="11733" spans="1:17" ht="15" x14ac:dyDescent="0.25">
      <c r="A11733" s="3">
        <f>11726</f>
        <v>11726</v>
      </c>
      <c r="B11733" s="3" t="s">
        <v>11735</v>
      </c>
      <c r="C11733" s="3" t="s">
        <v>9</v>
      </c>
      <c r="D11733" s="3" t="s">
        <v>10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/>
      <c r="P11733" s="3"/>
      <c r="Q11733" s="3"/>
    </row>
    <row r="11734" spans="1:17" ht="15" x14ac:dyDescent="0.25">
      <c r="A11734" s="3">
        <f>11727</f>
        <v>11727</v>
      </c>
      <c r="B11734" s="3" t="s">
        <v>11736</v>
      </c>
      <c r="C11734" s="3" t="s">
        <v>9</v>
      </c>
      <c r="D11734" s="3" t="s">
        <v>10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/>
      <c r="P11734" s="3"/>
      <c r="Q11734" s="3"/>
    </row>
    <row r="11735" spans="1:17" ht="15" x14ac:dyDescent="0.25">
      <c r="A11735" s="3">
        <f>11728</f>
        <v>11728</v>
      </c>
      <c r="B11735" s="3" t="s">
        <v>11737</v>
      </c>
      <c r="C11735" s="3" t="s">
        <v>9</v>
      </c>
      <c r="D11735" s="3" t="s">
        <v>10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/>
      <c r="P11735" s="3"/>
      <c r="Q11735" s="3"/>
    </row>
    <row r="11736" spans="1:17" ht="15" x14ac:dyDescent="0.25">
      <c r="A11736" s="3">
        <f>11729</f>
        <v>11729</v>
      </c>
      <c r="B11736" s="3" t="s">
        <v>11738</v>
      </c>
      <c r="C11736" s="3" t="s">
        <v>9</v>
      </c>
      <c r="D11736" s="3" t="s">
        <v>10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/>
      <c r="P11736" s="3"/>
      <c r="Q11736" s="3"/>
    </row>
    <row r="11737" spans="1:17" ht="15" x14ac:dyDescent="0.25">
      <c r="A11737" s="3">
        <f>11730</f>
        <v>11730</v>
      </c>
      <c r="B11737" s="3" t="s">
        <v>11739</v>
      </c>
      <c r="C11737" s="3" t="s">
        <v>9</v>
      </c>
      <c r="D11737" s="3" t="s">
        <v>10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/>
      <c r="P11737" s="3"/>
      <c r="Q11737" s="3"/>
    </row>
    <row r="11738" spans="1:17" ht="15" x14ac:dyDescent="0.25">
      <c r="A11738" s="3">
        <f>11731</f>
        <v>11731</v>
      </c>
      <c r="B11738" s="3" t="s">
        <v>11740</v>
      </c>
      <c r="C11738" s="3" t="s">
        <v>9</v>
      </c>
      <c r="D11738" s="3" t="s">
        <v>10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/>
      <c r="P11738" s="3"/>
      <c r="Q11738" s="3"/>
    </row>
    <row r="11739" spans="1:17" ht="15" x14ac:dyDescent="0.25">
      <c r="A11739" s="3">
        <f>11732</f>
        <v>11732</v>
      </c>
      <c r="B11739" s="3" t="s">
        <v>11741</v>
      </c>
      <c r="C11739" s="3" t="s">
        <v>9</v>
      </c>
      <c r="D11739" s="3" t="s">
        <v>10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/>
      <c r="P11739" s="3"/>
      <c r="Q11739" s="3"/>
    </row>
    <row r="11740" spans="1:17" ht="15" x14ac:dyDescent="0.25">
      <c r="A11740" s="3">
        <f>11733</f>
        <v>11733</v>
      </c>
      <c r="B11740" s="3" t="s">
        <v>11742</v>
      </c>
      <c r="C11740" s="3" t="s">
        <v>9</v>
      </c>
      <c r="D11740" s="3" t="s">
        <v>10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/>
      <c r="P11740" s="3"/>
      <c r="Q11740" s="3"/>
    </row>
    <row r="11741" spans="1:17" ht="15" x14ac:dyDescent="0.25">
      <c r="A11741" s="3">
        <f>11734</f>
        <v>11734</v>
      </c>
      <c r="B11741" s="3" t="s">
        <v>11743</v>
      </c>
      <c r="C11741" s="3" t="s">
        <v>9</v>
      </c>
      <c r="D11741" s="3" t="s">
        <v>10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/>
      <c r="P11741" s="3"/>
      <c r="Q11741" s="3"/>
    </row>
    <row r="11742" spans="1:17" ht="15" x14ac:dyDescent="0.25">
      <c r="A11742" s="3">
        <f>11735</f>
        <v>11735</v>
      </c>
      <c r="B11742" s="3" t="s">
        <v>11744</v>
      </c>
      <c r="C11742" s="3" t="s">
        <v>9</v>
      </c>
      <c r="D11742" s="3" t="s">
        <v>10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/>
      <c r="P11742" s="3"/>
      <c r="Q11742" s="3"/>
    </row>
    <row r="11743" spans="1:17" ht="15" x14ac:dyDescent="0.25">
      <c r="A11743" s="3">
        <f>11736</f>
        <v>11736</v>
      </c>
      <c r="B11743" s="3" t="s">
        <v>11745</v>
      </c>
      <c r="C11743" s="3" t="s">
        <v>9</v>
      </c>
      <c r="D11743" s="3" t="s">
        <v>10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/>
      <c r="P11743" s="3"/>
      <c r="Q11743" s="3"/>
    </row>
    <row r="11744" spans="1:17" ht="15" x14ac:dyDescent="0.25">
      <c r="A11744" s="3">
        <f>11737</f>
        <v>11737</v>
      </c>
      <c r="B11744" s="3" t="s">
        <v>11746</v>
      </c>
      <c r="C11744" s="3" t="s">
        <v>9</v>
      </c>
      <c r="D11744" s="3" t="s">
        <v>10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/>
      <c r="P11744" s="3"/>
      <c r="Q11744" s="3"/>
    </row>
    <row r="11745" spans="1:17" ht="15" x14ac:dyDescent="0.25">
      <c r="A11745" s="3">
        <f>11738</f>
        <v>11738</v>
      </c>
      <c r="B11745" s="3" t="s">
        <v>11747</v>
      </c>
      <c r="C11745" s="3" t="s">
        <v>9</v>
      </c>
      <c r="D11745" s="3" t="s">
        <v>10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/>
      <c r="P11745" s="3"/>
      <c r="Q11745" s="3"/>
    </row>
    <row r="11746" spans="1:17" ht="15" x14ac:dyDescent="0.25">
      <c r="A11746" s="3">
        <f>11739</f>
        <v>11739</v>
      </c>
      <c r="B11746" s="3" t="s">
        <v>11748</v>
      </c>
      <c r="C11746" s="3" t="s">
        <v>9</v>
      </c>
      <c r="D11746" s="3" t="s">
        <v>10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/>
      <c r="P11746" s="3"/>
      <c r="Q11746" s="3"/>
    </row>
    <row r="11747" spans="1:17" ht="15" x14ac:dyDescent="0.25">
      <c r="A11747" s="3">
        <f>11740</f>
        <v>11740</v>
      </c>
      <c r="B11747" s="3" t="s">
        <v>11749</v>
      </c>
      <c r="C11747" s="3" t="s">
        <v>9</v>
      </c>
      <c r="D11747" s="3" t="s">
        <v>10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/>
      <c r="P11747" s="3"/>
      <c r="Q11747" s="3"/>
    </row>
    <row r="11748" spans="1:17" ht="15" x14ac:dyDescent="0.25">
      <c r="A11748" s="3">
        <f>11741</f>
        <v>11741</v>
      </c>
      <c r="B11748" s="3" t="s">
        <v>11750</v>
      </c>
      <c r="C11748" s="3" t="s">
        <v>9</v>
      </c>
      <c r="D11748" s="3" t="s">
        <v>10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/>
      <c r="P11748" s="3"/>
      <c r="Q11748" s="3"/>
    </row>
    <row r="11749" spans="1:17" ht="15" x14ac:dyDescent="0.25">
      <c r="A11749" s="3">
        <f>11742</f>
        <v>11742</v>
      </c>
      <c r="B11749" s="3" t="s">
        <v>11751</v>
      </c>
      <c r="C11749" s="3" t="s">
        <v>9</v>
      </c>
      <c r="D11749" s="3" t="s">
        <v>10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/>
      <c r="P11749" s="3"/>
      <c r="Q11749" s="3"/>
    </row>
    <row r="11750" spans="1:17" ht="15" x14ac:dyDescent="0.25">
      <c r="A11750" s="3">
        <f>11743</f>
        <v>11743</v>
      </c>
      <c r="B11750" s="3" t="s">
        <v>11752</v>
      </c>
      <c r="C11750" s="3" t="s">
        <v>9</v>
      </c>
      <c r="D11750" s="3" t="s">
        <v>10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/>
      <c r="P11750" s="3"/>
      <c r="Q11750" s="3"/>
    </row>
    <row r="11751" spans="1:17" ht="15" x14ac:dyDescent="0.25">
      <c r="A11751" s="3">
        <f>11744</f>
        <v>11744</v>
      </c>
      <c r="B11751" s="3" t="s">
        <v>11753</v>
      </c>
      <c r="C11751" s="3" t="s">
        <v>9</v>
      </c>
      <c r="D11751" s="3" t="s">
        <v>10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/>
      <c r="P11751" s="3"/>
      <c r="Q11751" s="3"/>
    </row>
    <row r="11752" spans="1:17" ht="15" x14ac:dyDescent="0.25">
      <c r="A11752" s="3">
        <f>11745</f>
        <v>11745</v>
      </c>
      <c r="B11752" s="3" t="s">
        <v>11754</v>
      </c>
      <c r="C11752" s="3" t="s">
        <v>9</v>
      </c>
      <c r="D11752" s="3" t="s">
        <v>10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/>
      <c r="P11752" s="3"/>
      <c r="Q11752" s="3"/>
    </row>
    <row r="11753" spans="1:17" ht="15" x14ac:dyDescent="0.25">
      <c r="A11753" s="3">
        <f>11746</f>
        <v>11746</v>
      </c>
      <c r="B11753" s="3" t="s">
        <v>11755</v>
      </c>
      <c r="C11753" s="3" t="s">
        <v>9</v>
      </c>
      <c r="D11753" s="3" t="s">
        <v>10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/>
      <c r="P11753" s="3"/>
      <c r="Q11753" s="3"/>
    </row>
    <row r="11754" spans="1:17" ht="15" x14ac:dyDescent="0.25">
      <c r="A11754" s="3">
        <f>11747</f>
        <v>11747</v>
      </c>
      <c r="B11754" s="3" t="s">
        <v>11756</v>
      </c>
      <c r="C11754" s="3" t="s">
        <v>9</v>
      </c>
      <c r="D11754" s="3" t="s">
        <v>10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/>
      <c r="P11754" s="3"/>
      <c r="Q11754" s="3"/>
    </row>
    <row r="11755" spans="1:17" ht="15" x14ac:dyDescent="0.25">
      <c r="A11755" s="3">
        <f>11748</f>
        <v>11748</v>
      </c>
      <c r="B11755" s="3" t="s">
        <v>11757</v>
      </c>
      <c r="C11755" s="3" t="s">
        <v>9</v>
      </c>
      <c r="D11755" s="3" t="s">
        <v>10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/>
      <c r="P11755" s="3"/>
      <c r="Q11755" s="3"/>
    </row>
    <row r="11756" spans="1:17" ht="15" x14ac:dyDescent="0.25">
      <c r="A11756" s="3">
        <f>11749</f>
        <v>11749</v>
      </c>
      <c r="B11756" s="3" t="s">
        <v>11758</v>
      </c>
      <c r="C11756" s="3" t="s">
        <v>9</v>
      </c>
      <c r="D11756" s="3" t="s">
        <v>10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/>
      <c r="P11756" s="3"/>
      <c r="Q11756" s="3"/>
    </row>
    <row r="11757" spans="1:17" ht="15" x14ac:dyDescent="0.25">
      <c r="A11757" s="3">
        <f>11750</f>
        <v>11750</v>
      </c>
      <c r="B11757" s="3" t="s">
        <v>11759</v>
      </c>
      <c r="C11757" s="3" t="s">
        <v>9</v>
      </c>
      <c r="D11757" s="3" t="s">
        <v>10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/>
      <c r="P11757" s="3"/>
      <c r="Q11757" s="3"/>
    </row>
    <row r="11758" spans="1:17" ht="15" x14ac:dyDescent="0.25">
      <c r="A11758" s="3">
        <f>11751</f>
        <v>11751</v>
      </c>
      <c r="B11758" s="3" t="s">
        <v>11760</v>
      </c>
      <c r="C11758" s="3" t="s">
        <v>9</v>
      </c>
      <c r="D11758" s="3" t="s">
        <v>10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/>
      <c r="P11758" s="3"/>
      <c r="Q11758" s="3"/>
    </row>
    <row r="11759" spans="1:17" ht="15" x14ac:dyDescent="0.25">
      <c r="A11759" s="3">
        <f>11752</f>
        <v>11752</v>
      </c>
      <c r="B11759" s="3" t="s">
        <v>11761</v>
      </c>
      <c r="C11759" s="3" t="s">
        <v>9</v>
      </c>
      <c r="D11759" s="3" t="s">
        <v>10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/>
      <c r="P11759" s="3"/>
      <c r="Q11759" s="3"/>
    </row>
    <row r="11760" spans="1:17" ht="15" x14ac:dyDescent="0.25">
      <c r="A11760" s="3">
        <f>11753</f>
        <v>11753</v>
      </c>
      <c r="B11760" s="3" t="s">
        <v>11762</v>
      </c>
      <c r="C11760" s="3" t="s">
        <v>9</v>
      </c>
      <c r="D11760" s="3" t="s">
        <v>10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/>
      <c r="P11760" s="3"/>
      <c r="Q11760" s="3"/>
    </row>
    <row r="11761" spans="1:17" ht="15" x14ac:dyDescent="0.25">
      <c r="A11761" s="3">
        <f>11754</f>
        <v>11754</v>
      </c>
      <c r="B11761" s="3" t="s">
        <v>11763</v>
      </c>
      <c r="C11761" s="3" t="s">
        <v>9</v>
      </c>
      <c r="D11761" s="3" t="s">
        <v>10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/>
      <c r="P11761" s="3"/>
      <c r="Q11761" s="3"/>
    </row>
    <row r="11762" spans="1:17" ht="15" x14ac:dyDescent="0.25">
      <c r="A11762" s="3">
        <f>11755</f>
        <v>11755</v>
      </c>
      <c r="B11762" s="3" t="s">
        <v>11764</v>
      </c>
      <c r="C11762" s="3" t="s">
        <v>9</v>
      </c>
      <c r="D11762" s="3" t="s">
        <v>10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/>
      <c r="P11762" s="3"/>
      <c r="Q11762" s="3"/>
    </row>
    <row r="11763" spans="1:17" ht="15" x14ac:dyDescent="0.25">
      <c r="A11763" s="3">
        <f>11756</f>
        <v>11756</v>
      </c>
      <c r="B11763" s="3" t="s">
        <v>11765</v>
      </c>
      <c r="C11763" s="3" t="s">
        <v>9</v>
      </c>
      <c r="D11763" s="3" t="s">
        <v>10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/>
      <c r="P11763" s="3"/>
      <c r="Q11763" s="3"/>
    </row>
    <row r="11764" spans="1:17" ht="15" x14ac:dyDescent="0.25">
      <c r="A11764" s="3">
        <f>11757</f>
        <v>11757</v>
      </c>
      <c r="B11764" s="3" t="s">
        <v>11766</v>
      </c>
      <c r="C11764" s="3" t="s">
        <v>9</v>
      </c>
      <c r="D11764" s="3" t="s">
        <v>10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/>
      <c r="P11764" s="3"/>
      <c r="Q11764" s="3"/>
    </row>
    <row r="11765" spans="1:17" ht="15" x14ac:dyDescent="0.25">
      <c r="A11765" s="3">
        <f>11758</f>
        <v>11758</v>
      </c>
      <c r="B11765" s="3" t="s">
        <v>11767</v>
      </c>
      <c r="C11765" s="3" t="s">
        <v>9</v>
      </c>
      <c r="D11765" s="3" t="s">
        <v>10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/>
      <c r="P11765" s="3"/>
      <c r="Q11765" s="3"/>
    </row>
    <row r="11766" spans="1:17" ht="15" x14ac:dyDescent="0.25">
      <c r="A11766" s="3">
        <f>11759</f>
        <v>11759</v>
      </c>
      <c r="B11766" s="3" t="s">
        <v>11768</v>
      </c>
      <c r="C11766" s="3" t="s">
        <v>9</v>
      </c>
      <c r="D11766" s="3" t="s">
        <v>10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/>
      <c r="P11766" s="3"/>
      <c r="Q11766" s="3"/>
    </row>
    <row r="11767" spans="1:17" ht="15" x14ac:dyDescent="0.25">
      <c r="A11767" s="3">
        <f>11760</f>
        <v>11760</v>
      </c>
      <c r="B11767" s="3" t="s">
        <v>11769</v>
      </c>
      <c r="C11767" s="3" t="s">
        <v>9</v>
      </c>
      <c r="D11767" s="3" t="s">
        <v>10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/>
      <c r="P11767" s="3"/>
      <c r="Q11767" s="3"/>
    </row>
    <row r="11768" spans="1:17" ht="15" x14ac:dyDescent="0.25">
      <c r="A11768" s="3">
        <f>11761</f>
        <v>11761</v>
      </c>
      <c r="B11768" s="3" t="s">
        <v>11770</v>
      </c>
      <c r="C11768" s="3" t="s">
        <v>9</v>
      </c>
      <c r="D11768" s="3" t="s">
        <v>10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/>
      <c r="P11768" s="3"/>
      <c r="Q11768" s="3"/>
    </row>
    <row r="11769" spans="1:17" ht="15" x14ac:dyDescent="0.25">
      <c r="A11769" s="3">
        <f>11762</f>
        <v>11762</v>
      </c>
      <c r="B11769" s="3" t="s">
        <v>11771</v>
      </c>
      <c r="C11769" s="3" t="s">
        <v>9</v>
      </c>
      <c r="D11769" s="3" t="s">
        <v>10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/>
      <c r="P11769" s="3"/>
      <c r="Q11769" s="3"/>
    </row>
    <row r="11770" spans="1:17" ht="15" x14ac:dyDescent="0.25">
      <c r="A11770" s="3">
        <f>11763</f>
        <v>11763</v>
      </c>
      <c r="B11770" s="3" t="s">
        <v>11772</v>
      </c>
      <c r="C11770" s="3" t="s">
        <v>9</v>
      </c>
      <c r="D11770" s="3" t="s">
        <v>10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/>
      <c r="P11770" s="3"/>
      <c r="Q11770" s="3"/>
    </row>
    <row r="11771" spans="1:17" ht="15" x14ac:dyDescent="0.25">
      <c r="A11771" s="3">
        <f>11764</f>
        <v>11764</v>
      </c>
      <c r="B11771" s="3" t="s">
        <v>11773</v>
      </c>
      <c r="C11771" s="3" t="s">
        <v>9</v>
      </c>
      <c r="D11771" s="3" t="s">
        <v>10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/>
      <c r="P11771" s="3"/>
      <c r="Q11771" s="3"/>
    </row>
    <row r="11772" spans="1:17" ht="15" x14ac:dyDescent="0.25">
      <c r="A11772" s="3">
        <f>11765</f>
        <v>11765</v>
      </c>
      <c r="B11772" s="3" t="s">
        <v>11774</v>
      </c>
      <c r="C11772" s="3" t="s">
        <v>9</v>
      </c>
      <c r="D11772" s="3" t="s">
        <v>10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/>
      <c r="P11772" s="3"/>
      <c r="Q11772" s="3"/>
    </row>
    <row r="11773" spans="1:17" ht="15" x14ac:dyDescent="0.25">
      <c r="A11773" s="3">
        <f>11766</f>
        <v>11766</v>
      </c>
      <c r="B11773" s="3" t="s">
        <v>11775</v>
      </c>
      <c r="C11773" s="3" t="s">
        <v>9</v>
      </c>
      <c r="D11773" s="3" t="s">
        <v>10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/>
      <c r="P11773" s="3"/>
      <c r="Q11773" s="3"/>
    </row>
    <row r="11774" spans="1:17" ht="15" x14ac:dyDescent="0.25">
      <c r="A11774" s="3">
        <f>11767</f>
        <v>11767</v>
      </c>
      <c r="B11774" s="3" t="s">
        <v>11776</v>
      </c>
      <c r="C11774" s="3" t="s">
        <v>9</v>
      </c>
      <c r="D11774" s="3" t="s">
        <v>10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/>
      <c r="P11774" s="3"/>
      <c r="Q11774" s="3"/>
    </row>
    <row r="11775" spans="1:17" ht="15" x14ac:dyDescent="0.25">
      <c r="A11775" s="3">
        <f>11768</f>
        <v>11768</v>
      </c>
      <c r="B11775" s="3" t="s">
        <v>11777</v>
      </c>
      <c r="C11775" s="3" t="s">
        <v>9</v>
      </c>
      <c r="D11775" s="3" t="s">
        <v>10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/>
      <c r="P11775" s="3"/>
      <c r="Q11775" s="3"/>
    </row>
    <row r="11776" spans="1:17" ht="15" x14ac:dyDescent="0.25">
      <c r="A11776" s="3">
        <f>11769</f>
        <v>11769</v>
      </c>
      <c r="B11776" s="3" t="s">
        <v>11778</v>
      </c>
      <c r="C11776" s="3" t="s">
        <v>9</v>
      </c>
      <c r="D11776" s="3" t="s">
        <v>10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/>
      <c r="P11776" s="3"/>
      <c r="Q11776" s="3"/>
    </row>
    <row r="11777" spans="1:17" ht="15" x14ac:dyDescent="0.25">
      <c r="A11777" s="3">
        <f>11770</f>
        <v>11770</v>
      </c>
      <c r="B11777" s="3" t="s">
        <v>11779</v>
      </c>
      <c r="C11777" s="3" t="s">
        <v>9</v>
      </c>
      <c r="D11777" s="3" t="s">
        <v>10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/>
      <c r="P11777" s="3"/>
      <c r="Q11777" s="3"/>
    </row>
    <row r="11778" spans="1:17" ht="15" x14ac:dyDescent="0.25">
      <c r="A11778" s="3">
        <f>11771</f>
        <v>11771</v>
      </c>
      <c r="B11778" s="3" t="s">
        <v>11780</v>
      </c>
      <c r="C11778" s="3" t="s">
        <v>9</v>
      </c>
      <c r="D11778" s="3" t="s">
        <v>10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/>
      <c r="P11778" s="3"/>
      <c r="Q11778" s="3"/>
    </row>
    <row r="11779" spans="1:17" ht="15" x14ac:dyDescent="0.25">
      <c r="A11779" s="3">
        <f>11772</f>
        <v>11772</v>
      </c>
      <c r="B11779" s="3" t="s">
        <v>11781</v>
      </c>
      <c r="C11779" s="3" t="s">
        <v>9</v>
      </c>
      <c r="D11779" s="3" t="s">
        <v>10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/>
      <c r="P11779" s="3"/>
      <c r="Q11779" s="3"/>
    </row>
    <row r="11780" spans="1:17" ht="15" x14ac:dyDescent="0.25">
      <c r="A11780" s="3">
        <f>11773</f>
        <v>11773</v>
      </c>
      <c r="B11780" s="3" t="s">
        <v>11782</v>
      </c>
      <c r="C11780" s="3" t="s">
        <v>9</v>
      </c>
      <c r="D11780" s="3" t="s">
        <v>10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/>
      <c r="P11780" s="3"/>
      <c r="Q11780" s="3"/>
    </row>
    <row r="11781" spans="1:17" ht="15" x14ac:dyDescent="0.25">
      <c r="A11781" s="3">
        <f>11774</f>
        <v>11774</v>
      </c>
      <c r="B11781" s="3" t="s">
        <v>11783</v>
      </c>
      <c r="C11781" s="3" t="s">
        <v>9</v>
      </c>
      <c r="D11781" s="3" t="s">
        <v>10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/>
      <c r="P11781" s="3"/>
      <c r="Q11781" s="3"/>
    </row>
    <row r="11782" spans="1:17" ht="15" x14ac:dyDescent="0.25">
      <c r="A11782" s="3">
        <f>11775</f>
        <v>11775</v>
      </c>
      <c r="B11782" s="3" t="s">
        <v>11784</v>
      </c>
      <c r="C11782" s="3" t="s">
        <v>9</v>
      </c>
      <c r="D11782" s="3" t="s">
        <v>10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/>
      <c r="P11782" s="3"/>
      <c r="Q11782" s="3"/>
    </row>
    <row r="11783" spans="1:17" ht="15" x14ac:dyDescent="0.25">
      <c r="A11783" s="3">
        <f>11776</f>
        <v>11776</v>
      </c>
      <c r="B11783" s="3" t="s">
        <v>11785</v>
      </c>
      <c r="C11783" s="3" t="s">
        <v>9</v>
      </c>
      <c r="D11783" s="3" t="s">
        <v>10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/>
      <c r="P11783" s="3"/>
      <c r="Q11783" s="3"/>
    </row>
    <row r="11784" spans="1:17" ht="15" x14ac:dyDescent="0.25">
      <c r="A11784" s="3">
        <f>11777</f>
        <v>11777</v>
      </c>
      <c r="B11784" s="3" t="s">
        <v>11786</v>
      </c>
      <c r="C11784" s="3" t="s">
        <v>9</v>
      </c>
      <c r="D11784" s="3" t="s">
        <v>10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/>
      <c r="P11784" s="3"/>
      <c r="Q11784" s="3"/>
    </row>
    <row r="11785" spans="1:17" ht="15" x14ac:dyDescent="0.25">
      <c r="A11785" s="3">
        <f>11778</f>
        <v>11778</v>
      </c>
      <c r="B11785" s="3" t="s">
        <v>11787</v>
      </c>
      <c r="C11785" s="3" t="s">
        <v>9</v>
      </c>
      <c r="D11785" s="3" t="s">
        <v>10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/>
      <c r="P11785" s="3"/>
      <c r="Q11785" s="3"/>
    </row>
    <row r="11786" spans="1:17" ht="15" x14ac:dyDescent="0.25">
      <c r="A11786" s="3">
        <f>11779</f>
        <v>11779</v>
      </c>
      <c r="B11786" s="3" t="s">
        <v>11788</v>
      </c>
      <c r="C11786" s="3" t="s">
        <v>9</v>
      </c>
      <c r="D11786" s="3" t="s">
        <v>10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/>
      <c r="P11786" s="3"/>
      <c r="Q11786" s="3"/>
    </row>
    <row r="11787" spans="1:17" ht="15" x14ac:dyDescent="0.25">
      <c r="A11787" s="3">
        <f>11780</f>
        <v>11780</v>
      </c>
      <c r="B11787" s="3" t="s">
        <v>11789</v>
      </c>
      <c r="C11787" s="3" t="s">
        <v>9</v>
      </c>
      <c r="D11787" s="3" t="s">
        <v>10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/>
      <c r="P11787" s="3"/>
      <c r="Q11787" s="3"/>
    </row>
    <row r="11788" spans="1:17" ht="15" x14ac:dyDescent="0.25">
      <c r="A11788" s="3">
        <f>11781</f>
        <v>11781</v>
      </c>
      <c r="B11788" s="3" t="s">
        <v>11790</v>
      </c>
      <c r="C11788" s="3" t="s">
        <v>9</v>
      </c>
      <c r="D11788" s="3" t="s">
        <v>10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/>
      <c r="P11788" s="3"/>
      <c r="Q11788" s="3"/>
    </row>
    <row r="11789" spans="1:17" ht="15" x14ac:dyDescent="0.25">
      <c r="A11789" s="3">
        <f>11782</f>
        <v>11782</v>
      </c>
      <c r="B11789" s="3" t="s">
        <v>11791</v>
      </c>
      <c r="C11789" s="3" t="s">
        <v>9</v>
      </c>
      <c r="D11789" s="3" t="s">
        <v>10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/>
      <c r="P11789" s="3"/>
      <c r="Q11789" s="3"/>
    </row>
    <row r="11790" spans="1:17" ht="15" x14ac:dyDescent="0.25">
      <c r="A11790" s="3">
        <f>11783</f>
        <v>11783</v>
      </c>
      <c r="B11790" s="3" t="s">
        <v>11792</v>
      </c>
      <c r="C11790" s="3" t="s">
        <v>9</v>
      </c>
      <c r="D11790" s="3" t="s">
        <v>10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/>
      <c r="P11790" s="3"/>
      <c r="Q11790" s="3"/>
    </row>
    <row r="11791" spans="1:17" ht="15" x14ac:dyDescent="0.25">
      <c r="A11791" s="3">
        <f>11784</f>
        <v>11784</v>
      </c>
      <c r="B11791" s="3" t="s">
        <v>11793</v>
      </c>
      <c r="C11791" s="3" t="s">
        <v>9</v>
      </c>
      <c r="D11791" s="3" t="s">
        <v>10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/>
      <c r="P11791" s="3"/>
      <c r="Q11791" s="3"/>
    </row>
    <row r="11792" spans="1:17" ht="15" x14ac:dyDescent="0.25">
      <c r="A11792" s="3">
        <f>11785</f>
        <v>11785</v>
      </c>
      <c r="B11792" s="3" t="s">
        <v>11794</v>
      </c>
      <c r="C11792" s="3" t="s">
        <v>9</v>
      </c>
      <c r="D11792" s="3" t="s">
        <v>10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/>
      <c r="P11792" s="3"/>
      <c r="Q11792" s="3"/>
    </row>
    <row r="11793" spans="1:17" ht="15" x14ac:dyDescent="0.25">
      <c r="A11793" s="3">
        <f>11786</f>
        <v>11786</v>
      </c>
      <c r="B11793" s="3" t="s">
        <v>11795</v>
      </c>
      <c r="C11793" s="3" t="s">
        <v>9</v>
      </c>
      <c r="D11793" s="3" t="s">
        <v>10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/>
      <c r="P11793" s="3"/>
      <c r="Q11793" s="3"/>
    </row>
    <row r="11794" spans="1:17" ht="15" x14ac:dyDescent="0.25">
      <c r="A11794" s="3">
        <f>11787</f>
        <v>11787</v>
      </c>
      <c r="B11794" s="3" t="s">
        <v>11796</v>
      </c>
      <c r="C11794" s="3" t="s">
        <v>9</v>
      </c>
      <c r="D11794" s="3" t="s">
        <v>10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/>
      <c r="P11794" s="3"/>
      <c r="Q11794" s="3"/>
    </row>
    <row r="11795" spans="1:17" ht="15" x14ac:dyDescent="0.25">
      <c r="A11795" s="3">
        <f>11788</f>
        <v>11788</v>
      </c>
      <c r="B11795" s="3" t="s">
        <v>11797</v>
      </c>
      <c r="C11795" s="3" t="s">
        <v>9</v>
      </c>
      <c r="D11795" s="3" t="s">
        <v>10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/>
      <c r="P11795" s="3"/>
      <c r="Q11795" s="3"/>
    </row>
    <row r="11796" spans="1:17" ht="15" x14ac:dyDescent="0.25">
      <c r="A11796" s="3">
        <f>11789</f>
        <v>11789</v>
      </c>
      <c r="B11796" s="3" t="s">
        <v>11798</v>
      </c>
      <c r="C11796" s="3" t="s">
        <v>9</v>
      </c>
      <c r="D11796" s="3" t="s">
        <v>10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/>
      <c r="P11796" s="3"/>
      <c r="Q11796" s="3"/>
    </row>
    <row r="11797" spans="1:17" ht="15" x14ac:dyDescent="0.25">
      <c r="A11797" s="3">
        <f>11790</f>
        <v>11790</v>
      </c>
      <c r="B11797" s="3" t="s">
        <v>11799</v>
      </c>
      <c r="C11797" s="3" t="s">
        <v>9</v>
      </c>
      <c r="D11797" s="3" t="s">
        <v>10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/>
      <c r="P11797" s="3"/>
      <c r="Q11797" s="3"/>
    </row>
    <row r="11798" spans="1:17" ht="15" x14ac:dyDescent="0.25">
      <c r="A11798" s="3">
        <f>11791</f>
        <v>11791</v>
      </c>
      <c r="B11798" s="3" t="s">
        <v>11800</v>
      </c>
      <c r="C11798" s="3" t="s">
        <v>9</v>
      </c>
      <c r="D11798" s="3" t="s">
        <v>10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/>
      <c r="P11798" s="3"/>
      <c r="Q11798" s="3"/>
    </row>
    <row r="11799" spans="1:17" ht="15" x14ac:dyDescent="0.25">
      <c r="A11799" s="3">
        <f>11792</f>
        <v>11792</v>
      </c>
      <c r="B11799" s="3" t="s">
        <v>11801</v>
      </c>
      <c r="C11799" s="3" t="s">
        <v>9</v>
      </c>
      <c r="D11799" s="3" t="s">
        <v>10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/>
      <c r="P11799" s="3"/>
      <c r="Q11799" s="3"/>
    </row>
    <row r="11800" spans="1:17" ht="15" x14ac:dyDescent="0.25">
      <c r="A11800" s="3">
        <f>11793</f>
        <v>11793</v>
      </c>
      <c r="B11800" s="3" t="s">
        <v>11802</v>
      </c>
      <c r="C11800" s="3" t="s">
        <v>9</v>
      </c>
      <c r="D11800" s="3" t="s">
        <v>10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/>
      <c r="P11800" s="3"/>
      <c r="Q11800" s="3"/>
    </row>
    <row r="11801" spans="1:17" ht="15" x14ac:dyDescent="0.25">
      <c r="A11801" s="3">
        <f>11794</f>
        <v>11794</v>
      </c>
      <c r="B11801" s="3" t="s">
        <v>11803</v>
      </c>
      <c r="C11801" s="3" t="s">
        <v>9</v>
      </c>
      <c r="D11801" s="3" t="s">
        <v>10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/>
      <c r="P11801" s="3"/>
      <c r="Q11801" s="3"/>
    </row>
    <row r="11802" spans="1:17" ht="15" x14ac:dyDescent="0.25">
      <c r="A11802" s="3">
        <f>11795</f>
        <v>11795</v>
      </c>
      <c r="B11802" s="3" t="s">
        <v>11804</v>
      </c>
      <c r="C11802" s="3" t="s">
        <v>9</v>
      </c>
      <c r="D11802" s="3" t="s">
        <v>10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/>
      <c r="P11802" s="3"/>
      <c r="Q11802" s="3"/>
    </row>
    <row r="11803" spans="1:17" ht="15" x14ac:dyDescent="0.25">
      <c r="A11803" s="3">
        <f>11796</f>
        <v>11796</v>
      </c>
      <c r="B11803" s="3" t="s">
        <v>11805</v>
      </c>
      <c r="C11803" s="3" t="s">
        <v>9</v>
      </c>
      <c r="D11803" s="3" t="s">
        <v>10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/>
      <c r="P11803" s="3"/>
      <c r="Q11803" s="3"/>
    </row>
    <row r="11804" spans="1:17" ht="15" x14ac:dyDescent="0.25">
      <c r="A11804" s="3">
        <f>11797</f>
        <v>11797</v>
      </c>
      <c r="B11804" s="3" t="s">
        <v>11806</v>
      </c>
      <c r="C11804" s="3" t="s">
        <v>9</v>
      </c>
      <c r="D11804" s="3" t="s">
        <v>10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/>
      <c r="P11804" s="3"/>
      <c r="Q11804" s="3"/>
    </row>
    <row r="11805" spans="1:17" ht="15" x14ac:dyDescent="0.25">
      <c r="A11805" s="3">
        <f>11798</f>
        <v>11798</v>
      </c>
      <c r="B11805" s="3" t="s">
        <v>11807</v>
      </c>
      <c r="C11805" s="3" t="s">
        <v>9</v>
      </c>
      <c r="D11805" s="3" t="s">
        <v>10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/>
      <c r="P11805" s="3"/>
      <c r="Q11805" s="3"/>
    </row>
    <row r="11806" spans="1:17" ht="15" x14ac:dyDescent="0.25">
      <c r="A11806" s="3">
        <f>11799</f>
        <v>11799</v>
      </c>
      <c r="B11806" s="3" t="s">
        <v>11808</v>
      </c>
      <c r="C11806" s="3" t="s">
        <v>9</v>
      </c>
      <c r="D11806" s="3" t="s">
        <v>10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/>
      <c r="P11806" s="3"/>
      <c r="Q11806" s="3"/>
    </row>
    <row r="11807" spans="1:17" ht="15" x14ac:dyDescent="0.25">
      <c r="A11807" s="3">
        <f>11800</f>
        <v>11800</v>
      </c>
      <c r="B11807" s="3" t="s">
        <v>11809</v>
      </c>
      <c r="C11807" s="3" t="s">
        <v>9</v>
      </c>
      <c r="D11807" s="3" t="s">
        <v>10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/>
      <c r="P11807" s="3"/>
      <c r="Q11807" s="3"/>
    </row>
    <row r="11808" spans="1:17" ht="15" x14ac:dyDescent="0.25">
      <c r="A11808" s="3">
        <f>11801</f>
        <v>11801</v>
      </c>
      <c r="B11808" s="3" t="s">
        <v>11810</v>
      </c>
      <c r="C11808" s="3" t="s">
        <v>9</v>
      </c>
      <c r="D11808" s="3" t="s">
        <v>10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/>
      <c r="P11808" s="3"/>
      <c r="Q11808" s="3"/>
    </row>
    <row r="11809" spans="1:17" ht="15" x14ac:dyDescent="0.25">
      <c r="A11809" s="3">
        <f>11802</f>
        <v>11802</v>
      </c>
      <c r="B11809" s="3" t="s">
        <v>11811</v>
      </c>
      <c r="C11809" s="3" t="s">
        <v>9</v>
      </c>
      <c r="D11809" s="3" t="s">
        <v>10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/>
      <c r="P11809" s="3"/>
      <c r="Q11809" s="3"/>
    </row>
    <row r="11810" spans="1:17" ht="15" x14ac:dyDescent="0.25">
      <c r="A11810" s="3">
        <f>11803</f>
        <v>11803</v>
      </c>
      <c r="B11810" s="3" t="s">
        <v>11812</v>
      </c>
      <c r="C11810" s="3" t="s">
        <v>9</v>
      </c>
      <c r="D11810" s="3" t="s">
        <v>10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/>
      <c r="P11810" s="3"/>
      <c r="Q11810" s="3"/>
    </row>
    <row r="11811" spans="1:17" ht="15" x14ac:dyDescent="0.25">
      <c r="A11811" s="3">
        <f>11804</f>
        <v>11804</v>
      </c>
      <c r="B11811" s="3" t="s">
        <v>11813</v>
      </c>
      <c r="C11811" s="3" t="s">
        <v>9</v>
      </c>
      <c r="D11811" s="3" t="s">
        <v>10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/>
      <c r="P11811" s="3"/>
      <c r="Q11811" s="3"/>
    </row>
    <row r="11812" spans="1:17" ht="15" x14ac:dyDescent="0.25">
      <c r="A11812" s="3">
        <f>11805</f>
        <v>11805</v>
      </c>
      <c r="B11812" s="3" t="s">
        <v>11814</v>
      </c>
      <c r="C11812" s="3" t="s">
        <v>9</v>
      </c>
      <c r="D11812" s="3" t="s">
        <v>10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/>
      <c r="P11812" s="3"/>
      <c r="Q11812" s="3"/>
    </row>
    <row r="11813" spans="1:17" ht="15" x14ac:dyDescent="0.25">
      <c r="A11813" s="3">
        <f>11806</f>
        <v>11806</v>
      </c>
      <c r="B11813" s="3" t="s">
        <v>11815</v>
      </c>
      <c r="C11813" s="3" t="s">
        <v>9</v>
      </c>
      <c r="D11813" s="3" t="s">
        <v>10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/>
      <c r="P11813" s="3"/>
      <c r="Q11813" s="3"/>
    </row>
    <row r="11814" spans="1:17" ht="15" x14ac:dyDescent="0.25">
      <c r="A11814" s="3">
        <f>11807</f>
        <v>11807</v>
      </c>
      <c r="B11814" s="3" t="s">
        <v>11816</v>
      </c>
      <c r="C11814" s="3" t="s">
        <v>9</v>
      </c>
      <c r="D11814" s="3" t="s">
        <v>10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/>
      <c r="P11814" s="3"/>
      <c r="Q11814" s="3"/>
    </row>
    <row r="11815" spans="1:17" ht="15" x14ac:dyDescent="0.25">
      <c r="A11815" s="3">
        <f>11808</f>
        <v>11808</v>
      </c>
      <c r="B11815" s="3" t="s">
        <v>11817</v>
      </c>
      <c r="C11815" s="3" t="s">
        <v>9</v>
      </c>
      <c r="D11815" s="3" t="s">
        <v>10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/>
      <c r="P11815" s="3"/>
      <c r="Q11815" s="3"/>
    </row>
    <row r="11816" spans="1:17" ht="15" x14ac:dyDescent="0.25">
      <c r="A11816" s="3">
        <f>11809</f>
        <v>11809</v>
      </c>
      <c r="B11816" s="3" t="s">
        <v>11818</v>
      </c>
      <c r="C11816" s="3" t="s">
        <v>9</v>
      </c>
      <c r="D11816" s="3" t="s">
        <v>10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/>
      <c r="P11816" s="3"/>
      <c r="Q11816" s="3"/>
    </row>
    <row r="11817" spans="1:17" ht="15" x14ac:dyDescent="0.25">
      <c r="A11817" s="3">
        <f>11810</f>
        <v>11810</v>
      </c>
      <c r="B11817" s="3" t="s">
        <v>11819</v>
      </c>
      <c r="C11817" s="3" t="s">
        <v>9</v>
      </c>
      <c r="D11817" s="3" t="s">
        <v>10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/>
      <c r="P11817" s="3"/>
      <c r="Q11817" s="3"/>
    </row>
    <row r="11818" spans="1:17" ht="15" x14ac:dyDescent="0.25">
      <c r="A11818" s="3">
        <f>11811</f>
        <v>11811</v>
      </c>
      <c r="B11818" s="3" t="s">
        <v>11820</v>
      </c>
      <c r="C11818" s="3" t="s">
        <v>9</v>
      </c>
      <c r="D11818" s="3" t="s">
        <v>10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/>
      <c r="P11818" s="3"/>
      <c r="Q11818" s="3"/>
    </row>
    <row r="11819" spans="1:17" ht="15" x14ac:dyDescent="0.25">
      <c r="A11819" s="3">
        <f>11812</f>
        <v>11812</v>
      </c>
      <c r="B11819" s="3" t="s">
        <v>11821</v>
      </c>
      <c r="C11819" s="3" t="s">
        <v>9</v>
      </c>
      <c r="D11819" s="3" t="s">
        <v>10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/>
      <c r="P11819" s="3"/>
      <c r="Q11819" s="3"/>
    </row>
    <row r="11820" spans="1:17" ht="15" x14ac:dyDescent="0.25">
      <c r="A11820" s="3">
        <f>11813</f>
        <v>11813</v>
      </c>
      <c r="B11820" s="3" t="s">
        <v>11822</v>
      </c>
      <c r="C11820" s="3" t="s">
        <v>9</v>
      </c>
      <c r="D11820" s="3" t="s">
        <v>10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/>
      <c r="P11820" s="3"/>
      <c r="Q11820" s="3"/>
    </row>
    <row r="11821" spans="1:17" ht="15" x14ac:dyDescent="0.25">
      <c r="A11821" s="3">
        <f>11814</f>
        <v>11814</v>
      </c>
      <c r="B11821" s="3" t="s">
        <v>11823</v>
      </c>
      <c r="C11821" s="3" t="s">
        <v>9</v>
      </c>
      <c r="D11821" s="3" t="s">
        <v>10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/>
      <c r="P11821" s="3"/>
      <c r="Q11821" s="3"/>
    </row>
    <row r="11822" spans="1:17" ht="15" x14ac:dyDescent="0.25">
      <c r="A11822" s="3">
        <f>11815</f>
        <v>11815</v>
      </c>
      <c r="B11822" s="3" t="s">
        <v>11824</v>
      </c>
      <c r="C11822" s="3" t="s">
        <v>9</v>
      </c>
      <c r="D11822" s="3" t="s">
        <v>10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/>
      <c r="P11822" s="3"/>
      <c r="Q11822" s="3"/>
    </row>
    <row r="11823" spans="1:17" ht="15" x14ac:dyDescent="0.25">
      <c r="A11823" s="3">
        <f>11816</f>
        <v>11816</v>
      </c>
      <c r="B11823" s="3" t="s">
        <v>11825</v>
      </c>
      <c r="C11823" s="3" t="s">
        <v>9</v>
      </c>
      <c r="D11823" s="3" t="s">
        <v>10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/>
      <c r="P11823" s="3"/>
      <c r="Q11823" s="3"/>
    </row>
    <row r="11824" spans="1:17" ht="15" x14ac:dyDescent="0.25">
      <c r="A11824" s="3">
        <f>11817</f>
        <v>11817</v>
      </c>
      <c r="B11824" s="3" t="s">
        <v>11826</v>
      </c>
      <c r="C11824" s="3" t="s">
        <v>9</v>
      </c>
      <c r="D11824" s="3" t="s">
        <v>10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/>
      <c r="P11824" s="3"/>
      <c r="Q11824" s="3"/>
    </row>
    <row r="11825" spans="1:17" ht="15" x14ac:dyDescent="0.25">
      <c r="A11825" s="3">
        <f>11818</f>
        <v>11818</v>
      </c>
      <c r="B11825" s="3" t="s">
        <v>11827</v>
      </c>
      <c r="C11825" s="3" t="s">
        <v>9</v>
      </c>
      <c r="D11825" s="3" t="s">
        <v>10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/>
      <c r="P11825" s="3"/>
      <c r="Q11825" s="3"/>
    </row>
    <row r="11826" spans="1:17" ht="15" x14ac:dyDescent="0.25">
      <c r="A11826" s="3">
        <f>11819</f>
        <v>11819</v>
      </c>
      <c r="B11826" s="3" t="s">
        <v>11828</v>
      </c>
      <c r="C11826" s="3" t="s">
        <v>9</v>
      </c>
      <c r="D11826" s="3" t="s">
        <v>10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/>
      <c r="P11826" s="3"/>
      <c r="Q11826" s="3"/>
    </row>
    <row r="11827" spans="1:17" ht="15" x14ac:dyDescent="0.25">
      <c r="A11827" s="3">
        <f>11820</f>
        <v>11820</v>
      </c>
      <c r="B11827" s="3" t="s">
        <v>11829</v>
      </c>
      <c r="C11827" s="3" t="s">
        <v>9</v>
      </c>
      <c r="D11827" s="3" t="s">
        <v>10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/>
      <c r="P11827" s="3"/>
      <c r="Q11827" s="3"/>
    </row>
    <row r="11828" spans="1:17" ht="15" x14ac:dyDescent="0.25">
      <c r="A11828" s="3">
        <f>11821</f>
        <v>11821</v>
      </c>
      <c r="B11828" s="3" t="s">
        <v>11830</v>
      </c>
      <c r="C11828" s="3" t="s">
        <v>9</v>
      </c>
      <c r="D11828" s="3" t="s">
        <v>10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/>
      <c r="P11828" s="3"/>
      <c r="Q11828" s="3"/>
    </row>
    <row r="11829" spans="1:17" ht="15" x14ac:dyDescent="0.25">
      <c r="A11829" s="3">
        <f>11822</f>
        <v>11822</v>
      </c>
      <c r="B11829" s="3" t="s">
        <v>11831</v>
      </c>
      <c r="C11829" s="3" t="s">
        <v>9</v>
      </c>
      <c r="D11829" s="3" t="s">
        <v>10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/>
      <c r="P11829" s="3"/>
      <c r="Q11829" s="3"/>
    </row>
    <row r="11830" spans="1:17" ht="15" x14ac:dyDescent="0.25">
      <c r="A11830" s="3">
        <f>11823</f>
        <v>11823</v>
      </c>
      <c r="B11830" s="3" t="s">
        <v>11832</v>
      </c>
      <c r="C11830" s="3" t="s">
        <v>9</v>
      </c>
      <c r="D11830" s="3" t="s">
        <v>10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/>
      <c r="P11830" s="3"/>
      <c r="Q11830" s="3"/>
    </row>
    <row r="11831" spans="1:17" ht="15" x14ac:dyDescent="0.25">
      <c r="A11831" s="3">
        <f>11824</f>
        <v>11824</v>
      </c>
      <c r="B11831" s="3" t="s">
        <v>11833</v>
      </c>
      <c r="C11831" s="3" t="s">
        <v>9</v>
      </c>
      <c r="D11831" s="3" t="s">
        <v>10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/>
      <c r="P11831" s="3"/>
      <c r="Q11831" s="3"/>
    </row>
    <row r="11832" spans="1:17" ht="15" x14ac:dyDescent="0.25">
      <c r="A11832" s="3">
        <f>11825</f>
        <v>11825</v>
      </c>
      <c r="B11832" s="3" t="s">
        <v>11834</v>
      </c>
      <c r="C11832" s="3" t="s">
        <v>9</v>
      </c>
      <c r="D11832" s="3" t="s">
        <v>10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/>
      <c r="P11832" s="3"/>
      <c r="Q11832" s="3"/>
    </row>
    <row r="11833" spans="1:17" ht="15" x14ac:dyDescent="0.25">
      <c r="A11833" s="3">
        <f>11826</f>
        <v>11826</v>
      </c>
      <c r="B11833" s="3" t="s">
        <v>11835</v>
      </c>
      <c r="C11833" s="3" t="s">
        <v>9</v>
      </c>
      <c r="D11833" s="3" t="s">
        <v>10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/>
      <c r="P11833" s="3"/>
      <c r="Q11833" s="3"/>
    </row>
    <row r="11834" spans="1:17" ht="15" x14ac:dyDescent="0.25">
      <c r="A11834" s="3">
        <f>11827</f>
        <v>11827</v>
      </c>
      <c r="B11834" s="3" t="s">
        <v>11836</v>
      </c>
      <c r="C11834" s="3" t="s">
        <v>9</v>
      </c>
      <c r="D11834" s="3" t="s">
        <v>10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/>
      <c r="P11834" s="3"/>
      <c r="Q11834" s="3"/>
    </row>
    <row r="11835" spans="1:17" ht="15" x14ac:dyDescent="0.25">
      <c r="A11835" s="3">
        <f>11828</f>
        <v>11828</v>
      </c>
      <c r="B11835" s="3" t="s">
        <v>11837</v>
      </c>
      <c r="C11835" s="3" t="s">
        <v>9</v>
      </c>
      <c r="D11835" s="3" t="s">
        <v>10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/>
      <c r="P11835" s="3"/>
      <c r="Q11835" s="3"/>
    </row>
    <row r="11836" spans="1:17" ht="15" x14ac:dyDescent="0.25">
      <c r="A11836" s="3">
        <f>11829</f>
        <v>11829</v>
      </c>
      <c r="B11836" s="3" t="s">
        <v>11838</v>
      </c>
      <c r="C11836" s="3" t="s">
        <v>9</v>
      </c>
      <c r="D11836" s="3" t="s">
        <v>10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/>
      <c r="P11836" s="3"/>
      <c r="Q11836" s="3"/>
    </row>
    <row r="11837" spans="1:17" ht="15" x14ac:dyDescent="0.25">
      <c r="A11837" s="3">
        <f>11830</f>
        <v>11830</v>
      </c>
      <c r="B11837" s="3" t="s">
        <v>11839</v>
      </c>
      <c r="C11837" s="3" t="s">
        <v>9</v>
      </c>
      <c r="D11837" s="3" t="s">
        <v>10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/>
      <c r="P11837" s="3"/>
      <c r="Q11837" s="3"/>
    </row>
    <row r="11838" spans="1:17" ht="15" x14ac:dyDescent="0.25">
      <c r="A11838" s="3">
        <f>11831</f>
        <v>11831</v>
      </c>
      <c r="B11838" s="3" t="s">
        <v>11840</v>
      </c>
      <c r="C11838" s="3" t="s">
        <v>9</v>
      </c>
      <c r="D11838" s="3" t="s">
        <v>10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/>
      <c r="P11838" s="3"/>
      <c r="Q11838" s="3"/>
    </row>
    <row r="11839" spans="1:17" ht="15" x14ac:dyDescent="0.25">
      <c r="A11839" s="3">
        <f>11832</f>
        <v>11832</v>
      </c>
      <c r="B11839" s="3" t="s">
        <v>11841</v>
      </c>
      <c r="C11839" s="3" t="s">
        <v>9</v>
      </c>
      <c r="D11839" s="3" t="s">
        <v>10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/>
      <c r="P11839" s="3"/>
      <c r="Q11839" s="3"/>
    </row>
    <row r="11840" spans="1:17" ht="15" x14ac:dyDescent="0.25">
      <c r="A11840" s="3">
        <f>11833</f>
        <v>11833</v>
      </c>
      <c r="B11840" s="3" t="s">
        <v>11842</v>
      </c>
      <c r="C11840" s="3" t="s">
        <v>9</v>
      </c>
      <c r="D11840" s="3" t="s">
        <v>10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/>
      <c r="P11840" s="3"/>
      <c r="Q11840" s="3"/>
    </row>
    <row r="11841" spans="1:17" ht="15" x14ac:dyDescent="0.25">
      <c r="A11841" s="3">
        <f>11834</f>
        <v>11834</v>
      </c>
      <c r="B11841" s="3" t="s">
        <v>11843</v>
      </c>
      <c r="C11841" s="3" t="s">
        <v>9</v>
      </c>
      <c r="D11841" s="3" t="s">
        <v>10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/>
      <c r="P11841" s="3"/>
      <c r="Q11841" s="3"/>
    </row>
    <row r="11842" spans="1:17" ht="15" x14ac:dyDescent="0.25">
      <c r="A11842" s="3">
        <f>11835</f>
        <v>11835</v>
      </c>
      <c r="B11842" s="3" t="s">
        <v>11844</v>
      </c>
      <c r="C11842" s="3" t="s">
        <v>9</v>
      </c>
      <c r="D11842" s="3" t="s">
        <v>10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/>
      <c r="P11842" s="3"/>
      <c r="Q11842" s="3"/>
    </row>
    <row r="11843" spans="1:17" ht="15" x14ac:dyDescent="0.25">
      <c r="A11843" s="3">
        <f>11836</f>
        <v>11836</v>
      </c>
      <c r="B11843" s="3" t="s">
        <v>11845</v>
      </c>
      <c r="C11843" s="3" t="s">
        <v>9</v>
      </c>
      <c r="D11843" s="3" t="s">
        <v>10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/>
      <c r="P11843" s="3"/>
      <c r="Q11843" s="3"/>
    </row>
    <row r="11844" spans="1:17" ht="15" x14ac:dyDescent="0.25">
      <c r="A11844" s="3">
        <f>11837</f>
        <v>11837</v>
      </c>
      <c r="B11844" s="3" t="s">
        <v>11846</v>
      </c>
      <c r="C11844" s="3" t="s">
        <v>9</v>
      </c>
      <c r="D11844" s="3" t="s">
        <v>10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/>
      <c r="P11844" s="3"/>
      <c r="Q11844" s="3"/>
    </row>
    <row r="11845" spans="1:17" ht="15" x14ac:dyDescent="0.25">
      <c r="A11845" s="3">
        <f>11838</f>
        <v>11838</v>
      </c>
      <c r="B11845" s="3" t="s">
        <v>11847</v>
      </c>
      <c r="C11845" s="3" t="s">
        <v>9</v>
      </c>
      <c r="D11845" s="3" t="s">
        <v>10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/>
      <c r="P11845" s="3"/>
      <c r="Q11845" s="3"/>
    </row>
    <row r="11846" spans="1:17" ht="15" x14ac:dyDescent="0.25">
      <c r="A11846" s="3">
        <f>11839</f>
        <v>11839</v>
      </c>
      <c r="B11846" s="3" t="s">
        <v>11848</v>
      </c>
      <c r="C11846" s="3" t="s">
        <v>9</v>
      </c>
      <c r="D11846" s="3" t="s">
        <v>10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/>
      <c r="P11846" s="3"/>
      <c r="Q11846" s="3"/>
    </row>
    <row r="11847" spans="1:17" ht="15" x14ac:dyDescent="0.25">
      <c r="A11847" s="3">
        <f>11840</f>
        <v>11840</v>
      </c>
      <c r="B11847" s="3" t="s">
        <v>11849</v>
      </c>
      <c r="C11847" s="3" t="s">
        <v>9</v>
      </c>
      <c r="D11847" s="3" t="s">
        <v>10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/>
      <c r="P11847" s="3"/>
      <c r="Q11847" s="3"/>
    </row>
    <row r="11848" spans="1:17" ht="15" x14ac:dyDescent="0.25">
      <c r="A11848" s="3">
        <f>11841</f>
        <v>11841</v>
      </c>
      <c r="B11848" s="3" t="s">
        <v>11850</v>
      </c>
      <c r="C11848" s="3" t="s">
        <v>9</v>
      </c>
      <c r="D11848" s="3" t="s">
        <v>10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/>
      <c r="P11848" s="3"/>
      <c r="Q11848" s="3"/>
    </row>
    <row r="11849" spans="1:17" ht="15" x14ac:dyDescent="0.25">
      <c r="A11849" s="3">
        <f>11842</f>
        <v>11842</v>
      </c>
      <c r="B11849" s="3" t="s">
        <v>11851</v>
      </c>
      <c r="C11849" s="3" t="s">
        <v>9</v>
      </c>
      <c r="D11849" s="3" t="s">
        <v>10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/>
      <c r="P11849" s="3"/>
      <c r="Q11849" s="3"/>
    </row>
    <row r="11850" spans="1:17" ht="15" x14ac:dyDescent="0.25">
      <c r="A11850" s="3">
        <f>11843</f>
        <v>11843</v>
      </c>
      <c r="B11850" s="3" t="s">
        <v>11852</v>
      </c>
      <c r="C11850" s="3" t="s">
        <v>9</v>
      </c>
      <c r="D11850" s="3" t="s">
        <v>10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/>
      <c r="P11850" s="3"/>
      <c r="Q11850" s="3"/>
    </row>
    <row r="11851" spans="1:17" ht="15" x14ac:dyDescent="0.25">
      <c r="A11851" s="3">
        <f>11844</f>
        <v>11844</v>
      </c>
      <c r="B11851" s="3" t="s">
        <v>11853</v>
      </c>
      <c r="C11851" s="3" t="s">
        <v>9</v>
      </c>
      <c r="D11851" s="3" t="s">
        <v>10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/>
      <c r="P11851" s="3"/>
      <c r="Q11851" s="3"/>
    </row>
    <row r="11852" spans="1:17" ht="15" x14ac:dyDescent="0.25">
      <c r="A11852" s="3">
        <f>11845</f>
        <v>11845</v>
      </c>
      <c r="B11852" s="3" t="s">
        <v>11854</v>
      </c>
      <c r="C11852" s="3" t="s">
        <v>9</v>
      </c>
      <c r="D11852" s="3" t="s">
        <v>10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/>
      <c r="P11852" s="3"/>
      <c r="Q11852" s="3"/>
    </row>
    <row r="11853" spans="1:17" ht="15" x14ac:dyDescent="0.25">
      <c r="A11853" s="3">
        <f>11846</f>
        <v>11846</v>
      </c>
      <c r="B11853" s="3" t="s">
        <v>11855</v>
      </c>
      <c r="C11853" s="3" t="s">
        <v>9</v>
      </c>
      <c r="D11853" s="3" t="s">
        <v>10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/>
      <c r="P11853" s="3"/>
      <c r="Q11853" s="3"/>
    </row>
    <row r="11854" spans="1:17" ht="15" x14ac:dyDescent="0.25">
      <c r="A11854" s="3">
        <f>11847</f>
        <v>11847</v>
      </c>
      <c r="B11854" s="3" t="s">
        <v>11856</v>
      </c>
      <c r="C11854" s="3" t="s">
        <v>9</v>
      </c>
      <c r="D11854" s="3" t="s">
        <v>10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/>
      <c r="P11854" s="3"/>
      <c r="Q11854" s="3"/>
    </row>
    <row r="11855" spans="1:17" ht="15" x14ac:dyDescent="0.25">
      <c r="A11855" s="3">
        <f>11848</f>
        <v>11848</v>
      </c>
      <c r="B11855" s="3" t="s">
        <v>11857</v>
      </c>
      <c r="C11855" s="3" t="s">
        <v>9</v>
      </c>
      <c r="D11855" s="3" t="s">
        <v>10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/>
      <c r="P11855" s="3"/>
      <c r="Q11855" s="3"/>
    </row>
    <row r="11856" spans="1:17" ht="15" x14ac:dyDescent="0.25">
      <c r="A11856" s="3">
        <f>11849</f>
        <v>11849</v>
      </c>
      <c r="B11856" s="3" t="s">
        <v>11858</v>
      </c>
      <c r="C11856" s="3" t="s">
        <v>9</v>
      </c>
      <c r="D11856" s="3" t="s">
        <v>10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/>
      <c r="P11856" s="3"/>
      <c r="Q11856" s="3"/>
    </row>
    <row r="11857" spans="1:17" ht="15" x14ac:dyDescent="0.25">
      <c r="A11857" s="3">
        <f>11850</f>
        <v>11850</v>
      </c>
      <c r="B11857" s="3" t="s">
        <v>11859</v>
      </c>
      <c r="C11857" s="3" t="s">
        <v>9</v>
      </c>
      <c r="D11857" s="3" t="s">
        <v>10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/>
      <c r="P11857" s="3"/>
      <c r="Q11857" s="3"/>
    </row>
    <row r="11858" spans="1:17" ht="15" x14ac:dyDescent="0.25">
      <c r="A11858" s="3">
        <f>11851</f>
        <v>11851</v>
      </c>
      <c r="B11858" s="3" t="s">
        <v>11860</v>
      </c>
      <c r="C11858" s="3" t="s">
        <v>9</v>
      </c>
      <c r="D11858" s="3" t="s">
        <v>10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/>
      <c r="P11858" s="3"/>
      <c r="Q11858" s="3"/>
    </row>
    <row r="11859" spans="1:17" ht="15" x14ac:dyDescent="0.25">
      <c r="A11859" s="3">
        <f>11852</f>
        <v>11852</v>
      </c>
      <c r="B11859" s="3" t="s">
        <v>11861</v>
      </c>
      <c r="C11859" s="3" t="s">
        <v>9</v>
      </c>
      <c r="D11859" s="3" t="s">
        <v>10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/>
      <c r="P11859" s="3"/>
      <c r="Q11859" s="3"/>
    </row>
    <row r="11860" spans="1:17" ht="15" x14ac:dyDescent="0.25">
      <c r="A11860" s="3">
        <f>11853</f>
        <v>11853</v>
      </c>
      <c r="B11860" s="3" t="s">
        <v>11862</v>
      </c>
      <c r="C11860" s="3" t="s">
        <v>9</v>
      </c>
      <c r="D11860" s="3" t="s">
        <v>10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/>
      <c r="P11860" s="3"/>
      <c r="Q11860" s="3"/>
    </row>
    <row r="11861" spans="1:17" ht="15" x14ac:dyDescent="0.25">
      <c r="A11861" s="3">
        <f>11854</f>
        <v>11854</v>
      </c>
      <c r="B11861" s="3" t="s">
        <v>11863</v>
      </c>
      <c r="C11861" s="3" t="s">
        <v>9</v>
      </c>
      <c r="D11861" s="3" t="s">
        <v>10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/>
      <c r="P11861" s="3"/>
      <c r="Q11861" s="3"/>
    </row>
    <row r="11862" spans="1:17" ht="15" x14ac:dyDescent="0.25">
      <c r="A11862" s="3">
        <f>11855</f>
        <v>11855</v>
      </c>
      <c r="B11862" s="3" t="s">
        <v>11864</v>
      </c>
      <c r="C11862" s="3" t="s">
        <v>9</v>
      </c>
      <c r="D11862" s="3" t="s">
        <v>10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/>
      <c r="P11862" s="3"/>
      <c r="Q11862" s="3"/>
    </row>
    <row r="11863" spans="1:17" ht="15" x14ac:dyDescent="0.25">
      <c r="A11863" s="3">
        <f>11856</f>
        <v>11856</v>
      </c>
      <c r="B11863" s="3" t="s">
        <v>11865</v>
      </c>
      <c r="C11863" s="3" t="s">
        <v>9</v>
      </c>
      <c r="D11863" s="3" t="s">
        <v>10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/>
      <c r="P11863" s="3"/>
      <c r="Q11863" s="3"/>
    </row>
    <row r="11864" spans="1:17" ht="15" x14ac:dyDescent="0.25">
      <c r="A11864" s="3">
        <f>11857</f>
        <v>11857</v>
      </c>
      <c r="B11864" s="3" t="s">
        <v>11866</v>
      </c>
      <c r="C11864" s="3" t="s">
        <v>9</v>
      </c>
      <c r="D11864" s="3" t="s">
        <v>10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/>
      <c r="P11864" s="3"/>
      <c r="Q11864" s="3"/>
    </row>
    <row r="11865" spans="1:17" ht="15" x14ac:dyDescent="0.25">
      <c r="A11865" s="3">
        <f>11858</f>
        <v>11858</v>
      </c>
      <c r="B11865" s="3" t="s">
        <v>11867</v>
      </c>
      <c r="C11865" s="3" t="s">
        <v>9</v>
      </c>
      <c r="D11865" s="3" t="s">
        <v>10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/>
      <c r="P11865" s="3"/>
      <c r="Q11865" s="3"/>
    </row>
    <row r="11866" spans="1:17" ht="15" x14ac:dyDescent="0.25">
      <c r="A11866" s="3">
        <f>11859</f>
        <v>11859</v>
      </c>
      <c r="B11866" s="3" t="s">
        <v>11868</v>
      </c>
      <c r="C11866" s="3" t="s">
        <v>9</v>
      </c>
      <c r="D11866" s="3" t="s">
        <v>10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/>
      <c r="P11866" s="3"/>
      <c r="Q11866" s="3"/>
    </row>
    <row r="11867" spans="1:17" ht="15" x14ac:dyDescent="0.25">
      <c r="A11867" s="3">
        <f>11860</f>
        <v>11860</v>
      </c>
      <c r="B11867" s="3" t="s">
        <v>11869</v>
      </c>
      <c r="C11867" s="3" t="s">
        <v>9</v>
      </c>
      <c r="D11867" s="3" t="s">
        <v>10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/>
      <c r="P11867" s="3"/>
      <c r="Q11867" s="3"/>
    </row>
    <row r="11868" spans="1:17" ht="15" x14ac:dyDescent="0.25">
      <c r="A11868" s="3">
        <f>11861</f>
        <v>11861</v>
      </c>
      <c r="B11868" s="3" t="s">
        <v>11870</v>
      </c>
      <c r="C11868" s="3" t="s">
        <v>9</v>
      </c>
      <c r="D11868" s="3" t="s">
        <v>10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/>
      <c r="P11868" s="3"/>
      <c r="Q11868" s="3"/>
    </row>
    <row r="11869" spans="1:17" ht="15" x14ac:dyDescent="0.25">
      <c r="A11869" s="3">
        <f>11862</f>
        <v>11862</v>
      </c>
      <c r="B11869" s="3" t="s">
        <v>11871</v>
      </c>
      <c r="C11869" s="3" t="s">
        <v>9</v>
      </c>
      <c r="D11869" s="3" t="s">
        <v>10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/>
      <c r="P11869" s="3"/>
      <c r="Q11869" s="3"/>
    </row>
    <row r="11870" spans="1:17" ht="15" x14ac:dyDescent="0.25">
      <c r="A11870" s="3">
        <f>11863</f>
        <v>11863</v>
      </c>
      <c r="B11870" s="3" t="s">
        <v>11872</v>
      </c>
      <c r="C11870" s="3" t="s">
        <v>9</v>
      </c>
      <c r="D11870" s="3" t="s">
        <v>10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/>
      <c r="P11870" s="3"/>
      <c r="Q11870" s="3"/>
    </row>
    <row r="11871" spans="1:17" ht="15" x14ac:dyDescent="0.25">
      <c r="A11871" s="3">
        <f>11864</f>
        <v>11864</v>
      </c>
      <c r="B11871" s="3" t="s">
        <v>11873</v>
      </c>
      <c r="C11871" s="3" t="s">
        <v>9</v>
      </c>
      <c r="D11871" s="3" t="s">
        <v>10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/>
      <c r="P11871" s="3"/>
      <c r="Q11871" s="3"/>
    </row>
    <row r="11872" spans="1:17" ht="15" x14ac:dyDescent="0.25">
      <c r="A11872" s="3">
        <f>11865</f>
        <v>11865</v>
      </c>
      <c r="B11872" s="3" t="s">
        <v>11874</v>
      </c>
      <c r="C11872" s="3" t="s">
        <v>9</v>
      </c>
      <c r="D11872" s="3" t="s">
        <v>10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/>
      <c r="P11872" s="3"/>
      <c r="Q11872" s="3"/>
    </row>
    <row r="11873" spans="1:17" ht="15" x14ac:dyDescent="0.25">
      <c r="A11873" s="3">
        <f>11866</f>
        <v>11866</v>
      </c>
      <c r="B11873" s="3" t="s">
        <v>11875</v>
      </c>
      <c r="C11873" s="3" t="s">
        <v>9</v>
      </c>
      <c r="D11873" s="3" t="s">
        <v>10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/>
      <c r="P11873" s="3"/>
      <c r="Q11873" s="3"/>
    </row>
    <row r="11874" spans="1:17" ht="15" x14ac:dyDescent="0.25">
      <c r="A11874" s="3">
        <f>11867</f>
        <v>11867</v>
      </c>
      <c r="B11874" s="3" t="s">
        <v>11876</v>
      </c>
      <c r="C11874" s="3" t="s">
        <v>9</v>
      </c>
      <c r="D11874" s="3" t="s">
        <v>10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/>
      <c r="P11874" s="3"/>
      <c r="Q11874" s="3"/>
    </row>
    <row r="11875" spans="1:17" ht="15" x14ac:dyDescent="0.25">
      <c r="A11875" s="3">
        <f>11868</f>
        <v>11868</v>
      </c>
      <c r="B11875" s="3" t="s">
        <v>11877</v>
      </c>
      <c r="C11875" s="3" t="s">
        <v>9</v>
      </c>
      <c r="D11875" s="3" t="s">
        <v>10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/>
      <c r="P11875" s="3"/>
      <c r="Q11875" s="3"/>
    </row>
    <row r="11876" spans="1:17" ht="15" x14ac:dyDescent="0.25">
      <c r="A11876" s="3">
        <f>11869</f>
        <v>11869</v>
      </c>
      <c r="B11876" s="3" t="s">
        <v>11878</v>
      </c>
      <c r="C11876" s="3" t="s">
        <v>9</v>
      </c>
      <c r="D11876" s="3" t="s">
        <v>10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/>
      <c r="P11876" s="3"/>
      <c r="Q11876" s="3"/>
    </row>
    <row r="11877" spans="1:17" ht="15" x14ac:dyDescent="0.25">
      <c r="A11877" s="3">
        <f>11870</f>
        <v>11870</v>
      </c>
      <c r="B11877" s="3" t="s">
        <v>11879</v>
      </c>
      <c r="C11877" s="3" t="s">
        <v>9</v>
      </c>
      <c r="D11877" s="3" t="s">
        <v>10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/>
      <c r="P11877" s="3"/>
      <c r="Q11877" s="3"/>
    </row>
    <row r="11878" spans="1:17" ht="15" x14ac:dyDescent="0.25">
      <c r="A11878" s="3">
        <f>11871</f>
        <v>11871</v>
      </c>
      <c r="B11878" s="3" t="s">
        <v>11880</v>
      </c>
      <c r="C11878" s="3" t="s">
        <v>9</v>
      </c>
      <c r="D11878" s="3" t="s">
        <v>10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/>
      <c r="P11878" s="3"/>
      <c r="Q11878" s="3"/>
    </row>
    <row r="11879" spans="1:17" ht="15" x14ac:dyDescent="0.25">
      <c r="A11879" s="3">
        <f>11872</f>
        <v>11872</v>
      </c>
      <c r="B11879" s="3" t="s">
        <v>11881</v>
      </c>
      <c r="C11879" s="3" t="s">
        <v>9</v>
      </c>
      <c r="D11879" s="3" t="s">
        <v>10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/>
      <c r="P11879" s="3"/>
      <c r="Q11879" s="3"/>
    </row>
    <row r="11880" spans="1:17" ht="15" x14ac:dyDescent="0.25">
      <c r="A11880" s="3">
        <f>11873</f>
        <v>11873</v>
      </c>
      <c r="B11880" s="3" t="s">
        <v>11882</v>
      </c>
      <c r="C11880" s="3" t="s">
        <v>9</v>
      </c>
      <c r="D11880" s="3" t="s">
        <v>10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/>
      <c r="P11880" s="3"/>
      <c r="Q11880" s="3"/>
    </row>
    <row r="11881" spans="1:17" ht="15" x14ac:dyDescent="0.25">
      <c r="A11881" s="3">
        <f>11874</f>
        <v>11874</v>
      </c>
      <c r="B11881" s="3" t="s">
        <v>11883</v>
      </c>
      <c r="C11881" s="3" t="s">
        <v>9</v>
      </c>
      <c r="D11881" s="3" t="s">
        <v>10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/>
      <c r="P11881" s="3"/>
      <c r="Q11881" s="3"/>
    </row>
    <row r="11882" spans="1:17" ht="15" x14ac:dyDescent="0.25">
      <c r="A11882" s="3">
        <f>11875</f>
        <v>11875</v>
      </c>
      <c r="B11882" s="3" t="s">
        <v>11884</v>
      </c>
      <c r="C11882" s="3" t="s">
        <v>9</v>
      </c>
      <c r="D11882" s="3" t="s">
        <v>10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/>
      <c r="P11882" s="3"/>
      <c r="Q11882" s="3"/>
    </row>
    <row r="11883" spans="1:17" ht="15" x14ac:dyDescent="0.25">
      <c r="A11883" s="3">
        <f>11876</f>
        <v>11876</v>
      </c>
      <c r="B11883" s="3" t="s">
        <v>11885</v>
      </c>
      <c r="C11883" s="3" t="s">
        <v>9</v>
      </c>
      <c r="D11883" s="3" t="s">
        <v>10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/>
      <c r="P11883" s="3"/>
      <c r="Q11883" s="3"/>
    </row>
    <row r="11884" spans="1:17" ht="15" x14ac:dyDescent="0.25">
      <c r="A11884" s="3">
        <f>11877</f>
        <v>11877</v>
      </c>
      <c r="B11884" s="3" t="s">
        <v>11886</v>
      </c>
      <c r="C11884" s="3" t="s">
        <v>9</v>
      </c>
      <c r="D11884" s="3" t="s">
        <v>10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/>
      <c r="P11884" s="3"/>
      <c r="Q11884" s="3"/>
    </row>
    <row r="11885" spans="1:17" ht="15" x14ac:dyDescent="0.25">
      <c r="A11885" s="3">
        <f>11878</f>
        <v>11878</v>
      </c>
      <c r="B11885" s="3" t="s">
        <v>11887</v>
      </c>
      <c r="C11885" s="3" t="s">
        <v>9</v>
      </c>
      <c r="D11885" s="3" t="s">
        <v>10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/>
      <c r="P11885" s="3"/>
      <c r="Q11885" s="3"/>
    </row>
    <row r="11886" spans="1:17" ht="15" x14ac:dyDescent="0.25">
      <c r="A11886" s="3">
        <f>11879</f>
        <v>11879</v>
      </c>
      <c r="B11886" s="3" t="s">
        <v>11888</v>
      </c>
      <c r="C11886" s="3" t="s">
        <v>9</v>
      </c>
      <c r="D11886" s="3" t="s">
        <v>10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/>
      <c r="P11886" s="3"/>
      <c r="Q11886" s="3"/>
    </row>
    <row r="11887" spans="1:17" ht="15" x14ac:dyDescent="0.25">
      <c r="A11887" s="3">
        <f>11880</f>
        <v>11880</v>
      </c>
      <c r="B11887" s="3" t="s">
        <v>11889</v>
      </c>
      <c r="C11887" s="3" t="s">
        <v>9</v>
      </c>
      <c r="D11887" s="3" t="s">
        <v>10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/>
      <c r="P11887" s="3"/>
      <c r="Q11887" s="3"/>
    </row>
    <row r="11888" spans="1:17" ht="15" x14ac:dyDescent="0.25">
      <c r="A11888" s="3">
        <f>11881</f>
        <v>11881</v>
      </c>
      <c r="B11888" s="3" t="s">
        <v>11890</v>
      </c>
      <c r="C11888" s="3" t="s">
        <v>9</v>
      </c>
      <c r="D11888" s="3" t="s">
        <v>10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/>
      <c r="P11888" s="3"/>
      <c r="Q11888" s="3"/>
    </row>
    <row r="11889" spans="1:17" ht="15" x14ac:dyDescent="0.25">
      <c r="A11889" s="3">
        <f>11882</f>
        <v>11882</v>
      </c>
      <c r="B11889" s="3" t="s">
        <v>11891</v>
      </c>
      <c r="C11889" s="3" t="s">
        <v>9</v>
      </c>
      <c r="D11889" s="3" t="s">
        <v>10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/>
      <c r="P11889" s="3"/>
      <c r="Q11889" s="3"/>
    </row>
    <row r="11890" spans="1:17" ht="15" x14ac:dyDescent="0.25">
      <c r="A11890" s="3">
        <f>11883</f>
        <v>11883</v>
      </c>
      <c r="B11890" s="3" t="s">
        <v>11892</v>
      </c>
      <c r="C11890" s="3" t="s">
        <v>9</v>
      </c>
      <c r="D11890" s="3" t="s">
        <v>10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/>
      <c r="P11890" s="3"/>
      <c r="Q11890" s="3"/>
    </row>
    <row r="11891" spans="1:17" ht="15" x14ac:dyDescent="0.25">
      <c r="A11891" s="3">
        <f>11884</f>
        <v>11884</v>
      </c>
      <c r="B11891" s="3" t="s">
        <v>11893</v>
      </c>
      <c r="C11891" s="3" t="s">
        <v>9</v>
      </c>
      <c r="D11891" s="3" t="s">
        <v>10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/>
      <c r="P11891" s="3"/>
      <c r="Q11891" s="3"/>
    </row>
    <row r="11892" spans="1:17" ht="15" x14ac:dyDescent="0.25">
      <c r="A11892" s="3">
        <f>11885</f>
        <v>11885</v>
      </c>
      <c r="B11892" s="3" t="s">
        <v>11894</v>
      </c>
      <c r="C11892" s="3" t="s">
        <v>9</v>
      </c>
      <c r="D11892" s="3" t="s">
        <v>10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/>
      <c r="P11892" s="3"/>
      <c r="Q11892" s="3"/>
    </row>
    <row r="11893" spans="1:17" ht="15" x14ac:dyDescent="0.25">
      <c r="A11893" s="3">
        <f>11886</f>
        <v>11886</v>
      </c>
      <c r="B11893" s="3" t="s">
        <v>11895</v>
      </c>
      <c r="C11893" s="3" t="s">
        <v>9</v>
      </c>
      <c r="D11893" s="3" t="s">
        <v>10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/>
      <c r="P11893" s="3"/>
      <c r="Q11893" s="3"/>
    </row>
    <row r="11894" spans="1:17" ht="15" x14ac:dyDescent="0.25">
      <c r="A11894" s="3">
        <f>11887</f>
        <v>11887</v>
      </c>
      <c r="B11894" s="3" t="s">
        <v>11896</v>
      </c>
      <c r="C11894" s="3" t="s">
        <v>9</v>
      </c>
      <c r="D11894" s="3" t="s">
        <v>10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/>
      <c r="P11894" s="3"/>
      <c r="Q11894" s="3"/>
    </row>
    <row r="11895" spans="1:17" ht="15" x14ac:dyDescent="0.25">
      <c r="A11895" s="3">
        <f>11888</f>
        <v>11888</v>
      </c>
      <c r="B11895" s="3" t="s">
        <v>11897</v>
      </c>
      <c r="C11895" s="3" t="s">
        <v>9</v>
      </c>
      <c r="D11895" s="3" t="s">
        <v>10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/>
      <c r="P11895" s="3"/>
      <c r="Q11895" s="3"/>
    </row>
    <row r="11896" spans="1:17" ht="15" x14ac:dyDescent="0.25">
      <c r="A11896" s="3">
        <f>11889</f>
        <v>11889</v>
      </c>
      <c r="B11896" s="3" t="s">
        <v>11898</v>
      </c>
      <c r="C11896" s="3" t="s">
        <v>9</v>
      </c>
      <c r="D11896" s="3" t="s">
        <v>10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/>
      <c r="P11896" s="3"/>
      <c r="Q11896" s="3"/>
    </row>
    <row r="11897" spans="1:17" ht="15" x14ac:dyDescent="0.25">
      <c r="A11897" s="3">
        <f>11890</f>
        <v>11890</v>
      </c>
      <c r="B11897" s="3" t="s">
        <v>11899</v>
      </c>
      <c r="C11897" s="3" t="s">
        <v>9</v>
      </c>
      <c r="D11897" s="3" t="s">
        <v>10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/>
      <c r="P11897" s="3"/>
      <c r="Q11897" s="3"/>
    </row>
    <row r="11898" spans="1:17" ht="15" x14ac:dyDescent="0.25">
      <c r="A11898" s="3">
        <f>11891</f>
        <v>11891</v>
      </c>
      <c r="B11898" s="3" t="s">
        <v>11900</v>
      </c>
      <c r="C11898" s="3" t="s">
        <v>9</v>
      </c>
      <c r="D11898" s="3" t="s">
        <v>10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/>
      <c r="P11898" s="3"/>
      <c r="Q11898" s="3"/>
    </row>
    <row r="11899" spans="1:17" ht="15" x14ac:dyDescent="0.25">
      <c r="A11899" s="3">
        <f>11892</f>
        <v>11892</v>
      </c>
      <c r="B11899" s="3" t="s">
        <v>11901</v>
      </c>
      <c r="C11899" s="3" t="s">
        <v>9</v>
      </c>
      <c r="D11899" s="3" t="s">
        <v>10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/>
      <c r="P11899" s="3"/>
      <c r="Q11899" s="3"/>
    </row>
    <row r="11900" spans="1:17" ht="15" x14ac:dyDescent="0.25">
      <c r="A11900" s="3">
        <f>11893</f>
        <v>11893</v>
      </c>
      <c r="B11900" s="3" t="s">
        <v>11902</v>
      </c>
      <c r="C11900" s="3" t="s">
        <v>9</v>
      </c>
      <c r="D11900" s="3" t="s">
        <v>10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/>
      <c r="P11900" s="3"/>
      <c r="Q11900" s="3"/>
    </row>
    <row r="11901" spans="1:17" ht="15" x14ac:dyDescent="0.25">
      <c r="A11901" s="3">
        <f>11894</f>
        <v>11894</v>
      </c>
      <c r="B11901" s="3" t="s">
        <v>11903</v>
      </c>
      <c r="C11901" s="3" t="s">
        <v>9</v>
      </c>
      <c r="D11901" s="3" t="s">
        <v>10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/>
      <c r="P11901" s="3"/>
      <c r="Q11901" s="3"/>
    </row>
    <row r="11902" spans="1:17" ht="15" x14ac:dyDescent="0.25">
      <c r="A11902" s="3">
        <f>11895</f>
        <v>11895</v>
      </c>
      <c r="B11902" s="3" t="s">
        <v>11904</v>
      </c>
      <c r="C11902" s="3" t="s">
        <v>9</v>
      </c>
      <c r="D11902" s="3" t="s">
        <v>10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/>
      <c r="P11902" s="3"/>
      <c r="Q11902" s="3"/>
    </row>
    <row r="11903" spans="1:17" ht="15" x14ac:dyDescent="0.25">
      <c r="A11903" s="3">
        <f>11896</f>
        <v>11896</v>
      </c>
      <c r="B11903" s="3" t="s">
        <v>11905</v>
      </c>
      <c r="C11903" s="3" t="s">
        <v>9</v>
      </c>
      <c r="D11903" s="3" t="s">
        <v>10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/>
      <c r="P11903" s="3"/>
      <c r="Q11903" s="3"/>
    </row>
    <row r="11904" spans="1:17" ht="15" x14ac:dyDescent="0.25">
      <c r="A11904" s="3">
        <f>11897</f>
        <v>11897</v>
      </c>
      <c r="B11904" s="3" t="s">
        <v>11906</v>
      </c>
      <c r="C11904" s="3" t="s">
        <v>9</v>
      </c>
      <c r="D11904" s="3" t="s">
        <v>10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/>
      <c r="P11904" s="3"/>
      <c r="Q11904" s="3"/>
    </row>
    <row r="11905" spans="1:17" ht="15" x14ac:dyDescent="0.25">
      <c r="A11905" s="3">
        <f>11898</f>
        <v>11898</v>
      </c>
      <c r="B11905" s="3" t="s">
        <v>11907</v>
      </c>
      <c r="C11905" s="3" t="s">
        <v>9</v>
      </c>
      <c r="D11905" s="3" t="s">
        <v>10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/>
      <c r="P11905" s="3"/>
      <c r="Q11905" s="3"/>
    </row>
    <row r="11906" spans="1:17" ht="15" x14ac:dyDescent="0.25">
      <c r="A11906" s="3">
        <f>11899</f>
        <v>11899</v>
      </c>
      <c r="B11906" s="3" t="s">
        <v>11908</v>
      </c>
      <c r="C11906" s="3" t="s">
        <v>9</v>
      </c>
      <c r="D11906" s="3" t="s">
        <v>10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/>
      <c r="P11906" s="3"/>
      <c r="Q11906" s="3"/>
    </row>
    <row r="11907" spans="1:17" ht="15" x14ac:dyDescent="0.25">
      <c r="A11907" s="3">
        <f>11900</f>
        <v>11900</v>
      </c>
      <c r="B11907" s="3" t="s">
        <v>11909</v>
      </c>
      <c r="C11907" s="3" t="s">
        <v>9</v>
      </c>
      <c r="D11907" s="3" t="s">
        <v>10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/>
      <c r="P11907" s="3"/>
      <c r="Q11907" s="3"/>
    </row>
    <row r="11908" spans="1:17" ht="15" x14ac:dyDescent="0.25">
      <c r="A11908" s="3">
        <f>11901</f>
        <v>11901</v>
      </c>
      <c r="B11908" s="3" t="s">
        <v>11910</v>
      </c>
      <c r="C11908" s="3" t="s">
        <v>9</v>
      </c>
      <c r="D11908" s="3" t="s">
        <v>10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/>
      <c r="P11908" s="3"/>
      <c r="Q11908" s="3"/>
    </row>
    <row r="11909" spans="1:17" ht="15" x14ac:dyDescent="0.25">
      <c r="A11909" s="3">
        <f>11902</f>
        <v>11902</v>
      </c>
      <c r="B11909" s="3" t="s">
        <v>11911</v>
      </c>
      <c r="C11909" s="3" t="s">
        <v>9</v>
      </c>
      <c r="D11909" s="3" t="s">
        <v>10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/>
      <c r="P11909" s="3"/>
      <c r="Q11909" s="3"/>
    </row>
    <row r="11910" spans="1:17" ht="15" x14ac:dyDescent="0.25">
      <c r="A11910" s="3">
        <f>11903</f>
        <v>11903</v>
      </c>
      <c r="B11910" s="3" t="s">
        <v>11912</v>
      </c>
      <c r="C11910" s="3" t="s">
        <v>9</v>
      </c>
      <c r="D11910" s="3" t="s">
        <v>10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/>
      <c r="P11910" s="3"/>
      <c r="Q11910" s="3"/>
    </row>
    <row r="11911" spans="1:17" ht="15" x14ac:dyDescent="0.25">
      <c r="A11911" s="3">
        <f>11904</f>
        <v>11904</v>
      </c>
      <c r="B11911" s="3" t="s">
        <v>11913</v>
      </c>
      <c r="C11911" s="3" t="s">
        <v>9</v>
      </c>
      <c r="D11911" s="3" t="s">
        <v>10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/>
      <c r="P11911" s="3"/>
      <c r="Q11911" s="3"/>
    </row>
    <row r="11912" spans="1:17" ht="15" x14ac:dyDescent="0.25">
      <c r="A11912" s="3">
        <f>11905</f>
        <v>11905</v>
      </c>
      <c r="B11912" s="3" t="s">
        <v>11914</v>
      </c>
      <c r="C11912" s="3" t="s">
        <v>9</v>
      </c>
      <c r="D11912" s="3" t="s">
        <v>10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/>
      <c r="P11912" s="3"/>
      <c r="Q11912" s="3"/>
    </row>
    <row r="11913" spans="1:17" ht="15" x14ac:dyDescent="0.25">
      <c r="A11913" s="3">
        <f>11906</f>
        <v>11906</v>
      </c>
      <c r="B11913" s="3" t="s">
        <v>11915</v>
      </c>
      <c r="C11913" s="3" t="s">
        <v>9</v>
      </c>
      <c r="D11913" s="3" t="s">
        <v>10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/>
      <c r="P11913" s="3"/>
      <c r="Q11913" s="3"/>
    </row>
    <row r="11914" spans="1:17" ht="15" x14ac:dyDescent="0.25">
      <c r="A11914" s="3">
        <f>11907</f>
        <v>11907</v>
      </c>
      <c r="B11914" s="3" t="s">
        <v>11916</v>
      </c>
      <c r="C11914" s="3" t="s">
        <v>9</v>
      </c>
      <c r="D11914" s="3" t="s">
        <v>10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/>
      <c r="P11914" s="3"/>
      <c r="Q11914" s="3"/>
    </row>
    <row r="11915" spans="1:17" ht="15" x14ac:dyDescent="0.25">
      <c r="A11915" s="3">
        <f>11908</f>
        <v>11908</v>
      </c>
      <c r="B11915" s="3" t="s">
        <v>11917</v>
      </c>
      <c r="C11915" s="3" t="s">
        <v>9</v>
      </c>
      <c r="D11915" s="3" t="s">
        <v>10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/>
      <c r="P11915" s="3"/>
      <c r="Q11915" s="3"/>
    </row>
    <row r="11916" spans="1:17" ht="15" x14ac:dyDescent="0.25">
      <c r="A11916" s="3">
        <f>11909</f>
        <v>11909</v>
      </c>
      <c r="B11916" s="3" t="s">
        <v>11918</v>
      </c>
      <c r="C11916" s="3" t="s">
        <v>9</v>
      </c>
      <c r="D11916" s="3" t="s">
        <v>10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/>
      <c r="P11916" s="3"/>
      <c r="Q11916" s="3"/>
    </row>
    <row r="11917" spans="1:17" ht="15" x14ac:dyDescent="0.25">
      <c r="A11917" s="3">
        <f>11910</f>
        <v>11910</v>
      </c>
      <c r="B11917" s="3" t="s">
        <v>11919</v>
      </c>
      <c r="C11917" s="3" t="s">
        <v>9</v>
      </c>
      <c r="D11917" s="3" t="s">
        <v>10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/>
      <c r="P11917" s="3"/>
      <c r="Q11917" s="3"/>
    </row>
    <row r="11918" spans="1:17" ht="15" x14ac:dyDescent="0.25">
      <c r="A11918" s="3">
        <f>11911</f>
        <v>11911</v>
      </c>
      <c r="B11918" s="3" t="s">
        <v>11920</v>
      </c>
      <c r="C11918" s="3" t="s">
        <v>9</v>
      </c>
      <c r="D11918" s="3" t="s">
        <v>10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/>
      <c r="P11918" s="3"/>
      <c r="Q11918" s="3"/>
    </row>
    <row r="11919" spans="1:17" ht="15" x14ac:dyDescent="0.25">
      <c r="A11919" s="3">
        <f>11912</f>
        <v>11912</v>
      </c>
      <c r="B11919" s="3" t="s">
        <v>11921</v>
      </c>
      <c r="C11919" s="3" t="s">
        <v>9</v>
      </c>
      <c r="D11919" s="3" t="s">
        <v>10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/>
      <c r="P11919" s="3"/>
      <c r="Q11919" s="3"/>
    </row>
    <row r="11920" spans="1:17" ht="15" x14ac:dyDescent="0.25">
      <c r="A11920" s="3">
        <f>11913</f>
        <v>11913</v>
      </c>
      <c r="B11920" s="3" t="s">
        <v>11922</v>
      </c>
      <c r="C11920" s="3" t="s">
        <v>9</v>
      </c>
      <c r="D11920" s="3" t="s">
        <v>10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/>
      <c r="P11920" s="3"/>
      <c r="Q11920" s="3"/>
    </row>
    <row r="11921" spans="1:17" ht="15" x14ac:dyDescent="0.25">
      <c r="A11921" s="3">
        <f>11914</f>
        <v>11914</v>
      </c>
      <c r="B11921" s="3" t="s">
        <v>11923</v>
      </c>
      <c r="C11921" s="3" t="s">
        <v>9</v>
      </c>
      <c r="D11921" s="3" t="s">
        <v>10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/>
      <c r="P11921" s="3"/>
      <c r="Q11921" s="3"/>
    </row>
    <row r="11922" spans="1:17" ht="15" x14ac:dyDescent="0.25">
      <c r="A11922" s="3">
        <f>11915</f>
        <v>11915</v>
      </c>
      <c r="B11922" s="3" t="s">
        <v>11924</v>
      </c>
      <c r="C11922" s="3" t="s">
        <v>9</v>
      </c>
      <c r="D11922" s="3" t="s">
        <v>10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/>
      <c r="P11922" s="3"/>
      <c r="Q11922" s="3"/>
    </row>
    <row r="11923" spans="1:17" ht="15" x14ac:dyDescent="0.25">
      <c r="A11923" s="3">
        <f>11916</f>
        <v>11916</v>
      </c>
      <c r="B11923" s="3" t="s">
        <v>11925</v>
      </c>
      <c r="C11923" s="3" t="s">
        <v>9</v>
      </c>
      <c r="D11923" s="3" t="s">
        <v>10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/>
      <c r="P11923" s="3"/>
      <c r="Q11923" s="3"/>
    </row>
    <row r="11924" spans="1:17" ht="15" x14ac:dyDescent="0.25">
      <c r="A11924" s="3">
        <f>11917</f>
        <v>11917</v>
      </c>
      <c r="B11924" s="3" t="s">
        <v>11926</v>
      </c>
      <c r="C11924" s="3" t="s">
        <v>9</v>
      </c>
      <c r="D11924" s="3" t="s">
        <v>10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/>
      <c r="P11924" s="3"/>
      <c r="Q11924" s="3"/>
    </row>
    <row r="11925" spans="1:17" ht="15" x14ac:dyDescent="0.25">
      <c r="A11925" s="3">
        <f>11918</f>
        <v>11918</v>
      </c>
      <c r="B11925" s="3" t="s">
        <v>11927</v>
      </c>
      <c r="C11925" s="3" t="s">
        <v>9</v>
      </c>
      <c r="D11925" s="3" t="s">
        <v>10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/>
      <c r="P11925" s="3"/>
      <c r="Q11925" s="3"/>
    </row>
    <row r="11926" spans="1:17" ht="15" x14ac:dyDescent="0.25">
      <c r="A11926" s="3">
        <f>11919</f>
        <v>11919</v>
      </c>
      <c r="B11926" s="3" t="s">
        <v>11928</v>
      </c>
      <c r="C11926" s="3" t="s">
        <v>9</v>
      </c>
      <c r="D11926" s="3" t="s">
        <v>10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/>
      <c r="P11926" s="3"/>
      <c r="Q11926" s="3"/>
    </row>
    <row r="11927" spans="1:17" ht="15" x14ac:dyDescent="0.25">
      <c r="A11927" s="3">
        <f>11920</f>
        <v>11920</v>
      </c>
      <c r="B11927" s="3" t="s">
        <v>11929</v>
      </c>
      <c r="C11927" s="3" t="s">
        <v>9</v>
      </c>
      <c r="D11927" s="3" t="s">
        <v>10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/>
      <c r="P11927" s="3"/>
      <c r="Q11927" s="3"/>
    </row>
    <row r="11928" spans="1:17" ht="15" x14ac:dyDescent="0.25">
      <c r="A11928" s="3">
        <f>11921</f>
        <v>11921</v>
      </c>
      <c r="B11928" s="3" t="s">
        <v>11930</v>
      </c>
      <c r="C11928" s="3" t="s">
        <v>9</v>
      </c>
      <c r="D11928" s="3" t="s">
        <v>10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/>
      <c r="P11928" s="3"/>
      <c r="Q11928" s="3"/>
    </row>
    <row r="11929" spans="1:17" ht="15" x14ac:dyDescent="0.25">
      <c r="A11929" s="3">
        <f>11922</f>
        <v>11922</v>
      </c>
      <c r="B11929" s="3" t="s">
        <v>11931</v>
      </c>
      <c r="C11929" s="3" t="s">
        <v>9</v>
      </c>
      <c r="D11929" s="3" t="s">
        <v>10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/>
      <c r="P11929" s="3"/>
      <c r="Q11929" s="3"/>
    </row>
    <row r="11930" spans="1:17" ht="15" x14ac:dyDescent="0.25">
      <c r="A11930" s="3">
        <f>11923</f>
        <v>11923</v>
      </c>
      <c r="B11930" s="3" t="s">
        <v>11932</v>
      </c>
      <c r="C11930" s="3" t="s">
        <v>9</v>
      </c>
      <c r="D11930" s="3" t="s">
        <v>10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/>
      <c r="P11930" s="3"/>
      <c r="Q11930" s="3"/>
    </row>
    <row r="11931" spans="1:17" ht="15" x14ac:dyDescent="0.25">
      <c r="A11931" s="3">
        <f>11924</f>
        <v>11924</v>
      </c>
      <c r="B11931" s="3" t="s">
        <v>11933</v>
      </c>
      <c r="C11931" s="3" t="s">
        <v>9</v>
      </c>
      <c r="D11931" s="3" t="s">
        <v>10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/>
      <c r="P11931" s="3"/>
      <c r="Q11931" s="3"/>
    </row>
    <row r="11932" spans="1:17" ht="15" x14ac:dyDescent="0.25">
      <c r="A11932" s="3">
        <f>11925</f>
        <v>11925</v>
      </c>
      <c r="B11932" s="3" t="s">
        <v>11934</v>
      </c>
      <c r="C11932" s="3" t="s">
        <v>9</v>
      </c>
      <c r="D11932" s="3" t="s">
        <v>10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/>
      <c r="P11932" s="3"/>
      <c r="Q11932" s="3"/>
    </row>
    <row r="11933" spans="1:17" ht="15" x14ac:dyDescent="0.25">
      <c r="A11933" s="3">
        <f>11926</f>
        <v>11926</v>
      </c>
      <c r="B11933" s="3" t="s">
        <v>11935</v>
      </c>
      <c r="C11933" s="3" t="s">
        <v>9</v>
      </c>
      <c r="D11933" s="3" t="s">
        <v>10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/>
      <c r="P11933" s="3"/>
      <c r="Q11933" s="3"/>
    </row>
    <row r="11934" spans="1:17" ht="15" x14ac:dyDescent="0.25">
      <c r="A11934" s="3">
        <f>11927</f>
        <v>11927</v>
      </c>
      <c r="B11934" s="3" t="s">
        <v>11936</v>
      </c>
      <c r="C11934" s="3" t="s">
        <v>9</v>
      </c>
      <c r="D11934" s="3" t="s">
        <v>10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/>
      <c r="P11934" s="3"/>
      <c r="Q11934" s="3"/>
    </row>
    <row r="11935" spans="1:17" ht="15" x14ac:dyDescent="0.25">
      <c r="A11935" s="3">
        <f>11928</f>
        <v>11928</v>
      </c>
      <c r="B11935" s="3" t="s">
        <v>11937</v>
      </c>
      <c r="C11935" s="3" t="s">
        <v>9</v>
      </c>
      <c r="D11935" s="3" t="s">
        <v>10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/>
      <c r="P11935" s="3"/>
      <c r="Q11935" s="3"/>
    </row>
    <row r="11936" spans="1:17" ht="15" x14ac:dyDescent="0.25">
      <c r="A11936" s="3">
        <f>11929</f>
        <v>11929</v>
      </c>
      <c r="B11936" s="3" t="s">
        <v>11938</v>
      </c>
      <c r="C11936" s="3" t="s">
        <v>9</v>
      </c>
      <c r="D11936" s="3" t="s">
        <v>10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/>
      <c r="P11936" s="3"/>
      <c r="Q11936" s="3"/>
    </row>
    <row r="11937" spans="1:17" ht="15" x14ac:dyDescent="0.25">
      <c r="A11937" s="3">
        <f>11930</f>
        <v>11930</v>
      </c>
      <c r="B11937" s="3" t="s">
        <v>11939</v>
      </c>
      <c r="C11937" s="3" t="s">
        <v>9</v>
      </c>
      <c r="D11937" s="3" t="s">
        <v>10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/>
      <c r="P11937" s="3"/>
      <c r="Q11937" s="3"/>
    </row>
    <row r="11938" spans="1:17" ht="15" x14ac:dyDescent="0.25">
      <c r="A11938" s="3">
        <f>11931</f>
        <v>11931</v>
      </c>
      <c r="B11938" s="3" t="s">
        <v>11940</v>
      </c>
      <c r="C11938" s="3" t="s">
        <v>9</v>
      </c>
      <c r="D11938" s="3" t="s">
        <v>10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/>
      <c r="P11938" s="3"/>
      <c r="Q11938" s="3"/>
    </row>
    <row r="11939" spans="1:17" ht="15" x14ac:dyDescent="0.25">
      <c r="A11939" s="3">
        <f>11932</f>
        <v>11932</v>
      </c>
      <c r="B11939" s="3" t="s">
        <v>11941</v>
      </c>
      <c r="C11939" s="3" t="s">
        <v>9</v>
      </c>
      <c r="D11939" s="3" t="s">
        <v>10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/>
      <c r="P11939" s="3"/>
      <c r="Q11939" s="3"/>
    </row>
    <row r="11940" spans="1:17" ht="15" x14ac:dyDescent="0.25">
      <c r="A11940" s="3">
        <f>11933</f>
        <v>11933</v>
      </c>
      <c r="B11940" s="3" t="s">
        <v>11942</v>
      </c>
      <c r="C11940" s="3" t="s">
        <v>9</v>
      </c>
      <c r="D11940" s="3" t="s">
        <v>10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/>
      <c r="P11940" s="3"/>
      <c r="Q11940" s="3"/>
    </row>
    <row r="11941" spans="1:17" ht="15" x14ac:dyDescent="0.25">
      <c r="A11941" s="3">
        <f>11934</f>
        <v>11934</v>
      </c>
      <c r="B11941" s="3" t="s">
        <v>11943</v>
      </c>
      <c r="C11941" s="3" t="s">
        <v>9</v>
      </c>
      <c r="D11941" s="3" t="s">
        <v>10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/>
      <c r="P11941" s="3"/>
      <c r="Q11941" s="3"/>
    </row>
    <row r="11942" spans="1:17" ht="15" x14ac:dyDescent="0.25">
      <c r="A11942" s="3">
        <f>11935</f>
        <v>11935</v>
      </c>
      <c r="B11942" s="3" t="s">
        <v>11944</v>
      </c>
      <c r="C11942" s="3" t="s">
        <v>9</v>
      </c>
      <c r="D11942" s="3" t="s">
        <v>10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/>
      <c r="P11942" s="3"/>
      <c r="Q11942" s="3"/>
    </row>
    <row r="11943" spans="1:17" ht="15" x14ac:dyDescent="0.25">
      <c r="A11943" s="3">
        <f>11936</f>
        <v>11936</v>
      </c>
      <c r="B11943" s="3" t="s">
        <v>11945</v>
      </c>
      <c r="C11943" s="3" t="s">
        <v>9</v>
      </c>
      <c r="D11943" s="3" t="s">
        <v>10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/>
      <c r="P11943" s="3"/>
      <c r="Q11943" s="3"/>
    </row>
    <row r="11944" spans="1:17" ht="15" x14ac:dyDescent="0.25">
      <c r="A11944" s="3">
        <f>11937</f>
        <v>11937</v>
      </c>
      <c r="B11944" s="3" t="s">
        <v>11946</v>
      </c>
      <c r="C11944" s="3" t="s">
        <v>9</v>
      </c>
      <c r="D11944" s="3" t="s">
        <v>10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/>
      <c r="P11944" s="3"/>
      <c r="Q11944" s="3"/>
    </row>
    <row r="11945" spans="1:17" ht="15" x14ac:dyDescent="0.25">
      <c r="A11945" s="3">
        <f>11938</f>
        <v>11938</v>
      </c>
      <c r="B11945" s="3" t="s">
        <v>11947</v>
      </c>
      <c r="C11945" s="3" t="s">
        <v>9</v>
      </c>
      <c r="D11945" s="3" t="s">
        <v>10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/>
      <c r="P11945" s="3"/>
      <c r="Q11945" s="3"/>
    </row>
    <row r="11946" spans="1:17" ht="15" x14ac:dyDescent="0.25">
      <c r="A11946" s="3">
        <f>11939</f>
        <v>11939</v>
      </c>
      <c r="B11946" s="3" t="s">
        <v>11948</v>
      </c>
      <c r="C11946" s="3" t="s">
        <v>9</v>
      </c>
      <c r="D11946" s="3" t="s">
        <v>10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/>
      <c r="P11946" s="3"/>
      <c r="Q11946" s="3"/>
    </row>
    <row r="11947" spans="1:17" ht="15" x14ac:dyDescent="0.25">
      <c r="A11947" s="3">
        <f>11940</f>
        <v>11940</v>
      </c>
      <c r="B11947" s="3" t="s">
        <v>11949</v>
      </c>
      <c r="C11947" s="3" t="s">
        <v>9</v>
      </c>
      <c r="D11947" s="3" t="s">
        <v>10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/>
      <c r="P11947" s="3"/>
      <c r="Q11947" s="3"/>
    </row>
    <row r="11948" spans="1:17" ht="15" x14ac:dyDescent="0.25">
      <c r="A11948" s="3">
        <f>11941</f>
        <v>11941</v>
      </c>
      <c r="B11948" s="3" t="s">
        <v>11950</v>
      </c>
      <c r="C11948" s="3" t="s">
        <v>9</v>
      </c>
      <c r="D11948" s="3" t="s">
        <v>10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/>
      <c r="P11948" s="3"/>
      <c r="Q11948" s="3"/>
    </row>
    <row r="11949" spans="1:17" ht="15" x14ac:dyDescent="0.25">
      <c r="A11949" s="3">
        <f>11942</f>
        <v>11942</v>
      </c>
      <c r="B11949" s="3" t="s">
        <v>11951</v>
      </c>
      <c r="C11949" s="3" t="s">
        <v>9</v>
      </c>
      <c r="D11949" s="3" t="s">
        <v>10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/>
      <c r="P11949" s="3"/>
      <c r="Q11949" s="3"/>
    </row>
    <row r="11950" spans="1:17" ht="15" x14ac:dyDescent="0.25">
      <c r="A11950" s="3">
        <f>11943</f>
        <v>11943</v>
      </c>
      <c r="B11950" s="3" t="s">
        <v>11952</v>
      </c>
      <c r="C11950" s="3" t="s">
        <v>9</v>
      </c>
      <c r="D11950" s="3" t="s">
        <v>10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/>
      <c r="P11950" s="3"/>
      <c r="Q11950" s="3"/>
    </row>
    <row r="11951" spans="1:17" ht="15" x14ac:dyDescent="0.25">
      <c r="A11951" s="3">
        <f>11944</f>
        <v>11944</v>
      </c>
      <c r="B11951" s="3" t="s">
        <v>11953</v>
      </c>
      <c r="C11951" s="3" t="s">
        <v>9</v>
      </c>
      <c r="D11951" s="3" t="s">
        <v>10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/>
      <c r="P11951" s="3"/>
      <c r="Q11951" s="3"/>
    </row>
    <row r="11952" spans="1:17" ht="15" x14ac:dyDescent="0.25">
      <c r="A11952" s="3">
        <f>11945</f>
        <v>11945</v>
      </c>
      <c r="B11952" s="3" t="s">
        <v>11954</v>
      </c>
      <c r="C11952" s="3" t="s">
        <v>9</v>
      </c>
      <c r="D11952" s="3" t="s">
        <v>10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/>
      <c r="P11952" s="3"/>
      <c r="Q11952" s="3"/>
    </row>
    <row r="11953" spans="1:17" ht="15" x14ac:dyDescent="0.25">
      <c r="A11953" s="3">
        <f>11946</f>
        <v>11946</v>
      </c>
      <c r="B11953" s="3" t="s">
        <v>11955</v>
      </c>
      <c r="C11953" s="3" t="s">
        <v>9</v>
      </c>
      <c r="D11953" s="3" t="s">
        <v>10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/>
      <c r="P11953" s="3"/>
      <c r="Q11953" s="3"/>
    </row>
    <row r="11954" spans="1:17" ht="15" x14ac:dyDescent="0.25">
      <c r="A11954" s="3">
        <f>11947</f>
        <v>11947</v>
      </c>
      <c r="B11954" s="3" t="s">
        <v>11956</v>
      </c>
      <c r="C11954" s="3" t="s">
        <v>9</v>
      </c>
      <c r="D11954" s="3" t="s">
        <v>10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/>
      <c r="P11954" s="3"/>
      <c r="Q11954" s="3"/>
    </row>
    <row r="11955" spans="1:17" ht="15" x14ac:dyDescent="0.25">
      <c r="A11955" s="3">
        <f>11948</f>
        <v>11948</v>
      </c>
      <c r="B11955" s="3" t="s">
        <v>11957</v>
      </c>
      <c r="C11955" s="3" t="s">
        <v>9</v>
      </c>
      <c r="D11955" s="3" t="s">
        <v>10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/>
      <c r="P11955" s="3"/>
      <c r="Q11955" s="3"/>
    </row>
    <row r="11956" spans="1:17" ht="15" x14ac:dyDescent="0.25">
      <c r="A11956" s="3">
        <f>11949</f>
        <v>11949</v>
      </c>
      <c r="B11956" s="3" t="s">
        <v>11958</v>
      </c>
      <c r="C11956" s="3" t="s">
        <v>9</v>
      </c>
      <c r="D11956" s="3" t="s">
        <v>10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/>
      <c r="P11956" s="3"/>
      <c r="Q11956" s="3"/>
    </row>
    <row r="11957" spans="1:17" ht="15" x14ac:dyDescent="0.25">
      <c r="A11957" s="3">
        <f>11950</f>
        <v>11950</v>
      </c>
      <c r="B11957" s="3" t="s">
        <v>11959</v>
      </c>
      <c r="C11957" s="3" t="s">
        <v>9</v>
      </c>
      <c r="D11957" s="3" t="s">
        <v>10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/>
      <c r="P11957" s="3"/>
      <c r="Q11957" s="3"/>
    </row>
    <row r="11958" spans="1:17" ht="15" x14ac:dyDescent="0.25">
      <c r="A11958" s="3">
        <f>11951</f>
        <v>11951</v>
      </c>
      <c r="B11958" s="3" t="s">
        <v>11960</v>
      </c>
      <c r="C11958" s="3" t="s">
        <v>9</v>
      </c>
      <c r="D11958" s="3" t="s">
        <v>10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/>
      <c r="P11958" s="3"/>
      <c r="Q11958" s="3"/>
    </row>
    <row r="11959" spans="1:17" ht="15" x14ac:dyDescent="0.25">
      <c r="A11959" s="3">
        <f>11952</f>
        <v>11952</v>
      </c>
      <c r="B11959" s="3" t="s">
        <v>11961</v>
      </c>
      <c r="C11959" s="3" t="s">
        <v>9</v>
      </c>
      <c r="D11959" s="3" t="s">
        <v>10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/>
      <c r="P11959" s="3"/>
      <c r="Q11959" s="3"/>
    </row>
    <row r="11960" spans="1:17" ht="15" x14ac:dyDescent="0.25">
      <c r="A11960" s="3">
        <f>11953</f>
        <v>11953</v>
      </c>
      <c r="B11960" s="3" t="s">
        <v>11962</v>
      </c>
      <c r="C11960" s="3" t="s">
        <v>9</v>
      </c>
      <c r="D11960" s="3" t="s">
        <v>10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/>
      <c r="P11960" s="3"/>
      <c r="Q11960" s="3"/>
    </row>
    <row r="11961" spans="1:17" ht="15" x14ac:dyDescent="0.25">
      <c r="A11961" s="3">
        <f>11954</f>
        <v>11954</v>
      </c>
      <c r="B11961" s="3" t="s">
        <v>11963</v>
      </c>
      <c r="C11961" s="3" t="s">
        <v>9</v>
      </c>
      <c r="D11961" s="3" t="s">
        <v>10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/>
      <c r="P11961" s="3"/>
      <c r="Q11961" s="3"/>
    </row>
    <row r="11962" spans="1:17" ht="15" x14ac:dyDescent="0.25">
      <c r="A11962" s="3">
        <f>11955</f>
        <v>11955</v>
      </c>
      <c r="B11962" s="3" t="s">
        <v>11964</v>
      </c>
      <c r="C11962" s="3" t="s">
        <v>9</v>
      </c>
      <c r="D11962" s="3" t="s">
        <v>10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/>
      <c r="P11962" s="3"/>
      <c r="Q11962" s="3"/>
    </row>
    <row r="11963" spans="1:17" ht="15" x14ac:dyDescent="0.25">
      <c r="A11963" s="3">
        <f>11956</f>
        <v>11956</v>
      </c>
      <c r="B11963" s="3" t="s">
        <v>11965</v>
      </c>
      <c r="C11963" s="3" t="s">
        <v>9</v>
      </c>
      <c r="D11963" s="3" t="s">
        <v>10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/>
      <c r="P11963" s="3"/>
      <c r="Q11963" s="3"/>
    </row>
    <row r="11964" spans="1:17" ht="15" x14ac:dyDescent="0.25">
      <c r="A11964" s="3">
        <f>11957</f>
        <v>11957</v>
      </c>
      <c r="B11964" s="3" t="s">
        <v>11966</v>
      </c>
      <c r="C11964" s="3" t="s">
        <v>9</v>
      </c>
      <c r="D11964" s="3" t="s">
        <v>10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/>
      <c r="P11964" s="3"/>
      <c r="Q11964" s="3"/>
    </row>
    <row r="11965" spans="1:17" ht="15" x14ac:dyDescent="0.25">
      <c r="A11965" s="3">
        <f>11958</f>
        <v>11958</v>
      </c>
      <c r="B11965" s="3" t="s">
        <v>11967</v>
      </c>
      <c r="C11965" s="3" t="s">
        <v>9</v>
      </c>
      <c r="D11965" s="3" t="s">
        <v>10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/>
      <c r="P11965" s="3"/>
      <c r="Q11965" s="3"/>
    </row>
    <row r="11966" spans="1:17" ht="15" x14ac:dyDescent="0.25">
      <c r="A11966" s="3">
        <f>11959</f>
        <v>11959</v>
      </c>
      <c r="B11966" s="3" t="s">
        <v>11968</v>
      </c>
      <c r="C11966" s="3" t="s">
        <v>9</v>
      </c>
      <c r="D11966" s="3" t="s">
        <v>10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/>
      <c r="P11966" s="3"/>
      <c r="Q11966" s="3"/>
    </row>
    <row r="11967" spans="1:17" ht="15" x14ac:dyDescent="0.25">
      <c r="A11967" s="3">
        <f>11960</f>
        <v>11960</v>
      </c>
      <c r="B11967" s="3" t="s">
        <v>11969</v>
      </c>
      <c r="C11967" s="3" t="s">
        <v>9</v>
      </c>
      <c r="D11967" s="3" t="s">
        <v>10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/>
      <c r="P11967" s="3"/>
      <c r="Q11967" s="3"/>
    </row>
    <row r="11968" spans="1:17" ht="15" x14ac:dyDescent="0.25">
      <c r="A11968" s="3">
        <f>11961</f>
        <v>11961</v>
      </c>
      <c r="B11968" s="3" t="s">
        <v>11970</v>
      </c>
      <c r="C11968" s="3" t="s">
        <v>9</v>
      </c>
      <c r="D11968" s="3" t="s">
        <v>10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/>
      <c r="P11968" s="3"/>
      <c r="Q11968" s="3"/>
    </row>
    <row r="11969" spans="1:17" ht="15" x14ac:dyDescent="0.25">
      <c r="A11969" s="3">
        <f>11962</f>
        <v>11962</v>
      </c>
      <c r="B11969" s="3" t="s">
        <v>11971</v>
      </c>
      <c r="C11969" s="3" t="s">
        <v>9</v>
      </c>
      <c r="D11969" s="3" t="s">
        <v>10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/>
      <c r="P11969" s="3"/>
      <c r="Q11969" s="3"/>
    </row>
    <row r="11970" spans="1:17" ht="15" x14ac:dyDescent="0.25">
      <c r="A11970" s="3">
        <f>11963</f>
        <v>11963</v>
      </c>
      <c r="B11970" s="3" t="s">
        <v>11972</v>
      </c>
      <c r="C11970" s="3" t="s">
        <v>10</v>
      </c>
      <c r="D11970" s="3" t="s">
        <v>9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/>
      <c r="P11970" s="3"/>
      <c r="Q11970" s="3"/>
    </row>
    <row r="11971" spans="1:17" ht="15" x14ac:dyDescent="0.25">
      <c r="A11971" s="3">
        <f>11964</f>
        <v>11964</v>
      </c>
      <c r="B11971" s="3" t="s">
        <v>11973</v>
      </c>
      <c r="C11971" s="3" t="s">
        <v>9</v>
      </c>
      <c r="D11971" s="3" t="s">
        <v>10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/>
      <c r="P11971" s="3"/>
      <c r="Q11971" s="3"/>
    </row>
    <row r="11972" spans="1:17" ht="15" x14ac:dyDescent="0.25">
      <c r="A11972" s="3">
        <f>11965</f>
        <v>11965</v>
      </c>
      <c r="B11972" s="3" t="s">
        <v>11974</v>
      </c>
      <c r="C11972" s="3" t="s">
        <v>10</v>
      </c>
      <c r="D11972" s="3" t="s">
        <v>9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/>
      <c r="P11972" s="3"/>
      <c r="Q11972" s="3"/>
    </row>
    <row r="11973" spans="1:17" ht="15" x14ac:dyDescent="0.25">
      <c r="A11973" s="3">
        <f>11966</f>
        <v>11966</v>
      </c>
      <c r="B11973" s="3" t="s">
        <v>11975</v>
      </c>
      <c r="C11973" s="3" t="s">
        <v>10</v>
      </c>
      <c r="D11973" s="3" t="s">
        <v>9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/>
      <c r="P11973" s="3"/>
      <c r="Q11973" s="3"/>
    </row>
    <row r="11974" spans="1:17" ht="15" x14ac:dyDescent="0.25">
      <c r="A11974" s="3">
        <f>11967</f>
        <v>11967</v>
      </c>
      <c r="B11974" s="3" t="s">
        <v>11976</v>
      </c>
      <c r="C11974" s="3" t="s">
        <v>10</v>
      </c>
      <c r="D11974" s="3" t="s">
        <v>9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/>
      <c r="P11974" s="3"/>
      <c r="Q11974" s="3"/>
    </row>
    <row r="11975" spans="1:17" ht="15" x14ac:dyDescent="0.25">
      <c r="A11975" s="3">
        <f>11968</f>
        <v>11968</v>
      </c>
      <c r="B11975" s="3" t="s">
        <v>11977</v>
      </c>
      <c r="C11975" s="3" t="s">
        <v>10</v>
      </c>
      <c r="D11975" s="3" t="s">
        <v>9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/>
      <c r="P11975" s="3"/>
      <c r="Q11975" s="3"/>
    </row>
    <row r="11976" spans="1:17" ht="15" x14ac:dyDescent="0.25">
      <c r="A11976" s="3">
        <f>11969</f>
        <v>11969</v>
      </c>
      <c r="B11976" s="3" t="s">
        <v>11978</v>
      </c>
      <c r="C11976" s="3" t="s">
        <v>10</v>
      </c>
      <c r="D11976" s="3" t="s">
        <v>9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/>
      <c r="P11976" s="3"/>
      <c r="Q11976" s="3"/>
    </row>
    <row r="11977" spans="1:17" ht="15" x14ac:dyDescent="0.25">
      <c r="A11977" s="3">
        <f>11970</f>
        <v>11970</v>
      </c>
      <c r="B11977" s="3" t="s">
        <v>11979</v>
      </c>
      <c r="C11977" s="3" t="s">
        <v>10</v>
      </c>
      <c r="D11977" s="3" t="s">
        <v>9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/>
      <c r="P11977" s="3"/>
      <c r="Q11977" s="3"/>
    </row>
    <row r="11978" spans="1:17" ht="15" x14ac:dyDescent="0.25">
      <c r="A11978" s="3">
        <f>11971</f>
        <v>11971</v>
      </c>
      <c r="B11978" s="3" t="s">
        <v>11980</v>
      </c>
      <c r="C11978" s="3" t="s">
        <v>10</v>
      </c>
      <c r="D11978" s="3" t="s">
        <v>9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/>
      <c r="P11978" s="3"/>
      <c r="Q11978" s="3"/>
    </row>
    <row r="11979" spans="1:17" ht="15" x14ac:dyDescent="0.25">
      <c r="A11979" s="3">
        <f>11972</f>
        <v>11972</v>
      </c>
      <c r="B11979" s="3" t="s">
        <v>11981</v>
      </c>
      <c r="C11979" s="3" t="s">
        <v>10</v>
      </c>
      <c r="D11979" s="3" t="s">
        <v>9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/>
      <c r="P11979" s="3"/>
      <c r="Q11979" s="3"/>
    </row>
    <row r="11980" spans="1:17" ht="15" x14ac:dyDescent="0.25">
      <c r="A11980" s="3">
        <f>11973</f>
        <v>11973</v>
      </c>
      <c r="B11980" s="3" t="s">
        <v>11982</v>
      </c>
      <c r="C11980" s="3" t="s">
        <v>10</v>
      </c>
      <c r="D11980" s="3" t="s">
        <v>9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/>
      <c r="P11980" s="3"/>
      <c r="Q11980" s="3"/>
    </row>
    <row r="11981" spans="1:17" ht="15" x14ac:dyDescent="0.25">
      <c r="A11981" s="3">
        <f>11974</f>
        <v>11974</v>
      </c>
      <c r="B11981" s="3" t="s">
        <v>11983</v>
      </c>
      <c r="C11981" s="3" t="s">
        <v>10</v>
      </c>
      <c r="D11981" s="3" t="s">
        <v>9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/>
      <c r="P11981" s="3"/>
      <c r="Q11981" s="3"/>
    </row>
    <row r="11982" spans="1:17" ht="15" x14ac:dyDescent="0.25">
      <c r="A11982" s="3">
        <f>11975</f>
        <v>11975</v>
      </c>
      <c r="B11982" s="3" t="s">
        <v>11984</v>
      </c>
      <c r="C11982" s="3" t="s">
        <v>10</v>
      </c>
      <c r="D11982" s="3" t="s">
        <v>9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/>
      <c r="P11982" s="3"/>
      <c r="Q11982" s="3"/>
    </row>
    <row r="11983" spans="1:17" ht="15" x14ac:dyDescent="0.25">
      <c r="A11983" s="3">
        <f>11976</f>
        <v>11976</v>
      </c>
      <c r="B11983" s="3" t="s">
        <v>11985</v>
      </c>
      <c r="C11983" s="3" t="s">
        <v>10</v>
      </c>
      <c r="D11983" s="3" t="s">
        <v>9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/>
      <c r="P11983" s="3"/>
      <c r="Q11983" s="3"/>
    </row>
    <row r="11984" spans="1:17" ht="15" x14ac:dyDescent="0.25">
      <c r="A11984" s="3">
        <f>11977</f>
        <v>11977</v>
      </c>
      <c r="B11984" s="3" t="s">
        <v>11986</v>
      </c>
      <c r="C11984" s="3" t="s">
        <v>10</v>
      </c>
      <c r="D11984" s="3" t="s">
        <v>9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/>
      <c r="P11984" s="3"/>
      <c r="Q11984" s="3"/>
    </row>
    <row r="11985" spans="1:17" ht="15" x14ac:dyDescent="0.25">
      <c r="A11985" s="3">
        <f>11978</f>
        <v>11978</v>
      </c>
      <c r="B11985" s="3" t="s">
        <v>11987</v>
      </c>
      <c r="C11985" s="3" t="s">
        <v>10</v>
      </c>
      <c r="D11985" s="3" t="s">
        <v>9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/>
      <c r="P11985" s="3"/>
      <c r="Q11985" s="3"/>
    </row>
    <row r="11986" spans="1:17" ht="15" x14ac:dyDescent="0.25">
      <c r="A11986" s="3">
        <f>11979</f>
        <v>11979</v>
      </c>
      <c r="B11986" s="3" t="s">
        <v>11988</v>
      </c>
      <c r="C11986" s="3" t="s">
        <v>10</v>
      </c>
      <c r="D11986" s="3" t="s">
        <v>9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/>
      <c r="P11986" s="3"/>
      <c r="Q11986" s="3"/>
    </row>
    <row r="11987" spans="1:17" ht="15" x14ac:dyDescent="0.25">
      <c r="A11987" s="3">
        <f>11980</f>
        <v>11980</v>
      </c>
      <c r="B11987" s="3" t="s">
        <v>11989</v>
      </c>
      <c r="C11987" s="3" t="s">
        <v>10</v>
      </c>
      <c r="D11987" s="3" t="s">
        <v>9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/>
      <c r="P11987" s="3"/>
      <c r="Q11987" s="3"/>
    </row>
    <row r="11988" spans="1:17" ht="15" x14ac:dyDescent="0.25">
      <c r="A11988" s="3">
        <f>11981</f>
        <v>11981</v>
      </c>
      <c r="B11988" s="3" t="s">
        <v>11990</v>
      </c>
      <c r="C11988" s="3" t="s">
        <v>10</v>
      </c>
      <c r="D11988" s="3" t="s">
        <v>9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/>
      <c r="P11988" s="3"/>
      <c r="Q11988" s="3"/>
    </row>
    <row r="11989" spans="1:17" ht="15" x14ac:dyDescent="0.25">
      <c r="A11989" s="3">
        <f>11982</f>
        <v>11982</v>
      </c>
      <c r="B11989" s="3" t="s">
        <v>11991</v>
      </c>
      <c r="C11989" s="3" t="s">
        <v>10</v>
      </c>
      <c r="D11989" s="3" t="s">
        <v>9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/>
      <c r="P11989" s="3"/>
      <c r="Q11989" s="3"/>
    </row>
    <row r="11990" spans="1:17" ht="15" x14ac:dyDescent="0.25">
      <c r="A11990" s="3">
        <f>11983</f>
        <v>11983</v>
      </c>
      <c r="B11990" s="3" t="s">
        <v>11992</v>
      </c>
      <c r="C11990" s="3" t="s">
        <v>10</v>
      </c>
      <c r="D11990" s="3" t="s">
        <v>9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/>
      <c r="P11990" s="3"/>
      <c r="Q11990" s="3"/>
    </row>
    <row r="11991" spans="1:17" ht="15" x14ac:dyDescent="0.25">
      <c r="A11991" s="3">
        <f>11984</f>
        <v>11984</v>
      </c>
      <c r="B11991" s="3" t="s">
        <v>11993</v>
      </c>
      <c r="C11991" s="3" t="s">
        <v>10</v>
      </c>
      <c r="D11991" s="3" t="s">
        <v>9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/>
      <c r="P11991" s="3"/>
      <c r="Q11991" s="3"/>
    </row>
    <row r="11992" spans="1:17" ht="15" x14ac:dyDescent="0.25">
      <c r="A11992" s="3">
        <f>11985</f>
        <v>11985</v>
      </c>
      <c r="B11992" s="3" t="s">
        <v>11994</v>
      </c>
      <c r="C11992" s="3" t="s">
        <v>10</v>
      </c>
      <c r="D11992" s="3" t="s">
        <v>9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/>
      <c r="P11992" s="3"/>
      <c r="Q11992" s="3"/>
    </row>
    <row r="11993" spans="1:17" ht="15" x14ac:dyDescent="0.25">
      <c r="A11993" s="3">
        <f>11986</f>
        <v>11986</v>
      </c>
      <c r="B11993" s="3" t="s">
        <v>11995</v>
      </c>
      <c r="C11993" s="3" t="s">
        <v>10</v>
      </c>
      <c r="D11993" s="3" t="s">
        <v>9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/>
      <c r="P11993" s="3"/>
      <c r="Q11993" s="3"/>
    </row>
    <row r="11994" spans="1:17" ht="15" x14ac:dyDescent="0.25">
      <c r="A11994" s="3">
        <f>11987</f>
        <v>11987</v>
      </c>
      <c r="B11994" s="3" t="s">
        <v>11996</v>
      </c>
      <c r="C11994" s="3" t="s">
        <v>10</v>
      </c>
      <c r="D11994" s="3" t="s">
        <v>9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/>
      <c r="P11994" s="3"/>
      <c r="Q11994" s="3"/>
    </row>
    <row r="11995" spans="1:17" ht="15" x14ac:dyDescent="0.25">
      <c r="A11995" s="3">
        <f>11988</f>
        <v>11988</v>
      </c>
      <c r="B11995" s="3" t="s">
        <v>11997</v>
      </c>
      <c r="C11995" s="3" t="s">
        <v>10</v>
      </c>
      <c r="D11995" s="3" t="s">
        <v>9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/>
      <c r="P11995" s="3"/>
      <c r="Q11995" s="3"/>
    </row>
    <row r="11996" spans="1:17" ht="15" x14ac:dyDescent="0.25">
      <c r="A11996" s="3">
        <f>11989</f>
        <v>11989</v>
      </c>
      <c r="B11996" s="3" t="s">
        <v>11998</v>
      </c>
      <c r="C11996" s="3" t="s">
        <v>10</v>
      </c>
      <c r="D11996" s="3" t="s">
        <v>9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/>
      <c r="P11996" s="3"/>
      <c r="Q11996" s="3"/>
    </row>
    <row r="11997" spans="1:17" ht="15" x14ac:dyDescent="0.25">
      <c r="A11997" s="3">
        <f>11990</f>
        <v>11990</v>
      </c>
      <c r="B11997" s="3" t="s">
        <v>11999</v>
      </c>
      <c r="C11997" s="3" t="s">
        <v>10</v>
      </c>
      <c r="D11997" s="3" t="s">
        <v>9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/>
      <c r="P11997" s="3"/>
      <c r="Q11997" s="3"/>
    </row>
    <row r="11998" spans="1:17" ht="15" x14ac:dyDescent="0.25">
      <c r="A11998" s="3">
        <f>11991</f>
        <v>11991</v>
      </c>
      <c r="B11998" s="3" t="s">
        <v>12000</v>
      </c>
      <c r="C11998" s="3" t="s">
        <v>10</v>
      </c>
      <c r="D11998" s="3" t="s">
        <v>9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/>
      <c r="P11998" s="3"/>
      <c r="Q11998" s="3"/>
    </row>
    <row r="11999" spans="1:17" ht="15" x14ac:dyDescent="0.25">
      <c r="A11999" s="3">
        <f>11992</f>
        <v>11992</v>
      </c>
      <c r="B11999" s="3" t="s">
        <v>12001</v>
      </c>
      <c r="C11999" s="3" t="s">
        <v>10</v>
      </c>
      <c r="D11999" s="3" t="s">
        <v>9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/>
      <c r="P11999" s="3"/>
      <c r="Q11999" s="3"/>
    </row>
    <row r="12000" spans="1:17" ht="15" x14ac:dyDescent="0.25">
      <c r="A12000" s="3">
        <f>11993</f>
        <v>11993</v>
      </c>
      <c r="B12000" s="3" t="s">
        <v>12002</v>
      </c>
      <c r="C12000" s="3" t="s">
        <v>10</v>
      </c>
      <c r="D12000" s="3" t="s">
        <v>9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/>
      <c r="P12000" s="3"/>
      <c r="Q12000" s="3"/>
    </row>
    <row r="12001" spans="1:17" ht="15" x14ac:dyDescent="0.25">
      <c r="A12001" s="3">
        <f>11994</f>
        <v>11994</v>
      </c>
      <c r="B12001" s="3" t="s">
        <v>12003</v>
      </c>
      <c r="C12001" s="3" t="s">
        <v>10</v>
      </c>
      <c r="D12001" s="3" t="s">
        <v>9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/>
      <c r="P12001" s="3"/>
      <c r="Q12001" s="3"/>
    </row>
    <row r="12002" spans="1:17" ht="15" x14ac:dyDescent="0.25">
      <c r="A12002" s="3">
        <f>11995</f>
        <v>11995</v>
      </c>
      <c r="B12002" s="3" t="s">
        <v>12004</v>
      </c>
      <c r="C12002" s="3" t="s">
        <v>10</v>
      </c>
      <c r="D12002" s="3" t="s">
        <v>9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/>
      <c r="P12002" s="3"/>
      <c r="Q12002" s="3"/>
    </row>
    <row r="12003" spans="1:17" ht="15" x14ac:dyDescent="0.25">
      <c r="A12003" s="3">
        <f>11996</f>
        <v>11996</v>
      </c>
      <c r="B12003" s="3" t="s">
        <v>12005</v>
      </c>
      <c r="C12003" s="3" t="s">
        <v>10</v>
      </c>
      <c r="D12003" s="3" t="s">
        <v>9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/>
      <c r="P12003" s="3"/>
      <c r="Q12003" s="3"/>
    </row>
    <row r="12004" spans="1:17" ht="15" x14ac:dyDescent="0.25">
      <c r="A12004" s="3">
        <f>11997</f>
        <v>11997</v>
      </c>
      <c r="B12004" s="3" t="s">
        <v>12006</v>
      </c>
      <c r="C12004" s="3" t="s">
        <v>10</v>
      </c>
      <c r="D12004" s="3" t="s">
        <v>9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/>
      <c r="P12004" s="3"/>
      <c r="Q12004" s="3"/>
    </row>
    <row r="12005" spans="1:17" ht="15" x14ac:dyDescent="0.25">
      <c r="A12005" s="3">
        <f>11998</f>
        <v>11998</v>
      </c>
      <c r="B12005" s="3" t="s">
        <v>12007</v>
      </c>
      <c r="C12005" s="3" t="s">
        <v>10</v>
      </c>
      <c r="D12005" s="3" t="s">
        <v>9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/>
      <c r="P12005" s="3"/>
      <c r="Q12005" s="3"/>
    </row>
    <row r="12006" spans="1:17" ht="15" x14ac:dyDescent="0.25">
      <c r="A12006" s="3">
        <f>11999</f>
        <v>11999</v>
      </c>
      <c r="B12006" s="3" t="s">
        <v>12008</v>
      </c>
      <c r="C12006" s="3" t="s">
        <v>10</v>
      </c>
      <c r="D12006" s="3" t="s">
        <v>9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/>
      <c r="P12006" s="3"/>
      <c r="Q12006" s="3"/>
    </row>
    <row r="12007" spans="1:17" ht="15" x14ac:dyDescent="0.25">
      <c r="A12007" s="3">
        <f>12000</f>
        <v>12000</v>
      </c>
      <c r="B12007" s="3" t="s">
        <v>12009</v>
      </c>
      <c r="C12007" s="3" t="s">
        <v>10</v>
      </c>
      <c r="D12007" s="3" t="s">
        <v>9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/>
      <c r="P12007" s="3"/>
      <c r="Q12007" s="3"/>
    </row>
    <row r="12008" spans="1:17" ht="15" x14ac:dyDescent="0.25">
      <c r="A12008" s="3">
        <f>12001</f>
        <v>12001</v>
      </c>
      <c r="B12008" s="3" t="s">
        <v>12010</v>
      </c>
      <c r="C12008" s="3" t="s">
        <v>10</v>
      </c>
      <c r="D12008" s="3" t="s">
        <v>9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/>
      <c r="P12008" s="3"/>
      <c r="Q12008" s="3"/>
    </row>
    <row r="12009" spans="1:17" ht="15" x14ac:dyDescent="0.25">
      <c r="A12009" s="3">
        <f>12002</f>
        <v>12002</v>
      </c>
      <c r="B12009" s="3" t="s">
        <v>12011</v>
      </c>
      <c r="C12009" s="3" t="s">
        <v>10</v>
      </c>
      <c r="D12009" s="3" t="s">
        <v>9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/>
      <c r="P12009" s="3"/>
      <c r="Q12009" s="3"/>
    </row>
    <row r="12010" spans="1:17" ht="15" x14ac:dyDescent="0.25">
      <c r="A12010" s="3">
        <f>12003</f>
        <v>12003</v>
      </c>
      <c r="B12010" s="3" t="s">
        <v>12012</v>
      </c>
      <c r="C12010" s="3" t="s">
        <v>10</v>
      </c>
      <c r="D12010" s="3" t="s">
        <v>9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/>
      <c r="P12010" s="3"/>
      <c r="Q12010" s="3"/>
    </row>
    <row r="12011" spans="1:17" ht="15" x14ac:dyDescent="0.25">
      <c r="A12011" s="3">
        <f>12004</f>
        <v>12004</v>
      </c>
      <c r="B12011" s="3" t="s">
        <v>12013</v>
      </c>
      <c r="C12011" s="3" t="s">
        <v>10</v>
      </c>
      <c r="D12011" s="3" t="s">
        <v>9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/>
      <c r="P12011" s="3"/>
      <c r="Q12011" s="3"/>
    </row>
    <row r="12012" spans="1:17" ht="15" x14ac:dyDescent="0.25">
      <c r="A12012" s="3">
        <f>12005</f>
        <v>12005</v>
      </c>
      <c r="B12012" s="3" t="s">
        <v>12014</v>
      </c>
      <c r="C12012" s="3" t="s">
        <v>10</v>
      </c>
      <c r="D12012" s="3" t="s">
        <v>9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/>
      <c r="P12012" s="3"/>
      <c r="Q12012" s="3"/>
    </row>
    <row r="12013" spans="1:17" ht="15" x14ac:dyDescent="0.25">
      <c r="A12013" s="3">
        <f>12006</f>
        <v>12006</v>
      </c>
      <c r="B12013" s="3" t="s">
        <v>12015</v>
      </c>
      <c r="C12013" s="3" t="s">
        <v>10</v>
      </c>
      <c r="D12013" s="3" t="s">
        <v>9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/>
      <c r="P12013" s="3"/>
      <c r="Q12013" s="3"/>
    </row>
    <row r="12014" spans="1:17" ht="15" x14ac:dyDescent="0.25">
      <c r="A12014" s="3">
        <f>12007</f>
        <v>12007</v>
      </c>
      <c r="B12014" s="3" t="s">
        <v>12016</v>
      </c>
      <c r="C12014" s="3" t="s">
        <v>10</v>
      </c>
      <c r="D12014" s="3" t="s">
        <v>9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/>
      <c r="P12014" s="3"/>
      <c r="Q12014" s="3"/>
    </row>
    <row r="12015" spans="1:17" ht="15" x14ac:dyDescent="0.25">
      <c r="A12015" s="3">
        <f>12008</f>
        <v>12008</v>
      </c>
      <c r="B12015" s="3" t="s">
        <v>12017</v>
      </c>
      <c r="C12015" s="3" t="s">
        <v>10</v>
      </c>
      <c r="D12015" s="3" t="s">
        <v>9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/>
      <c r="P12015" s="3"/>
      <c r="Q12015" s="3"/>
    </row>
    <row r="12016" spans="1:17" ht="15" x14ac:dyDescent="0.25">
      <c r="A12016" s="3">
        <f>12009</f>
        <v>12009</v>
      </c>
      <c r="B12016" s="3" t="s">
        <v>12018</v>
      </c>
      <c r="C12016" s="3" t="s">
        <v>10</v>
      </c>
      <c r="D12016" s="3" t="s">
        <v>9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/>
      <c r="P12016" s="3"/>
      <c r="Q12016" s="3"/>
    </row>
    <row r="12017" spans="1:17" ht="15" x14ac:dyDescent="0.25">
      <c r="A12017" s="3">
        <f>12010</f>
        <v>12010</v>
      </c>
      <c r="B12017" s="3" t="s">
        <v>12019</v>
      </c>
      <c r="C12017" s="3" t="s">
        <v>10</v>
      </c>
      <c r="D12017" s="3" t="s">
        <v>9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/>
      <c r="P12017" s="3"/>
      <c r="Q12017" s="3"/>
    </row>
    <row r="12018" spans="1:17" ht="15" x14ac:dyDescent="0.25">
      <c r="A12018" s="3">
        <f>12011</f>
        <v>12011</v>
      </c>
      <c r="B12018" s="3" t="s">
        <v>12020</v>
      </c>
      <c r="C12018" s="3" t="s">
        <v>10</v>
      </c>
      <c r="D12018" s="3" t="s">
        <v>9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/>
      <c r="P12018" s="3"/>
      <c r="Q12018" s="3"/>
    </row>
    <row r="12019" spans="1:17" ht="15" x14ac:dyDescent="0.25">
      <c r="A12019" s="3">
        <f>12012</f>
        <v>12012</v>
      </c>
      <c r="B12019" s="3" t="s">
        <v>12021</v>
      </c>
      <c r="C12019" s="3" t="s">
        <v>10</v>
      </c>
      <c r="D12019" s="3" t="s">
        <v>9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/>
      <c r="P12019" s="3"/>
      <c r="Q12019" s="3"/>
    </row>
    <row r="12020" spans="1:17" ht="15" x14ac:dyDescent="0.25">
      <c r="A12020" s="3">
        <f>12013</f>
        <v>12013</v>
      </c>
      <c r="B12020" s="3" t="s">
        <v>12022</v>
      </c>
      <c r="C12020" s="3" t="s">
        <v>10</v>
      </c>
      <c r="D12020" s="3" t="s">
        <v>9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/>
      <c r="P12020" s="3"/>
      <c r="Q12020" s="3"/>
    </row>
    <row r="12021" spans="1:17" ht="15" x14ac:dyDescent="0.25">
      <c r="A12021" s="3">
        <f>12014</f>
        <v>12014</v>
      </c>
      <c r="B12021" s="3" t="s">
        <v>12023</v>
      </c>
      <c r="C12021" s="3" t="s">
        <v>10</v>
      </c>
      <c r="D12021" s="3" t="s">
        <v>9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/>
      <c r="P12021" s="3"/>
      <c r="Q12021" s="3"/>
    </row>
    <row r="12022" spans="1:17" ht="15" x14ac:dyDescent="0.25">
      <c r="A12022" s="3">
        <f>12015</f>
        <v>12015</v>
      </c>
      <c r="B12022" s="3" t="s">
        <v>12024</v>
      </c>
      <c r="C12022" s="3" t="s">
        <v>10</v>
      </c>
      <c r="D12022" s="3" t="s">
        <v>9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/>
      <c r="P12022" s="3"/>
      <c r="Q12022" s="3"/>
    </row>
    <row r="12023" spans="1:17" ht="15" x14ac:dyDescent="0.25">
      <c r="A12023" s="3">
        <f>12016</f>
        <v>12016</v>
      </c>
      <c r="B12023" s="3" t="s">
        <v>12025</v>
      </c>
      <c r="C12023" s="3" t="s">
        <v>10</v>
      </c>
      <c r="D12023" s="3" t="s">
        <v>9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/>
      <c r="P12023" s="3"/>
      <c r="Q12023" s="3"/>
    </row>
    <row r="12024" spans="1:17" ht="15" x14ac:dyDescent="0.25">
      <c r="A12024" s="3">
        <f>12017</f>
        <v>12017</v>
      </c>
      <c r="B12024" s="3" t="s">
        <v>12026</v>
      </c>
      <c r="C12024" s="3" t="s">
        <v>10</v>
      </c>
      <c r="D12024" s="3" t="s">
        <v>9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/>
      <c r="P12024" s="3"/>
      <c r="Q12024" s="3"/>
    </row>
    <row r="12025" spans="1:17" ht="15" x14ac:dyDescent="0.25">
      <c r="A12025" s="3">
        <f>12018</f>
        <v>12018</v>
      </c>
      <c r="B12025" s="3" t="s">
        <v>12027</v>
      </c>
      <c r="C12025" s="3" t="s">
        <v>10</v>
      </c>
      <c r="D12025" s="3" t="s">
        <v>9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/>
      <c r="P12025" s="3"/>
      <c r="Q12025" s="3"/>
    </row>
    <row r="12026" spans="1:17" ht="15" x14ac:dyDescent="0.25">
      <c r="A12026" s="3">
        <f>12019</f>
        <v>12019</v>
      </c>
      <c r="B12026" s="3" t="s">
        <v>12028</v>
      </c>
      <c r="C12026" s="3" t="s">
        <v>10</v>
      </c>
      <c r="D12026" s="3" t="s">
        <v>9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/>
      <c r="P12026" s="3"/>
      <c r="Q12026" s="3"/>
    </row>
    <row r="12027" spans="1:17" ht="15" x14ac:dyDescent="0.25">
      <c r="A12027" s="3">
        <f>12020</f>
        <v>12020</v>
      </c>
      <c r="B12027" s="3" t="s">
        <v>12029</v>
      </c>
      <c r="C12027" s="3" t="s">
        <v>10</v>
      </c>
      <c r="D12027" s="3" t="s">
        <v>9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/>
      <c r="P12027" s="3"/>
      <c r="Q12027" s="3"/>
    </row>
    <row r="12028" spans="1:17" ht="15" x14ac:dyDescent="0.25">
      <c r="A12028" s="3">
        <f>12021</f>
        <v>12021</v>
      </c>
      <c r="B12028" s="3" t="s">
        <v>12030</v>
      </c>
      <c r="C12028" s="3" t="s">
        <v>10</v>
      </c>
      <c r="D12028" s="3" t="s">
        <v>9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/>
      <c r="P12028" s="3"/>
      <c r="Q12028" s="3"/>
    </row>
    <row r="12029" spans="1:17" ht="15" x14ac:dyDescent="0.25">
      <c r="A12029" s="3">
        <f>12022</f>
        <v>12022</v>
      </c>
      <c r="B12029" s="3" t="s">
        <v>12031</v>
      </c>
      <c r="C12029" s="3" t="s">
        <v>10</v>
      </c>
      <c r="D12029" s="3" t="s">
        <v>9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/>
      <c r="P12029" s="3"/>
      <c r="Q12029" s="3"/>
    </row>
    <row r="12030" spans="1:17" ht="15" x14ac:dyDescent="0.25">
      <c r="A12030" s="3">
        <f>12023</f>
        <v>12023</v>
      </c>
      <c r="B12030" s="3" t="s">
        <v>12032</v>
      </c>
      <c r="C12030" s="3" t="s">
        <v>10</v>
      </c>
      <c r="D12030" s="3" t="s">
        <v>9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/>
      <c r="P12030" s="3"/>
      <c r="Q12030" s="3"/>
    </row>
    <row r="12031" spans="1:17" ht="15" x14ac:dyDescent="0.25">
      <c r="A12031" s="3">
        <f>12024</f>
        <v>12024</v>
      </c>
      <c r="B12031" s="3" t="s">
        <v>12033</v>
      </c>
      <c r="C12031" s="3" t="s">
        <v>10</v>
      </c>
      <c r="D12031" s="3" t="s">
        <v>9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/>
      <c r="P12031" s="3"/>
      <c r="Q12031" s="3"/>
    </row>
    <row r="12032" spans="1:17" ht="15" x14ac:dyDescent="0.25">
      <c r="A12032" s="3">
        <f>12025</f>
        <v>12025</v>
      </c>
      <c r="B12032" s="3" t="s">
        <v>12034</v>
      </c>
      <c r="C12032" s="3" t="s">
        <v>10</v>
      </c>
      <c r="D12032" s="3" t="s">
        <v>9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/>
      <c r="P12032" s="3"/>
      <c r="Q12032" s="3"/>
    </row>
    <row r="12033" spans="1:17" ht="15" x14ac:dyDescent="0.25">
      <c r="A12033" s="3">
        <f>12026</f>
        <v>12026</v>
      </c>
      <c r="B12033" s="3" t="s">
        <v>12035</v>
      </c>
      <c r="C12033" s="3" t="s">
        <v>10</v>
      </c>
      <c r="D12033" s="3" t="s">
        <v>9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/>
      <c r="P12033" s="3"/>
      <c r="Q12033" s="3"/>
    </row>
    <row r="12034" spans="1:17" ht="15" x14ac:dyDescent="0.25">
      <c r="A12034" s="3">
        <f>12027</f>
        <v>12027</v>
      </c>
      <c r="B12034" s="3" t="s">
        <v>12036</v>
      </c>
      <c r="C12034" s="3" t="s">
        <v>10</v>
      </c>
      <c r="D12034" s="3" t="s">
        <v>9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/>
      <c r="P12034" s="3"/>
      <c r="Q12034" s="3"/>
    </row>
    <row r="12035" spans="1:17" ht="15" x14ac:dyDescent="0.25">
      <c r="A12035" s="3">
        <f>12028</f>
        <v>12028</v>
      </c>
      <c r="B12035" s="3" t="s">
        <v>12037</v>
      </c>
      <c r="C12035" s="3" t="s">
        <v>10</v>
      </c>
      <c r="D12035" s="3" t="s">
        <v>9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/>
      <c r="P12035" s="3"/>
      <c r="Q12035" s="3"/>
    </row>
    <row r="12036" spans="1:17" ht="15" x14ac:dyDescent="0.25">
      <c r="A12036" s="3">
        <f>12029</f>
        <v>12029</v>
      </c>
      <c r="B12036" s="3" t="s">
        <v>12038</v>
      </c>
      <c r="C12036" s="3" t="s">
        <v>10</v>
      </c>
      <c r="D12036" s="3" t="s">
        <v>9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/>
      <c r="P12036" s="3"/>
      <c r="Q12036" s="3"/>
    </row>
    <row r="12037" spans="1:17" ht="15" x14ac:dyDescent="0.25">
      <c r="A12037" s="3">
        <f>12030</f>
        <v>12030</v>
      </c>
      <c r="B12037" s="3" t="s">
        <v>12039</v>
      </c>
      <c r="C12037" s="3" t="s">
        <v>10</v>
      </c>
      <c r="D12037" s="3" t="s">
        <v>9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/>
      <c r="P12037" s="3"/>
      <c r="Q12037" s="3"/>
    </row>
    <row r="12038" spans="1:17" ht="15" x14ac:dyDescent="0.25">
      <c r="A12038" s="3">
        <f>12031</f>
        <v>12031</v>
      </c>
      <c r="B12038" s="3" t="s">
        <v>12040</v>
      </c>
      <c r="C12038" s="3" t="s">
        <v>10</v>
      </c>
      <c r="D12038" s="3" t="s">
        <v>9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/>
      <c r="P12038" s="3"/>
      <c r="Q12038" s="3"/>
    </row>
    <row r="12039" spans="1:17" ht="15" x14ac:dyDescent="0.25">
      <c r="A12039" s="3">
        <f>12032</f>
        <v>12032</v>
      </c>
      <c r="B12039" s="3" t="s">
        <v>12041</v>
      </c>
      <c r="C12039" s="3" t="s">
        <v>10</v>
      </c>
      <c r="D12039" s="3" t="s">
        <v>9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/>
      <c r="P12039" s="3"/>
      <c r="Q12039" s="3"/>
    </row>
    <row r="12040" spans="1:17" ht="15" x14ac:dyDescent="0.25">
      <c r="A12040" s="3">
        <f>12033</f>
        <v>12033</v>
      </c>
      <c r="B12040" s="3" t="s">
        <v>12042</v>
      </c>
      <c r="C12040" s="3" t="s">
        <v>10</v>
      </c>
      <c r="D12040" s="3" t="s">
        <v>9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/>
      <c r="P12040" s="3"/>
      <c r="Q12040" s="3"/>
    </row>
    <row r="12041" spans="1:17" ht="15" x14ac:dyDescent="0.25">
      <c r="A12041" s="3">
        <f>12034</f>
        <v>12034</v>
      </c>
      <c r="B12041" s="3" t="s">
        <v>12043</v>
      </c>
      <c r="C12041" s="3" t="s">
        <v>10</v>
      </c>
      <c r="D12041" s="3" t="s">
        <v>9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/>
      <c r="P12041" s="3"/>
      <c r="Q12041" s="3"/>
    </row>
    <row r="12042" spans="1:17" ht="15" x14ac:dyDescent="0.25">
      <c r="A12042" s="3">
        <f>12035</f>
        <v>12035</v>
      </c>
      <c r="B12042" s="3" t="s">
        <v>12044</v>
      </c>
      <c r="C12042" s="3" t="s">
        <v>10</v>
      </c>
      <c r="D12042" s="3" t="s">
        <v>9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/>
      <c r="P12042" s="3"/>
      <c r="Q12042" s="3"/>
    </row>
    <row r="12043" spans="1:17" ht="15" x14ac:dyDescent="0.25">
      <c r="A12043" s="3">
        <f>12036</f>
        <v>12036</v>
      </c>
      <c r="B12043" s="3" t="s">
        <v>12045</v>
      </c>
      <c r="C12043" s="3" t="s">
        <v>10</v>
      </c>
      <c r="D12043" s="3" t="s">
        <v>9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/>
      <c r="P12043" s="3"/>
      <c r="Q12043" s="3"/>
    </row>
    <row r="12044" spans="1:17" ht="15" x14ac:dyDescent="0.25">
      <c r="A12044" s="3">
        <f>12037</f>
        <v>12037</v>
      </c>
      <c r="B12044" s="3" t="s">
        <v>12046</v>
      </c>
      <c r="C12044" s="3" t="s">
        <v>10</v>
      </c>
      <c r="D12044" s="3" t="s">
        <v>9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/>
      <c r="P12044" s="3"/>
      <c r="Q12044" s="3"/>
    </row>
    <row r="12045" spans="1:17" ht="15" x14ac:dyDescent="0.25">
      <c r="A12045" s="3">
        <f>12038</f>
        <v>12038</v>
      </c>
      <c r="B12045" s="3" t="s">
        <v>12047</v>
      </c>
      <c r="C12045" s="3" t="s">
        <v>10</v>
      </c>
      <c r="D12045" s="3" t="s">
        <v>9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/>
      <c r="P12045" s="3"/>
      <c r="Q12045" s="3"/>
    </row>
    <row r="12046" spans="1:17" ht="15" x14ac:dyDescent="0.25">
      <c r="A12046" s="3">
        <f>12039</f>
        <v>12039</v>
      </c>
      <c r="B12046" s="3" t="s">
        <v>12048</v>
      </c>
      <c r="C12046" s="3" t="s">
        <v>10</v>
      </c>
      <c r="D12046" s="3" t="s">
        <v>9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/>
      <c r="P12046" s="3"/>
      <c r="Q12046" s="3"/>
    </row>
    <row r="12047" spans="1:17" ht="15" x14ac:dyDescent="0.25">
      <c r="A12047" s="3">
        <f>12040</f>
        <v>12040</v>
      </c>
      <c r="B12047" s="3" t="s">
        <v>12049</v>
      </c>
      <c r="C12047" s="3" t="s">
        <v>10</v>
      </c>
      <c r="D12047" s="3" t="s">
        <v>9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/>
      <c r="P12047" s="3"/>
      <c r="Q12047" s="3"/>
    </row>
    <row r="12048" spans="1:17" ht="15" x14ac:dyDescent="0.25">
      <c r="A12048" s="3">
        <f>12041</f>
        <v>12041</v>
      </c>
      <c r="B12048" s="3" t="s">
        <v>12050</v>
      </c>
      <c r="C12048" s="3" t="s">
        <v>10</v>
      </c>
      <c r="D12048" s="3" t="s">
        <v>9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/>
      <c r="P12048" s="3"/>
      <c r="Q12048" s="3"/>
    </row>
    <row r="12049" spans="1:17" ht="15" x14ac:dyDescent="0.25">
      <c r="A12049" s="3">
        <f>12042</f>
        <v>12042</v>
      </c>
      <c r="B12049" s="3" t="s">
        <v>12051</v>
      </c>
      <c r="C12049" s="3" t="s">
        <v>10</v>
      </c>
      <c r="D12049" s="3" t="s">
        <v>9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/>
      <c r="P12049" s="3"/>
      <c r="Q12049" s="3"/>
    </row>
    <row r="12050" spans="1:17" ht="15" x14ac:dyDescent="0.25">
      <c r="A12050" s="3">
        <f>12043</f>
        <v>12043</v>
      </c>
      <c r="B12050" s="3" t="s">
        <v>12052</v>
      </c>
      <c r="C12050" s="3" t="s">
        <v>10</v>
      </c>
      <c r="D12050" s="3" t="s">
        <v>9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/>
      <c r="P12050" s="3"/>
      <c r="Q12050" s="3"/>
    </row>
    <row r="12051" spans="1:17" ht="15" x14ac:dyDescent="0.25">
      <c r="A12051" s="3">
        <f>12044</f>
        <v>12044</v>
      </c>
      <c r="B12051" s="3" t="s">
        <v>12053</v>
      </c>
      <c r="C12051" s="3" t="s">
        <v>10</v>
      </c>
      <c r="D12051" s="3" t="s">
        <v>9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/>
      <c r="P12051" s="3"/>
      <c r="Q12051" s="3"/>
    </row>
    <row r="12052" spans="1:17" ht="15" x14ac:dyDescent="0.25">
      <c r="A12052" s="3">
        <f>12045</f>
        <v>12045</v>
      </c>
      <c r="B12052" s="3" t="s">
        <v>12054</v>
      </c>
      <c r="C12052" s="3" t="s">
        <v>10</v>
      </c>
      <c r="D12052" s="3" t="s">
        <v>9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/>
      <c r="P12052" s="3"/>
      <c r="Q12052" s="3"/>
    </row>
    <row r="12053" spans="1:17" ht="15" x14ac:dyDescent="0.25">
      <c r="A12053" s="3">
        <f>12046</f>
        <v>12046</v>
      </c>
      <c r="B12053" s="3" t="s">
        <v>12055</v>
      </c>
      <c r="C12053" s="3" t="s">
        <v>10</v>
      </c>
      <c r="D12053" s="3" t="s">
        <v>9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/>
      <c r="P12053" s="3"/>
      <c r="Q12053" s="3"/>
    </row>
    <row r="12054" spans="1:17" ht="15" x14ac:dyDescent="0.25">
      <c r="A12054" s="3">
        <f>12047</f>
        <v>12047</v>
      </c>
      <c r="B12054" s="3" t="s">
        <v>12056</v>
      </c>
      <c r="C12054" s="3" t="s">
        <v>10</v>
      </c>
      <c r="D12054" s="3" t="s">
        <v>9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/>
      <c r="P12054" s="3"/>
      <c r="Q12054" s="3"/>
    </row>
    <row r="12055" spans="1:17" ht="15" x14ac:dyDescent="0.25">
      <c r="A12055" s="3">
        <f>12048</f>
        <v>12048</v>
      </c>
      <c r="B12055" s="3" t="s">
        <v>12057</v>
      </c>
      <c r="C12055" s="3" t="s">
        <v>10</v>
      </c>
      <c r="D12055" s="3" t="s">
        <v>9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/>
      <c r="P12055" s="3"/>
      <c r="Q12055" s="3"/>
    </row>
    <row r="12056" spans="1:17" ht="15" x14ac:dyDescent="0.25">
      <c r="A12056" s="3">
        <f>12049</f>
        <v>12049</v>
      </c>
      <c r="B12056" s="3" t="s">
        <v>12058</v>
      </c>
      <c r="C12056" s="3" t="s">
        <v>10</v>
      </c>
      <c r="D12056" s="3" t="s">
        <v>9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/>
      <c r="P12056" s="3"/>
      <c r="Q12056" s="3"/>
    </row>
    <row r="12057" spans="1:17" ht="15" x14ac:dyDescent="0.25">
      <c r="A12057" s="3">
        <f>12050</f>
        <v>12050</v>
      </c>
      <c r="B12057" s="3" t="s">
        <v>12059</v>
      </c>
      <c r="C12057" s="3" t="s">
        <v>10</v>
      </c>
      <c r="D12057" s="3" t="s">
        <v>9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/>
      <c r="P12057" s="3"/>
      <c r="Q12057" s="3"/>
    </row>
    <row r="12058" spans="1:17" ht="15" x14ac:dyDescent="0.25">
      <c r="A12058" s="3">
        <f>12051</f>
        <v>12051</v>
      </c>
      <c r="B12058" s="3" t="s">
        <v>12060</v>
      </c>
      <c r="C12058" s="3" t="s">
        <v>10</v>
      </c>
      <c r="D12058" s="3" t="s">
        <v>9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/>
      <c r="P12058" s="3"/>
      <c r="Q12058" s="3"/>
    </row>
    <row r="12059" spans="1:17" ht="15" x14ac:dyDescent="0.25">
      <c r="A12059" s="3">
        <f>12052</f>
        <v>12052</v>
      </c>
      <c r="B12059" s="3" t="s">
        <v>12061</v>
      </c>
      <c r="C12059" s="3" t="s">
        <v>10</v>
      </c>
      <c r="D12059" s="3" t="s">
        <v>9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/>
      <c r="P12059" s="3"/>
      <c r="Q12059" s="3"/>
    </row>
    <row r="12060" spans="1:17" ht="15" x14ac:dyDescent="0.25">
      <c r="A12060" s="3">
        <f>12053</f>
        <v>12053</v>
      </c>
      <c r="B12060" s="3" t="s">
        <v>12062</v>
      </c>
      <c r="C12060" s="3" t="s">
        <v>10</v>
      </c>
      <c r="D12060" s="3" t="s">
        <v>9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/>
      <c r="P12060" s="3"/>
      <c r="Q12060" s="3"/>
    </row>
    <row r="12061" spans="1:17" ht="15" x14ac:dyDescent="0.25">
      <c r="A12061" s="3">
        <f>12054</f>
        <v>12054</v>
      </c>
      <c r="B12061" s="3" t="s">
        <v>12063</v>
      </c>
      <c r="C12061" s="3" t="s">
        <v>10</v>
      </c>
      <c r="D12061" s="3" t="s">
        <v>9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/>
      <c r="P12061" s="3"/>
      <c r="Q12061" s="3"/>
    </row>
    <row r="12062" spans="1:17" ht="15" x14ac:dyDescent="0.25">
      <c r="A12062" s="3">
        <f>12055</f>
        <v>12055</v>
      </c>
      <c r="B12062" s="3" t="s">
        <v>12064</v>
      </c>
      <c r="C12062" s="3" t="s">
        <v>10</v>
      </c>
      <c r="D12062" s="3" t="s">
        <v>9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/>
      <c r="P12062" s="3"/>
      <c r="Q12062" s="3"/>
    </row>
    <row r="12063" spans="1:17" ht="15" x14ac:dyDescent="0.25">
      <c r="A12063" s="3">
        <f>12056</f>
        <v>12056</v>
      </c>
      <c r="B12063" s="3" t="s">
        <v>12065</v>
      </c>
      <c r="C12063" s="3" t="s">
        <v>10</v>
      </c>
      <c r="D12063" s="3" t="s">
        <v>9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/>
      <c r="P12063" s="3"/>
      <c r="Q12063" s="3"/>
    </row>
    <row r="12064" spans="1:17" ht="15" x14ac:dyDescent="0.25">
      <c r="A12064" s="3">
        <f>12057</f>
        <v>12057</v>
      </c>
      <c r="B12064" s="3" t="s">
        <v>12066</v>
      </c>
      <c r="C12064" s="3" t="s">
        <v>10</v>
      </c>
      <c r="D12064" s="3" t="s">
        <v>9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/>
      <c r="P12064" s="3"/>
      <c r="Q12064" s="3"/>
    </row>
    <row r="12065" spans="1:17" ht="15" x14ac:dyDescent="0.25">
      <c r="A12065" s="3">
        <f>12058</f>
        <v>12058</v>
      </c>
      <c r="B12065" s="3" t="s">
        <v>12067</v>
      </c>
      <c r="C12065" s="3" t="s">
        <v>10</v>
      </c>
      <c r="D12065" s="3" t="s">
        <v>9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/>
      <c r="P12065" s="3"/>
      <c r="Q12065" s="3"/>
    </row>
    <row r="12066" spans="1:17" ht="15" x14ac:dyDescent="0.25">
      <c r="A12066" s="3">
        <f>12059</f>
        <v>12059</v>
      </c>
      <c r="B12066" s="3" t="s">
        <v>12068</v>
      </c>
      <c r="C12066" s="3" t="s">
        <v>10</v>
      </c>
      <c r="D12066" s="3" t="s">
        <v>9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/>
      <c r="P12066" s="3"/>
      <c r="Q12066" s="3"/>
    </row>
    <row r="12067" spans="1:17" ht="15" x14ac:dyDescent="0.25">
      <c r="A12067" s="3">
        <f>12060</f>
        <v>12060</v>
      </c>
      <c r="B12067" s="3" t="s">
        <v>12069</v>
      </c>
      <c r="C12067" s="3" t="s">
        <v>10</v>
      </c>
      <c r="D12067" s="3" t="s">
        <v>9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/>
      <c r="P12067" s="3"/>
      <c r="Q12067" s="3"/>
    </row>
    <row r="12068" spans="1:17" ht="15" x14ac:dyDescent="0.25">
      <c r="A12068" s="3">
        <f>12061</f>
        <v>12061</v>
      </c>
      <c r="B12068" s="3" t="s">
        <v>12070</v>
      </c>
      <c r="C12068" s="3" t="s">
        <v>10</v>
      </c>
      <c r="D12068" s="3" t="s">
        <v>9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/>
      <c r="P12068" s="3"/>
      <c r="Q12068" s="3"/>
    </row>
    <row r="12069" spans="1:17" ht="15" x14ac:dyDescent="0.25">
      <c r="A12069" s="3">
        <f>12062</f>
        <v>12062</v>
      </c>
      <c r="B12069" s="3" t="s">
        <v>12071</v>
      </c>
      <c r="C12069" s="3" t="s">
        <v>10</v>
      </c>
      <c r="D12069" s="3" t="s">
        <v>9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/>
      <c r="P12069" s="3"/>
      <c r="Q12069" s="3"/>
    </row>
    <row r="12070" spans="1:17" ht="15" x14ac:dyDescent="0.25">
      <c r="A12070" s="3">
        <f>12063</f>
        <v>12063</v>
      </c>
      <c r="B12070" s="3" t="s">
        <v>12072</v>
      </c>
      <c r="C12070" s="3" t="s">
        <v>10</v>
      </c>
      <c r="D12070" s="3" t="s">
        <v>9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/>
      <c r="P12070" s="3"/>
      <c r="Q12070" s="3"/>
    </row>
    <row r="12071" spans="1:17" ht="15" x14ac:dyDescent="0.25">
      <c r="A12071" s="3">
        <f>12064</f>
        <v>12064</v>
      </c>
      <c r="B12071" s="3" t="s">
        <v>12073</v>
      </c>
      <c r="C12071" s="3" t="s">
        <v>10</v>
      </c>
      <c r="D12071" s="3" t="s">
        <v>9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/>
      <c r="P12071" s="3"/>
      <c r="Q12071" s="3"/>
    </row>
    <row r="12072" spans="1:17" ht="15" x14ac:dyDescent="0.25">
      <c r="A12072" s="3">
        <f>12065</f>
        <v>12065</v>
      </c>
      <c r="B12072" s="3" t="s">
        <v>12074</v>
      </c>
      <c r="C12072" s="3" t="s">
        <v>10</v>
      </c>
      <c r="D12072" s="3" t="s">
        <v>9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/>
      <c r="P12072" s="3"/>
      <c r="Q12072" s="3"/>
    </row>
    <row r="12073" spans="1:17" ht="15" x14ac:dyDescent="0.25">
      <c r="A12073" s="3">
        <f>12066</f>
        <v>12066</v>
      </c>
      <c r="B12073" s="3" t="s">
        <v>12075</v>
      </c>
      <c r="C12073" s="3" t="s">
        <v>10</v>
      </c>
      <c r="D12073" s="3" t="s">
        <v>9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/>
      <c r="P12073" s="3"/>
      <c r="Q12073" s="3"/>
    </row>
    <row r="12074" spans="1:17" ht="15" x14ac:dyDescent="0.25">
      <c r="A12074" s="3">
        <f>12067</f>
        <v>12067</v>
      </c>
      <c r="B12074" s="3" t="s">
        <v>12076</v>
      </c>
      <c r="C12074" s="3" t="s">
        <v>10</v>
      </c>
      <c r="D12074" s="3" t="s">
        <v>9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/>
      <c r="P12074" s="3"/>
      <c r="Q12074" s="3"/>
    </row>
    <row r="12075" spans="1:17" ht="15" x14ac:dyDescent="0.25">
      <c r="A12075" s="3">
        <f>12068</f>
        <v>12068</v>
      </c>
      <c r="B12075" s="3" t="s">
        <v>12077</v>
      </c>
      <c r="C12075" s="3" t="s">
        <v>10</v>
      </c>
      <c r="D12075" s="3" t="s">
        <v>9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/>
      <c r="P12075" s="3"/>
      <c r="Q12075" s="3"/>
    </row>
    <row r="12076" spans="1:17" ht="15" x14ac:dyDescent="0.25">
      <c r="A12076" s="3">
        <f>12069</f>
        <v>12069</v>
      </c>
      <c r="B12076" s="3" t="s">
        <v>12078</v>
      </c>
      <c r="C12076" s="3" t="s">
        <v>10</v>
      </c>
      <c r="D12076" s="3" t="s">
        <v>9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/>
      <c r="P12076" s="3"/>
      <c r="Q12076" s="3"/>
    </row>
    <row r="12077" spans="1:17" ht="15" x14ac:dyDescent="0.25">
      <c r="A12077" s="3">
        <f>12070</f>
        <v>12070</v>
      </c>
      <c r="B12077" s="3" t="s">
        <v>12079</v>
      </c>
      <c r="C12077" s="3" t="s">
        <v>10</v>
      </c>
      <c r="D12077" s="3" t="s">
        <v>9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/>
      <c r="P12077" s="3"/>
      <c r="Q12077" s="3"/>
    </row>
    <row r="12078" spans="1:17" ht="15" x14ac:dyDescent="0.25">
      <c r="A12078" s="3">
        <f>12071</f>
        <v>12071</v>
      </c>
      <c r="B12078" s="3" t="s">
        <v>12080</v>
      </c>
      <c r="C12078" s="3" t="s">
        <v>10</v>
      </c>
      <c r="D12078" s="3" t="s">
        <v>9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/>
      <c r="P12078" s="3"/>
      <c r="Q12078" s="3"/>
    </row>
    <row r="12079" spans="1:17" ht="15" x14ac:dyDescent="0.25">
      <c r="A12079" s="3">
        <f>12072</f>
        <v>12072</v>
      </c>
      <c r="B12079" s="3" t="s">
        <v>12081</v>
      </c>
      <c r="C12079" s="3" t="s">
        <v>10</v>
      </c>
      <c r="D12079" s="3" t="s">
        <v>9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/>
      <c r="P12079" s="3"/>
      <c r="Q12079" s="3"/>
    </row>
    <row r="12080" spans="1:17" ht="15" x14ac:dyDescent="0.25">
      <c r="A12080" s="3">
        <f>12073</f>
        <v>12073</v>
      </c>
      <c r="B12080" s="3" t="s">
        <v>12082</v>
      </c>
      <c r="C12080" s="3" t="s">
        <v>10</v>
      </c>
      <c r="D12080" s="3" t="s">
        <v>9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/>
      <c r="P12080" s="3"/>
      <c r="Q12080" s="3"/>
    </row>
    <row r="12081" spans="1:17" ht="15" x14ac:dyDescent="0.25">
      <c r="A12081" s="3">
        <f>12074</f>
        <v>12074</v>
      </c>
      <c r="B12081" s="3" t="s">
        <v>12083</v>
      </c>
      <c r="C12081" s="3" t="s">
        <v>10</v>
      </c>
      <c r="D12081" s="3" t="s">
        <v>9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/>
      <c r="P12081" s="3"/>
      <c r="Q12081" s="3"/>
    </row>
    <row r="12082" spans="1:17" ht="15" x14ac:dyDescent="0.25">
      <c r="A12082" s="3">
        <f>12075</f>
        <v>12075</v>
      </c>
      <c r="B12082" s="3" t="s">
        <v>12084</v>
      </c>
      <c r="C12082" s="3" t="s">
        <v>10</v>
      </c>
      <c r="D12082" s="3" t="s">
        <v>9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/>
      <c r="P12082" s="3"/>
      <c r="Q12082" s="3"/>
    </row>
    <row r="12083" spans="1:17" ht="15" x14ac:dyDescent="0.25">
      <c r="A12083" s="3">
        <f>12076</f>
        <v>12076</v>
      </c>
      <c r="B12083" s="3" t="s">
        <v>12085</v>
      </c>
      <c r="C12083" s="3" t="s">
        <v>10</v>
      </c>
      <c r="D12083" s="3" t="s">
        <v>9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/>
      <c r="P12083" s="3"/>
      <c r="Q12083" s="3"/>
    </row>
    <row r="12084" spans="1:17" ht="15" x14ac:dyDescent="0.25">
      <c r="A12084" s="3">
        <f>12077</f>
        <v>12077</v>
      </c>
      <c r="B12084" s="3" t="s">
        <v>12086</v>
      </c>
      <c r="C12084" s="3" t="s">
        <v>10</v>
      </c>
      <c r="D12084" s="3" t="s">
        <v>9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/>
      <c r="P12084" s="3"/>
      <c r="Q12084" s="3"/>
    </row>
    <row r="12085" spans="1:17" ht="15" x14ac:dyDescent="0.25">
      <c r="A12085" s="3">
        <f>12078</f>
        <v>12078</v>
      </c>
      <c r="B12085" s="3" t="s">
        <v>12087</v>
      </c>
      <c r="C12085" s="3" t="s">
        <v>10</v>
      </c>
      <c r="D12085" s="3" t="s">
        <v>9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/>
      <c r="P12085" s="3"/>
      <c r="Q12085" s="3"/>
    </row>
    <row r="12086" spans="1:17" ht="15" x14ac:dyDescent="0.25">
      <c r="A12086" s="3">
        <f>12079</f>
        <v>12079</v>
      </c>
      <c r="B12086" s="3" t="s">
        <v>12088</v>
      </c>
      <c r="C12086" s="3" t="s">
        <v>10</v>
      </c>
      <c r="D12086" s="3" t="s">
        <v>9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/>
      <c r="P12086" s="3"/>
      <c r="Q12086" s="3"/>
    </row>
    <row r="12087" spans="1:17" ht="15" x14ac:dyDescent="0.25">
      <c r="A12087" s="3">
        <f>12080</f>
        <v>12080</v>
      </c>
      <c r="B12087" s="3" t="s">
        <v>12089</v>
      </c>
      <c r="C12087" s="3" t="s">
        <v>10</v>
      </c>
      <c r="D12087" s="3" t="s">
        <v>9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/>
      <c r="P12087" s="3"/>
      <c r="Q12087" s="3"/>
    </row>
    <row r="12088" spans="1:17" ht="15" x14ac:dyDescent="0.25">
      <c r="A12088" s="3">
        <f>12081</f>
        <v>12081</v>
      </c>
      <c r="B12088" s="3" t="s">
        <v>12090</v>
      </c>
      <c r="C12088" s="3" t="s">
        <v>10</v>
      </c>
      <c r="D12088" s="3" t="s">
        <v>9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/>
      <c r="P12088" s="3"/>
      <c r="Q12088" s="3"/>
    </row>
    <row r="12089" spans="1:17" ht="15" x14ac:dyDescent="0.25">
      <c r="A12089" s="3">
        <f>12082</f>
        <v>12082</v>
      </c>
      <c r="B12089" s="3" t="s">
        <v>12091</v>
      </c>
      <c r="C12089" s="3" t="s">
        <v>10</v>
      </c>
      <c r="D12089" s="3" t="s">
        <v>9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/>
      <c r="P12089" s="3"/>
      <c r="Q12089" s="3"/>
    </row>
    <row r="12090" spans="1:17" ht="15" x14ac:dyDescent="0.25">
      <c r="A12090" s="3">
        <f>12083</f>
        <v>12083</v>
      </c>
      <c r="B12090" s="3" t="s">
        <v>12092</v>
      </c>
      <c r="C12090" s="3" t="s">
        <v>10</v>
      </c>
      <c r="D12090" s="3" t="s">
        <v>9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/>
      <c r="P12090" s="3"/>
      <c r="Q12090" s="3"/>
    </row>
    <row r="12091" spans="1:17" ht="15" x14ac:dyDescent="0.25">
      <c r="A12091" s="3">
        <f>12084</f>
        <v>12084</v>
      </c>
      <c r="B12091" s="3" t="s">
        <v>12093</v>
      </c>
      <c r="C12091" s="3" t="s">
        <v>10</v>
      </c>
      <c r="D12091" s="3" t="s">
        <v>9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/>
      <c r="P12091" s="3"/>
      <c r="Q12091" s="3"/>
    </row>
    <row r="12092" spans="1:17" ht="15" x14ac:dyDescent="0.25">
      <c r="A12092" s="3">
        <f>12085</f>
        <v>12085</v>
      </c>
      <c r="B12092" s="3" t="s">
        <v>12094</v>
      </c>
      <c r="C12092" s="3" t="s">
        <v>10</v>
      </c>
      <c r="D12092" s="3" t="s">
        <v>9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/>
      <c r="P12092" s="3"/>
      <c r="Q12092" s="3"/>
    </row>
    <row r="12093" spans="1:17" ht="15" x14ac:dyDescent="0.25">
      <c r="A12093" s="3">
        <f>12086</f>
        <v>12086</v>
      </c>
      <c r="B12093" s="3" t="s">
        <v>12095</v>
      </c>
      <c r="C12093" s="3" t="s">
        <v>10</v>
      </c>
      <c r="D12093" s="3" t="s">
        <v>9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/>
      <c r="P12093" s="3"/>
      <c r="Q12093" s="3"/>
    </row>
    <row r="12094" spans="1:17" ht="15" x14ac:dyDescent="0.25">
      <c r="A12094" s="3">
        <f>12087</f>
        <v>12087</v>
      </c>
      <c r="B12094" s="3" t="s">
        <v>12096</v>
      </c>
      <c r="C12094" s="3" t="s">
        <v>10</v>
      </c>
      <c r="D12094" s="3" t="s">
        <v>9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/>
      <c r="P12094" s="3"/>
      <c r="Q12094" s="3"/>
    </row>
    <row r="12095" spans="1:17" ht="15" x14ac:dyDescent="0.25">
      <c r="A12095" s="3">
        <f>12088</f>
        <v>12088</v>
      </c>
      <c r="B12095" s="3" t="s">
        <v>12097</v>
      </c>
      <c r="C12095" s="3" t="s">
        <v>10</v>
      </c>
      <c r="D12095" s="3" t="s">
        <v>9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/>
      <c r="P12095" s="3"/>
      <c r="Q12095" s="3"/>
    </row>
    <row r="12096" spans="1:17" ht="15" x14ac:dyDescent="0.25">
      <c r="A12096" s="3">
        <f>12089</f>
        <v>12089</v>
      </c>
      <c r="B12096" s="3" t="s">
        <v>12098</v>
      </c>
      <c r="C12096" s="3" t="s">
        <v>10</v>
      </c>
      <c r="D12096" s="3" t="s">
        <v>9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/>
      <c r="P12096" s="3"/>
      <c r="Q12096" s="3"/>
    </row>
    <row r="12097" spans="1:17" ht="15" x14ac:dyDescent="0.25">
      <c r="A12097" s="3">
        <f>12090</f>
        <v>12090</v>
      </c>
      <c r="B12097" s="3" t="s">
        <v>12099</v>
      </c>
      <c r="C12097" s="3" t="s">
        <v>10</v>
      </c>
      <c r="D12097" s="3" t="s">
        <v>9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/>
      <c r="P12097" s="3"/>
      <c r="Q12097" s="3"/>
    </row>
    <row r="12098" spans="1:17" ht="15" x14ac:dyDescent="0.25">
      <c r="A12098" s="3">
        <f>12091</f>
        <v>12091</v>
      </c>
      <c r="B12098" s="3" t="s">
        <v>12100</v>
      </c>
      <c r="C12098" s="3" t="s">
        <v>10</v>
      </c>
      <c r="D12098" s="3" t="s">
        <v>9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/>
      <c r="P12098" s="3"/>
      <c r="Q12098" s="3"/>
    </row>
    <row r="12099" spans="1:17" ht="15" x14ac:dyDescent="0.25">
      <c r="A12099" s="3">
        <f>12092</f>
        <v>12092</v>
      </c>
      <c r="B12099" s="3" t="s">
        <v>12101</v>
      </c>
      <c r="C12099" s="3" t="s">
        <v>10</v>
      </c>
      <c r="D12099" s="3" t="s">
        <v>9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/>
      <c r="P12099" s="3"/>
      <c r="Q12099" s="3"/>
    </row>
    <row r="12100" spans="1:17" ht="15" x14ac:dyDescent="0.25">
      <c r="A12100" s="3">
        <f>12093</f>
        <v>12093</v>
      </c>
      <c r="B12100" s="3" t="s">
        <v>12102</v>
      </c>
      <c r="C12100" s="3" t="s">
        <v>10</v>
      </c>
      <c r="D12100" s="3" t="s">
        <v>9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/>
      <c r="P12100" s="3"/>
      <c r="Q12100" s="3"/>
    </row>
    <row r="12101" spans="1:17" ht="15" x14ac:dyDescent="0.25">
      <c r="A12101" s="3">
        <f>12094</f>
        <v>12094</v>
      </c>
      <c r="B12101" s="3" t="s">
        <v>12103</v>
      </c>
      <c r="C12101" s="3" t="s">
        <v>10</v>
      </c>
      <c r="D12101" s="3" t="s">
        <v>9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/>
      <c r="P12101" s="3"/>
      <c r="Q12101" s="3"/>
    </row>
    <row r="12102" spans="1:17" ht="15" x14ac:dyDescent="0.25">
      <c r="A12102" s="3">
        <f>12095</f>
        <v>12095</v>
      </c>
      <c r="B12102" s="3" t="s">
        <v>12104</v>
      </c>
      <c r="C12102" s="3" t="s">
        <v>10</v>
      </c>
      <c r="D12102" s="3" t="s">
        <v>9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/>
      <c r="P12102" s="3"/>
      <c r="Q12102" s="3"/>
    </row>
    <row r="12103" spans="1:17" ht="15" x14ac:dyDescent="0.25">
      <c r="A12103" s="3">
        <f>12096</f>
        <v>12096</v>
      </c>
      <c r="B12103" s="3" t="s">
        <v>12105</v>
      </c>
      <c r="C12103" s="3" t="s">
        <v>10</v>
      </c>
      <c r="D12103" s="3" t="s">
        <v>9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/>
      <c r="P12103" s="3"/>
      <c r="Q12103" s="3"/>
    </row>
    <row r="12104" spans="1:17" ht="15" x14ac:dyDescent="0.25">
      <c r="A12104" s="3">
        <f>12097</f>
        <v>12097</v>
      </c>
      <c r="B12104" s="3" t="s">
        <v>12106</v>
      </c>
      <c r="C12104" s="3" t="s">
        <v>10</v>
      </c>
      <c r="D12104" s="3" t="s">
        <v>9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/>
      <c r="P12104" s="3"/>
      <c r="Q12104" s="3"/>
    </row>
    <row r="12105" spans="1:17" ht="15" x14ac:dyDescent="0.25">
      <c r="A12105" s="3">
        <f>12098</f>
        <v>12098</v>
      </c>
      <c r="B12105" s="3" t="s">
        <v>12107</v>
      </c>
      <c r="C12105" s="3" t="s">
        <v>10</v>
      </c>
      <c r="D12105" s="3" t="s">
        <v>9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/>
      <c r="P12105" s="3"/>
      <c r="Q12105" s="3"/>
    </row>
    <row r="12106" spans="1:17" ht="15" x14ac:dyDescent="0.25">
      <c r="A12106" s="3">
        <f>12099</f>
        <v>12099</v>
      </c>
      <c r="B12106" s="3" t="s">
        <v>12108</v>
      </c>
      <c r="C12106" s="3" t="s">
        <v>10</v>
      </c>
      <c r="D12106" s="3" t="s">
        <v>9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/>
      <c r="P12106" s="3"/>
      <c r="Q12106" s="3"/>
    </row>
    <row r="12107" spans="1:17" ht="15" x14ac:dyDescent="0.25">
      <c r="A12107" s="3">
        <f>12100</f>
        <v>12100</v>
      </c>
      <c r="B12107" s="3" t="s">
        <v>12109</v>
      </c>
      <c r="C12107" s="3" t="s">
        <v>10</v>
      </c>
      <c r="D12107" s="3" t="s">
        <v>9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/>
      <c r="P12107" s="3"/>
      <c r="Q12107" s="3"/>
    </row>
    <row r="12108" spans="1:17" ht="15" x14ac:dyDescent="0.25">
      <c r="A12108" s="3">
        <f>12101</f>
        <v>12101</v>
      </c>
      <c r="B12108" s="3" t="s">
        <v>12110</v>
      </c>
      <c r="C12108" s="3" t="s">
        <v>10</v>
      </c>
      <c r="D12108" s="3" t="s">
        <v>9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/>
      <c r="P12108" s="3"/>
      <c r="Q12108" s="3"/>
    </row>
    <row r="12109" spans="1:17" ht="15" x14ac:dyDescent="0.25">
      <c r="A12109" s="3">
        <f>12102</f>
        <v>12102</v>
      </c>
      <c r="B12109" s="3" t="s">
        <v>12111</v>
      </c>
      <c r="C12109" s="3" t="s">
        <v>10</v>
      </c>
      <c r="D12109" s="3" t="s">
        <v>9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/>
      <c r="P12109" s="3"/>
      <c r="Q12109" s="3"/>
    </row>
    <row r="12110" spans="1:17" ht="15" x14ac:dyDescent="0.25">
      <c r="A12110" s="3">
        <f>12103</f>
        <v>12103</v>
      </c>
      <c r="B12110" s="3" t="s">
        <v>12112</v>
      </c>
      <c r="C12110" s="3" t="s">
        <v>10</v>
      </c>
      <c r="D12110" s="3" t="s">
        <v>9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/>
      <c r="P12110" s="3"/>
      <c r="Q12110" s="3"/>
    </row>
    <row r="12111" spans="1:17" ht="15" x14ac:dyDescent="0.25">
      <c r="A12111" s="3">
        <f>12104</f>
        <v>12104</v>
      </c>
      <c r="B12111" s="3" t="s">
        <v>12113</v>
      </c>
      <c r="C12111" s="3" t="s">
        <v>10</v>
      </c>
      <c r="D12111" s="3" t="s">
        <v>9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/>
      <c r="P12111" s="3"/>
      <c r="Q12111" s="3"/>
    </row>
    <row r="12112" spans="1:17" ht="15" x14ac:dyDescent="0.25">
      <c r="A12112" s="3">
        <f>12105</f>
        <v>12105</v>
      </c>
      <c r="B12112" s="3" t="s">
        <v>12114</v>
      </c>
      <c r="C12112" s="3" t="s">
        <v>10</v>
      </c>
      <c r="D12112" s="3" t="s">
        <v>9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/>
      <c r="P12112" s="3"/>
      <c r="Q12112" s="3"/>
    </row>
    <row r="12113" spans="1:17" ht="15" x14ac:dyDescent="0.25">
      <c r="A12113" s="3">
        <f>12106</f>
        <v>12106</v>
      </c>
      <c r="B12113" s="3" t="s">
        <v>12115</v>
      </c>
      <c r="C12113" s="3" t="s">
        <v>10</v>
      </c>
      <c r="D12113" s="3" t="s">
        <v>9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/>
      <c r="P12113" s="3"/>
      <c r="Q12113" s="3"/>
    </row>
    <row r="12114" spans="1:17" ht="15" x14ac:dyDescent="0.25">
      <c r="A12114" s="3">
        <f>12107</f>
        <v>12107</v>
      </c>
      <c r="B12114" s="3" t="s">
        <v>12116</v>
      </c>
      <c r="C12114" s="3" t="s">
        <v>10</v>
      </c>
      <c r="D12114" s="3" t="s">
        <v>9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/>
      <c r="P12114" s="3"/>
      <c r="Q12114" s="3"/>
    </row>
    <row r="12115" spans="1:17" ht="15" x14ac:dyDescent="0.25">
      <c r="A12115" s="3">
        <f>12108</f>
        <v>12108</v>
      </c>
      <c r="B12115" s="3" t="s">
        <v>12117</v>
      </c>
      <c r="C12115" s="3" t="s">
        <v>10</v>
      </c>
      <c r="D12115" s="3" t="s">
        <v>9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/>
      <c r="P12115" s="3"/>
      <c r="Q12115" s="3"/>
    </row>
    <row r="12116" spans="1:17" ht="15" x14ac:dyDescent="0.25">
      <c r="A12116" s="3">
        <f>12109</f>
        <v>12109</v>
      </c>
      <c r="B12116" s="3" t="s">
        <v>12118</v>
      </c>
      <c r="C12116" s="3" t="s">
        <v>10</v>
      </c>
      <c r="D12116" s="3" t="s">
        <v>9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/>
      <c r="P12116" s="3"/>
      <c r="Q12116" s="3"/>
    </row>
    <row r="12117" spans="1:17" ht="15" x14ac:dyDescent="0.25">
      <c r="A12117" s="3">
        <f>12110</f>
        <v>12110</v>
      </c>
      <c r="B12117" s="3" t="s">
        <v>12119</v>
      </c>
      <c r="C12117" s="3" t="s">
        <v>10</v>
      </c>
      <c r="D12117" s="3" t="s">
        <v>9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/>
      <c r="P12117" s="3"/>
      <c r="Q12117" s="3"/>
    </row>
    <row r="12118" spans="1:17" ht="15" x14ac:dyDescent="0.25">
      <c r="A12118" s="3">
        <f>12111</f>
        <v>12111</v>
      </c>
      <c r="B12118" s="3" t="s">
        <v>12120</v>
      </c>
      <c r="C12118" s="3" t="s">
        <v>10</v>
      </c>
      <c r="D12118" s="3" t="s">
        <v>9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/>
      <c r="P12118" s="3"/>
      <c r="Q12118" s="3"/>
    </row>
    <row r="12119" spans="1:17" ht="15" x14ac:dyDescent="0.25">
      <c r="A12119" s="3">
        <f>12112</f>
        <v>12112</v>
      </c>
      <c r="B12119" s="3" t="s">
        <v>12121</v>
      </c>
      <c r="C12119" s="3" t="s">
        <v>10</v>
      </c>
      <c r="D12119" s="3" t="s">
        <v>9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/>
      <c r="P12119" s="3"/>
      <c r="Q12119" s="3"/>
    </row>
    <row r="12120" spans="1:17" ht="15" x14ac:dyDescent="0.25">
      <c r="A12120" s="3">
        <f>12113</f>
        <v>12113</v>
      </c>
      <c r="B12120" s="3" t="s">
        <v>12122</v>
      </c>
      <c r="C12120" s="3" t="s">
        <v>10</v>
      </c>
      <c r="D12120" s="3" t="s">
        <v>9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/>
      <c r="P12120" s="3"/>
      <c r="Q12120" s="3"/>
    </row>
    <row r="12121" spans="1:17" ht="15" x14ac:dyDescent="0.25">
      <c r="A12121" s="3">
        <f>12114</f>
        <v>12114</v>
      </c>
      <c r="B12121" s="3" t="s">
        <v>12123</v>
      </c>
      <c r="C12121" s="3" t="s">
        <v>10</v>
      </c>
      <c r="D12121" s="3" t="s">
        <v>9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/>
      <c r="P12121" s="3"/>
      <c r="Q12121" s="3"/>
    </row>
    <row r="12122" spans="1:17" ht="15" x14ac:dyDescent="0.25">
      <c r="A12122" s="3">
        <f>12115</f>
        <v>12115</v>
      </c>
      <c r="B12122" s="3" t="s">
        <v>12124</v>
      </c>
      <c r="C12122" s="3" t="s">
        <v>10</v>
      </c>
      <c r="D12122" s="3" t="s">
        <v>9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/>
      <c r="P12122" s="3"/>
      <c r="Q12122" s="3"/>
    </row>
    <row r="12123" spans="1:17" ht="15" x14ac:dyDescent="0.25">
      <c r="A12123" s="3">
        <f>12116</f>
        <v>12116</v>
      </c>
      <c r="B12123" s="3" t="s">
        <v>12125</v>
      </c>
      <c r="C12123" s="3" t="s">
        <v>10</v>
      </c>
      <c r="D12123" s="3" t="s">
        <v>9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/>
      <c r="P12123" s="3"/>
      <c r="Q12123" s="3"/>
    </row>
    <row r="12124" spans="1:17" ht="15" x14ac:dyDescent="0.25">
      <c r="A12124" s="3">
        <f>12117</f>
        <v>12117</v>
      </c>
      <c r="B12124" s="3" t="s">
        <v>12126</v>
      </c>
      <c r="C12124" s="3" t="s">
        <v>10</v>
      </c>
      <c r="D12124" s="3" t="s">
        <v>9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/>
      <c r="P12124" s="3"/>
      <c r="Q12124" s="3"/>
    </row>
    <row r="12125" spans="1:17" ht="15" x14ac:dyDescent="0.25">
      <c r="A12125" s="3">
        <f>12118</f>
        <v>12118</v>
      </c>
      <c r="B12125" s="3" t="s">
        <v>12127</v>
      </c>
      <c r="C12125" s="3" t="s">
        <v>10</v>
      </c>
      <c r="D12125" s="3" t="s">
        <v>9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/>
      <c r="P12125" s="3"/>
      <c r="Q12125" s="3"/>
    </row>
    <row r="12126" spans="1:17" ht="15" x14ac:dyDescent="0.25">
      <c r="A12126" s="3">
        <f>12119</f>
        <v>12119</v>
      </c>
      <c r="B12126" s="3" t="s">
        <v>12128</v>
      </c>
      <c r="C12126" s="3" t="s">
        <v>10</v>
      </c>
      <c r="D12126" s="3" t="s">
        <v>9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/>
      <c r="P12126" s="3"/>
      <c r="Q12126" s="3"/>
    </row>
    <row r="12127" spans="1:17" ht="15" x14ac:dyDescent="0.25">
      <c r="A12127" s="3">
        <f>12120</f>
        <v>12120</v>
      </c>
      <c r="B12127" s="3" t="s">
        <v>12129</v>
      </c>
      <c r="C12127" s="3" t="s">
        <v>10</v>
      </c>
      <c r="D12127" s="3" t="s">
        <v>9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/>
      <c r="P12127" s="3"/>
      <c r="Q12127" s="3"/>
    </row>
    <row r="12128" spans="1:17" ht="15" x14ac:dyDescent="0.25">
      <c r="A12128" s="3">
        <f>12121</f>
        <v>12121</v>
      </c>
      <c r="B12128" s="3" t="s">
        <v>12130</v>
      </c>
      <c r="C12128" s="3" t="s">
        <v>10</v>
      </c>
      <c r="D12128" s="3" t="s">
        <v>9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/>
      <c r="P12128" s="3"/>
      <c r="Q12128" s="3"/>
    </row>
    <row r="12129" spans="1:17" ht="15" x14ac:dyDescent="0.25">
      <c r="A12129" s="3">
        <f>12122</f>
        <v>12122</v>
      </c>
      <c r="B12129" s="3" t="s">
        <v>12131</v>
      </c>
      <c r="C12129" s="3" t="s">
        <v>10</v>
      </c>
      <c r="D12129" s="3" t="s">
        <v>9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/>
      <c r="P12129" s="3"/>
      <c r="Q12129" s="3"/>
    </row>
    <row r="12130" spans="1:17" ht="15" x14ac:dyDescent="0.25">
      <c r="A12130" s="3">
        <f>12123</f>
        <v>12123</v>
      </c>
      <c r="B12130" s="3" t="s">
        <v>12132</v>
      </c>
      <c r="C12130" s="3" t="s">
        <v>10</v>
      </c>
      <c r="D12130" s="3" t="s">
        <v>9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/>
      <c r="P12130" s="3"/>
      <c r="Q12130" s="3"/>
    </row>
    <row r="12131" spans="1:17" ht="15" x14ac:dyDescent="0.25">
      <c r="A12131" s="3">
        <f>12124</f>
        <v>12124</v>
      </c>
      <c r="B12131" s="3" t="s">
        <v>12133</v>
      </c>
      <c r="C12131" s="3" t="s">
        <v>10</v>
      </c>
      <c r="D12131" s="3" t="s">
        <v>9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/>
      <c r="P12131" s="3"/>
      <c r="Q12131" s="3"/>
    </row>
    <row r="12132" spans="1:17" ht="15" x14ac:dyDescent="0.25">
      <c r="A12132" s="3">
        <f>12125</f>
        <v>12125</v>
      </c>
      <c r="B12132" s="3" t="s">
        <v>12134</v>
      </c>
      <c r="C12132" s="3" t="s">
        <v>10</v>
      </c>
      <c r="D12132" s="3" t="s">
        <v>9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/>
      <c r="P12132" s="3"/>
      <c r="Q12132" s="3"/>
    </row>
    <row r="12133" spans="1:17" ht="15" x14ac:dyDescent="0.25">
      <c r="A12133" s="3">
        <f>12126</f>
        <v>12126</v>
      </c>
      <c r="B12133" s="3" t="s">
        <v>12135</v>
      </c>
      <c r="C12133" s="3" t="s">
        <v>10</v>
      </c>
      <c r="D12133" s="3" t="s">
        <v>9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/>
      <c r="P12133" s="3"/>
      <c r="Q12133" s="3"/>
    </row>
    <row r="12134" spans="1:17" ht="15" x14ac:dyDescent="0.25">
      <c r="A12134" s="3">
        <f>12127</f>
        <v>12127</v>
      </c>
      <c r="B12134" s="3" t="s">
        <v>12136</v>
      </c>
      <c r="C12134" s="3" t="s">
        <v>10</v>
      </c>
      <c r="D12134" s="3" t="s">
        <v>9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/>
      <c r="P12134" s="3"/>
      <c r="Q12134" s="3"/>
    </row>
    <row r="12135" spans="1:17" ht="15" x14ac:dyDescent="0.25">
      <c r="A12135" s="3">
        <f>12128</f>
        <v>12128</v>
      </c>
      <c r="B12135" s="3" t="s">
        <v>12137</v>
      </c>
      <c r="C12135" s="3" t="s">
        <v>10</v>
      </c>
      <c r="D12135" s="3" t="s">
        <v>9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/>
      <c r="P12135" s="3"/>
      <c r="Q12135" s="3"/>
    </row>
    <row r="12136" spans="1:17" ht="15" x14ac:dyDescent="0.25">
      <c r="A12136" s="3">
        <f>12129</f>
        <v>12129</v>
      </c>
      <c r="B12136" s="3" t="s">
        <v>12138</v>
      </c>
      <c r="C12136" s="3" t="s">
        <v>10</v>
      </c>
      <c r="D12136" s="3" t="s">
        <v>9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/>
      <c r="P12136" s="3"/>
      <c r="Q12136" s="3"/>
    </row>
    <row r="12137" spans="1:17" ht="15" x14ac:dyDescent="0.25">
      <c r="A12137" s="3">
        <f>12130</f>
        <v>12130</v>
      </c>
      <c r="B12137" s="3" t="s">
        <v>12139</v>
      </c>
      <c r="C12137" s="3" t="s">
        <v>10</v>
      </c>
      <c r="D12137" s="3" t="s">
        <v>9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/>
      <c r="P12137" s="3"/>
      <c r="Q12137" s="3"/>
    </row>
    <row r="12138" spans="1:17" ht="15" x14ac:dyDescent="0.25">
      <c r="A12138" s="3">
        <f>12131</f>
        <v>12131</v>
      </c>
      <c r="B12138" s="3" t="s">
        <v>12140</v>
      </c>
      <c r="C12138" s="3" t="s">
        <v>10</v>
      </c>
      <c r="D12138" s="3" t="s">
        <v>9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/>
      <c r="P12138" s="3"/>
      <c r="Q12138" s="3"/>
    </row>
    <row r="12139" spans="1:17" ht="15" x14ac:dyDescent="0.25">
      <c r="A12139" s="3">
        <f>12132</f>
        <v>12132</v>
      </c>
      <c r="B12139" s="3" t="s">
        <v>12141</v>
      </c>
      <c r="C12139" s="3" t="s">
        <v>10</v>
      </c>
      <c r="D12139" s="3" t="s">
        <v>9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/>
      <c r="P12139" s="3"/>
      <c r="Q12139" s="3"/>
    </row>
    <row r="12140" spans="1:17" ht="15" x14ac:dyDescent="0.25">
      <c r="A12140" s="3">
        <f>12133</f>
        <v>12133</v>
      </c>
      <c r="B12140" s="3" t="s">
        <v>12142</v>
      </c>
      <c r="C12140" s="3" t="s">
        <v>10</v>
      </c>
      <c r="D12140" s="3" t="s">
        <v>9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/>
      <c r="P12140" s="3"/>
      <c r="Q12140" s="3"/>
    </row>
    <row r="12141" spans="1:17" ht="15" x14ac:dyDescent="0.25">
      <c r="A12141" s="3">
        <f>12134</f>
        <v>12134</v>
      </c>
      <c r="B12141" s="3" t="s">
        <v>12143</v>
      </c>
      <c r="C12141" s="3" t="s">
        <v>10</v>
      </c>
      <c r="D12141" s="3" t="s">
        <v>9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/>
      <c r="P12141" s="3"/>
      <c r="Q12141" s="3"/>
    </row>
    <row r="12142" spans="1:17" ht="15" x14ac:dyDescent="0.25">
      <c r="A12142" s="3">
        <f>12135</f>
        <v>12135</v>
      </c>
      <c r="B12142" s="3" t="s">
        <v>12144</v>
      </c>
      <c r="C12142" s="3" t="s">
        <v>10</v>
      </c>
      <c r="D12142" s="3" t="s">
        <v>9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/>
      <c r="P12142" s="3"/>
      <c r="Q12142" s="3"/>
    </row>
    <row r="12143" spans="1:17" ht="15" x14ac:dyDescent="0.25">
      <c r="A12143" s="3">
        <f>12136</f>
        <v>12136</v>
      </c>
      <c r="B12143" s="3" t="s">
        <v>12145</v>
      </c>
      <c r="C12143" s="3" t="s">
        <v>10</v>
      </c>
      <c r="D12143" s="3" t="s">
        <v>9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/>
      <c r="P12143" s="3"/>
      <c r="Q12143" s="3"/>
    </row>
    <row r="12144" spans="1:17" ht="15" x14ac:dyDescent="0.25">
      <c r="A12144" s="3">
        <f>12137</f>
        <v>12137</v>
      </c>
      <c r="B12144" s="3" t="s">
        <v>12146</v>
      </c>
      <c r="C12144" s="3" t="s">
        <v>10</v>
      </c>
      <c r="D12144" s="3" t="s">
        <v>9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/>
      <c r="P12144" s="3"/>
      <c r="Q12144" s="3"/>
    </row>
    <row r="12145" spans="1:17" ht="15" x14ac:dyDescent="0.25">
      <c r="A12145" s="3">
        <f>12138</f>
        <v>12138</v>
      </c>
      <c r="B12145" s="3" t="s">
        <v>12147</v>
      </c>
      <c r="C12145" s="3" t="s">
        <v>10</v>
      </c>
      <c r="D12145" s="3" t="s">
        <v>9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/>
      <c r="P12145" s="3"/>
      <c r="Q12145" s="3"/>
    </row>
    <row r="12146" spans="1:17" ht="15" x14ac:dyDescent="0.25">
      <c r="A12146" s="3">
        <f>12139</f>
        <v>12139</v>
      </c>
      <c r="B12146" s="3" t="s">
        <v>12148</v>
      </c>
      <c r="C12146" s="3" t="s">
        <v>10</v>
      </c>
      <c r="D12146" s="3" t="s">
        <v>9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/>
      <c r="P12146" s="3"/>
      <c r="Q12146" s="3"/>
    </row>
    <row r="12147" spans="1:17" ht="15" x14ac:dyDescent="0.25">
      <c r="A12147" s="3">
        <f>12140</f>
        <v>12140</v>
      </c>
      <c r="B12147" s="3" t="s">
        <v>12149</v>
      </c>
      <c r="C12147" s="3" t="s">
        <v>10</v>
      </c>
      <c r="D12147" s="3" t="s">
        <v>9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/>
      <c r="P12147" s="3"/>
      <c r="Q12147" s="3"/>
    </row>
    <row r="12148" spans="1:17" ht="15" x14ac:dyDescent="0.25">
      <c r="A12148" s="3">
        <f>12141</f>
        <v>12141</v>
      </c>
      <c r="B12148" s="3" t="s">
        <v>12150</v>
      </c>
      <c r="C12148" s="3" t="s">
        <v>10</v>
      </c>
      <c r="D12148" s="3" t="s">
        <v>9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/>
      <c r="P12148" s="3"/>
      <c r="Q12148" s="3"/>
    </row>
    <row r="12149" spans="1:17" ht="15" x14ac:dyDescent="0.25">
      <c r="A12149" s="3">
        <f>12142</f>
        <v>12142</v>
      </c>
      <c r="B12149" s="3" t="s">
        <v>12151</v>
      </c>
      <c r="C12149" s="3" t="s">
        <v>10</v>
      </c>
      <c r="D12149" s="3" t="s">
        <v>9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/>
      <c r="P12149" s="3"/>
      <c r="Q12149" s="3"/>
    </row>
    <row r="12150" spans="1:17" ht="15" x14ac:dyDescent="0.25">
      <c r="A12150" s="3">
        <f>12143</f>
        <v>12143</v>
      </c>
      <c r="B12150" s="3" t="s">
        <v>12152</v>
      </c>
      <c r="C12150" s="3" t="s">
        <v>10</v>
      </c>
      <c r="D12150" s="3" t="s">
        <v>9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/>
      <c r="P12150" s="3"/>
      <c r="Q12150" s="3"/>
    </row>
    <row r="12151" spans="1:17" ht="15" x14ac:dyDescent="0.25">
      <c r="A12151" s="3">
        <f>12144</f>
        <v>12144</v>
      </c>
      <c r="B12151" s="3" t="s">
        <v>12153</v>
      </c>
      <c r="C12151" s="3" t="s">
        <v>10</v>
      </c>
      <c r="D12151" s="3" t="s">
        <v>9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/>
      <c r="P12151" s="3"/>
      <c r="Q12151" s="3"/>
    </row>
    <row r="12152" spans="1:17" ht="15" x14ac:dyDescent="0.25">
      <c r="A12152" s="3">
        <f>12145</f>
        <v>12145</v>
      </c>
      <c r="B12152" s="3" t="s">
        <v>12154</v>
      </c>
      <c r="C12152" s="3" t="s">
        <v>10</v>
      </c>
      <c r="D12152" s="3" t="s">
        <v>9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/>
      <c r="P12152" s="3"/>
      <c r="Q12152" s="3"/>
    </row>
    <row r="12153" spans="1:17" ht="15" x14ac:dyDescent="0.25">
      <c r="A12153" s="3">
        <f>12146</f>
        <v>12146</v>
      </c>
      <c r="B12153" s="3" t="s">
        <v>12155</v>
      </c>
      <c r="C12153" s="3" t="s">
        <v>10</v>
      </c>
      <c r="D12153" s="3" t="s">
        <v>9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/>
      <c r="P12153" s="3"/>
      <c r="Q12153" s="3"/>
    </row>
    <row r="12154" spans="1:17" ht="15" x14ac:dyDescent="0.25">
      <c r="A12154" s="3">
        <f>12147</f>
        <v>12147</v>
      </c>
      <c r="B12154" s="3" t="s">
        <v>12156</v>
      </c>
      <c r="C12154" s="3" t="s">
        <v>10</v>
      </c>
      <c r="D12154" s="3" t="s">
        <v>9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/>
      <c r="P12154" s="3"/>
      <c r="Q12154" s="3"/>
    </row>
    <row r="12155" spans="1:17" ht="15" x14ac:dyDescent="0.25">
      <c r="A12155" s="3">
        <f>12148</f>
        <v>12148</v>
      </c>
      <c r="B12155" s="3" t="s">
        <v>12157</v>
      </c>
      <c r="C12155" s="3" t="s">
        <v>10</v>
      </c>
      <c r="D12155" s="3" t="s">
        <v>9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/>
      <c r="P12155" s="3"/>
      <c r="Q12155" s="3"/>
    </row>
    <row r="12156" spans="1:17" ht="15" x14ac:dyDescent="0.25">
      <c r="A12156" s="3">
        <f>12149</f>
        <v>12149</v>
      </c>
      <c r="B12156" s="3" t="s">
        <v>12158</v>
      </c>
      <c r="C12156" s="3" t="s">
        <v>10</v>
      </c>
      <c r="D12156" s="3" t="s">
        <v>9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/>
      <c r="P12156" s="3"/>
      <c r="Q12156" s="3"/>
    </row>
    <row r="12157" spans="1:17" ht="15" x14ac:dyDescent="0.25">
      <c r="A12157" s="3">
        <f>12150</f>
        <v>12150</v>
      </c>
      <c r="B12157" s="3" t="s">
        <v>12159</v>
      </c>
      <c r="C12157" s="3" t="s">
        <v>10</v>
      </c>
      <c r="D12157" s="3" t="s">
        <v>9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/>
      <c r="P12157" s="3"/>
      <c r="Q12157" s="3"/>
    </row>
    <row r="12158" spans="1:17" ht="15" x14ac:dyDescent="0.25">
      <c r="A12158" s="3">
        <f>12151</f>
        <v>12151</v>
      </c>
      <c r="B12158" s="3" t="s">
        <v>12160</v>
      </c>
      <c r="C12158" s="3" t="s">
        <v>10</v>
      </c>
      <c r="D12158" s="3" t="s">
        <v>9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/>
      <c r="P12158" s="3"/>
      <c r="Q12158" s="3"/>
    </row>
    <row r="12159" spans="1:17" ht="15" x14ac:dyDescent="0.25">
      <c r="A12159" s="3">
        <f>12152</f>
        <v>12152</v>
      </c>
      <c r="B12159" s="3" t="s">
        <v>12161</v>
      </c>
      <c r="C12159" s="3" t="s">
        <v>10</v>
      </c>
      <c r="D12159" s="3" t="s">
        <v>9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/>
      <c r="P12159" s="3"/>
      <c r="Q12159" s="3"/>
    </row>
    <row r="12160" spans="1:17" ht="15" x14ac:dyDescent="0.25">
      <c r="A12160" s="3">
        <f>12153</f>
        <v>12153</v>
      </c>
      <c r="B12160" s="3" t="s">
        <v>12162</v>
      </c>
      <c r="C12160" s="3" t="s">
        <v>10</v>
      </c>
      <c r="D12160" s="3" t="s">
        <v>9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/>
      <c r="P12160" s="3"/>
      <c r="Q12160" s="3"/>
    </row>
    <row r="12161" spans="1:17" ht="15" x14ac:dyDescent="0.25">
      <c r="A12161" s="3">
        <f>12154</f>
        <v>12154</v>
      </c>
      <c r="B12161" s="3" t="s">
        <v>12163</v>
      </c>
      <c r="C12161" s="3" t="s">
        <v>10</v>
      </c>
      <c r="D12161" s="3" t="s">
        <v>9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/>
      <c r="P12161" s="3"/>
      <c r="Q12161" s="3"/>
    </row>
    <row r="12162" spans="1:17" ht="15" x14ac:dyDescent="0.25">
      <c r="A12162" s="3">
        <f>12155</f>
        <v>12155</v>
      </c>
      <c r="B12162" s="3" t="s">
        <v>12164</v>
      </c>
      <c r="C12162" s="3" t="s">
        <v>10</v>
      </c>
      <c r="D12162" s="3" t="s">
        <v>9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/>
      <c r="P12162" s="3"/>
      <c r="Q12162" s="3"/>
    </row>
    <row r="12163" spans="1:17" ht="15" x14ac:dyDescent="0.25">
      <c r="A12163" s="3">
        <f>12156</f>
        <v>12156</v>
      </c>
      <c r="B12163" s="3" t="s">
        <v>12165</v>
      </c>
      <c r="C12163" s="3" t="s">
        <v>10</v>
      </c>
      <c r="D12163" s="3" t="s">
        <v>9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/>
      <c r="P12163" s="3"/>
      <c r="Q12163" s="3"/>
    </row>
    <row r="12164" spans="1:17" ht="15" x14ac:dyDescent="0.25">
      <c r="A12164" s="3">
        <f>12157</f>
        <v>12157</v>
      </c>
      <c r="B12164" s="3" t="s">
        <v>12166</v>
      </c>
      <c r="C12164" s="3" t="s">
        <v>10</v>
      </c>
      <c r="D12164" s="3" t="s">
        <v>9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/>
      <c r="P12164" s="3"/>
      <c r="Q12164" s="3"/>
    </row>
    <row r="12165" spans="1:17" ht="15" x14ac:dyDescent="0.25">
      <c r="A12165" s="3">
        <f>12158</f>
        <v>12158</v>
      </c>
      <c r="B12165" s="3" t="s">
        <v>12167</v>
      </c>
      <c r="C12165" s="3" t="s">
        <v>10</v>
      </c>
      <c r="D12165" s="3" t="s">
        <v>9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/>
      <c r="P12165" s="3"/>
      <c r="Q12165" s="3"/>
    </row>
    <row r="12166" spans="1:17" ht="15" x14ac:dyDescent="0.25">
      <c r="A12166" s="3">
        <f>12159</f>
        <v>12159</v>
      </c>
      <c r="B12166" s="3" t="s">
        <v>12168</v>
      </c>
      <c r="C12166" s="3" t="s">
        <v>10</v>
      </c>
      <c r="D12166" s="3" t="s">
        <v>9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/>
      <c r="P12166" s="3"/>
      <c r="Q12166" s="3"/>
    </row>
    <row r="12167" spans="1:17" ht="15" x14ac:dyDescent="0.25">
      <c r="A12167" s="3">
        <f>12160</f>
        <v>12160</v>
      </c>
      <c r="B12167" s="3" t="s">
        <v>12169</v>
      </c>
      <c r="C12167" s="3" t="s">
        <v>10</v>
      </c>
      <c r="D12167" s="3" t="s">
        <v>9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/>
      <c r="P12167" s="3"/>
      <c r="Q12167" s="3"/>
    </row>
    <row r="12168" spans="1:17" ht="15" x14ac:dyDescent="0.25">
      <c r="A12168" s="3">
        <f>12161</f>
        <v>12161</v>
      </c>
      <c r="B12168" s="3" t="s">
        <v>12170</v>
      </c>
      <c r="C12168" s="3" t="s">
        <v>10</v>
      </c>
      <c r="D12168" s="3" t="s">
        <v>9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/>
      <c r="P12168" s="3"/>
      <c r="Q12168" s="3"/>
    </row>
    <row r="12169" spans="1:17" ht="15" x14ac:dyDescent="0.25">
      <c r="A12169" s="3">
        <f>12162</f>
        <v>12162</v>
      </c>
      <c r="B12169" s="3" t="s">
        <v>12171</v>
      </c>
      <c r="C12169" s="3" t="s">
        <v>10</v>
      </c>
      <c r="D12169" s="3" t="s">
        <v>9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/>
      <c r="P12169" s="3"/>
      <c r="Q12169" s="3"/>
    </row>
    <row r="12170" spans="1:17" ht="15" x14ac:dyDescent="0.25">
      <c r="A12170" s="3">
        <f>12163</f>
        <v>12163</v>
      </c>
      <c r="B12170" s="3" t="s">
        <v>12172</v>
      </c>
      <c r="C12170" s="3" t="s">
        <v>10</v>
      </c>
      <c r="D12170" s="3" t="s">
        <v>9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/>
      <c r="P12170" s="3"/>
      <c r="Q12170" s="3"/>
    </row>
    <row r="12171" spans="1:17" ht="15" x14ac:dyDescent="0.25">
      <c r="A12171" s="3">
        <f>12164</f>
        <v>12164</v>
      </c>
      <c r="B12171" s="3" t="s">
        <v>12173</v>
      </c>
      <c r="C12171" s="3" t="s">
        <v>10</v>
      </c>
      <c r="D12171" s="3" t="s">
        <v>9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/>
      <c r="P12171" s="3"/>
      <c r="Q12171" s="3"/>
    </row>
    <row r="12172" spans="1:17" ht="15" x14ac:dyDescent="0.25">
      <c r="A12172" s="3">
        <f>12165</f>
        <v>12165</v>
      </c>
      <c r="B12172" s="3" t="s">
        <v>12174</v>
      </c>
      <c r="C12172" s="3" t="s">
        <v>10</v>
      </c>
      <c r="D12172" s="3" t="s">
        <v>9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/>
      <c r="P12172" s="3"/>
      <c r="Q12172" s="3"/>
    </row>
    <row r="12173" spans="1:17" ht="15" x14ac:dyDescent="0.25">
      <c r="A12173" s="3">
        <f>12166</f>
        <v>12166</v>
      </c>
      <c r="B12173" s="3" t="s">
        <v>12175</v>
      </c>
      <c r="C12173" s="3" t="s">
        <v>10</v>
      </c>
      <c r="D12173" s="3" t="s">
        <v>9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/>
      <c r="P12173" s="3"/>
      <c r="Q12173" s="3"/>
    </row>
    <row r="12174" spans="1:17" ht="15" x14ac:dyDescent="0.25">
      <c r="A12174" s="3">
        <f>12167</f>
        <v>12167</v>
      </c>
      <c r="B12174" s="3" t="s">
        <v>12176</v>
      </c>
      <c r="C12174" s="3" t="s">
        <v>10</v>
      </c>
      <c r="D12174" s="3" t="s">
        <v>9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/>
      <c r="P12174" s="3"/>
      <c r="Q12174" s="3"/>
    </row>
    <row r="12175" spans="1:17" ht="15" x14ac:dyDescent="0.25">
      <c r="A12175" s="3">
        <f>12168</f>
        <v>12168</v>
      </c>
      <c r="B12175" s="3" t="s">
        <v>12177</v>
      </c>
      <c r="C12175" s="3" t="s">
        <v>10</v>
      </c>
      <c r="D12175" s="3" t="s">
        <v>9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/>
      <c r="P12175" s="3"/>
      <c r="Q12175" s="3"/>
    </row>
    <row r="12176" spans="1:17" ht="15" x14ac:dyDescent="0.25">
      <c r="A12176" s="3">
        <f>12169</f>
        <v>12169</v>
      </c>
      <c r="B12176" s="3" t="s">
        <v>12178</v>
      </c>
      <c r="C12176" s="3" t="s">
        <v>10</v>
      </c>
      <c r="D12176" s="3" t="s">
        <v>9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/>
      <c r="P12176" s="3"/>
      <c r="Q12176" s="3"/>
    </row>
    <row r="12177" spans="1:17" ht="15" x14ac:dyDescent="0.25">
      <c r="A12177" s="3">
        <f>12170</f>
        <v>12170</v>
      </c>
      <c r="B12177" s="3" t="s">
        <v>12179</v>
      </c>
      <c r="C12177" s="3" t="s">
        <v>10</v>
      </c>
      <c r="D12177" s="3" t="s">
        <v>9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/>
      <c r="P12177" s="3"/>
      <c r="Q12177" s="3"/>
    </row>
    <row r="12178" spans="1:17" ht="15" x14ac:dyDescent="0.25">
      <c r="A12178" s="3">
        <f>12171</f>
        <v>12171</v>
      </c>
      <c r="B12178" s="3" t="s">
        <v>12180</v>
      </c>
      <c r="C12178" s="3" t="s">
        <v>10</v>
      </c>
      <c r="D12178" s="3" t="s">
        <v>9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/>
      <c r="P12178" s="3"/>
      <c r="Q12178" s="3"/>
    </row>
    <row r="12179" spans="1:17" ht="15" x14ac:dyDescent="0.25">
      <c r="A12179" s="3">
        <f>12172</f>
        <v>12172</v>
      </c>
      <c r="B12179" s="3" t="s">
        <v>12181</v>
      </c>
      <c r="C12179" s="3" t="s">
        <v>10</v>
      </c>
      <c r="D12179" s="3" t="s">
        <v>9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/>
      <c r="P12179" s="3"/>
      <c r="Q12179" s="3"/>
    </row>
    <row r="12180" spans="1:17" ht="15" x14ac:dyDescent="0.25">
      <c r="A12180" s="3">
        <f>12173</f>
        <v>12173</v>
      </c>
      <c r="B12180" s="3" t="s">
        <v>12182</v>
      </c>
      <c r="C12180" s="3" t="s">
        <v>10</v>
      </c>
      <c r="D12180" s="3" t="s">
        <v>9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/>
      <c r="P12180" s="3"/>
      <c r="Q12180" s="3"/>
    </row>
    <row r="12181" spans="1:17" ht="15" x14ac:dyDescent="0.25">
      <c r="A12181" s="3">
        <f>12174</f>
        <v>12174</v>
      </c>
      <c r="B12181" s="3" t="s">
        <v>12183</v>
      </c>
      <c r="C12181" s="3" t="s">
        <v>10</v>
      </c>
      <c r="D12181" s="3" t="s">
        <v>9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/>
      <c r="P12181" s="3"/>
      <c r="Q12181" s="3"/>
    </row>
    <row r="12182" spans="1:17" ht="15" x14ac:dyDescent="0.25">
      <c r="A12182" s="3">
        <f>12175</f>
        <v>12175</v>
      </c>
      <c r="B12182" s="3" t="s">
        <v>12184</v>
      </c>
      <c r="C12182" s="3" t="s">
        <v>10</v>
      </c>
      <c r="D12182" s="3" t="s">
        <v>9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/>
      <c r="P12182" s="3"/>
      <c r="Q12182" s="3"/>
    </row>
    <row r="12183" spans="1:17" ht="15" x14ac:dyDescent="0.25">
      <c r="A12183" s="3">
        <f>12176</f>
        <v>12176</v>
      </c>
      <c r="B12183" s="3" t="s">
        <v>12185</v>
      </c>
      <c r="C12183" s="3" t="s">
        <v>10</v>
      </c>
      <c r="D12183" s="3" t="s">
        <v>9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/>
      <c r="P12183" s="3"/>
      <c r="Q12183" s="3"/>
    </row>
    <row r="12184" spans="1:17" ht="15" x14ac:dyDescent="0.25">
      <c r="A12184" s="3">
        <f>12177</f>
        <v>12177</v>
      </c>
      <c r="B12184" s="3" t="s">
        <v>12186</v>
      </c>
      <c r="C12184" s="3" t="s">
        <v>10</v>
      </c>
      <c r="D12184" s="3" t="s">
        <v>9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/>
      <c r="P12184" s="3"/>
      <c r="Q12184" s="3"/>
    </row>
    <row r="12185" spans="1:17" ht="15" x14ac:dyDescent="0.25">
      <c r="A12185" s="3">
        <f>12178</f>
        <v>12178</v>
      </c>
      <c r="B12185" s="3" t="s">
        <v>12187</v>
      </c>
      <c r="C12185" s="3" t="s">
        <v>10</v>
      </c>
      <c r="D12185" s="3" t="s">
        <v>9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/>
      <c r="P12185" s="3"/>
      <c r="Q12185" s="3"/>
    </row>
    <row r="12186" spans="1:17" ht="15" x14ac:dyDescent="0.25">
      <c r="A12186" s="3">
        <f>12179</f>
        <v>12179</v>
      </c>
      <c r="B12186" s="3" t="s">
        <v>12188</v>
      </c>
      <c r="C12186" s="3" t="s">
        <v>10</v>
      </c>
      <c r="D12186" s="3" t="s">
        <v>9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/>
      <c r="P12186" s="3"/>
      <c r="Q12186" s="3"/>
    </row>
    <row r="12187" spans="1:17" ht="15" x14ac:dyDescent="0.25">
      <c r="A12187" s="3">
        <f>12180</f>
        <v>12180</v>
      </c>
      <c r="B12187" s="3" t="s">
        <v>12189</v>
      </c>
      <c r="C12187" s="3" t="s">
        <v>10</v>
      </c>
      <c r="D12187" s="3" t="s">
        <v>9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/>
      <c r="P12187" s="3"/>
      <c r="Q12187" s="3"/>
    </row>
    <row r="12188" spans="1:17" ht="15" x14ac:dyDescent="0.25">
      <c r="A12188" s="3">
        <f>12181</f>
        <v>12181</v>
      </c>
      <c r="B12188" s="3" t="s">
        <v>12190</v>
      </c>
      <c r="C12188" s="3" t="s">
        <v>10</v>
      </c>
      <c r="D12188" s="3" t="s">
        <v>9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/>
      <c r="P12188" s="3"/>
      <c r="Q12188" s="3"/>
    </row>
    <row r="12189" spans="1:17" ht="15" x14ac:dyDescent="0.25">
      <c r="A12189" s="3">
        <f>12182</f>
        <v>12182</v>
      </c>
      <c r="B12189" s="3" t="s">
        <v>12191</v>
      </c>
      <c r="C12189" s="3" t="s">
        <v>10</v>
      </c>
      <c r="D12189" s="3" t="s">
        <v>9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/>
      <c r="P12189" s="3"/>
      <c r="Q12189" s="3"/>
    </row>
    <row r="12190" spans="1:17" ht="15" x14ac:dyDescent="0.25">
      <c r="A12190" s="3">
        <f>12183</f>
        <v>12183</v>
      </c>
      <c r="B12190" s="3" t="s">
        <v>12192</v>
      </c>
      <c r="C12190" s="3" t="s">
        <v>10</v>
      </c>
      <c r="D12190" s="3" t="s">
        <v>9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/>
      <c r="P12190" s="3"/>
      <c r="Q12190" s="3"/>
    </row>
    <row r="12191" spans="1:17" ht="15" x14ac:dyDescent="0.25">
      <c r="A12191" s="3">
        <f>12184</f>
        <v>12184</v>
      </c>
      <c r="B12191" s="3" t="s">
        <v>12193</v>
      </c>
      <c r="C12191" s="3" t="s">
        <v>10</v>
      </c>
      <c r="D12191" s="3" t="s">
        <v>9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/>
      <c r="P12191" s="3"/>
      <c r="Q12191" s="3"/>
    </row>
    <row r="12192" spans="1:17" ht="15" x14ac:dyDescent="0.25">
      <c r="A12192" s="3">
        <f>12185</f>
        <v>12185</v>
      </c>
      <c r="B12192" s="3" t="s">
        <v>12194</v>
      </c>
      <c r="C12192" s="3" t="s">
        <v>10</v>
      </c>
      <c r="D12192" s="3" t="s">
        <v>9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/>
      <c r="P12192" s="3"/>
      <c r="Q12192" s="3"/>
    </row>
    <row r="12193" spans="1:17" ht="15" x14ac:dyDescent="0.25">
      <c r="A12193" s="3">
        <f>12186</f>
        <v>12186</v>
      </c>
      <c r="B12193" s="3" t="s">
        <v>12195</v>
      </c>
      <c r="C12193" s="3" t="s">
        <v>10</v>
      </c>
      <c r="D12193" s="3" t="s">
        <v>9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/>
      <c r="P12193" s="3"/>
      <c r="Q12193" s="3"/>
    </row>
    <row r="12194" spans="1:17" ht="15" x14ac:dyDescent="0.25">
      <c r="A12194" s="3">
        <f>12187</f>
        <v>12187</v>
      </c>
      <c r="B12194" s="3" t="s">
        <v>12196</v>
      </c>
      <c r="C12194" s="3" t="s">
        <v>10</v>
      </c>
      <c r="D12194" s="3" t="s">
        <v>9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/>
      <c r="P12194" s="3"/>
      <c r="Q12194" s="3"/>
    </row>
    <row r="12195" spans="1:17" ht="15" x14ac:dyDescent="0.25">
      <c r="A12195" s="3">
        <f>12188</f>
        <v>12188</v>
      </c>
      <c r="B12195" s="3" t="s">
        <v>12197</v>
      </c>
      <c r="C12195" s="3" t="s">
        <v>10</v>
      </c>
      <c r="D12195" s="3" t="s">
        <v>9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/>
      <c r="P12195" s="3"/>
      <c r="Q12195" s="3"/>
    </row>
    <row r="12196" spans="1:17" ht="15" x14ac:dyDescent="0.25">
      <c r="A12196" s="3">
        <f>12189</f>
        <v>12189</v>
      </c>
      <c r="B12196" s="3" t="s">
        <v>12198</v>
      </c>
      <c r="C12196" s="3" t="s">
        <v>10</v>
      </c>
      <c r="D12196" s="3" t="s">
        <v>9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/>
      <c r="P12196" s="3"/>
      <c r="Q12196" s="3"/>
    </row>
    <row r="12197" spans="1:17" ht="15" x14ac:dyDescent="0.25">
      <c r="A12197" s="3">
        <f>12190</f>
        <v>12190</v>
      </c>
      <c r="B12197" s="3" t="s">
        <v>12199</v>
      </c>
      <c r="C12197" s="3" t="s">
        <v>10</v>
      </c>
      <c r="D12197" s="3" t="s">
        <v>9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/>
      <c r="P12197" s="3"/>
      <c r="Q12197" s="3"/>
    </row>
    <row r="12198" spans="1:17" ht="15" x14ac:dyDescent="0.25">
      <c r="A12198" s="3">
        <f>12191</f>
        <v>12191</v>
      </c>
      <c r="B12198" s="3" t="s">
        <v>12200</v>
      </c>
      <c r="C12198" s="3" t="s">
        <v>10</v>
      </c>
      <c r="D12198" s="3" t="s">
        <v>9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/>
      <c r="P12198" s="3"/>
      <c r="Q12198" s="3"/>
    </row>
    <row r="12199" spans="1:17" ht="15" x14ac:dyDescent="0.25">
      <c r="A12199" s="3">
        <f>12192</f>
        <v>12192</v>
      </c>
      <c r="B12199" s="3" t="s">
        <v>12201</v>
      </c>
      <c r="C12199" s="3" t="s">
        <v>10</v>
      </c>
      <c r="D12199" s="3" t="s">
        <v>9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/>
      <c r="P12199" s="3"/>
      <c r="Q12199" s="3"/>
    </row>
    <row r="12200" spans="1:17" ht="15" x14ac:dyDescent="0.25">
      <c r="A12200" s="3">
        <f>12193</f>
        <v>12193</v>
      </c>
      <c r="B12200" s="3" t="s">
        <v>12202</v>
      </c>
      <c r="C12200" s="3" t="s">
        <v>10</v>
      </c>
      <c r="D12200" s="3" t="s">
        <v>9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/>
      <c r="P12200" s="3"/>
      <c r="Q12200" s="3"/>
    </row>
    <row r="12201" spans="1:17" ht="15" x14ac:dyDescent="0.25">
      <c r="A12201" s="3">
        <f>12194</f>
        <v>12194</v>
      </c>
      <c r="B12201" s="3" t="s">
        <v>12203</v>
      </c>
      <c r="C12201" s="3" t="s">
        <v>10</v>
      </c>
      <c r="D12201" s="3" t="s">
        <v>9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/>
      <c r="P12201" s="3"/>
      <c r="Q12201" s="3"/>
    </row>
    <row r="12202" spans="1:17" ht="15" x14ac:dyDescent="0.25">
      <c r="A12202" s="3">
        <f>12195</f>
        <v>12195</v>
      </c>
      <c r="B12202" s="3" t="s">
        <v>12204</v>
      </c>
      <c r="C12202" s="3" t="s">
        <v>10</v>
      </c>
      <c r="D12202" s="3" t="s">
        <v>9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/>
      <c r="P12202" s="3"/>
      <c r="Q12202" s="3"/>
    </row>
    <row r="12203" spans="1:17" ht="15" x14ac:dyDescent="0.25">
      <c r="A12203" s="3">
        <f>12196</f>
        <v>12196</v>
      </c>
      <c r="B12203" s="3" t="s">
        <v>12205</v>
      </c>
      <c r="C12203" s="3" t="s">
        <v>10</v>
      </c>
      <c r="D12203" s="3" t="s">
        <v>9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/>
      <c r="P12203" s="3"/>
      <c r="Q12203" s="3"/>
    </row>
    <row r="12204" spans="1:17" ht="15" x14ac:dyDescent="0.25">
      <c r="A12204" s="3">
        <f>12197</f>
        <v>12197</v>
      </c>
      <c r="B12204" s="3" t="s">
        <v>12206</v>
      </c>
      <c r="C12204" s="3" t="s">
        <v>10</v>
      </c>
      <c r="D12204" s="3" t="s">
        <v>9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/>
      <c r="P12204" s="3"/>
      <c r="Q12204" s="3"/>
    </row>
    <row r="12205" spans="1:17" ht="15" x14ac:dyDescent="0.25">
      <c r="A12205" s="3">
        <f>12198</f>
        <v>12198</v>
      </c>
      <c r="B12205" s="3" t="s">
        <v>12207</v>
      </c>
      <c r="C12205" s="3" t="s">
        <v>10</v>
      </c>
      <c r="D12205" s="3" t="s">
        <v>9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/>
      <c r="P12205" s="3"/>
      <c r="Q12205" s="3"/>
    </row>
    <row r="12206" spans="1:17" ht="15" x14ac:dyDescent="0.25">
      <c r="A12206" s="3">
        <f>12199</f>
        <v>12199</v>
      </c>
      <c r="B12206" s="3" t="s">
        <v>12208</v>
      </c>
      <c r="C12206" s="3" t="s">
        <v>10</v>
      </c>
      <c r="D12206" s="3" t="s">
        <v>9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/>
      <c r="P12206" s="3"/>
      <c r="Q12206" s="3"/>
    </row>
    <row r="12207" spans="1:17" ht="15" x14ac:dyDescent="0.25">
      <c r="A12207" s="3">
        <f>12200</f>
        <v>12200</v>
      </c>
      <c r="B12207" s="3" t="s">
        <v>12209</v>
      </c>
      <c r="C12207" s="3" t="s">
        <v>10</v>
      </c>
      <c r="D12207" s="3" t="s">
        <v>9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/>
      <c r="P12207" s="3"/>
      <c r="Q12207" s="3"/>
    </row>
    <row r="12208" spans="1:17" ht="15" x14ac:dyDescent="0.25">
      <c r="A12208" s="3">
        <f>12201</f>
        <v>12201</v>
      </c>
      <c r="B12208" s="3" t="s">
        <v>12210</v>
      </c>
      <c r="C12208" s="3" t="s">
        <v>10</v>
      </c>
      <c r="D12208" s="3" t="s">
        <v>9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/>
      <c r="P12208" s="3"/>
      <c r="Q12208" s="3"/>
    </row>
    <row r="12209" spans="1:17" ht="15" x14ac:dyDescent="0.25">
      <c r="A12209" s="3">
        <f>12202</f>
        <v>12202</v>
      </c>
      <c r="B12209" s="3" t="s">
        <v>12211</v>
      </c>
      <c r="C12209" s="3" t="s">
        <v>10</v>
      </c>
      <c r="D12209" s="3" t="s">
        <v>9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/>
      <c r="P12209" s="3"/>
      <c r="Q12209" s="3"/>
    </row>
    <row r="12210" spans="1:17" ht="15" x14ac:dyDescent="0.25">
      <c r="A12210" s="3">
        <f>12203</f>
        <v>12203</v>
      </c>
      <c r="B12210" s="3" t="s">
        <v>12212</v>
      </c>
      <c r="C12210" s="3" t="s">
        <v>10</v>
      </c>
      <c r="D12210" s="3" t="s">
        <v>9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/>
      <c r="P12210" s="3"/>
      <c r="Q12210" s="3"/>
    </row>
    <row r="12211" spans="1:17" ht="15" x14ac:dyDescent="0.25">
      <c r="A12211" s="3">
        <f>12204</f>
        <v>12204</v>
      </c>
      <c r="B12211" s="3" t="s">
        <v>12213</v>
      </c>
      <c r="C12211" s="3" t="s">
        <v>10</v>
      </c>
      <c r="D12211" s="3" t="s">
        <v>9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/>
      <c r="P12211" s="3"/>
      <c r="Q12211" s="3"/>
    </row>
    <row r="12212" spans="1:17" ht="15" x14ac:dyDescent="0.25">
      <c r="A12212" s="3">
        <f>12205</f>
        <v>12205</v>
      </c>
      <c r="B12212" s="3" t="s">
        <v>12214</v>
      </c>
      <c r="C12212" s="3" t="s">
        <v>10</v>
      </c>
      <c r="D12212" s="3" t="s">
        <v>9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/>
      <c r="P12212" s="3"/>
      <c r="Q12212" s="3"/>
    </row>
    <row r="12213" spans="1:17" ht="15" x14ac:dyDescent="0.25">
      <c r="A12213" s="3">
        <f>12206</f>
        <v>12206</v>
      </c>
      <c r="B12213" s="3" t="s">
        <v>12215</v>
      </c>
      <c r="C12213" s="3" t="s">
        <v>10</v>
      </c>
      <c r="D12213" s="3" t="s">
        <v>9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/>
      <c r="P12213" s="3"/>
      <c r="Q12213" s="3"/>
    </row>
    <row r="12214" spans="1:17" ht="15" x14ac:dyDescent="0.25">
      <c r="A12214" s="3">
        <f>12207</f>
        <v>12207</v>
      </c>
      <c r="B12214" s="3" t="s">
        <v>12216</v>
      </c>
      <c r="C12214" s="3" t="s">
        <v>10</v>
      </c>
      <c r="D12214" s="3" t="s">
        <v>9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/>
      <c r="P12214" s="3"/>
      <c r="Q12214" s="3"/>
    </row>
    <row r="12215" spans="1:17" ht="15" x14ac:dyDescent="0.25">
      <c r="A12215" s="3">
        <f>12208</f>
        <v>12208</v>
      </c>
      <c r="B12215" s="3" t="s">
        <v>12217</v>
      </c>
      <c r="C12215" s="3" t="s">
        <v>10</v>
      </c>
      <c r="D12215" s="3" t="s">
        <v>9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/>
      <c r="P12215" s="3"/>
      <c r="Q12215" s="3"/>
    </row>
    <row r="12216" spans="1:17" ht="15" x14ac:dyDescent="0.25">
      <c r="A12216" s="3">
        <f>12209</f>
        <v>12209</v>
      </c>
      <c r="B12216" s="3" t="s">
        <v>12218</v>
      </c>
      <c r="C12216" s="3" t="s">
        <v>10</v>
      </c>
      <c r="D12216" s="3" t="s">
        <v>9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/>
      <c r="P12216" s="3"/>
      <c r="Q12216" s="3"/>
    </row>
    <row r="12217" spans="1:17" ht="15" x14ac:dyDescent="0.25">
      <c r="A12217" s="3">
        <f>12210</f>
        <v>12210</v>
      </c>
      <c r="B12217" s="3" t="s">
        <v>12219</v>
      </c>
      <c r="C12217" s="3" t="s">
        <v>10</v>
      </c>
      <c r="D12217" s="3" t="s">
        <v>9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/>
      <c r="P12217" s="3"/>
      <c r="Q12217" s="3"/>
    </row>
    <row r="12218" spans="1:17" ht="15" x14ac:dyDescent="0.25">
      <c r="A12218" s="3">
        <f>12211</f>
        <v>12211</v>
      </c>
      <c r="B12218" s="3" t="s">
        <v>12220</v>
      </c>
      <c r="C12218" s="3" t="s">
        <v>10</v>
      </c>
      <c r="D12218" s="3" t="s">
        <v>9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/>
      <c r="P12218" s="3"/>
      <c r="Q12218" s="3"/>
    </row>
    <row r="12219" spans="1:17" ht="15" x14ac:dyDescent="0.25">
      <c r="A12219" s="3">
        <f>12212</f>
        <v>12212</v>
      </c>
      <c r="B12219" s="3" t="s">
        <v>12221</v>
      </c>
      <c r="C12219" s="3" t="s">
        <v>10</v>
      </c>
      <c r="D12219" s="3" t="s">
        <v>9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/>
      <c r="P12219" s="3"/>
      <c r="Q12219" s="3"/>
    </row>
    <row r="12220" spans="1:17" ht="15" x14ac:dyDescent="0.25">
      <c r="A12220" s="3">
        <f>12213</f>
        <v>12213</v>
      </c>
      <c r="B12220" s="3" t="s">
        <v>12222</v>
      </c>
      <c r="C12220" s="3" t="s">
        <v>10</v>
      </c>
      <c r="D12220" s="3" t="s">
        <v>9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/>
      <c r="P12220" s="3"/>
      <c r="Q12220" s="3"/>
    </row>
    <row r="12221" spans="1:17" ht="15" x14ac:dyDescent="0.25">
      <c r="A12221" s="3">
        <f>12214</f>
        <v>12214</v>
      </c>
      <c r="B12221" s="3" t="s">
        <v>12223</v>
      </c>
      <c r="C12221" s="3" t="s">
        <v>10</v>
      </c>
      <c r="D12221" s="3" t="s">
        <v>9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/>
      <c r="P12221" s="3"/>
      <c r="Q12221" s="3"/>
    </row>
    <row r="12222" spans="1:17" ht="15" x14ac:dyDescent="0.25">
      <c r="A12222" s="3">
        <f>12215</f>
        <v>12215</v>
      </c>
      <c r="B12222" s="3" t="s">
        <v>12224</v>
      </c>
      <c r="C12222" s="3" t="s">
        <v>10</v>
      </c>
      <c r="D12222" s="3" t="s">
        <v>9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/>
      <c r="P12222" s="3"/>
      <c r="Q12222" s="3"/>
    </row>
    <row r="12223" spans="1:17" ht="15" x14ac:dyDescent="0.25">
      <c r="A12223" s="3">
        <f>12216</f>
        <v>12216</v>
      </c>
      <c r="B12223" s="3" t="s">
        <v>12225</v>
      </c>
      <c r="C12223" s="3" t="s">
        <v>10</v>
      </c>
      <c r="D12223" s="3" t="s">
        <v>9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/>
      <c r="P12223" s="3"/>
      <c r="Q12223" s="3"/>
    </row>
    <row r="12224" spans="1:17" ht="15" x14ac:dyDescent="0.25">
      <c r="A12224" s="3">
        <f>12217</f>
        <v>12217</v>
      </c>
      <c r="B12224" s="3" t="s">
        <v>12226</v>
      </c>
      <c r="C12224" s="3" t="s">
        <v>10</v>
      </c>
      <c r="D12224" s="3" t="s">
        <v>9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/>
      <c r="P12224" s="3"/>
      <c r="Q12224" s="3"/>
    </row>
    <row r="12225" spans="1:17" ht="15" x14ac:dyDescent="0.25">
      <c r="A12225" s="3">
        <f>12218</f>
        <v>12218</v>
      </c>
      <c r="B12225" s="3" t="s">
        <v>12227</v>
      </c>
      <c r="C12225" s="3" t="s">
        <v>10</v>
      </c>
      <c r="D12225" s="3" t="s">
        <v>9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/>
      <c r="P12225" s="3"/>
      <c r="Q12225" s="3"/>
    </row>
    <row r="12226" spans="1:17" ht="15" x14ac:dyDescent="0.25">
      <c r="A12226" s="3">
        <f>12219</f>
        <v>12219</v>
      </c>
      <c r="B12226" s="3" t="s">
        <v>12228</v>
      </c>
      <c r="C12226" s="3" t="s">
        <v>10</v>
      </c>
      <c r="D12226" s="3" t="s">
        <v>9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/>
      <c r="P12226" s="3"/>
      <c r="Q12226" s="3"/>
    </row>
    <row r="12227" spans="1:17" ht="15" x14ac:dyDescent="0.25">
      <c r="A12227" s="3">
        <f>12220</f>
        <v>12220</v>
      </c>
      <c r="B12227" s="3" t="s">
        <v>12229</v>
      </c>
      <c r="C12227" s="3" t="s">
        <v>10</v>
      </c>
      <c r="D12227" s="3" t="s">
        <v>9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/>
      <c r="P12227" s="3"/>
      <c r="Q12227" s="3"/>
    </row>
    <row r="12228" spans="1:17" ht="15" x14ac:dyDescent="0.25">
      <c r="A12228" s="3">
        <f>12221</f>
        <v>12221</v>
      </c>
      <c r="B12228" s="3" t="s">
        <v>12230</v>
      </c>
      <c r="C12228" s="3" t="s">
        <v>10</v>
      </c>
      <c r="D12228" s="3" t="s">
        <v>9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/>
      <c r="P12228" s="3"/>
      <c r="Q12228" s="3"/>
    </row>
    <row r="12229" spans="1:17" ht="15" x14ac:dyDescent="0.25">
      <c r="A12229" s="3">
        <f>12222</f>
        <v>12222</v>
      </c>
      <c r="B12229" s="3" t="s">
        <v>12231</v>
      </c>
      <c r="C12229" s="3" t="s">
        <v>10</v>
      </c>
      <c r="D12229" s="3" t="s">
        <v>9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/>
      <c r="P12229" s="3"/>
      <c r="Q12229" s="3"/>
    </row>
    <row r="12230" spans="1:17" ht="15" x14ac:dyDescent="0.25">
      <c r="A12230" s="3">
        <f>12223</f>
        <v>12223</v>
      </c>
      <c r="B12230" s="3" t="s">
        <v>12232</v>
      </c>
      <c r="C12230" s="3" t="s">
        <v>10</v>
      </c>
      <c r="D12230" s="3" t="s">
        <v>9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/>
      <c r="P12230" s="3"/>
      <c r="Q12230" s="3"/>
    </row>
    <row r="12231" spans="1:17" ht="15" x14ac:dyDescent="0.25">
      <c r="A12231" s="3">
        <f>12224</f>
        <v>12224</v>
      </c>
      <c r="B12231" s="3" t="s">
        <v>12233</v>
      </c>
      <c r="C12231" s="3" t="s">
        <v>10</v>
      </c>
      <c r="D12231" s="3" t="s">
        <v>9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/>
      <c r="P12231" s="3"/>
      <c r="Q12231" s="3"/>
    </row>
    <row r="12232" spans="1:17" ht="15" x14ac:dyDescent="0.25">
      <c r="A12232" s="3">
        <f>12225</f>
        <v>12225</v>
      </c>
      <c r="B12232" s="3" t="s">
        <v>12234</v>
      </c>
      <c r="C12232" s="3" t="s">
        <v>10</v>
      </c>
      <c r="D12232" s="3" t="s">
        <v>9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/>
      <c r="P12232" s="3"/>
      <c r="Q12232" s="3"/>
    </row>
    <row r="12233" spans="1:17" ht="15" x14ac:dyDescent="0.25">
      <c r="A12233" s="3">
        <f>12226</f>
        <v>12226</v>
      </c>
      <c r="B12233" s="3" t="s">
        <v>12235</v>
      </c>
      <c r="C12233" s="3" t="s">
        <v>10</v>
      </c>
      <c r="D12233" s="3" t="s">
        <v>9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/>
      <c r="P12233" s="3"/>
      <c r="Q12233" s="3"/>
    </row>
    <row r="12234" spans="1:17" ht="15" x14ac:dyDescent="0.25">
      <c r="A12234" s="3">
        <f>12227</f>
        <v>12227</v>
      </c>
      <c r="B12234" s="3" t="s">
        <v>12236</v>
      </c>
      <c r="C12234" s="3" t="s">
        <v>10</v>
      </c>
      <c r="D12234" s="3" t="s">
        <v>9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/>
      <c r="P12234" s="3"/>
      <c r="Q12234" s="3"/>
    </row>
    <row r="12235" spans="1:17" ht="15" x14ac:dyDescent="0.25">
      <c r="A12235" s="3">
        <f>12228</f>
        <v>12228</v>
      </c>
      <c r="B12235" s="3" t="s">
        <v>12237</v>
      </c>
      <c r="C12235" s="3" t="s">
        <v>10</v>
      </c>
      <c r="D12235" s="3" t="s">
        <v>9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/>
      <c r="P12235" s="3"/>
      <c r="Q12235" s="3"/>
    </row>
    <row r="12236" spans="1:17" ht="15" x14ac:dyDescent="0.25">
      <c r="A12236" s="3">
        <f>12229</f>
        <v>12229</v>
      </c>
      <c r="B12236" s="3" t="s">
        <v>12238</v>
      </c>
      <c r="C12236" s="3" t="s">
        <v>10</v>
      </c>
      <c r="D12236" s="3" t="s">
        <v>9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/>
      <c r="P12236" s="3"/>
      <c r="Q12236" s="3"/>
    </row>
    <row r="12237" spans="1:17" ht="15" x14ac:dyDescent="0.25">
      <c r="A12237" s="3">
        <f>12230</f>
        <v>12230</v>
      </c>
      <c r="B12237" s="3" t="s">
        <v>12239</v>
      </c>
      <c r="C12237" s="3" t="s">
        <v>10</v>
      </c>
      <c r="D12237" s="3" t="s">
        <v>9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/>
      <c r="P12237" s="3"/>
      <c r="Q12237" s="3"/>
    </row>
    <row r="12238" spans="1:17" ht="15" x14ac:dyDescent="0.25">
      <c r="A12238" s="3">
        <f>12231</f>
        <v>12231</v>
      </c>
      <c r="B12238" s="3" t="s">
        <v>12240</v>
      </c>
      <c r="C12238" s="3" t="s">
        <v>10</v>
      </c>
      <c r="D12238" s="3" t="s">
        <v>9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/>
      <c r="P12238" s="3"/>
      <c r="Q12238" s="3"/>
    </row>
    <row r="12239" spans="1:17" ht="15" x14ac:dyDescent="0.25">
      <c r="A12239" s="3">
        <f>12232</f>
        <v>12232</v>
      </c>
      <c r="B12239" s="3" t="s">
        <v>12241</v>
      </c>
      <c r="C12239" s="3" t="s">
        <v>10</v>
      </c>
      <c r="D12239" s="3" t="s">
        <v>9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/>
      <c r="P12239" s="3"/>
      <c r="Q12239" s="3"/>
    </row>
    <row r="12240" spans="1:17" ht="15" x14ac:dyDescent="0.25">
      <c r="A12240" s="3">
        <f>12233</f>
        <v>12233</v>
      </c>
      <c r="B12240" s="3" t="s">
        <v>12242</v>
      </c>
      <c r="C12240" s="3" t="s">
        <v>10</v>
      </c>
      <c r="D12240" s="3" t="s">
        <v>9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/>
      <c r="P12240" s="3"/>
      <c r="Q12240" s="3"/>
    </row>
    <row r="12241" spans="1:17" ht="15" x14ac:dyDescent="0.25">
      <c r="A12241" s="3">
        <f>12234</f>
        <v>12234</v>
      </c>
      <c r="B12241" s="3" t="s">
        <v>12243</v>
      </c>
      <c r="C12241" s="3" t="s">
        <v>10</v>
      </c>
      <c r="D12241" s="3" t="s">
        <v>9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/>
      <c r="P12241" s="3"/>
      <c r="Q12241" s="3"/>
    </row>
    <row r="12242" spans="1:17" ht="15" x14ac:dyDescent="0.25">
      <c r="A12242" s="3">
        <f>12235</f>
        <v>12235</v>
      </c>
      <c r="B12242" s="3" t="s">
        <v>12244</v>
      </c>
      <c r="C12242" s="3" t="s">
        <v>10</v>
      </c>
      <c r="D12242" s="3" t="s">
        <v>9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/>
      <c r="P12242" s="3"/>
      <c r="Q12242" s="3"/>
    </row>
    <row r="12243" spans="1:17" ht="15" x14ac:dyDescent="0.25">
      <c r="A12243" s="3">
        <f>12236</f>
        <v>12236</v>
      </c>
      <c r="B12243" s="3" t="s">
        <v>12245</v>
      </c>
      <c r="C12243" s="3" t="s">
        <v>10</v>
      </c>
      <c r="D12243" s="3" t="s">
        <v>9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/>
      <c r="P12243" s="3"/>
      <c r="Q12243" s="3"/>
    </row>
    <row r="12244" spans="1:17" ht="15" x14ac:dyDescent="0.25">
      <c r="A12244" s="3">
        <f>12237</f>
        <v>12237</v>
      </c>
      <c r="B12244" s="3" t="s">
        <v>12246</v>
      </c>
      <c r="C12244" s="3" t="s">
        <v>10</v>
      </c>
      <c r="D12244" s="3" t="s">
        <v>9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/>
      <c r="P12244" s="3"/>
      <c r="Q12244" s="3"/>
    </row>
    <row r="12245" spans="1:17" ht="15" x14ac:dyDescent="0.25">
      <c r="A12245" s="3">
        <f>12238</f>
        <v>12238</v>
      </c>
      <c r="B12245" s="3" t="s">
        <v>12247</v>
      </c>
      <c r="C12245" s="3" t="s">
        <v>10</v>
      </c>
      <c r="D12245" s="3" t="s">
        <v>9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/>
      <c r="P12245" s="3"/>
      <c r="Q12245" s="3"/>
    </row>
    <row r="12246" spans="1:17" ht="15" x14ac:dyDescent="0.25">
      <c r="A12246" s="3">
        <f>12239</f>
        <v>12239</v>
      </c>
      <c r="B12246" s="3" t="s">
        <v>12248</v>
      </c>
      <c r="C12246" s="3" t="s">
        <v>10</v>
      </c>
      <c r="D12246" s="3" t="s">
        <v>9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/>
      <c r="P12246" s="3"/>
      <c r="Q12246" s="3"/>
    </row>
    <row r="12247" spans="1:17" ht="15" x14ac:dyDescent="0.25">
      <c r="A12247" s="3">
        <f>12240</f>
        <v>12240</v>
      </c>
      <c r="B12247" s="3" t="s">
        <v>12249</v>
      </c>
      <c r="C12247" s="3" t="s">
        <v>10</v>
      </c>
      <c r="D12247" s="3" t="s">
        <v>9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/>
      <c r="P12247" s="3"/>
      <c r="Q12247" s="3"/>
    </row>
    <row r="12248" spans="1:17" ht="15" x14ac:dyDescent="0.25">
      <c r="A12248" s="3">
        <f>12241</f>
        <v>12241</v>
      </c>
      <c r="B12248" s="3" t="s">
        <v>12250</v>
      </c>
      <c r="C12248" s="3" t="s">
        <v>10</v>
      </c>
      <c r="D12248" s="3" t="s">
        <v>9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/>
      <c r="P12248" s="3"/>
      <c r="Q12248" s="3"/>
    </row>
    <row r="12249" spans="1:17" ht="15" x14ac:dyDescent="0.25">
      <c r="A12249" s="3">
        <f>12242</f>
        <v>12242</v>
      </c>
      <c r="B12249" s="3" t="s">
        <v>12251</v>
      </c>
      <c r="C12249" s="3" t="s">
        <v>10</v>
      </c>
      <c r="D12249" s="3" t="s">
        <v>9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/>
      <c r="P12249" s="3"/>
      <c r="Q12249" s="3"/>
    </row>
    <row r="12250" spans="1:17" ht="15" x14ac:dyDescent="0.25">
      <c r="A12250" s="3">
        <f>12243</f>
        <v>12243</v>
      </c>
      <c r="B12250" s="3" t="s">
        <v>12252</v>
      </c>
      <c r="C12250" s="3" t="s">
        <v>10</v>
      </c>
      <c r="D12250" s="3" t="s">
        <v>9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/>
      <c r="P12250" s="3"/>
      <c r="Q12250" s="3"/>
    </row>
    <row r="12251" spans="1:17" ht="15" x14ac:dyDescent="0.25">
      <c r="A12251" s="3">
        <f>12244</f>
        <v>12244</v>
      </c>
      <c r="B12251" s="3" t="s">
        <v>12253</v>
      </c>
      <c r="C12251" s="3" t="s">
        <v>10</v>
      </c>
      <c r="D12251" s="3" t="s">
        <v>9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/>
      <c r="P12251" s="3"/>
      <c r="Q12251" s="3"/>
    </row>
    <row r="12252" spans="1:17" ht="15" x14ac:dyDescent="0.25">
      <c r="A12252" s="3">
        <f>12245</f>
        <v>12245</v>
      </c>
      <c r="B12252" s="3" t="s">
        <v>12254</v>
      </c>
      <c r="C12252" s="3" t="s">
        <v>10</v>
      </c>
      <c r="D12252" s="3" t="s">
        <v>9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/>
      <c r="P12252" s="3"/>
      <c r="Q12252" s="3"/>
    </row>
    <row r="12253" spans="1:17" ht="15" x14ac:dyDescent="0.25">
      <c r="A12253" s="3">
        <f>12246</f>
        <v>12246</v>
      </c>
      <c r="B12253" s="3" t="s">
        <v>12255</v>
      </c>
      <c r="C12253" s="3" t="s">
        <v>10</v>
      </c>
      <c r="D12253" s="3" t="s">
        <v>9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/>
      <c r="P12253" s="3"/>
      <c r="Q12253" s="3"/>
    </row>
    <row r="12254" spans="1:17" ht="15" x14ac:dyDescent="0.25">
      <c r="A12254" s="3">
        <f>12247</f>
        <v>12247</v>
      </c>
      <c r="B12254" s="3" t="s">
        <v>12256</v>
      </c>
      <c r="C12254" s="3" t="s">
        <v>10</v>
      </c>
      <c r="D12254" s="3" t="s">
        <v>9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/>
      <c r="P12254" s="3"/>
      <c r="Q12254" s="3"/>
    </row>
    <row r="12255" spans="1:17" ht="15" x14ac:dyDescent="0.25">
      <c r="A12255" s="3">
        <f>12248</f>
        <v>12248</v>
      </c>
      <c r="B12255" s="3" t="s">
        <v>12257</v>
      </c>
      <c r="C12255" s="3" t="s">
        <v>10</v>
      </c>
      <c r="D12255" s="3" t="s">
        <v>9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/>
      <c r="P12255" s="3"/>
      <c r="Q12255" s="3"/>
    </row>
    <row r="12256" spans="1:17" ht="15" x14ac:dyDescent="0.25">
      <c r="A12256" s="3">
        <f>12249</f>
        <v>12249</v>
      </c>
      <c r="B12256" s="3" t="s">
        <v>12258</v>
      </c>
      <c r="C12256" s="3" t="s">
        <v>10</v>
      </c>
      <c r="D12256" s="3" t="s">
        <v>9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/>
      <c r="P12256" s="3"/>
      <c r="Q12256" s="3"/>
    </row>
    <row r="12257" spans="1:17" ht="15" x14ac:dyDescent="0.25">
      <c r="A12257" s="3">
        <f>12250</f>
        <v>12250</v>
      </c>
      <c r="B12257" s="3" t="s">
        <v>12259</v>
      </c>
      <c r="C12257" s="3" t="s">
        <v>10</v>
      </c>
      <c r="D12257" s="3" t="s">
        <v>9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/>
      <c r="P12257" s="3"/>
      <c r="Q12257" s="3"/>
    </row>
    <row r="12258" spans="1:17" ht="15" x14ac:dyDescent="0.25">
      <c r="A12258" s="3">
        <f>12251</f>
        <v>12251</v>
      </c>
      <c r="B12258" s="3" t="s">
        <v>12260</v>
      </c>
      <c r="C12258" s="3" t="s">
        <v>10</v>
      </c>
      <c r="D12258" s="3" t="s">
        <v>9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/>
      <c r="P12258" s="3"/>
      <c r="Q12258" s="3"/>
    </row>
    <row r="12259" spans="1:17" ht="15" x14ac:dyDescent="0.25">
      <c r="A12259" s="3">
        <f>12252</f>
        <v>12252</v>
      </c>
      <c r="B12259" s="3" t="s">
        <v>12261</v>
      </c>
      <c r="C12259" s="3" t="s">
        <v>10</v>
      </c>
      <c r="D12259" s="3" t="s">
        <v>9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/>
      <c r="P12259" s="3"/>
      <c r="Q12259" s="3"/>
    </row>
    <row r="12260" spans="1:17" ht="15" x14ac:dyDescent="0.25">
      <c r="A12260" s="3">
        <f>12253</f>
        <v>12253</v>
      </c>
      <c r="B12260" s="3" t="s">
        <v>12262</v>
      </c>
      <c r="C12260" s="3" t="s">
        <v>10</v>
      </c>
      <c r="D12260" s="3" t="s">
        <v>9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/>
      <c r="P12260" s="3"/>
      <c r="Q12260" s="3"/>
    </row>
    <row r="12261" spans="1:17" ht="15" x14ac:dyDescent="0.25">
      <c r="A12261" s="3">
        <f>12254</f>
        <v>12254</v>
      </c>
      <c r="B12261" s="3" t="s">
        <v>12263</v>
      </c>
      <c r="C12261" s="3" t="s">
        <v>10</v>
      </c>
      <c r="D12261" s="3" t="s">
        <v>9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/>
      <c r="P12261" s="3"/>
      <c r="Q12261" s="3"/>
    </row>
    <row r="12262" spans="1:17" ht="15" x14ac:dyDescent="0.25">
      <c r="A12262" s="3">
        <f>12255</f>
        <v>12255</v>
      </c>
      <c r="B12262" s="3" t="s">
        <v>12264</v>
      </c>
      <c r="C12262" s="3" t="s">
        <v>10</v>
      </c>
      <c r="D12262" s="3" t="s">
        <v>9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/>
      <c r="P12262" s="3"/>
      <c r="Q12262" s="3"/>
    </row>
    <row r="12263" spans="1:17" ht="15" x14ac:dyDescent="0.25">
      <c r="A12263" s="3">
        <f>12256</f>
        <v>12256</v>
      </c>
      <c r="B12263" s="3" t="s">
        <v>12265</v>
      </c>
      <c r="C12263" s="3" t="s">
        <v>10</v>
      </c>
      <c r="D12263" s="3" t="s">
        <v>9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/>
      <c r="P12263" s="3"/>
      <c r="Q12263" s="3"/>
    </row>
    <row r="12264" spans="1:17" ht="15" x14ac:dyDescent="0.25">
      <c r="A12264" s="3">
        <f>12257</f>
        <v>12257</v>
      </c>
      <c r="B12264" s="3" t="s">
        <v>12266</v>
      </c>
      <c r="C12264" s="3" t="s">
        <v>10</v>
      </c>
      <c r="D12264" s="3" t="s">
        <v>9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/>
      <c r="P12264" s="3"/>
      <c r="Q12264" s="3"/>
    </row>
    <row r="12265" spans="1:17" ht="15" x14ac:dyDescent="0.25">
      <c r="A12265" s="3">
        <f>12258</f>
        <v>12258</v>
      </c>
      <c r="B12265" s="3" t="s">
        <v>12267</v>
      </c>
      <c r="C12265" s="3" t="s">
        <v>10</v>
      </c>
      <c r="D12265" s="3" t="s">
        <v>9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/>
      <c r="P12265" s="3"/>
      <c r="Q12265" s="3"/>
    </row>
    <row r="12266" spans="1:17" ht="15" x14ac:dyDescent="0.25">
      <c r="A12266" s="3">
        <f>12259</f>
        <v>12259</v>
      </c>
      <c r="B12266" s="3" t="s">
        <v>12268</v>
      </c>
      <c r="C12266" s="3" t="s">
        <v>10</v>
      </c>
      <c r="D12266" s="3" t="s">
        <v>9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/>
      <c r="P12266" s="3"/>
      <c r="Q12266" s="3"/>
    </row>
    <row r="12267" spans="1:17" ht="15" x14ac:dyDescent="0.25">
      <c r="A12267" s="3">
        <f>12260</f>
        <v>12260</v>
      </c>
      <c r="B12267" s="3" t="s">
        <v>12269</v>
      </c>
      <c r="C12267" s="3" t="s">
        <v>10</v>
      </c>
      <c r="D12267" s="3" t="s">
        <v>9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/>
      <c r="P12267" s="3"/>
      <c r="Q12267" s="3"/>
    </row>
    <row r="12268" spans="1:17" ht="15" x14ac:dyDescent="0.25">
      <c r="A12268" s="3">
        <f>12261</f>
        <v>12261</v>
      </c>
      <c r="B12268" s="3" t="s">
        <v>12270</v>
      </c>
      <c r="C12268" s="3" t="s">
        <v>10</v>
      </c>
      <c r="D12268" s="3" t="s">
        <v>9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/>
      <c r="P12268" s="3"/>
      <c r="Q12268" s="3"/>
    </row>
    <row r="12269" spans="1:17" ht="15" x14ac:dyDescent="0.25">
      <c r="A12269" s="3">
        <f>12262</f>
        <v>12262</v>
      </c>
      <c r="B12269" s="3" t="s">
        <v>12271</v>
      </c>
      <c r="C12269" s="3" t="s">
        <v>10</v>
      </c>
      <c r="D12269" s="3" t="s">
        <v>9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/>
      <c r="P12269" s="3"/>
      <c r="Q12269" s="3"/>
    </row>
    <row r="12270" spans="1:17" ht="15" x14ac:dyDescent="0.25">
      <c r="A12270" s="3">
        <f>12263</f>
        <v>12263</v>
      </c>
      <c r="B12270" s="3" t="s">
        <v>12272</v>
      </c>
      <c r="C12270" s="3" t="s">
        <v>10</v>
      </c>
      <c r="D12270" s="3" t="s">
        <v>9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/>
      <c r="P12270" s="3"/>
      <c r="Q12270" s="3"/>
    </row>
    <row r="12271" spans="1:17" ht="15" x14ac:dyDescent="0.25">
      <c r="A12271" s="3">
        <f>12264</f>
        <v>12264</v>
      </c>
      <c r="B12271" s="3" t="s">
        <v>12273</v>
      </c>
      <c r="C12271" s="3" t="s">
        <v>10</v>
      </c>
      <c r="D12271" s="3" t="s">
        <v>9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/>
      <c r="P12271" s="3"/>
      <c r="Q12271" s="3"/>
    </row>
    <row r="12272" spans="1:17" ht="15" x14ac:dyDescent="0.25">
      <c r="A12272" s="3">
        <f>12265</f>
        <v>12265</v>
      </c>
      <c r="B12272" s="3" t="s">
        <v>12274</v>
      </c>
      <c r="C12272" s="3" t="s">
        <v>10</v>
      </c>
      <c r="D12272" s="3" t="s">
        <v>9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/>
      <c r="P12272" s="3"/>
      <c r="Q12272" s="3"/>
    </row>
    <row r="12273" spans="1:17" ht="15" x14ac:dyDescent="0.25">
      <c r="A12273" s="3">
        <f>12266</f>
        <v>12266</v>
      </c>
      <c r="B12273" s="3" t="s">
        <v>12275</v>
      </c>
      <c r="C12273" s="3" t="s">
        <v>10</v>
      </c>
      <c r="D12273" s="3" t="s">
        <v>9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/>
      <c r="P12273" s="3"/>
      <c r="Q12273" s="3"/>
    </row>
    <row r="12274" spans="1:17" ht="15" x14ac:dyDescent="0.25">
      <c r="A12274" s="3">
        <f>12267</f>
        <v>12267</v>
      </c>
      <c r="B12274" s="3" t="s">
        <v>12276</v>
      </c>
      <c r="C12274" s="3" t="s">
        <v>10</v>
      </c>
      <c r="D12274" s="3" t="s">
        <v>9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/>
      <c r="P12274" s="3"/>
      <c r="Q12274" s="3"/>
    </row>
    <row r="12275" spans="1:17" ht="15" x14ac:dyDescent="0.25">
      <c r="A12275" s="3">
        <f>12268</f>
        <v>12268</v>
      </c>
      <c r="B12275" s="3" t="s">
        <v>12277</v>
      </c>
      <c r="C12275" s="3" t="s">
        <v>10</v>
      </c>
      <c r="D12275" s="3" t="s">
        <v>9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/>
      <c r="P12275" s="3"/>
      <c r="Q12275" s="3"/>
    </row>
    <row r="12276" spans="1:17" ht="15" x14ac:dyDescent="0.25">
      <c r="A12276" s="3">
        <f>12269</f>
        <v>12269</v>
      </c>
      <c r="B12276" s="3" t="s">
        <v>12278</v>
      </c>
      <c r="C12276" s="3" t="s">
        <v>10</v>
      </c>
      <c r="D12276" s="3" t="s">
        <v>9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/>
      <c r="P12276" s="3"/>
      <c r="Q12276" s="3"/>
    </row>
    <row r="12277" spans="1:17" ht="15" x14ac:dyDescent="0.25">
      <c r="A12277" s="3">
        <f>12270</f>
        <v>12270</v>
      </c>
      <c r="B12277" s="3" t="s">
        <v>12279</v>
      </c>
      <c r="C12277" s="3" t="s">
        <v>10</v>
      </c>
      <c r="D12277" s="3" t="s">
        <v>9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/>
      <c r="P12277" s="3"/>
      <c r="Q12277" s="3"/>
    </row>
    <row r="12278" spans="1:17" ht="15" x14ac:dyDescent="0.25">
      <c r="A12278" s="3">
        <f>12271</f>
        <v>12271</v>
      </c>
      <c r="B12278" s="3" t="s">
        <v>12280</v>
      </c>
      <c r="C12278" s="3" t="s">
        <v>10</v>
      </c>
      <c r="D12278" s="3" t="s">
        <v>9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/>
      <c r="P12278" s="3"/>
      <c r="Q12278" s="3"/>
    </row>
    <row r="12279" spans="1:17" ht="15" x14ac:dyDescent="0.25">
      <c r="A12279" s="3">
        <f>12272</f>
        <v>12272</v>
      </c>
      <c r="B12279" s="3" t="s">
        <v>12281</v>
      </c>
      <c r="C12279" s="3" t="s">
        <v>10</v>
      </c>
      <c r="D12279" s="3" t="s">
        <v>9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/>
      <c r="P12279" s="3"/>
      <c r="Q12279" s="3"/>
    </row>
    <row r="12280" spans="1:17" ht="15" x14ac:dyDescent="0.25">
      <c r="A12280" s="3">
        <f>12273</f>
        <v>12273</v>
      </c>
      <c r="B12280" s="3" t="s">
        <v>12282</v>
      </c>
      <c r="C12280" s="3" t="s">
        <v>10</v>
      </c>
      <c r="D12280" s="3" t="s">
        <v>9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/>
      <c r="P12280" s="3"/>
      <c r="Q12280" s="3"/>
    </row>
    <row r="12281" spans="1:17" ht="15" x14ac:dyDescent="0.25">
      <c r="A12281" s="3">
        <f>12274</f>
        <v>12274</v>
      </c>
      <c r="B12281" s="3" t="s">
        <v>12283</v>
      </c>
      <c r="C12281" s="3" t="s">
        <v>10</v>
      </c>
      <c r="D12281" s="3" t="s">
        <v>9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/>
      <c r="P12281" s="3"/>
      <c r="Q12281" s="3"/>
    </row>
    <row r="12282" spans="1:17" ht="15" x14ac:dyDescent="0.25">
      <c r="A12282" s="3">
        <f>12275</f>
        <v>12275</v>
      </c>
      <c r="B12282" s="3" t="s">
        <v>12284</v>
      </c>
      <c r="C12282" s="3" t="s">
        <v>10</v>
      </c>
      <c r="D12282" s="3" t="s">
        <v>9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/>
      <c r="P12282" s="3"/>
      <c r="Q12282" s="3"/>
    </row>
    <row r="12283" spans="1:17" ht="15" x14ac:dyDescent="0.25">
      <c r="A12283" s="3">
        <f>12276</f>
        <v>12276</v>
      </c>
      <c r="B12283" s="3" t="s">
        <v>12285</v>
      </c>
      <c r="C12283" s="3" t="s">
        <v>10</v>
      </c>
      <c r="D12283" s="3" t="s">
        <v>9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/>
      <c r="P12283" s="3"/>
      <c r="Q12283" s="3"/>
    </row>
    <row r="12284" spans="1:17" ht="15" x14ac:dyDescent="0.25">
      <c r="A12284" s="3">
        <f>12277</f>
        <v>12277</v>
      </c>
      <c r="B12284" s="3" t="s">
        <v>12286</v>
      </c>
      <c r="C12284" s="3" t="s">
        <v>10</v>
      </c>
      <c r="D12284" s="3" t="s">
        <v>9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/>
      <c r="P12284" s="3"/>
      <c r="Q12284" s="3"/>
    </row>
    <row r="12285" spans="1:17" ht="15" x14ac:dyDescent="0.25">
      <c r="A12285" s="3">
        <f>12278</f>
        <v>12278</v>
      </c>
      <c r="B12285" s="3" t="s">
        <v>12287</v>
      </c>
      <c r="C12285" s="3" t="s">
        <v>10</v>
      </c>
      <c r="D12285" s="3" t="s">
        <v>9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/>
      <c r="P12285" s="3"/>
      <c r="Q12285" s="3"/>
    </row>
    <row r="12286" spans="1:17" ht="15" x14ac:dyDescent="0.25">
      <c r="A12286" s="3">
        <f>12279</f>
        <v>12279</v>
      </c>
      <c r="B12286" s="3" t="s">
        <v>12288</v>
      </c>
      <c r="C12286" s="3" t="s">
        <v>10</v>
      </c>
      <c r="D12286" s="3" t="s">
        <v>9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/>
      <c r="P12286" s="3"/>
      <c r="Q12286" s="3"/>
    </row>
    <row r="12287" spans="1:17" ht="15" x14ac:dyDescent="0.25">
      <c r="A12287" s="3">
        <f>12280</f>
        <v>12280</v>
      </c>
      <c r="B12287" s="3" t="s">
        <v>12289</v>
      </c>
      <c r="C12287" s="3" t="s">
        <v>10</v>
      </c>
      <c r="D12287" s="3" t="s">
        <v>9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/>
      <c r="P12287" s="3"/>
      <c r="Q12287" s="3"/>
    </row>
    <row r="12288" spans="1:17" ht="15" x14ac:dyDescent="0.25">
      <c r="A12288" s="3">
        <f>12281</f>
        <v>12281</v>
      </c>
      <c r="B12288" s="3" t="s">
        <v>12290</v>
      </c>
      <c r="C12288" s="3" t="s">
        <v>10</v>
      </c>
      <c r="D12288" s="3" t="s">
        <v>9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/>
      <c r="P12288" s="3"/>
      <c r="Q12288" s="3"/>
    </row>
    <row r="12289" spans="1:17" ht="15" x14ac:dyDescent="0.25">
      <c r="A12289" s="3">
        <f>12282</f>
        <v>12282</v>
      </c>
      <c r="B12289" s="3" t="s">
        <v>12291</v>
      </c>
      <c r="C12289" s="3" t="s">
        <v>10</v>
      </c>
      <c r="D12289" s="3" t="s">
        <v>9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/>
      <c r="P12289" s="3"/>
      <c r="Q12289" s="3"/>
    </row>
    <row r="12290" spans="1:17" ht="15" x14ac:dyDescent="0.25">
      <c r="A12290" s="3">
        <f>12283</f>
        <v>12283</v>
      </c>
      <c r="B12290" s="3" t="s">
        <v>12292</v>
      </c>
      <c r="C12290" s="3" t="s">
        <v>10</v>
      </c>
      <c r="D12290" s="3" t="s">
        <v>9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/>
      <c r="P12290" s="3"/>
      <c r="Q12290" s="3"/>
    </row>
    <row r="12291" spans="1:17" ht="15" x14ac:dyDescent="0.25">
      <c r="A12291" s="3">
        <f>12284</f>
        <v>12284</v>
      </c>
      <c r="B12291" s="3" t="s">
        <v>12293</v>
      </c>
      <c r="C12291" s="3" t="s">
        <v>10</v>
      </c>
      <c r="D12291" s="3" t="s">
        <v>9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/>
      <c r="P12291" s="3"/>
      <c r="Q12291" s="3"/>
    </row>
    <row r="12292" spans="1:17" ht="15" x14ac:dyDescent="0.25">
      <c r="A12292" s="3">
        <f>12285</f>
        <v>12285</v>
      </c>
      <c r="B12292" s="3" t="s">
        <v>12294</v>
      </c>
      <c r="C12292" s="3" t="s">
        <v>10</v>
      </c>
      <c r="D12292" s="3" t="s">
        <v>9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/>
      <c r="P12292" s="3"/>
      <c r="Q12292" s="3"/>
    </row>
    <row r="12293" spans="1:17" ht="15" x14ac:dyDescent="0.25">
      <c r="A12293" s="3">
        <f>12286</f>
        <v>12286</v>
      </c>
      <c r="B12293" s="3" t="s">
        <v>12295</v>
      </c>
      <c r="C12293" s="3" t="s">
        <v>10</v>
      </c>
      <c r="D12293" s="3" t="s">
        <v>9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/>
      <c r="P12293" s="3"/>
      <c r="Q12293" s="3"/>
    </row>
    <row r="12294" spans="1:17" ht="15" x14ac:dyDescent="0.25">
      <c r="A12294" s="3">
        <f>12287</f>
        <v>12287</v>
      </c>
      <c r="B12294" s="3" t="s">
        <v>12296</v>
      </c>
      <c r="C12294" s="3" t="s">
        <v>10</v>
      </c>
      <c r="D12294" s="3" t="s">
        <v>9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/>
      <c r="P12294" s="3"/>
      <c r="Q12294" s="3"/>
    </row>
    <row r="12295" spans="1:17" ht="15" x14ac:dyDescent="0.25">
      <c r="A12295" s="3">
        <f>12288</f>
        <v>12288</v>
      </c>
      <c r="B12295" s="3" t="s">
        <v>12297</v>
      </c>
      <c r="C12295" s="3" t="s">
        <v>10</v>
      </c>
      <c r="D12295" s="3" t="s">
        <v>9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/>
      <c r="P12295" s="3"/>
      <c r="Q12295" s="3"/>
    </row>
    <row r="12296" spans="1:17" ht="15" x14ac:dyDescent="0.25">
      <c r="A12296" s="3">
        <f>12289</f>
        <v>12289</v>
      </c>
      <c r="B12296" s="3" t="s">
        <v>12298</v>
      </c>
      <c r="C12296" s="3" t="s">
        <v>10</v>
      </c>
      <c r="D12296" s="3" t="s">
        <v>9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/>
      <c r="P12296" s="3"/>
      <c r="Q12296" s="3"/>
    </row>
    <row r="12297" spans="1:17" ht="15" x14ac:dyDescent="0.25">
      <c r="A12297" s="3">
        <f>12290</f>
        <v>12290</v>
      </c>
      <c r="B12297" s="3" t="s">
        <v>12299</v>
      </c>
      <c r="C12297" s="3" t="s">
        <v>10</v>
      </c>
      <c r="D12297" s="3" t="s">
        <v>9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/>
      <c r="P12297" s="3"/>
      <c r="Q12297" s="3"/>
    </row>
    <row r="12298" spans="1:17" ht="15" x14ac:dyDescent="0.25">
      <c r="A12298" s="3">
        <f>12291</f>
        <v>12291</v>
      </c>
      <c r="B12298" s="3" t="s">
        <v>12300</v>
      </c>
      <c r="C12298" s="3" t="s">
        <v>10</v>
      </c>
      <c r="D12298" s="3" t="s">
        <v>9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/>
      <c r="P12298" s="3"/>
      <c r="Q12298" s="3"/>
    </row>
    <row r="12299" spans="1:17" ht="15" x14ac:dyDescent="0.25">
      <c r="A12299" s="3">
        <f>12292</f>
        <v>12292</v>
      </c>
      <c r="B12299" s="3" t="s">
        <v>12301</v>
      </c>
      <c r="C12299" s="3" t="s">
        <v>10</v>
      </c>
      <c r="D12299" s="3" t="s">
        <v>9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/>
      <c r="P12299" s="3"/>
      <c r="Q12299" s="3"/>
    </row>
    <row r="12300" spans="1:17" ht="15" x14ac:dyDescent="0.25">
      <c r="A12300" s="3">
        <f>12293</f>
        <v>12293</v>
      </c>
      <c r="B12300" s="3" t="s">
        <v>12302</v>
      </c>
      <c r="C12300" s="3" t="s">
        <v>10</v>
      </c>
      <c r="D12300" s="3" t="s">
        <v>9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/>
      <c r="P12300" s="3"/>
      <c r="Q12300" s="3"/>
    </row>
    <row r="12301" spans="1:17" ht="15" x14ac:dyDescent="0.25">
      <c r="A12301" s="3">
        <f>12294</f>
        <v>12294</v>
      </c>
      <c r="B12301" s="3" t="s">
        <v>12303</v>
      </c>
      <c r="C12301" s="3" t="s">
        <v>10</v>
      </c>
      <c r="D12301" s="3" t="s">
        <v>9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/>
      <c r="P12301" s="3"/>
      <c r="Q12301" s="3"/>
    </row>
    <row r="12302" spans="1:17" ht="15" x14ac:dyDescent="0.25">
      <c r="A12302" s="3">
        <f>12295</f>
        <v>12295</v>
      </c>
      <c r="B12302" s="3" t="s">
        <v>12304</v>
      </c>
      <c r="C12302" s="3" t="s">
        <v>10</v>
      </c>
      <c r="D12302" s="3" t="s">
        <v>9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/>
      <c r="P12302" s="3"/>
      <c r="Q12302" s="3"/>
    </row>
    <row r="12303" spans="1:17" ht="15" x14ac:dyDescent="0.25">
      <c r="A12303" s="3">
        <f>12296</f>
        <v>12296</v>
      </c>
      <c r="B12303" s="3" t="s">
        <v>12305</v>
      </c>
      <c r="C12303" s="3" t="s">
        <v>10</v>
      </c>
      <c r="D12303" s="3" t="s">
        <v>9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/>
      <c r="P12303" s="3"/>
      <c r="Q12303" s="3"/>
    </row>
    <row r="12304" spans="1:17" ht="15" x14ac:dyDescent="0.25">
      <c r="A12304" s="3">
        <f>12297</f>
        <v>12297</v>
      </c>
      <c r="B12304" s="3" t="s">
        <v>12306</v>
      </c>
      <c r="C12304" s="3" t="s">
        <v>10</v>
      </c>
      <c r="D12304" s="3" t="s">
        <v>9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/>
      <c r="P12304" s="3"/>
      <c r="Q12304" s="3"/>
    </row>
    <row r="12305" spans="1:17" ht="15" x14ac:dyDescent="0.25">
      <c r="A12305" s="3">
        <f>12298</f>
        <v>12298</v>
      </c>
      <c r="B12305" s="3" t="s">
        <v>12307</v>
      </c>
      <c r="C12305" s="3" t="s">
        <v>10</v>
      </c>
      <c r="D12305" s="3" t="s">
        <v>9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/>
      <c r="P12305" s="3"/>
      <c r="Q12305" s="3"/>
    </row>
    <row r="12306" spans="1:17" ht="15" x14ac:dyDescent="0.25">
      <c r="A12306" s="3">
        <f>12299</f>
        <v>12299</v>
      </c>
      <c r="B12306" s="3" t="s">
        <v>12308</v>
      </c>
      <c r="C12306" s="3" t="s">
        <v>10</v>
      </c>
      <c r="D12306" s="3" t="s">
        <v>9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/>
      <c r="P12306" s="3"/>
      <c r="Q12306" s="3"/>
    </row>
    <row r="12307" spans="1:17" ht="15" x14ac:dyDescent="0.25">
      <c r="A12307" s="3">
        <f>12300</f>
        <v>12300</v>
      </c>
      <c r="B12307" s="3" t="s">
        <v>12309</v>
      </c>
      <c r="C12307" s="3" t="s">
        <v>10</v>
      </c>
      <c r="D12307" s="3" t="s">
        <v>9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/>
      <c r="P12307" s="3"/>
      <c r="Q12307" s="3"/>
    </row>
    <row r="12308" spans="1:17" ht="15" x14ac:dyDescent="0.25">
      <c r="A12308" s="3">
        <f>12301</f>
        <v>12301</v>
      </c>
      <c r="B12308" s="3" t="s">
        <v>12310</v>
      </c>
      <c r="C12308" s="3" t="s">
        <v>10</v>
      </c>
      <c r="D12308" s="3" t="s">
        <v>9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/>
      <c r="P12308" s="3"/>
      <c r="Q12308" s="3"/>
    </row>
    <row r="12309" spans="1:17" ht="15" x14ac:dyDescent="0.25">
      <c r="A12309" s="3">
        <f>12302</f>
        <v>12302</v>
      </c>
      <c r="B12309" s="3" t="s">
        <v>12311</v>
      </c>
      <c r="C12309" s="3" t="s">
        <v>10</v>
      </c>
      <c r="D12309" s="3" t="s">
        <v>9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/>
      <c r="P12309" s="3"/>
      <c r="Q12309" s="3"/>
    </row>
    <row r="12310" spans="1:17" ht="15" x14ac:dyDescent="0.25">
      <c r="A12310" s="3">
        <f>12303</f>
        <v>12303</v>
      </c>
      <c r="B12310" s="3" t="s">
        <v>12312</v>
      </c>
      <c r="C12310" s="3" t="s">
        <v>10</v>
      </c>
      <c r="D12310" s="3" t="s">
        <v>9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/>
      <c r="P12310" s="3"/>
      <c r="Q12310" s="3"/>
    </row>
    <row r="12311" spans="1:17" ht="15" x14ac:dyDescent="0.25">
      <c r="A12311" s="3">
        <f>12304</f>
        <v>12304</v>
      </c>
      <c r="B12311" s="3" t="s">
        <v>12313</v>
      </c>
      <c r="C12311" s="3" t="s">
        <v>10</v>
      </c>
      <c r="D12311" s="3" t="s">
        <v>9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/>
      <c r="P12311" s="3"/>
      <c r="Q12311" s="3"/>
    </row>
    <row r="12312" spans="1:17" ht="15" x14ac:dyDescent="0.25">
      <c r="A12312" s="3">
        <f>12305</f>
        <v>12305</v>
      </c>
      <c r="B12312" s="3" t="s">
        <v>12314</v>
      </c>
      <c r="C12312" s="3" t="s">
        <v>10</v>
      </c>
      <c r="D12312" s="3" t="s">
        <v>9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/>
      <c r="P12312" s="3"/>
      <c r="Q12312" s="3"/>
    </row>
    <row r="12313" spans="1:17" ht="15" x14ac:dyDescent="0.25">
      <c r="A12313" s="3">
        <f>12306</f>
        <v>12306</v>
      </c>
      <c r="B12313" s="3" t="s">
        <v>12315</v>
      </c>
      <c r="C12313" s="3" t="s">
        <v>10</v>
      </c>
      <c r="D12313" s="3" t="s">
        <v>9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/>
      <c r="P12313" s="3"/>
      <c r="Q12313" s="3"/>
    </row>
    <row r="12314" spans="1:17" ht="15" x14ac:dyDescent="0.25">
      <c r="A12314" s="3">
        <f>12307</f>
        <v>12307</v>
      </c>
      <c r="B12314" s="3" t="s">
        <v>12316</v>
      </c>
      <c r="C12314" s="3" t="s">
        <v>10</v>
      </c>
      <c r="D12314" s="3" t="s">
        <v>9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/>
      <c r="P12314" s="3"/>
      <c r="Q12314" s="3"/>
    </row>
    <row r="12315" spans="1:17" ht="15" x14ac:dyDescent="0.25">
      <c r="A12315" s="3">
        <f>12308</f>
        <v>12308</v>
      </c>
      <c r="B12315" s="3" t="s">
        <v>12317</v>
      </c>
      <c r="C12315" s="3" t="s">
        <v>10</v>
      </c>
      <c r="D12315" s="3" t="s">
        <v>9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/>
      <c r="P12315" s="3"/>
      <c r="Q12315" s="3"/>
    </row>
    <row r="12316" spans="1:17" ht="15" x14ac:dyDescent="0.25">
      <c r="A12316" s="3">
        <f>12309</f>
        <v>12309</v>
      </c>
      <c r="B12316" s="3" t="s">
        <v>12318</v>
      </c>
      <c r="C12316" s="3" t="s">
        <v>10</v>
      </c>
      <c r="D12316" s="3" t="s">
        <v>9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/>
      <c r="P12316" s="3"/>
      <c r="Q12316" s="3"/>
    </row>
    <row r="12317" spans="1:17" ht="15" x14ac:dyDescent="0.25">
      <c r="A12317" s="3">
        <f>12310</f>
        <v>12310</v>
      </c>
      <c r="B12317" s="3" t="s">
        <v>12319</v>
      </c>
      <c r="C12317" s="3" t="s">
        <v>10</v>
      </c>
      <c r="D12317" s="3" t="s">
        <v>9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/>
      <c r="P12317" s="3"/>
      <c r="Q12317" s="3"/>
    </row>
    <row r="12318" spans="1:17" ht="15" x14ac:dyDescent="0.25">
      <c r="A12318" s="3">
        <f>12311</f>
        <v>12311</v>
      </c>
      <c r="B12318" s="3" t="s">
        <v>12320</v>
      </c>
      <c r="C12318" s="3" t="s">
        <v>10</v>
      </c>
      <c r="D12318" s="3" t="s">
        <v>9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/>
      <c r="P12318" s="3"/>
      <c r="Q12318" s="3"/>
    </row>
    <row r="12319" spans="1:17" ht="15" x14ac:dyDescent="0.25">
      <c r="A12319" s="3">
        <f>12312</f>
        <v>12312</v>
      </c>
      <c r="B12319" s="3" t="s">
        <v>12321</v>
      </c>
      <c r="C12319" s="3" t="s">
        <v>10</v>
      </c>
      <c r="D12319" s="3" t="s">
        <v>9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/>
      <c r="P12319" s="3"/>
      <c r="Q12319" s="3"/>
    </row>
    <row r="12320" spans="1:17" ht="15" x14ac:dyDescent="0.25">
      <c r="A12320" s="3">
        <f>12313</f>
        <v>12313</v>
      </c>
      <c r="B12320" s="3" t="s">
        <v>12322</v>
      </c>
      <c r="C12320" s="3" t="s">
        <v>10</v>
      </c>
      <c r="D12320" s="3" t="s">
        <v>9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/>
      <c r="P12320" s="3"/>
      <c r="Q12320" s="3"/>
    </row>
    <row r="12321" spans="1:17" ht="15" x14ac:dyDescent="0.25">
      <c r="A12321" s="3">
        <f>12314</f>
        <v>12314</v>
      </c>
      <c r="B12321" s="3" t="s">
        <v>12323</v>
      </c>
      <c r="C12321" s="3" t="s">
        <v>10</v>
      </c>
      <c r="D12321" s="3" t="s">
        <v>9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/>
      <c r="P12321" s="3"/>
      <c r="Q12321" s="3"/>
    </row>
    <row r="12322" spans="1:17" ht="15" x14ac:dyDescent="0.25">
      <c r="A12322" s="3">
        <f>12315</f>
        <v>12315</v>
      </c>
      <c r="B12322" s="3" t="s">
        <v>12324</v>
      </c>
      <c r="C12322" s="3" t="s">
        <v>10</v>
      </c>
      <c r="D12322" s="3" t="s">
        <v>9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/>
      <c r="P12322" s="3"/>
      <c r="Q12322" s="3"/>
    </row>
    <row r="12323" spans="1:17" ht="15" x14ac:dyDescent="0.25">
      <c r="A12323" s="3">
        <f>12316</f>
        <v>12316</v>
      </c>
      <c r="B12323" s="3" t="s">
        <v>12325</v>
      </c>
      <c r="C12323" s="3" t="s">
        <v>10</v>
      </c>
      <c r="D12323" s="3" t="s">
        <v>9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/>
      <c r="P12323" s="3"/>
      <c r="Q12323" s="3"/>
    </row>
    <row r="12324" spans="1:17" ht="15" x14ac:dyDescent="0.25">
      <c r="A12324" s="3">
        <f>12317</f>
        <v>12317</v>
      </c>
      <c r="B12324" s="3" t="s">
        <v>12326</v>
      </c>
      <c r="C12324" s="3" t="s">
        <v>10</v>
      </c>
      <c r="D12324" s="3" t="s">
        <v>9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/>
      <c r="P12324" s="3"/>
      <c r="Q12324" s="3"/>
    </row>
    <row r="12325" spans="1:17" ht="15" x14ac:dyDescent="0.25">
      <c r="A12325" s="3">
        <f>12318</f>
        <v>12318</v>
      </c>
      <c r="B12325" s="3" t="s">
        <v>12327</v>
      </c>
      <c r="C12325" s="3" t="s">
        <v>10</v>
      </c>
      <c r="D12325" s="3" t="s">
        <v>9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/>
      <c r="P12325" s="3"/>
      <c r="Q12325" s="3"/>
    </row>
    <row r="12326" spans="1:17" ht="15" x14ac:dyDescent="0.25">
      <c r="A12326" s="3">
        <f>12319</f>
        <v>12319</v>
      </c>
      <c r="B12326" s="3" t="s">
        <v>12328</v>
      </c>
      <c r="C12326" s="3" t="s">
        <v>10</v>
      </c>
      <c r="D12326" s="3" t="s">
        <v>9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/>
      <c r="P12326" s="3"/>
      <c r="Q12326" s="3"/>
    </row>
    <row r="12327" spans="1:17" ht="15" x14ac:dyDescent="0.25">
      <c r="A12327" s="3">
        <f>12320</f>
        <v>12320</v>
      </c>
      <c r="B12327" s="3" t="s">
        <v>12329</v>
      </c>
      <c r="C12327" s="3" t="s">
        <v>10</v>
      </c>
      <c r="D12327" s="3" t="s">
        <v>9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/>
      <c r="P12327" s="3"/>
      <c r="Q12327" s="3"/>
    </row>
    <row r="12328" spans="1:17" ht="15" x14ac:dyDescent="0.25">
      <c r="A12328" s="3">
        <f>12321</f>
        <v>12321</v>
      </c>
      <c r="B12328" s="3" t="s">
        <v>12330</v>
      </c>
      <c r="C12328" s="3" t="s">
        <v>10</v>
      </c>
      <c r="D12328" s="3" t="s">
        <v>9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/>
      <c r="P12328" s="3"/>
      <c r="Q12328" s="3"/>
    </row>
    <row r="12329" spans="1:17" ht="15" x14ac:dyDescent="0.25">
      <c r="A12329" s="3">
        <f>12322</f>
        <v>12322</v>
      </c>
      <c r="B12329" s="3" t="s">
        <v>12331</v>
      </c>
      <c r="C12329" s="3" t="s">
        <v>10</v>
      </c>
      <c r="D12329" s="3" t="s">
        <v>9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/>
      <c r="P12329" s="3"/>
      <c r="Q12329" s="3"/>
    </row>
    <row r="12330" spans="1:17" ht="15" x14ac:dyDescent="0.25">
      <c r="A12330" s="3">
        <f>12323</f>
        <v>12323</v>
      </c>
      <c r="B12330" s="3" t="s">
        <v>12332</v>
      </c>
      <c r="C12330" s="3" t="s">
        <v>10</v>
      </c>
      <c r="D12330" s="3" t="s">
        <v>9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/>
      <c r="P12330" s="3"/>
      <c r="Q12330" s="3"/>
    </row>
    <row r="12331" spans="1:17" ht="15" x14ac:dyDescent="0.25">
      <c r="A12331" s="3">
        <f>12324</f>
        <v>12324</v>
      </c>
      <c r="B12331" s="3" t="s">
        <v>12333</v>
      </c>
      <c r="C12331" s="3" t="s">
        <v>10</v>
      </c>
      <c r="D12331" s="3" t="s">
        <v>9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/>
      <c r="P12331" s="3"/>
      <c r="Q12331" s="3"/>
    </row>
    <row r="12332" spans="1:17" ht="15" x14ac:dyDescent="0.25">
      <c r="A12332" s="3">
        <f>12325</f>
        <v>12325</v>
      </c>
      <c r="B12332" s="3" t="s">
        <v>12334</v>
      </c>
      <c r="C12332" s="3" t="s">
        <v>10</v>
      </c>
      <c r="D12332" s="3" t="s">
        <v>9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/>
      <c r="P12332" s="3"/>
      <c r="Q12332" s="3"/>
    </row>
    <row r="12333" spans="1:17" ht="15" x14ac:dyDescent="0.25">
      <c r="A12333" s="3">
        <f>12326</f>
        <v>12326</v>
      </c>
      <c r="B12333" s="3" t="s">
        <v>12335</v>
      </c>
      <c r="C12333" s="3" t="s">
        <v>10</v>
      </c>
      <c r="D12333" s="3" t="s">
        <v>9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/>
      <c r="P12333" s="3"/>
      <c r="Q12333" s="3"/>
    </row>
    <row r="12334" spans="1:17" ht="15" x14ac:dyDescent="0.25">
      <c r="A12334" s="3">
        <f>12327</f>
        <v>12327</v>
      </c>
      <c r="B12334" s="3" t="s">
        <v>12336</v>
      </c>
      <c r="C12334" s="3" t="s">
        <v>10</v>
      </c>
      <c r="D12334" s="3" t="s">
        <v>9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/>
      <c r="P12334" s="3"/>
      <c r="Q12334" s="3"/>
    </row>
    <row r="12335" spans="1:17" ht="15" x14ac:dyDescent="0.25">
      <c r="A12335" s="3">
        <f>12328</f>
        <v>12328</v>
      </c>
      <c r="B12335" s="3" t="s">
        <v>12337</v>
      </c>
      <c r="C12335" s="3" t="s">
        <v>10</v>
      </c>
      <c r="D12335" s="3" t="s">
        <v>9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/>
      <c r="P12335" s="3"/>
      <c r="Q12335" s="3"/>
    </row>
    <row r="12336" spans="1:17" ht="15" x14ac:dyDescent="0.25">
      <c r="A12336" s="3">
        <f>12329</f>
        <v>12329</v>
      </c>
      <c r="B12336" s="3" t="s">
        <v>12338</v>
      </c>
      <c r="C12336" s="3" t="s">
        <v>10</v>
      </c>
      <c r="D12336" s="3" t="s">
        <v>9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/>
      <c r="P12336" s="3"/>
      <c r="Q12336" s="3"/>
    </row>
    <row r="12337" spans="1:17" ht="15" x14ac:dyDescent="0.25">
      <c r="A12337" s="3">
        <f>12330</f>
        <v>12330</v>
      </c>
      <c r="B12337" s="3" t="s">
        <v>12339</v>
      </c>
      <c r="C12337" s="3" t="s">
        <v>10</v>
      </c>
      <c r="D12337" s="3" t="s">
        <v>9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/>
      <c r="P12337" s="3"/>
      <c r="Q12337" s="3"/>
    </row>
    <row r="12338" spans="1:17" ht="15" x14ac:dyDescent="0.25">
      <c r="A12338" s="3">
        <f>12331</f>
        <v>12331</v>
      </c>
      <c r="B12338" s="3" t="s">
        <v>12340</v>
      </c>
      <c r="C12338" s="3" t="s">
        <v>10</v>
      </c>
      <c r="D12338" s="3" t="s">
        <v>9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/>
      <c r="P12338" s="3"/>
      <c r="Q12338" s="3"/>
    </row>
    <row r="12339" spans="1:17" ht="15" x14ac:dyDescent="0.25">
      <c r="A12339" s="3">
        <f>12332</f>
        <v>12332</v>
      </c>
      <c r="B12339" s="3" t="s">
        <v>12341</v>
      </c>
      <c r="C12339" s="3" t="s">
        <v>10</v>
      </c>
      <c r="D12339" s="3" t="s">
        <v>9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/>
      <c r="P12339" s="3"/>
      <c r="Q12339" s="3"/>
    </row>
    <row r="12340" spans="1:17" ht="15" x14ac:dyDescent="0.25">
      <c r="A12340" s="3">
        <f>12333</f>
        <v>12333</v>
      </c>
      <c r="B12340" s="3" t="s">
        <v>12342</v>
      </c>
      <c r="C12340" s="3" t="s">
        <v>10</v>
      </c>
      <c r="D12340" s="3" t="s">
        <v>9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/>
      <c r="P12340" s="3"/>
      <c r="Q12340" s="3"/>
    </row>
    <row r="12341" spans="1:17" ht="15" x14ac:dyDescent="0.25">
      <c r="A12341" s="3">
        <f>12334</f>
        <v>12334</v>
      </c>
      <c r="B12341" s="3" t="s">
        <v>12343</v>
      </c>
      <c r="C12341" s="3" t="s">
        <v>10</v>
      </c>
      <c r="D12341" s="3" t="s">
        <v>9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/>
      <c r="P12341" s="3"/>
      <c r="Q12341" s="3"/>
    </row>
    <row r="12342" spans="1:17" ht="15" x14ac:dyDescent="0.25">
      <c r="A12342" s="3">
        <f>12335</f>
        <v>12335</v>
      </c>
      <c r="B12342" s="3" t="s">
        <v>12344</v>
      </c>
      <c r="C12342" s="3" t="s">
        <v>10</v>
      </c>
      <c r="D12342" s="3" t="s">
        <v>9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/>
      <c r="P12342" s="3"/>
      <c r="Q12342" s="3"/>
    </row>
    <row r="12343" spans="1:17" ht="15" x14ac:dyDescent="0.25">
      <c r="A12343" s="3">
        <f>12336</f>
        <v>12336</v>
      </c>
      <c r="B12343" s="3" t="s">
        <v>12345</v>
      </c>
      <c r="C12343" s="3" t="s">
        <v>10</v>
      </c>
      <c r="D12343" s="3" t="s">
        <v>9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/>
      <c r="P12343" s="3"/>
      <c r="Q12343" s="3"/>
    </row>
    <row r="12344" spans="1:17" ht="15" x14ac:dyDescent="0.25">
      <c r="A12344" s="3">
        <f>12337</f>
        <v>12337</v>
      </c>
      <c r="B12344" s="3" t="s">
        <v>12346</v>
      </c>
      <c r="C12344" s="3" t="s">
        <v>10</v>
      </c>
      <c r="D12344" s="3" t="s">
        <v>9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/>
      <c r="P12344" s="3"/>
      <c r="Q12344" s="3"/>
    </row>
    <row r="12345" spans="1:17" ht="15" x14ac:dyDescent="0.25">
      <c r="A12345" s="3">
        <f>12338</f>
        <v>12338</v>
      </c>
      <c r="B12345" s="3" t="s">
        <v>12347</v>
      </c>
      <c r="C12345" s="3" t="s">
        <v>10</v>
      </c>
      <c r="D12345" s="3" t="s">
        <v>9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/>
      <c r="P12345" s="3"/>
      <c r="Q12345" s="3"/>
    </row>
    <row r="12346" spans="1:17" ht="15" x14ac:dyDescent="0.25">
      <c r="A12346" s="3">
        <f>12339</f>
        <v>12339</v>
      </c>
      <c r="B12346" s="3" t="s">
        <v>12348</v>
      </c>
      <c r="C12346" s="3" t="s">
        <v>10</v>
      </c>
      <c r="D12346" s="3" t="s">
        <v>9</v>
      </c>
      <c r="E12346" s="3">
        <v>0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/>
      <c r="P12346" s="3"/>
      <c r="Q12346" s="3"/>
    </row>
    <row r="12347" spans="1:17" ht="15" x14ac:dyDescent="0.25">
      <c r="A12347" s="3">
        <f>12340</f>
        <v>12340</v>
      </c>
      <c r="B12347" s="3" t="s">
        <v>12349</v>
      </c>
      <c r="C12347" s="3" t="s">
        <v>10</v>
      </c>
      <c r="D12347" s="3" t="s">
        <v>9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/>
      <c r="P12347" s="3"/>
      <c r="Q12347" s="3"/>
    </row>
    <row r="12348" spans="1:17" ht="15" x14ac:dyDescent="0.25">
      <c r="A12348" s="3">
        <f>12341</f>
        <v>12341</v>
      </c>
      <c r="B12348" s="3" t="s">
        <v>12350</v>
      </c>
      <c r="C12348" s="3" t="s">
        <v>10</v>
      </c>
      <c r="D12348" s="3" t="s">
        <v>9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/>
      <c r="P12348" s="3"/>
      <c r="Q12348" s="3"/>
    </row>
    <row r="12349" spans="1:17" ht="15" x14ac:dyDescent="0.25">
      <c r="A12349" s="3">
        <f>12342</f>
        <v>12342</v>
      </c>
      <c r="B12349" s="3" t="s">
        <v>12351</v>
      </c>
      <c r="C12349" s="3" t="s">
        <v>10</v>
      </c>
      <c r="D12349" s="3" t="s">
        <v>9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/>
      <c r="P12349" s="3"/>
      <c r="Q12349" s="3"/>
    </row>
    <row r="12350" spans="1:17" ht="15" x14ac:dyDescent="0.25">
      <c r="A12350" s="3">
        <f>12343</f>
        <v>12343</v>
      </c>
      <c r="B12350" s="3" t="s">
        <v>12352</v>
      </c>
      <c r="C12350" s="3" t="s">
        <v>10</v>
      </c>
      <c r="D12350" s="3" t="s">
        <v>9</v>
      </c>
      <c r="E12350" s="3">
        <v>0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/>
      <c r="P12350" s="3"/>
      <c r="Q12350" s="3"/>
    </row>
    <row r="12351" spans="1:17" ht="15" x14ac:dyDescent="0.25">
      <c r="A12351" s="3">
        <f>12344</f>
        <v>12344</v>
      </c>
      <c r="B12351" s="3" t="s">
        <v>12353</v>
      </c>
      <c r="C12351" s="3" t="s">
        <v>10</v>
      </c>
      <c r="D12351" s="3" t="s">
        <v>9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/>
      <c r="P12351" s="3"/>
      <c r="Q12351" s="3"/>
    </row>
    <row r="12352" spans="1:17" ht="15" x14ac:dyDescent="0.25">
      <c r="A12352" s="3">
        <f>12345</f>
        <v>12345</v>
      </c>
      <c r="B12352" s="3" t="s">
        <v>12354</v>
      </c>
      <c r="C12352" s="3" t="s">
        <v>10</v>
      </c>
      <c r="D12352" s="3" t="s">
        <v>9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/>
      <c r="P12352" s="3"/>
      <c r="Q12352" s="3"/>
    </row>
    <row r="12353" spans="1:17" ht="15" x14ac:dyDescent="0.25">
      <c r="A12353" s="3">
        <f>12346</f>
        <v>12346</v>
      </c>
      <c r="B12353" s="3" t="s">
        <v>12355</v>
      </c>
      <c r="C12353" s="3" t="s">
        <v>10</v>
      </c>
      <c r="D12353" s="3" t="s">
        <v>9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/>
      <c r="P12353" s="3"/>
      <c r="Q12353" s="3"/>
    </row>
    <row r="12354" spans="1:17" ht="15" x14ac:dyDescent="0.25">
      <c r="A12354" s="3">
        <f>12347</f>
        <v>12347</v>
      </c>
      <c r="B12354" s="3" t="s">
        <v>12356</v>
      </c>
      <c r="C12354" s="3" t="s">
        <v>10</v>
      </c>
      <c r="D12354" s="3" t="s">
        <v>9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/>
      <c r="P12354" s="3"/>
      <c r="Q12354" s="3"/>
    </row>
    <row r="12355" spans="1:17" ht="15" x14ac:dyDescent="0.25">
      <c r="A12355" s="3">
        <f>12348</f>
        <v>12348</v>
      </c>
      <c r="B12355" s="3" t="s">
        <v>12357</v>
      </c>
      <c r="C12355" s="3" t="s">
        <v>10</v>
      </c>
      <c r="D12355" s="3" t="s">
        <v>9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/>
      <c r="P12355" s="3"/>
      <c r="Q12355" s="3"/>
    </row>
    <row r="12356" spans="1:17" ht="15" x14ac:dyDescent="0.25">
      <c r="A12356" s="3">
        <f>12349</f>
        <v>12349</v>
      </c>
      <c r="B12356" s="3" t="s">
        <v>12358</v>
      </c>
      <c r="C12356" s="3" t="s">
        <v>10</v>
      </c>
      <c r="D12356" s="3" t="s">
        <v>9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/>
      <c r="P12356" s="3"/>
      <c r="Q12356" s="3"/>
    </row>
    <row r="12357" spans="1:17" ht="15" x14ac:dyDescent="0.25">
      <c r="A12357" s="3">
        <f>12350</f>
        <v>12350</v>
      </c>
      <c r="B12357" s="3" t="s">
        <v>12359</v>
      </c>
      <c r="C12357" s="3" t="s">
        <v>10</v>
      </c>
      <c r="D12357" s="3" t="s">
        <v>9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/>
      <c r="P12357" s="3"/>
      <c r="Q12357" s="3"/>
    </row>
    <row r="12358" spans="1:17" ht="15" x14ac:dyDescent="0.25">
      <c r="A12358" s="3">
        <f>12351</f>
        <v>12351</v>
      </c>
      <c r="B12358" s="3" t="s">
        <v>12360</v>
      </c>
      <c r="C12358" s="3" t="s">
        <v>10</v>
      </c>
      <c r="D12358" s="3" t="s">
        <v>9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/>
      <c r="P12358" s="3"/>
      <c r="Q12358" s="3"/>
    </row>
    <row r="12359" spans="1:17" ht="15" x14ac:dyDescent="0.25">
      <c r="A12359" s="3">
        <f>12352</f>
        <v>12352</v>
      </c>
      <c r="B12359" s="3" t="s">
        <v>12361</v>
      </c>
      <c r="C12359" s="3" t="s">
        <v>10</v>
      </c>
      <c r="D12359" s="3" t="s">
        <v>9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/>
      <c r="P12359" s="3"/>
      <c r="Q12359" s="3"/>
    </row>
    <row r="12360" spans="1:17" ht="15" x14ac:dyDescent="0.25">
      <c r="A12360" s="3">
        <f>12353</f>
        <v>12353</v>
      </c>
      <c r="B12360" s="3" t="s">
        <v>12362</v>
      </c>
      <c r="C12360" s="3" t="s">
        <v>10</v>
      </c>
      <c r="D12360" s="3" t="s">
        <v>9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/>
      <c r="P12360" s="3"/>
      <c r="Q12360" s="3"/>
    </row>
    <row r="12361" spans="1:17" ht="15" x14ac:dyDescent="0.25">
      <c r="A12361" s="3">
        <f>12354</f>
        <v>12354</v>
      </c>
      <c r="B12361" s="3" t="s">
        <v>12363</v>
      </c>
      <c r="C12361" s="3" t="s">
        <v>10</v>
      </c>
      <c r="D12361" s="3" t="s">
        <v>9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/>
      <c r="P12361" s="3"/>
      <c r="Q12361" s="3"/>
    </row>
    <row r="12362" spans="1:17" ht="15" x14ac:dyDescent="0.25">
      <c r="A12362" s="3">
        <f>12355</f>
        <v>12355</v>
      </c>
      <c r="B12362" s="3" t="s">
        <v>12364</v>
      </c>
      <c r="C12362" s="3" t="s">
        <v>10</v>
      </c>
      <c r="D12362" s="3" t="s">
        <v>9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/>
      <c r="P12362" s="3"/>
      <c r="Q12362" s="3"/>
    </row>
    <row r="12363" spans="1:17" ht="15" x14ac:dyDescent="0.25">
      <c r="A12363" s="3">
        <f>12356</f>
        <v>12356</v>
      </c>
      <c r="B12363" s="3" t="s">
        <v>12365</v>
      </c>
      <c r="C12363" s="3" t="s">
        <v>10</v>
      </c>
      <c r="D12363" s="3" t="s">
        <v>9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/>
      <c r="P12363" s="3"/>
      <c r="Q12363" s="3"/>
    </row>
    <row r="12364" spans="1:17" ht="15" x14ac:dyDescent="0.25">
      <c r="A12364" s="3">
        <f>12357</f>
        <v>12357</v>
      </c>
      <c r="B12364" s="3" t="s">
        <v>12366</v>
      </c>
      <c r="C12364" s="3" t="s">
        <v>10</v>
      </c>
      <c r="D12364" s="3" t="s">
        <v>9</v>
      </c>
      <c r="E12364" s="3">
        <v>0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/>
      <c r="P12364" s="3"/>
      <c r="Q12364" s="3"/>
    </row>
    <row r="12365" spans="1:17" ht="15" x14ac:dyDescent="0.25">
      <c r="A12365" s="3">
        <f>12358</f>
        <v>12358</v>
      </c>
      <c r="B12365" s="3" t="s">
        <v>12367</v>
      </c>
      <c r="C12365" s="3" t="s">
        <v>10</v>
      </c>
      <c r="D12365" s="3" t="s">
        <v>9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/>
      <c r="P12365" s="3"/>
      <c r="Q12365" s="3"/>
    </row>
    <row r="12366" spans="1:17" ht="15" x14ac:dyDescent="0.25">
      <c r="A12366" s="3">
        <f>12359</f>
        <v>12359</v>
      </c>
      <c r="B12366" s="3" t="s">
        <v>12368</v>
      </c>
      <c r="C12366" s="3" t="s">
        <v>10</v>
      </c>
      <c r="D12366" s="3" t="s">
        <v>9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/>
      <c r="P12366" s="3"/>
      <c r="Q12366" s="3"/>
    </row>
    <row r="12367" spans="1:17" ht="15" x14ac:dyDescent="0.25">
      <c r="A12367" s="3">
        <f>12360</f>
        <v>12360</v>
      </c>
      <c r="B12367" s="3" t="s">
        <v>12369</v>
      </c>
      <c r="C12367" s="3" t="s">
        <v>10</v>
      </c>
      <c r="D12367" s="3" t="s">
        <v>9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/>
      <c r="P12367" s="3"/>
      <c r="Q12367" s="3"/>
    </row>
    <row r="12368" spans="1:17" ht="15" x14ac:dyDescent="0.25">
      <c r="A12368" s="3">
        <f>12361</f>
        <v>12361</v>
      </c>
      <c r="B12368" s="3" t="s">
        <v>12370</v>
      </c>
      <c r="C12368" s="3" t="s">
        <v>10</v>
      </c>
      <c r="D12368" s="3" t="s">
        <v>9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/>
      <c r="P12368" s="3"/>
      <c r="Q12368" s="3"/>
    </row>
    <row r="12369" spans="1:17" ht="15" x14ac:dyDescent="0.25">
      <c r="A12369" s="3">
        <f>12362</f>
        <v>12362</v>
      </c>
      <c r="B12369" s="3" t="s">
        <v>12371</v>
      </c>
      <c r="C12369" s="3" t="s">
        <v>10</v>
      </c>
      <c r="D12369" s="3" t="s">
        <v>9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/>
      <c r="P12369" s="3"/>
      <c r="Q12369" s="3"/>
    </row>
    <row r="12370" spans="1:17" ht="15" x14ac:dyDescent="0.25">
      <c r="A12370" s="3">
        <f>12363</f>
        <v>12363</v>
      </c>
      <c r="B12370" s="3" t="s">
        <v>12372</v>
      </c>
      <c r="C12370" s="3" t="s">
        <v>10</v>
      </c>
      <c r="D12370" s="3" t="s">
        <v>9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/>
      <c r="P12370" s="3"/>
      <c r="Q12370" s="3"/>
    </row>
    <row r="12371" spans="1:17" ht="15" x14ac:dyDescent="0.25">
      <c r="A12371" s="3">
        <f>12364</f>
        <v>12364</v>
      </c>
      <c r="B12371" s="3" t="s">
        <v>12373</v>
      </c>
      <c r="C12371" s="3" t="s">
        <v>10</v>
      </c>
      <c r="D12371" s="3" t="s">
        <v>9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/>
      <c r="P12371" s="3"/>
      <c r="Q12371" s="3"/>
    </row>
    <row r="12372" spans="1:17" ht="15" x14ac:dyDescent="0.25">
      <c r="A12372" s="3">
        <f>12365</f>
        <v>12365</v>
      </c>
      <c r="B12372" s="3" t="s">
        <v>12374</v>
      </c>
      <c r="C12372" s="3" t="s">
        <v>10</v>
      </c>
      <c r="D12372" s="3" t="s">
        <v>9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/>
      <c r="P12372" s="3"/>
      <c r="Q12372" s="3"/>
    </row>
    <row r="12373" spans="1:17" ht="15" x14ac:dyDescent="0.25">
      <c r="A12373" s="3">
        <f>12366</f>
        <v>12366</v>
      </c>
      <c r="B12373" s="3" t="s">
        <v>12375</v>
      </c>
      <c r="C12373" s="3" t="s">
        <v>10</v>
      </c>
      <c r="D12373" s="3" t="s">
        <v>9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/>
      <c r="P12373" s="3"/>
      <c r="Q12373" s="3"/>
    </row>
    <row r="12374" spans="1:17" ht="15" x14ac:dyDescent="0.25">
      <c r="A12374" s="3">
        <f>12367</f>
        <v>12367</v>
      </c>
      <c r="B12374" s="3" t="s">
        <v>12376</v>
      </c>
      <c r="C12374" s="3" t="s">
        <v>10</v>
      </c>
      <c r="D12374" s="3" t="s">
        <v>9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/>
      <c r="P12374" s="3"/>
      <c r="Q12374" s="3"/>
    </row>
    <row r="12375" spans="1:17" ht="15" x14ac:dyDescent="0.25">
      <c r="A12375" s="3">
        <f>12368</f>
        <v>12368</v>
      </c>
      <c r="B12375" s="3" t="s">
        <v>12377</v>
      </c>
      <c r="C12375" s="3" t="s">
        <v>10</v>
      </c>
      <c r="D12375" s="3" t="s">
        <v>9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/>
      <c r="P12375" s="3"/>
      <c r="Q12375" s="3"/>
    </row>
    <row r="12376" spans="1:17" ht="15" x14ac:dyDescent="0.25">
      <c r="A12376" s="3">
        <f>12369</f>
        <v>12369</v>
      </c>
      <c r="B12376" s="3" t="s">
        <v>12378</v>
      </c>
      <c r="C12376" s="3" t="s">
        <v>10</v>
      </c>
      <c r="D12376" s="3" t="s">
        <v>9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/>
      <c r="P12376" s="3"/>
      <c r="Q12376" s="3"/>
    </row>
    <row r="12377" spans="1:17" ht="15" x14ac:dyDescent="0.25">
      <c r="A12377" s="3">
        <f>12370</f>
        <v>12370</v>
      </c>
      <c r="B12377" s="3" t="s">
        <v>12379</v>
      </c>
      <c r="C12377" s="3" t="s">
        <v>10</v>
      </c>
      <c r="D12377" s="3" t="s">
        <v>9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/>
      <c r="P12377" s="3"/>
      <c r="Q12377" s="3"/>
    </row>
    <row r="12378" spans="1:17" ht="15" x14ac:dyDescent="0.25">
      <c r="A12378" s="3">
        <f>12371</f>
        <v>12371</v>
      </c>
      <c r="B12378" s="3" t="s">
        <v>12380</v>
      </c>
      <c r="C12378" s="3" t="s">
        <v>10</v>
      </c>
      <c r="D12378" s="3" t="s">
        <v>9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/>
      <c r="P12378" s="3"/>
      <c r="Q12378" s="3"/>
    </row>
    <row r="12379" spans="1:17" ht="15" x14ac:dyDescent="0.25">
      <c r="A12379" s="3">
        <f>12372</f>
        <v>12372</v>
      </c>
      <c r="B12379" s="3" t="s">
        <v>12381</v>
      </c>
      <c r="C12379" s="3" t="s">
        <v>10</v>
      </c>
      <c r="D12379" s="3" t="s">
        <v>9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/>
      <c r="P12379" s="3"/>
      <c r="Q12379" s="3"/>
    </row>
    <row r="12380" spans="1:17" ht="15" x14ac:dyDescent="0.25">
      <c r="A12380" s="3">
        <f>12373</f>
        <v>12373</v>
      </c>
      <c r="B12380" s="3" t="s">
        <v>12382</v>
      </c>
      <c r="C12380" s="3" t="s">
        <v>10</v>
      </c>
      <c r="D12380" s="3" t="s">
        <v>9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/>
      <c r="P12380" s="3"/>
      <c r="Q12380" s="3"/>
    </row>
    <row r="12381" spans="1:17" ht="15" x14ac:dyDescent="0.25">
      <c r="A12381" s="3">
        <f>12374</f>
        <v>12374</v>
      </c>
      <c r="B12381" s="3" t="s">
        <v>12383</v>
      </c>
      <c r="C12381" s="3" t="s">
        <v>10</v>
      </c>
      <c r="D12381" s="3" t="s">
        <v>9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/>
      <c r="P12381" s="3"/>
      <c r="Q12381" s="3"/>
    </row>
    <row r="12382" spans="1:17" ht="15" x14ac:dyDescent="0.25">
      <c r="A12382" s="3">
        <f>12375</f>
        <v>12375</v>
      </c>
      <c r="B12382" s="3" t="s">
        <v>12384</v>
      </c>
      <c r="C12382" s="3" t="s">
        <v>10</v>
      </c>
      <c r="D12382" s="3" t="s">
        <v>9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/>
      <c r="P12382" s="3"/>
      <c r="Q12382" s="3"/>
    </row>
    <row r="12383" spans="1:17" ht="15" x14ac:dyDescent="0.25">
      <c r="A12383" s="3">
        <f>12376</f>
        <v>12376</v>
      </c>
      <c r="B12383" s="3" t="s">
        <v>12385</v>
      </c>
      <c r="C12383" s="3" t="s">
        <v>10</v>
      </c>
      <c r="D12383" s="3" t="s">
        <v>9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/>
      <c r="P12383" s="3"/>
      <c r="Q12383" s="3"/>
    </row>
    <row r="12384" spans="1:17" ht="15" x14ac:dyDescent="0.25">
      <c r="A12384" s="3">
        <f>12377</f>
        <v>12377</v>
      </c>
      <c r="B12384" s="3" t="s">
        <v>12386</v>
      </c>
      <c r="C12384" s="3" t="s">
        <v>10</v>
      </c>
      <c r="D12384" s="3" t="s">
        <v>9</v>
      </c>
      <c r="E12384" s="3">
        <v>0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/>
      <c r="P12384" s="3"/>
      <c r="Q12384" s="3"/>
    </row>
    <row r="12385" spans="1:17" ht="15" x14ac:dyDescent="0.25">
      <c r="A12385" s="3">
        <f>12378</f>
        <v>12378</v>
      </c>
      <c r="B12385" s="3" t="s">
        <v>12387</v>
      </c>
      <c r="C12385" s="3" t="s">
        <v>10</v>
      </c>
      <c r="D12385" s="3" t="s">
        <v>9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/>
      <c r="P12385" s="3"/>
      <c r="Q12385" s="3"/>
    </row>
    <row r="12386" spans="1:17" ht="15" x14ac:dyDescent="0.25">
      <c r="A12386" s="3">
        <f>12379</f>
        <v>12379</v>
      </c>
      <c r="B12386" s="3" t="s">
        <v>12388</v>
      </c>
      <c r="C12386" s="3" t="s">
        <v>10</v>
      </c>
      <c r="D12386" s="3" t="s">
        <v>9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/>
      <c r="P12386" s="3"/>
      <c r="Q12386" s="3"/>
    </row>
    <row r="12387" spans="1:17" ht="15" x14ac:dyDescent="0.25">
      <c r="A12387" s="3">
        <f>12380</f>
        <v>12380</v>
      </c>
      <c r="B12387" s="3" t="s">
        <v>12389</v>
      </c>
      <c r="C12387" s="3" t="s">
        <v>10</v>
      </c>
      <c r="D12387" s="3" t="s">
        <v>9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/>
      <c r="P12387" s="3"/>
      <c r="Q12387" s="3"/>
    </row>
    <row r="12388" spans="1:17" ht="15" x14ac:dyDescent="0.25">
      <c r="A12388" s="3">
        <f>12381</f>
        <v>12381</v>
      </c>
      <c r="B12388" s="3" t="s">
        <v>12390</v>
      </c>
      <c r="C12388" s="3" t="s">
        <v>10</v>
      </c>
      <c r="D12388" s="3" t="s">
        <v>9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/>
      <c r="P12388" s="3"/>
      <c r="Q12388" s="3"/>
    </row>
    <row r="12389" spans="1:17" ht="15" x14ac:dyDescent="0.25">
      <c r="A12389" s="3">
        <f>12382</f>
        <v>12382</v>
      </c>
      <c r="B12389" s="3" t="s">
        <v>12391</v>
      </c>
      <c r="C12389" s="3" t="s">
        <v>10</v>
      </c>
      <c r="D12389" s="3" t="s">
        <v>9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/>
      <c r="P12389" s="3"/>
      <c r="Q12389" s="3"/>
    </row>
    <row r="12390" spans="1:17" ht="15" x14ac:dyDescent="0.25">
      <c r="A12390" s="3">
        <f>12383</f>
        <v>12383</v>
      </c>
      <c r="B12390" s="3" t="s">
        <v>12392</v>
      </c>
      <c r="C12390" s="3" t="s">
        <v>10</v>
      </c>
      <c r="D12390" s="3" t="s">
        <v>9</v>
      </c>
      <c r="E12390" s="3">
        <v>0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/>
      <c r="P12390" s="3"/>
      <c r="Q12390" s="3"/>
    </row>
    <row r="12391" spans="1:17" ht="15" x14ac:dyDescent="0.25">
      <c r="A12391" s="3">
        <f>12384</f>
        <v>12384</v>
      </c>
      <c r="B12391" s="3" t="s">
        <v>12393</v>
      </c>
      <c r="C12391" s="3" t="s">
        <v>10</v>
      </c>
      <c r="D12391" s="3" t="s">
        <v>9</v>
      </c>
      <c r="E12391" s="3">
        <v>0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/>
      <c r="P12391" s="3"/>
      <c r="Q12391" s="3"/>
    </row>
    <row r="12392" spans="1:17" ht="15" x14ac:dyDescent="0.25">
      <c r="A12392" s="3">
        <f>12385</f>
        <v>12385</v>
      </c>
      <c r="B12392" s="3" t="s">
        <v>12394</v>
      </c>
      <c r="C12392" s="3" t="s">
        <v>10</v>
      </c>
      <c r="D12392" s="3" t="s">
        <v>9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/>
      <c r="P12392" s="3"/>
      <c r="Q12392" s="3"/>
    </row>
    <row r="12393" spans="1:17" ht="15" x14ac:dyDescent="0.25">
      <c r="A12393" s="3">
        <f>12386</f>
        <v>12386</v>
      </c>
      <c r="B12393" s="3" t="s">
        <v>12395</v>
      </c>
      <c r="C12393" s="3" t="s">
        <v>10</v>
      </c>
      <c r="D12393" s="3" t="s">
        <v>9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/>
      <c r="P12393" s="3"/>
      <c r="Q12393" s="3"/>
    </row>
    <row r="12394" spans="1:17" ht="15" x14ac:dyDescent="0.25">
      <c r="A12394" s="3">
        <f>12387</f>
        <v>12387</v>
      </c>
      <c r="B12394" s="3" t="s">
        <v>12396</v>
      </c>
      <c r="C12394" s="3" t="s">
        <v>10</v>
      </c>
      <c r="D12394" s="3" t="s">
        <v>9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/>
      <c r="P12394" s="3"/>
      <c r="Q12394" s="3"/>
    </row>
    <row r="12395" spans="1:17" ht="15" x14ac:dyDescent="0.25">
      <c r="A12395" s="3">
        <f>12388</f>
        <v>12388</v>
      </c>
      <c r="B12395" s="3" t="s">
        <v>12397</v>
      </c>
      <c r="C12395" s="3" t="s">
        <v>10</v>
      </c>
      <c r="D12395" s="3" t="s">
        <v>9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/>
      <c r="P12395" s="3"/>
      <c r="Q12395" s="3"/>
    </row>
    <row r="12396" spans="1:17" ht="15" x14ac:dyDescent="0.25">
      <c r="A12396" s="3">
        <f>12389</f>
        <v>12389</v>
      </c>
      <c r="B12396" s="3" t="s">
        <v>12398</v>
      </c>
      <c r="C12396" s="3" t="s">
        <v>10</v>
      </c>
      <c r="D12396" s="3" t="s">
        <v>9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/>
      <c r="P12396" s="3"/>
      <c r="Q12396" s="3"/>
    </row>
    <row r="12397" spans="1:17" ht="15" x14ac:dyDescent="0.25">
      <c r="A12397" s="3">
        <f>12390</f>
        <v>12390</v>
      </c>
      <c r="B12397" s="3" t="s">
        <v>12399</v>
      </c>
      <c r="C12397" s="3" t="s">
        <v>10</v>
      </c>
      <c r="D12397" s="3" t="s">
        <v>9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/>
      <c r="P12397" s="3"/>
      <c r="Q12397" s="3"/>
    </row>
    <row r="12398" spans="1:17" ht="15" x14ac:dyDescent="0.25">
      <c r="A12398" s="3">
        <f>12391</f>
        <v>12391</v>
      </c>
      <c r="B12398" s="3" t="s">
        <v>12400</v>
      </c>
      <c r="C12398" s="3" t="s">
        <v>10</v>
      </c>
      <c r="D12398" s="3" t="s">
        <v>9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/>
      <c r="P12398" s="3"/>
      <c r="Q12398" s="3"/>
    </row>
    <row r="12399" spans="1:17" ht="15" x14ac:dyDescent="0.25">
      <c r="A12399" s="3">
        <f>12392</f>
        <v>12392</v>
      </c>
      <c r="B12399" s="3" t="s">
        <v>12401</v>
      </c>
      <c r="C12399" s="3" t="s">
        <v>10</v>
      </c>
      <c r="D12399" s="3" t="s">
        <v>9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/>
      <c r="P12399" s="3"/>
      <c r="Q12399" s="3"/>
    </row>
    <row r="12400" spans="1:17" ht="15" x14ac:dyDescent="0.25">
      <c r="A12400" s="3">
        <f>12393</f>
        <v>12393</v>
      </c>
      <c r="B12400" s="3" t="s">
        <v>12402</v>
      </c>
      <c r="C12400" s="3" t="s">
        <v>10</v>
      </c>
      <c r="D12400" s="3" t="s">
        <v>9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/>
      <c r="P12400" s="3"/>
      <c r="Q12400" s="3"/>
    </row>
    <row r="12401" spans="1:17" ht="15" x14ac:dyDescent="0.25">
      <c r="A12401" s="3">
        <f>12394</f>
        <v>12394</v>
      </c>
      <c r="B12401" s="3" t="s">
        <v>12403</v>
      </c>
      <c r="C12401" s="3" t="s">
        <v>10</v>
      </c>
      <c r="D12401" s="3" t="s">
        <v>9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/>
      <c r="P12401" s="3"/>
      <c r="Q12401" s="3"/>
    </row>
    <row r="12402" spans="1:17" ht="15" x14ac:dyDescent="0.25">
      <c r="A12402" s="3">
        <f>12395</f>
        <v>12395</v>
      </c>
      <c r="B12402" s="3" t="s">
        <v>12404</v>
      </c>
      <c r="C12402" s="3" t="s">
        <v>10</v>
      </c>
      <c r="D12402" s="3" t="s">
        <v>9</v>
      </c>
      <c r="E12402" s="3">
        <v>0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/>
      <c r="P12402" s="3"/>
      <c r="Q12402" s="3"/>
    </row>
    <row r="12403" spans="1:17" ht="15" x14ac:dyDescent="0.25">
      <c r="A12403" s="3">
        <f>12396</f>
        <v>12396</v>
      </c>
      <c r="B12403" s="3" t="s">
        <v>12405</v>
      </c>
      <c r="C12403" s="3" t="s">
        <v>10</v>
      </c>
      <c r="D12403" s="3" t="s">
        <v>9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/>
      <c r="P12403" s="3"/>
      <c r="Q12403" s="3"/>
    </row>
    <row r="12404" spans="1:17" ht="15" x14ac:dyDescent="0.25">
      <c r="A12404" s="3">
        <f>12397</f>
        <v>12397</v>
      </c>
      <c r="B12404" s="3" t="s">
        <v>12406</v>
      </c>
      <c r="C12404" s="3" t="s">
        <v>10</v>
      </c>
      <c r="D12404" s="3" t="s">
        <v>9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/>
      <c r="P12404" s="3"/>
      <c r="Q12404" s="3"/>
    </row>
    <row r="12405" spans="1:17" ht="15" x14ac:dyDescent="0.25">
      <c r="A12405" s="3">
        <f>12398</f>
        <v>12398</v>
      </c>
      <c r="B12405" s="3" t="s">
        <v>12407</v>
      </c>
      <c r="C12405" s="3" t="s">
        <v>10</v>
      </c>
      <c r="D12405" s="3" t="s">
        <v>9</v>
      </c>
      <c r="E12405" s="3">
        <v>0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/>
      <c r="P12405" s="3"/>
      <c r="Q12405" s="3"/>
    </row>
    <row r="12406" spans="1:17" ht="15" x14ac:dyDescent="0.25">
      <c r="A12406" s="3">
        <f>12399</f>
        <v>12399</v>
      </c>
      <c r="B12406" s="3" t="s">
        <v>12408</v>
      </c>
      <c r="C12406" s="3" t="s">
        <v>10</v>
      </c>
      <c r="D12406" s="3" t="s">
        <v>9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/>
      <c r="P12406" s="3"/>
      <c r="Q12406" s="3"/>
    </row>
    <row r="12407" spans="1:17" ht="15" x14ac:dyDescent="0.25">
      <c r="A12407" s="3">
        <f>12400</f>
        <v>12400</v>
      </c>
      <c r="B12407" s="3" t="s">
        <v>12409</v>
      </c>
      <c r="C12407" s="3" t="s">
        <v>10</v>
      </c>
      <c r="D12407" s="3" t="s">
        <v>9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/>
      <c r="P12407" s="3"/>
      <c r="Q12407" s="3"/>
    </row>
    <row r="12408" spans="1:17" ht="15" x14ac:dyDescent="0.25">
      <c r="A12408" s="3">
        <f>12401</f>
        <v>12401</v>
      </c>
      <c r="B12408" s="3" t="s">
        <v>12410</v>
      </c>
      <c r="C12408" s="3" t="s">
        <v>10</v>
      </c>
      <c r="D12408" s="3" t="s">
        <v>9</v>
      </c>
      <c r="E12408" s="3">
        <v>0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/>
      <c r="P12408" s="3"/>
      <c r="Q12408" s="3"/>
    </row>
    <row r="12409" spans="1:17" ht="15" x14ac:dyDescent="0.25">
      <c r="A12409" s="3">
        <f>12402</f>
        <v>12402</v>
      </c>
      <c r="B12409" s="3" t="s">
        <v>12411</v>
      </c>
      <c r="C12409" s="3" t="s">
        <v>10</v>
      </c>
      <c r="D12409" s="3" t="s">
        <v>9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/>
      <c r="P12409" s="3"/>
      <c r="Q12409" s="3"/>
    </row>
    <row r="12410" spans="1:17" ht="15" x14ac:dyDescent="0.25">
      <c r="A12410" s="3">
        <f>12403</f>
        <v>12403</v>
      </c>
      <c r="B12410" s="3" t="s">
        <v>12412</v>
      </c>
      <c r="C12410" s="3" t="s">
        <v>10</v>
      </c>
      <c r="D12410" s="3" t="s">
        <v>9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/>
      <c r="P12410" s="3"/>
      <c r="Q12410" s="3"/>
    </row>
    <row r="12411" spans="1:17" ht="15" x14ac:dyDescent="0.25">
      <c r="A12411" s="3">
        <f>12404</f>
        <v>12404</v>
      </c>
      <c r="B12411" s="3" t="s">
        <v>12413</v>
      </c>
      <c r="C12411" s="3" t="s">
        <v>10</v>
      </c>
      <c r="D12411" s="3" t="s">
        <v>9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/>
      <c r="P12411" s="3"/>
      <c r="Q12411" s="3"/>
    </row>
    <row r="12412" spans="1:17" ht="15" x14ac:dyDescent="0.25">
      <c r="A12412" s="3">
        <f>12405</f>
        <v>12405</v>
      </c>
      <c r="B12412" s="3" t="s">
        <v>12414</v>
      </c>
      <c r="C12412" s="3" t="s">
        <v>10</v>
      </c>
      <c r="D12412" s="3" t="s">
        <v>9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/>
      <c r="P12412" s="3"/>
      <c r="Q12412" s="3"/>
    </row>
    <row r="12413" spans="1:17" ht="15" x14ac:dyDescent="0.25">
      <c r="A12413" s="3">
        <f>12406</f>
        <v>12406</v>
      </c>
      <c r="B12413" s="3" t="s">
        <v>12415</v>
      </c>
      <c r="C12413" s="3" t="s">
        <v>10</v>
      </c>
      <c r="D12413" s="3" t="s">
        <v>9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/>
      <c r="P12413" s="3"/>
      <c r="Q12413" s="3"/>
    </row>
    <row r="12414" spans="1:17" ht="15" x14ac:dyDescent="0.25">
      <c r="A12414" s="3">
        <f>12407</f>
        <v>12407</v>
      </c>
      <c r="B12414" s="3" t="s">
        <v>12416</v>
      </c>
      <c r="C12414" s="3" t="s">
        <v>10</v>
      </c>
      <c r="D12414" s="3" t="s">
        <v>9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/>
      <c r="P12414" s="3"/>
      <c r="Q12414" s="3"/>
    </row>
    <row r="12415" spans="1:17" ht="15" x14ac:dyDescent="0.25">
      <c r="A12415" s="3">
        <f>12408</f>
        <v>12408</v>
      </c>
      <c r="B12415" s="3" t="s">
        <v>12417</v>
      </c>
      <c r="C12415" s="3" t="s">
        <v>10</v>
      </c>
      <c r="D12415" s="3" t="s">
        <v>9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/>
      <c r="P12415" s="3"/>
      <c r="Q12415" s="3"/>
    </row>
    <row r="12416" spans="1:17" ht="15" x14ac:dyDescent="0.25">
      <c r="A12416" s="3">
        <f>12409</f>
        <v>12409</v>
      </c>
      <c r="B12416" s="3" t="s">
        <v>12418</v>
      </c>
      <c r="C12416" s="3" t="s">
        <v>10</v>
      </c>
      <c r="D12416" s="3" t="s">
        <v>9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/>
      <c r="P12416" s="3"/>
      <c r="Q12416" s="3"/>
    </row>
    <row r="12417" spans="1:17" ht="15" x14ac:dyDescent="0.25">
      <c r="A12417" s="3">
        <f>12410</f>
        <v>12410</v>
      </c>
      <c r="B12417" s="3" t="s">
        <v>12419</v>
      </c>
      <c r="C12417" s="3" t="s">
        <v>10</v>
      </c>
      <c r="D12417" s="3" t="s">
        <v>9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/>
      <c r="P12417" s="3"/>
      <c r="Q12417" s="3"/>
    </row>
    <row r="12418" spans="1:17" ht="15" x14ac:dyDescent="0.25">
      <c r="A12418" s="3">
        <f>12411</f>
        <v>12411</v>
      </c>
      <c r="B12418" s="3" t="s">
        <v>12420</v>
      </c>
      <c r="C12418" s="3" t="s">
        <v>10</v>
      </c>
      <c r="D12418" s="3" t="s">
        <v>9</v>
      </c>
      <c r="E12418" s="3">
        <v>0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s="3"/>
      <c r="P12418" s="3"/>
      <c r="Q12418" s="3"/>
    </row>
    <row r="12419" spans="1:17" ht="15" x14ac:dyDescent="0.25">
      <c r="A12419" s="3">
        <f>12412</f>
        <v>12412</v>
      </c>
      <c r="B12419" s="3" t="s">
        <v>12421</v>
      </c>
      <c r="C12419" s="3" t="s">
        <v>10</v>
      </c>
      <c r="D12419" s="3" t="s">
        <v>9</v>
      </c>
      <c r="E12419" s="3">
        <v>0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/>
      <c r="P12419" s="3"/>
      <c r="Q12419" s="3"/>
    </row>
    <row r="12420" spans="1:17" ht="15" x14ac:dyDescent="0.25">
      <c r="A12420" s="3">
        <f>12413</f>
        <v>12413</v>
      </c>
      <c r="B12420" s="3" t="s">
        <v>12422</v>
      </c>
      <c r="C12420" s="3" t="s">
        <v>10</v>
      </c>
      <c r="D12420" s="3" t="s">
        <v>9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/>
      <c r="P12420" s="3"/>
      <c r="Q12420" s="3"/>
    </row>
    <row r="12421" spans="1:17" ht="15" x14ac:dyDescent="0.25">
      <c r="A12421" s="3">
        <f>12414</f>
        <v>12414</v>
      </c>
      <c r="B12421" s="3" t="s">
        <v>12423</v>
      </c>
      <c r="C12421" s="3" t="s">
        <v>10</v>
      </c>
      <c r="D12421" s="3" t="s">
        <v>9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/>
      <c r="P12421" s="3"/>
      <c r="Q12421" s="3"/>
    </row>
    <row r="12422" spans="1:17" ht="15" x14ac:dyDescent="0.25">
      <c r="A12422" s="3">
        <f>12415</f>
        <v>12415</v>
      </c>
      <c r="B12422" s="3" t="s">
        <v>12424</v>
      </c>
      <c r="C12422" s="3" t="s">
        <v>10</v>
      </c>
      <c r="D12422" s="3" t="s">
        <v>9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/>
      <c r="P12422" s="3"/>
      <c r="Q12422" s="3"/>
    </row>
    <row r="12423" spans="1:17" ht="15" x14ac:dyDescent="0.25">
      <c r="A12423" s="3">
        <f>12416</f>
        <v>12416</v>
      </c>
      <c r="B12423" s="3" t="s">
        <v>12425</v>
      </c>
      <c r="C12423" s="3" t="s">
        <v>10</v>
      </c>
      <c r="D12423" s="3" t="s">
        <v>9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/>
      <c r="P12423" s="3"/>
      <c r="Q12423" s="3"/>
    </row>
    <row r="12424" spans="1:17" ht="15" x14ac:dyDescent="0.25">
      <c r="A12424" s="3">
        <f>12417</f>
        <v>12417</v>
      </c>
      <c r="B12424" s="3" t="s">
        <v>12426</v>
      </c>
      <c r="C12424" s="3" t="s">
        <v>10</v>
      </c>
      <c r="D12424" s="3" t="s">
        <v>9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s="3"/>
      <c r="P12424" s="3"/>
      <c r="Q12424" s="3"/>
    </row>
    <row r="12425" spans="1:17" ht="15" x14ac:dyDescent="0.25">
      <c r="A12425" s="3">
        <f>12418</f>
        <v>12418</v>
      </c>
      <c r="B12425" s="3" t="s">
        <v>12427</v>
      </c>
      <c r="C12425" s="3" t="s">
        <v>10</v>
      </c>
      <c r="D12425" s="3" t="s">
        <v>9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/>
      <c r="P12425" s="3"/>
      <c r="Q12425" s="3"/>
    </row>
    <row r="12426" spans="1:17" ht="15" x14ac:dyDescent="0.25">
      <c r="A12426" s="3">
        <f>12419</f>
        <v>12419</v>
      </c>
      <c r="B12426" s="3" t="s">
        <v>12428</v>
      </c>
      <c r="C12426" s="3" t="s">
        <v>10</v>
      </c>
      <c r="D12426" s="3" t="s">
        <v>9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/>
      <c r="P12426" s="3"/>
      <c r="Q12426" s="3"/>
    </row>
    <row r="12427" spans="1:17" ht="15" x14ac:dyDescent="0.25">
      <c r="A12427" s="3">
        <f>12420</f>
        <v>12420</v>
      </c>
      <c r="B12427" s="3" t="s">
        <v>12429</v>
      </c>
      <c r="C12427" s="3" t="s">
        <v>10</v>
      </c>
      <c r="D12427" s="3" t="s">
        <v>9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/>
      <c r="P12427" s="3"/>
      <c r="Q12427" s="3"/>
    </row>
    <row r="12428" spans="1:17" ht="15" x14ac:dyDescent="0.25">
      <c r="A12428" s="3">
        <f>12421</f>
        <v>12421</v>
      </c>
      <c r="B12428" s="3" t="s">
        <v>12430</v>
      </c>
      <c r="C12428" s="3" t="s">
        <v>10</v>
      </c>
      <c r="D12428" s="3" t="s">
        <v>9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/>
      <c r="P12428" s="3"/>
      <c r="Q12428" s="3"/>
    </row>
    <row r="12429" spans="1:17" ht="15" x14ac:dyDescent="0.25">
      <c r="A12429" s="3">
        <f>12422</f>
        <v>12422</v>
      </c>
      <c r="B12429" s="3" t="s">
        <v>12431</v>
      </c>
      <c r="C12429" s="3" t="s">
        <v>10</v>
      </c>
      <c r="D12429" s="3" t="s">
        <v>9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/>
      <c r="P12429" s="3"/>
      <c r="Q12429" s="3"/>
    </row>
    <row r="12430" spans="1:17" ht="15" x14ac:dyDescent="0.25">
      <c r="A12430" s="3">
        <f>12423</f>
        <v>12423</v>
      </c>
      <c r="B12430" s="3" t="s">
        <v>12432</v>
      </c>
      <c r="C12430" s="3" t="s">
        <v>10</v>
      </c>
      <c r="D12430" s="3" t="s">
        <v>9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/>
      <c r="P12430" s="3"/>
      <c r="Q12430" s="3"/>
    </row>
    <row r="12431" spans="1:17" ht="15" x14ac:dyDescent="0.25">
      <c r="A12431" s="3">
        <f>12424</f>
        <v>12424</v>
      </c>
      <c r="B12431" s="3" t="s">
        <v>12433</v>
      </c>
      <c r="C12431" s="3" t="s">
        <v>10</v>
      </c>
      <c r="D12431" s="3" t="s">
        <v>9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/>
      <c r="P12431" s="3"/>
      <c r="Q12431" s="3"/>
    </row>
    <row r="12432" spans="1:17" ht="15" x14ac:dyDescent="0.25">
      <c r="A12432" s="3">
        <f>12425</f>
        <v>12425</v>
      </c>
      <c r="B12432" s="3" t="s">
        <v>12434</v>
      </c>
      <c r="C12432" s="3" t="s">
        <v>10</v>
      </c>
      <c r="D12432" s="3" t="s">
        <v>9</v>
      </c>
      <c r="E12432" s="3">
        <v>0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/>
      <c r="P12432" s="3"/>
      <c r="Q12432" s="3"/>
    </row>
    <row r="12433" spans="1:17" ht="15" x14ac:dyDescent="0.25">
      <c r="A12433" s="3">
        <f>12426</f>
        <v>12426</v>
      </c>
      <c r="B12433" s="3" t="s">
        <v>12435</v>
      </c>
      <c r="C12433" s="3" t="s">
        <v>10</v>
      </c>
      <c r="D12433" s="3" t="s">
        <v>9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/>
      <c r="P12433" s="3"/>
      <c r="Q12433" s="3"/>
    </row>
    <row r="12434" spans="1:17" ht="15" x14ac:dyDescent="0.25">
      <c r="A12434" s="3">
        <f>12427</f>
        <v>12427</v>
      </c>
      <c r="B12434" s="3" t="s">
        <v>12436</v>
      </c>
      <c r="C12434" s="3" t="s">
        <v>10</v>
      </c>
      <c r="D12434" s="3" t="s">
        <v>9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/>
      <c r="P12434" s="3"/>
      <c r="Q12434" s="3"/>
    </row>
    <row r="12435" spans="1:17" ht="15" x14ac:dyDescent="0.25">
      <c r="A12435" s="3">
        <f>12428</f>
        <v>12428</v>
      </c>
      <c r="B12435" s="3" t="s">
        <v>12437</v>
      </c>
      <c r="C12435" s="3" t="s">
        <v>10</v>
      </c>
      <c r="D12435" s="3" t="s">
        <v>9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/>
      <c r="P12435" s="3"/>
      <c r="Q12435" s="3"/>
    </row>
    <row r="12436" spans="1:17" ht="15" x14ac:dyDescent="0.25">
      <c r="A12436" s="3">
        <f>12429</f>
        <v>12429</v>
      </c>
      <c r="B12436" s="3" t="s">
        <v>12438</v>
      </c>
      <c r="C12436" s="3" t="s">
        <v>10</v>
      </c>
      <c r="D12436" s="3" t="s">
        <v>9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/>
      <c r="P12436" s="3"/>
      <c r="Q12436" s="3"/>
    </row>
    <row r="12437" spans="1:17" ht="15" x14ac:dyDescent="0.25">
      <c r="A12437" s="3">
        <f>12430</f>
        <v>12430</v>
      </c>
      <c r="B12437" s="3" t="s">
        <v>12439</v>
      </c>
      <c r="C12437" s="3" t="s">
        <v>10</v>
      </c>
      <c r="D12437" s="3" t="s">
        <v>9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/>
      <c r="P12437" s="3"/>
      <c r="Q12437" s="3"/>
    </row>
    <row r="12438" spans="1:17" ht="15" x14ac:dyDescent="0.25">
      <c r="A12438" s="3">
        <f>12431</f>
        <v>12431</v>
      </c>
      <c r="B12438" s="3" t="s">
        <v>12440</v>
      </c>
      <c r="C12438" s="3" t="s">
        <v>10</v>
      </c>
      <c r="D12438" s="3" t="s">
        <v>9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/>
      <c r="P12438" s="3"/>
      <c r="Q12438" s="3"/>
    </row>
    <row r="12439" spans="1:17" ht="15" x14ac:dyDescent="0.25">
      <c r="A12439" s="3">
        <f>12432</f>
        <v>12432</v>
      </c>
      <c r="B12439" s="3" t="s">
        <v>12441</v>
      </c>
      <c r="C12439" s="3" t="s">
        <v>10</v>
      </c>
      <c r="D12439" s="3" t="s">
        <v>9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/>
      <c r="P12439" s="3"/>
      <c r="Q12439" s="3"/>
    </row>
    <row r="12440" spans="1:17" ht="15" x14ac:dyDescent="0.25">
      <c r="A12440" s="3">
        <f>12433</f>
        <v>12433</v>
      </c>
      <c r="B12440" s="3" t="s">
        <v>12442</v>
      </c>
      <c r="C12440" s="3" t="s">
        <v>10</v>
      </c>
      <c r="D12440" s="3" t="s">
        <v>9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/>
      <c r="P12440" s="3"/>
      <c r="Q12440" s="3"/>
    </row>
    <row r="12441" spans="1:17" ht="15" x14ac:dyDescent="0.25">
      <c r="A12441" s="3">
        <f>12434</f>
        <v>12434</v>
      </c>
      <c r="B12441" s="3" t="s">
        <v>12443</v>
      </c>
      <c r="C12441" s="3" t="s">
        <v>10</v>
      </c>
      <c r="D12441" s="3" t="s">
        <v>9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/>
      <c r="P12441" s="3"/>
      <c r="Q12441" s="3"/>
    </row>
    <row r="12442" spans="1:17" ht="15" x14ac:dyDescent="0.25">
      <c r="A12442" s="3">
        <f>12435</f>
        <v>12435</v>
      </c>
      <c r="B12442" s="3" t="s">
        <v>12444</v>
      </c>
      <c r="C12442" s="3" t="s">
        <v>10</v>
      </c>
      <c r="D12442" s="3" t="s">
        <v>9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/>
      <c r="P12442" s="3"/>
      <c r="Q12442" s="3"/>
    </row>
    <row r="12443" spans="1:17" ht="15" x14ac:dyDescent="0.25">
      <c r="A12443" s="3">
        <f>12436</f>
        <v>12436</v>
      </c>
      <c r="B12443" s="3" t="s">
        <v>12445</v>
      </c>
      <c r="C12443" s="3" t="s">
        <v>10</v>
      </c>
      <c r="D12443" s="3" t="s">
        <v>9</v>
      </c>
      <c r="E12443" s="3">
        <v>0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s="3"/>
      <c r="P12443" s="3"/>
      <c r="Q12443" s="3"/>
    </row>
    <row r="12444" spans="1:17" ht="15" x14ac:dyDescent="0.25">
      <c r="A12444" s="3">
        <f>12437</f>
        <v>12437</v>
      </c>
      <c r="B12444" s="3" t="s">
        <v>12446</v>
      </c>
      <c r="C12444" s="3" t="s">
        <v>10</v>
      </c>
      <c r="D12444" s="3" t="s">
        <v>9</v>
      </c>
      <c r="E12444" s="3">
        <v>0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/>
      <c r="P12444" s="3"/>
      <c r="Q12444" s="3"/>
    </row>
    <row r="12445" spans="1:17" ht="15" x14ac:dyDescent="0.25">
      <c r="A12445" s="3">
        <f>12438</f>
        <v>12438</v>
      </c>
      <c r="B12445" s="3" t="s">
        <v>12447</v>
      </c>
      <c r="C12445" s="3" t="s">
        <v>10</v>
      </c>
      <c r="D12445" s="3" t="s">
        <v>9</v>
      </c>
      <c r="E12445" s="3">
        <v>0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/>
      <c r="P12445" s="3"/>
      <c r="Q12445" s="3"/>
    </row>
    <row r="12446" spans="1:17" ht="15" x14ac:dyDescent="0.25">
      <c r="A12446" s="3">
        <f>12439</f>
        <v>12439</v>
      </c>
      <c r="B12446" s="3" t="s">
        <v>12448</v>
      </c>
      <c r="C12446" s="3" t="s">
        <v>10</v>
      </c>
      <c r="D12446" s="3" t="s">
        <v>9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/>
      <c r="P12446" s="3"/>
      <c r="Q12446" s="3"/>
    </row>
    <row r="12447" spans="1:17" ht="15" x14ac:dyDescent="0.25">
      <c r="A12447" s="3">
        <f>12440</f>
        <v>12440</v>
      </c>
      <c r="B12447" s="3" t="s">
        <v>12449</v>
      </c>
      <c r="C12447" s="3" t="s">
        <v>10</v>
      </c>
      <c r="D12447" s="3" t="s">
        <v>9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/>
      <c r="P12447" s="3"/>
      <c r="Q12447" s="3"/>
    </row>
    <row r="12448" spans="1:17" ht="15" x14ac:dyDescent="0.25">
      <c r="A12448" s="3">
        <f>12441</f>
        <v>12441</v>
      </c>
      <c r="B12448" s="3" t="s">
        <v>12450</v>
      </c>
      <c r="C12448" s="3" t="s">
        <v>10</v>
      </c>
      <c r="D12448" s="3" t="s">
        <v>9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/>
      <c r="P12448" s="3"/>
      <c r="Q12448" s="3"/>
    </row>
    <row r="12449" spans="1:17" ht="15" x14ac:dyDescent="0.25">
      <c r="A12449" s="3">
        <f>12442</f>
        <v>12442</v>
      </c>
      <c r="B12449" s="3" t="s">
        <v>12451</v>
      </c>
      <c r="C12449" s="3" t="s">
        <v>10</v>
      </c>
      <c r="D12449" s="3" t="s">
        <v>9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/>
      <c r="P12449" s="3"/>
      <c r="Q12449" s="3"/>
    </row>
    <row r="12450" spans="1:17" ht="15" x14ac:dyDescent="0.25">
      <c r="A12450" s="3">
        <f>12443</f>
        <v>12443</v>
      </c>
      <c r="B12450" s="3" t="s">
        <v>12452</v>
      </c>
      <c r="C12450" s="3" t="s">
        <v>10</v>
      </c>
      <c r="D12450" s="3" t="s">
        <v>9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/>
      <c r="P12450" s="3"/>
      <c r="Q12450" s="3"/>
    </row>
    <row r="12451" spans="1:17" ht="15" x14ac:dyDescent="0.25">
      <c r="A12451" s="3">
        <f>12444</f>
        <v>12444</v>
      </c>
      <c r="B12451" s="3" t="s">
        <v>12453</v>
      </c>
      <c r="C12451" s="3" t="s">
        <v>10</v>
      </c>
      <c r="D12451" s="3" t="s">
        <v>9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/>
      <c r="P12451" s="3"/>
      <c r="Q12451" s="3"/>
    </row>
    <row r="12452" spans="1:17" ht="15" x14ac:dyDescent="0.25">
      <c r="A12452" s="3">
        <f>12445</f>
        <v>12445</v>
      </c>
      <c r="B12452" s="3" t="s">
        <v>12454</v>
      </c>
      <c r="C12452" s="3" t="s">
        <v>10</v>
      </c>
      <c r="D12452" s="3" t="s">
        <v>9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/>
      <c r="P12452" s="3"/>
      <c r="Q12452" s="3"/>
    </row>
    <row r="12453" spans="1:17" ht="15" x14ac:dyDescent="0.25">
      <c r="A12453" s="3">
        <f>12446</f>
        <v>12446</v>
      </c>
      <c r="B12453" s="3" t="s">
        <v>12455</v>
      </c>
      <c r="C12453" s="3" t="s">
        <v>10</v>
      </c>
      <c r="D12453" s="3" t="s">
        <v>9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/>
      <c r="P12453" s="3"/>
      <c r="Q12453" s="3"/>
    </row>
    <row r="12454" spans="1:17" ht="15" x14ac:dyDescent="0.25">
      <c r="A12454" s="3">
        <f>12447</f>
        <v>12447</v>
      </c>
      <c r="B12454" s="3" t="s">
        <v>12456</v>
      </c>
      <c r="C12454" s="3" t="s">
        <v>10</v>
      </c>
      <c r="D12454" s="3" t="s">
        <v>9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/>
      <c r="P12454" s="3"/>
      <c r="Q12454" s="3"/>
    </row>
    <row r="12455" spans="1:17" ht="15" x14ac:dyDescent="0.25">
      <c r="A12455" s="3">
        <f>12448</f>
        <v>12448</v>
      </c>
      <c r="B12455" s="3" t="s">
        <v>12457</v>
      </c>
      <c r="C12455" s="3" t="s">
        <v>10</v>
      </c>
      <c r="D12455" s="3" t="s">
        <v>9</v>
      </c>
      <c r="E12455" s="3">
        <v>0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/>
      <c r="P12455" s="3"/>
      <c r="Q12455" s="3"/>
    </row>
    <row r="12456" spans="1:17" ht="15" x14ac:dyDescent="0.25">
      <c r="A12456" s="3">
        <f>12449</f>
        <v>12449</v>
      </c>
      <c r="B12456" s="3" t="s">
        <v>12458</v>
      </c>
      <c r="C12456" s="3" t="s">
        <v>10</v>
      </c>
      <c r="D12456" s="3" t="s">
        <v>9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/>
      <c r="P12456" s="3"/>
      <c r="Q12456" s="3"/>
    </row>
    <row r="12457" spans="1:17" ht="15" x14ac:dyDescent="0.25">
      <c r="A12457" s="3">
        <f>12450</f>
        <v>12450</v>
      </c>
      <c r="B12457" s="3" t="s">
        <v>12459</v>
      </c>
      <c r="C12457" s="3" t="s">
        <v>10</v>
      </c>
      <c r="D12457" s="3" t="s">
        <v>9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/>
      <c r="P12457" s="3"/>
      <c r="Q12457" s="3"/>
    </row>
    <row r="12458" spans="1:17" ht="15" x14ac:dyDescent="0.25">
      <c r="A12458" s="3">
        <f>12451</f>
        <v>12451</v>
      </c>
      <c r="B12458" s="3" t="s">
        <v>12460</v>
      </c>
      <c r="C12458" s="3" t="s">
        <v>10</v>
      </c>
      <c r="D12458" s="3" t="s">
        <v>9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/>
      <c r="P12458" s="3"/>
      <c r="Q12458" s="3"/>
    </row>
    <row r="12459" spans="1:17" ht="15" x14ac:dyDescent="0.25">
      <c r="A12459" s="3">
        <f>12452</f>
        <v>12452</v>
      </c>
      <c r="B12459" s="3" t="s">
        <v>12461</v>
      </c>
      <c r="C12459" s="3" t="s">
        <v>10</v>
      </c>
      <c r="D12459" s="3" t="s">
        <v>9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/>
      <c r="P12459" s="3"/>
      <c r="Q12459" s="3"/>
    </row>
    <row r="12460" spans="1:17" ht="15" x14ac:dyDescent="0.25">
      <c r="A12460" s="3">
        <f>12453</f>
        <v>12453</v>
      </c>
      <c r="B12460" s="3" t="s">
        <v>12462</v>
      </c>
      <c r="C12460" s="3" t="s">
        <v>10</v>
      </c>
      <c r="D12460" s="3" t="s">
        <v>9</v>
      </c>
      <c r="E12460" s="3">
        <v>0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/>
      <c r="P12460" s="3"/>
      <c r="Q12460" s="3"/>
    </row>
    <row r="12461" spans="1:17" ht="15" x14ac:dyDescent="0.25">
      <c r="A12461" s="3">
        <f>12454</f>
        <v>12454</v>
      </c>
      <c r="B12461" s="3" t="s">
        <v>12463</v>
      </c>
      <c r="C12461" s="3" t="s">
        <v>10</v>
      </c>
      <c r="D12461" s="3" t="s">
        <v>9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/>
      <c r="P12461" s="3"/>
      <c r="Q12461" s="3"/>
    </row>
    <row r="12462" spans="1:17" ht="15" x14ac:dyDescent="0.25">
      <c r="A12462" s="3">
        <f>12455</f>
        <v>12455</v>
      </c>
      <c r="B12462" s="3" t="s">
        <v>12464</v>
      </c>
      <c r="C12462" s="3" t="s">
        <v>10</v>
      </c>
      <c r="D12462" s="3" t="s">
        <v>9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/>
      <c r="P12462" s="3"/>
      <c r="Q12462" s="3"/>
    </row>
    <row r="12463" spans="1:17" ht="15" x14ac:dyDescent="0.25">
      <c r="A12463" s="3">
        <f>12456</f>
        <v>12456</v>
      </c>
      <c r="B12463" s="3" t="s">
        <v>12465</v>
      </c>
      <c r="C12463" s="3" t="s">
        <v>10</v>
      </c>
      <c r="D12463" s="3" t="s">
        <v>9</v>
      </c>
      <c r="E12463" s="3">
        <v>0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/>
      <c r="P12463" s="3"/>
      <c r="Q12463" s="3"/>
    </row>
    <row r="12464" spans="1:17" ht="15" x14ac:dyDescent="0.25">
      <c r="A12464" s="3">
        <f>12457</f>
        <v>12457</v>
      </c>
      <c r="B12464" s="3" t="s">
        <v>12466</v>
      </c>
      <c r="C12464" s="3" t="s">
        <v>10</v>
      </c>
      <c r="D12464" s="3" t="s">
        <v>9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/>
      <c r="P12464" s="3"/>
      <c r="Q12464" s="3"/>
    </row>
    <row r="12465" spans="1:17" ht="15" x14ac:dyDescent="0.25">
      <c r="A12465" s="3">
        <f>12458</f>
        <v>12458</v>
      </c>
      <c r="B12465" s="3" t="s">
        <v>12467</v>
      </c>
      <c r="C12465" s="3" t="s">
        <v>10</v>
      </c>
      <c r="D12465" s="3" t="s">
        <v>9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/>
      <c r="P12465" s="3"/>
      <c r="Q12465" s="3"/>
    </row>
    <row r="12466" spans="1:17" ht="15" x14ac:dyDescent="0.25">
      <c r="A12466" s="3">
        <f>12459</f>
        <v>12459</v>
      </c>
      <c r="B12466" s="3" t="s">
        <v>12468</v>
      </c>
      <c r="C12466" s="3" t="s">
        <v>10</v>
      </c>
      <c r="D12466" s="3" t="s">
        <v>9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/>
      <c r="P12466" s="3"/>
      <c r="Q12466" s="3"/>
    </row>
    <row r="12467" spans="1:17" ht="15" x14ac:dyDescent="0.25">
      <c r="A12467" s="3">
        <f>12460</f>
        <v>12460</v>
      </c>
      <c r="B12467" s="3" t="s">
        <v>12469</v>
      </c>
      <c r="C12467" s="3" t="s">
        <v>10</v>
      </c>
      <c r="D12467" s="3" t="s">
        <v>9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/>
      <c r="P12467" s="3"/>
      <c r="Q12467" s="3"/>
    </row>
    <row r="12468" spans="1:17" ht="15" x14ac:dyDescent="0.25">
      <c r="A12468" s="3">
        <f>12461</f>
        <v>12461</v>
      </c>
      <c r="B12468" s="3" t="s">
        <v>12470</v>
      </c>
      <c r="C12468" s="3" t="s">
        <v>10</v>
      </c>
      <c r="D12468" s="3" t="s">
        <v>9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/>
      <c r="P12468" s="3"/>
      <c r="Q12468" s="3"/>
    </row>
    <row r="12469" spans="1:17" ht="15" x14ac:dyDescent="0.25">
      <c r="A12469" s="3">
        <f>12462</f>
        <v>12462</v>
      </c>
      <c r="B12469" s="3" t="s">
        <v>12471</v>
      </c>
      <c r="C12469" s="3" t="s">
        <v>10</v>
      </c>
      <c r="D12469" s="3" t="s">
        <v>9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/>
      <c r="P12469" s="3"/>
      <c r="Q12469" s="3"/>
    </row>
    <row r="12470" spans="1:17" ht="15" x14ac:dyDescent="0.25">
      <c r="A12470" s="3">
        <f>12463</f>
        <v>12463</v>
      </c>
      <c r="B12470" s="3" t="s">
        <v>12472</v>
      </c>
      <c r="C12470" s="3" t="s">
        <v>10</v>
      </c>
      <c r="D12470" s="3" t="s">
        <v>9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/>
      <c r="P12470" s="3"/>
      <c r="Q12470" s="3"/>
    </row>
    <row r="12471" spans="1:17" ht="15" x14ac:dyDescent="0.25">
      <c r="A12471" s="3">
        <f>12464</f>
        <v>12464</v>
      </c>
      <c r="B12471" s="3" t="s">
        <v>12473</v>
      </c>
      <c r="C12471" s="3" t="s">
        <v>10</v>
      </c>
      <c r="D12471" s="3" t="s">
        <v>9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/>
      <c r="P12471" s="3"/>
      <c r="Q12471" s="3"/>
    </row>
    <row r="12472" spans="1:17" ht="15" x14ac:dyDescent="0.25">
      <c r="A12472" s="3">
        <f>12465</f>
        <v>12465</v>
      </c>
      <c r="B12472" s="3" t="s">
        <v>12474</v>
      </c>
      <c r="C12472" s="3" t="s">
        <v>10</v>
      </c>
      <c r="D12472" s="3" t="s">
        <v>9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/>
      <c r="P12472" s="3"/>
      <c r="Q12472" s="3"/>
    </row>
    <row r="12473" spans="1:17" ht="15" x14ac:dyDescent="0.25">
      <c r="A12473" s="3">
        <f>12466</f>
        <v>12466</v>
      </c>
      <c r="B12473" s="3" t="s">
        <v>12475</v>
      </c>
      <c r="C12473" s="3" t="s">
        <v>10</v>
      </c>
      <c r="D12473" s="3" t="s">
        <v>9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/>
      <c r="P12473" s="3"/>
      <c r="Q12473" s="3"/>
    </row>
    <row r="12474" spans="1:17" ht="15" x14ac:dyDescent="0.25">
      <c r="A12474" s="3">
        <f>12467</f>
        <v>12467</v>
      </c>
      <c r="B12474" s="3" t="s">
        <v>12476</v>
      </c>
      <c r="C12474" s="3" t="s">
        <v>10</v>
      </c>
      <c r="D12474" s="3" t="s">
        <v>9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/>
      <c r="P12474" s="3"/>
      <c r="Q12474" s="3"/>
    </row>
    <row r="12475" spans="1:17" ht="15" x14ac:dyDescent="0.25">
      <c r="A12475" s="3">
        <f>12468</f>
        <v>12468</v>
      </c>
      <c r="B12475" s="3" t="s">
        <v>12477</v>
      </c>
      <c r="C12475" s="3" t="s">
        <v>10</v>
      </c>
      <c r="D12475" s="3" t="s">
        <v>9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s="3"/>
      <c r="P12475" s="3"/>
      <c r="Q12475" s="3"/>
    </row>
    <row r="12476" spans="1:17" ht="15" x14ac:dyDescent="0.25">
      <c r="A12476" s="3">
        <f>12469</f>
        <v>12469</v>
      </c>
      <c r="B12476" s="3" t="s">
        <v>12478</v>
      </c>
      <c r="C12476" s="3" t="s">
        <v>10</v>
      </c>
      <c r="D12476" s="3" t="s">
        <v>9</v>
      </c>
      <c r="E12476" s="3">
        <v>0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/>
      <c r="P12476" s="3"/>
      <c r="Q12476" s="3"/>
    </row>
    <row r="12477" spans="1:17" ht="15" x14ac:dyDescent="0.25">
      <c r="A12477" s="3">
        <f>12470</f>
        <v>12470</v>
      </c>
      <c r="B12477" s="3" t="s">
        <v>12479</v>
      </c>
      <c r="C12477" s="3" t="s">
        <v>10</v>
      </c>
      <c r="D12477" s="3" t="s">
        <v>9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/>
      <c r="P12477" s="3"/>
      <c r="Q12477" s="3"/>
    </row>
    <row r="12478" spans="1:17" ht="15" x14ac:dyDescent="0.25">
      <c r="A12478" s="3">
        <f>12471</f>
        <v>12471</v>
      </c>
      <c r="B12478" s="3" t="s">
        <v>12480</v>
      </c>
      <c r="C12478" s="3" t="s">
        <v>10</v>
      </c>
      <c r="D12478" s="3" t="s">
        <v>9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/>
      <c r="P12478" s="3"/>
      <c r="Q12478" s="3"/>
    </row>
    <row r="12479" spans="1:17" ht="15" x14ac:dyDescent="0.25">
      <c r="A12479" s="3">
        <f>12472</f>
        <v>12472</v>
      </c>
      <c r="B12479" s="3" t="s">
        <v>12481</v>
      </c>
      <c r="C12479" s="3" t="s">
        <v>10</v>
      </c>
      <c r="D12479" s="3" t="s">
        <v>9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/>
      <c r="P12479" s="3"/>
      <c r="Q12479" s="3"/>
    </row>
    <row r="12480" spans="1:17" ht="15" x14ac:dyDescent="0.25">
      <c r="A12480" s="3">
        <f>12473</f>
        <v>12473</v>
      </c>
      <c r="B12480" s="3" t="s">
        <v>12482</v>
      </c>
      <c r="C12480" s="3" t="s">
        <v>10</v>
      </c>
      <c r="D12480" s="3" t="s">
        <v>9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/>
      <c r="P12480" s="3"/>
      <c r="Q12480" s="3"/>
    </row>
    <row r="12481" spans="1:17" ht="15" x14ac:dyDescent="0.25">
      <c r="A12481" s="3">
        <f>12474</f>
        <v>12474</v>
      </c>
      <c r="B12481" s="3" t="s">
        <v>12483</v>
      </c>
      <c r="C12481" s="3" t="s">
        <v>10</v>
      </c>
      <c r="D12481" s="3" t="s">
        <v>9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/>
      <c r="P12481" s="3"/>
      <c r="Q12481" s="3"/>
    </row>
    <row r="12482" spans="1:17" ht="15" x14ac:dyDescent="0.25">
      <c r="A12482" s="3">
        <f>12475</f>
        <v>12475</v>
      </c>
      <c r="B12482" s="3" t="s">
        <v>12484</v>
      </c>
      <c r="C12482" s="3" t="s">
        <v>10</v>
      </c>
      <c r="D12482" s="3" t="s">
        <v>9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/>
      <c r="P12482" s="3"/>
      <c r="Q12482" s="3"/>
    </row>
    <row r="12483" spans="1:17" ht="15" x14ac:dyDescent="0.25">
      <c r="A12483" s="3">
        <f>12476</f>
        <v>12476</v>
      </c>
      <c r="B12483" s="3" t="s">
        <v>12485</v>
      </c>
      <c r="C12483" s="3" t="s">
        <v>10</v>
      </c>
      <c r="D12483" s="3" t="s">
        <v>9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/>
      <c r="P12483" s="3"/>
      <c r="Q12483" s="3"/>
    </row>
    <row r="12484" spans="1:17" ht="15" x14ac:dyDescent="0.25">
      <c r="A12484" s="3">
        <f>12477</f>
        <v>12477</v>
      </c>
      <c r="B12484" s="3" t="s">
        <v>12486</v>
      </c>
      <c r="C12484" s="3" t="s">
        <v>10</v>
      </c>
      <c r="D12484" s="3" t="s">
        <v>9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/>
      <c r="P12484" s="3"/>
      <c r="Q12484" s="3"/>
    </row>
    <row r="12485" spans="1:17" ht="15" x14ac:dyDescent="0.25">
      <c r="A12485" s="3">
        <f>12478</f>
        <v>12478</v>
      </c>
      <c r="B12485" s="3" t="s">
        <v>12487</v>
      </c>
      <c r="C12485" s="3" t="s">
        <v>10</v>
      </c>
      <c r="D12485" s="3" t="s">
        <v>9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/>
      <c r="P12485" s="3"/>
      <c r="Q12485" s="3"/>
    </row>
    <row r="12486" spans="1:17" ht="15" x14ac:dyDescent="0.25">
      <c r="A12486" s="3">
        <f>12479</f>
        <v>12479</v>
      </c>
      <c r="B12486" s="3" t="s">
        <v>12488</v>
      </c>
      <c r="C12486" s="3" t="s">
        <v>10</v>
      </c>
      <c r="D12486" s="3" t="s">
        <v>9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/>
      <c r="P12486" s="3"/>
      <c r="Q12486" s="3"/>
    </row>
    <row r="12487" spans="1:17" ht="15" x14ac:dyDescent="0.25">
      <c r="A12487" s="3">
        <f>12480</f>
        <v>12480</v>
      </c>
      <c r="B12487" s="3" t="s">
        <v>12489</v>
      </c>
      <c r="C12487" s="3" t="s">
        <v>10</v>
      </c>
      <c r="D12487" s="3" t="s">
        <v>9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/>
      <c r="P12487" s="3"/>
      <c r="Q12487" s="3"/>
    </row>
    <row r="12488" spans="1:17" ht="15" x14ac:dyDescent="0.25">
      <c r="A12488" s="3">
        <f>12481</f>
        <v>12481</v>
      </c>
      <c r="B12488" s="3" t="s">
        <v>12490</v>
      </c>
      <c r="C12488" s="3" t="s">
        <v>10</v>
      </c>
      <c r="D12488" s="3" t="s">
        <v>9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/>
      <c r="P12488" s="3"/>
      <c r="Q12488" s="3"/>
    </row>
    <row r="12489" spans="1:17" ht="15" x14ac:dyDescent="0.25">
      <c r="A12489" s="3">
        <f>12482</f>
        <v>12482</v>
      </c>
      <c r="B12489" s="3" t="s">
        <v>12491</v>
      </c>
      <c r="C12489" s="3" t="s">
        <v>10</v>
      </c>
      <c r="D12489" s="3" t="s">
        <v>9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/>
      <c r="P12489" s="3"/>
      <c r="Q12489" s="3"/>
    </row>
    <row r="12490" spans="1:17" ht="15" x14ac:dyDescent="0.25">
      <c r="A12490" s="3">
        <f>12483</f>
        <v>12483</v>
      </c>
      <c r="B12490" s="3" t="s">
        <v>12492</v>
      </c>
      <c r="C12490" s="3" t="s">
        <v>10</v>
      </c>
      <c r="D12490" s="3" t="s">
        <v>9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/>
      <c r="P12490" s="3"/>
      <c r="Q12490" s="3"/>
    </row>
    <row r="12491" spans="1:17" ht="15" x14ac:dyDescent="0.25">
      <c r="A12491" s="3">
        <f>12484</f>
        <v>12484</v>
      </c>
      <c r="B12491" s="3" t="s">
        <v>12493</v>
      </c>
      <c r="C12491" s="3" t="s">
        <v>10</v>
      </c>
      <c r="D12491" s="3" t="s">
        <v>9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/>
      <c r="P12491" s="3"/>
      <c r="Q12491" s="3"/>
    </row>
    <row r="12492" spans="1:17" ht="15" x14ac:dyDescent="0.25">
      <c r="A12492" s="3">
        <f>12485</f>
        <v>12485</v>
      </c>
      <c r="B12492" s="3" t="s">
        <v>12494</v>
      </c>
      <c r="C12492" s="3" t="s">
        <v>10</v>
      </c>
      <c r="D12492" s="3" t="s">
        <v>9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/>
      <c r="P12492" s="3"/>
      <c r="Q12492" s="3"/>
    </row>
    <row r="12493" spans="1:17" ht="15" x14ac:dyDescent="0.25">
      <c r="A12493" s="3">
        <f>12486</f>
        <v>12486</v>
      </c>
      <c r="B12493" s="3" t="s">
        <v>12495</v>
      </c>
      <c r="C12493" s="3" t="s">
        <v>10</v>
      </c>
      <c r="D12493" s="3" t="s">
        <v>9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/>
      <c r="P12493" s="3"/>
      <c r="Q12493" s="3"/>
    </row>
    <row r="12494" spans="1:17" ht="15" x14ac:dyDescent="0.25">
      <c r="A12494" s="3">
        <f>12487</f>
        <v>12487</v>
      </c>
      <c r="B12494" s="3" t="s">
        <v>12496</v>
      </c>
      <c r="C12494" s="3" t="s">
        <v>10</v>
      </c>
      <c r="D12494" s="3" t="s">
        <v>9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/>
      <c r="P12494" s="3"/>
      <c r="Q12494" s="3"/>
    </row>
    <row r="12495" spans="1:17" ht="15" x14ac:dyDescent="0.25">
      <c r="A12495" s="3">
        <f>12488</f>
        <v>12488</v>
      </c>
      <c r="B12495" s="3" t="s">
        <v>12497</v>
      </c>
      <c r="C12495" s="3" t="s">
        <v>10</v>
      </c>
      <c r="D12495" s="3" t="s">
        <v>9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/>
      <c r="P12495" s="3"/>
      <c r="Q12495" s="3"/>
    </row>
    <row r="12496" spans="1:17" ht="15" x14ac:dyDescent="0.25">
      <c r="A12496" s="3">
        <f>12489</f>
        <v>12489</v>
      </c>
      <c r="B12496" s="3" t="s">
        <v>12498</v>
      </c>
      <c r="C12496" s="3" t="s">
        <v>10</v>
      </c>
      <c r="D12496" s="3" t="s">
        <v>9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/>
      <c r="P12496" s="3"/>
      <c r="Q12496" s="3"/>
    </row>
    <row r="12497" spans="1:17" ht="15" x14ac:dyDescent="0.25">
      <c r="A12497" s="3">
        <f>12490</f>
        <v>12490</v>
      </c>
      <c r="B12497" s="3" t="s">
        <v>12499</v>
      </c>
      <c r="C12497" s="3" t="s">
        <v>10</v>
      </c>
      <c r="D12497" s="3" t="s">
        <v>9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/>
      <c r="P12497" s="3"/>
      <c r="Q12497" s="3"/>
    </row>
    <row r="12498" spans="1:17" ht="15" x14ac:dyDescent="0.25">
      <c r="A12498" s="3">
        <f>12491</f>
        <v>12491</v>
      </c>
      <c r="B12498" s="3" t="s">
        <v>12500</v>
      </c>
      <c r="C12498" s="3" t="s">
        <v>10</v>
      </c>
      <c r="D12498" s="3" t="s">
        <v>9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/>
      <c r="P12498" s="3"/>
      <c r="Q12498" s="3"/>
    </row>
    <row r="12499" spans="1:17" ht="15" x14ac:dyDescent="0.25">
      <c r="A12499" s="3">
        <f>12492</f>
        <v>12492</v>
      </c>
      <c r="B12499" s="3" t="s">
        <v>12501</v>
      </c>
      <c r="C12499" s="3" t="s">
        <v>10</v>
      </c>
      <c r="D12499" s="3" t="s">
        <v>9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/>
      <c r="P12499" s="3"/>
      <c r="Q12499" s="3"/>
    </row>
    <row r="12500" spans="1:17" ht="15" x14ac:dyDescent="0.25">
      <c r="A12500" s="3">
        <f>12493</f>
        <v>12493</v>
      </c>
      <c r="B12500" s="3" t="s">
        <v>12502</v>
      </c>
      <c r="C12500" s="3" t="s">
        <v>10</v>
      </c>
      <c r="D12500" s="3" t="s">
        <v>9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/>
      <c r="P12500" s="3"/>
      <c r="Q12500" s="3"/>
    </row>
    <row r="12501" spans="1:17" ht="15" x14ac:dyDescent="0.25">
      <c r="A12501" s="3">
        <f>12494</f>
        <v>12494</v>
      </c>
      <c r="B12501" s="3" t="s">
        <v>12503</v>
      </c>
      <c r="C12501" s="3" t="s">
        <v>10</v>
      </c>
      <c r="D12501" s="3" t="s">
        <v>9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/>
      <c r="P12501" s="3"/>
      <c r="Q12501" s="3"/>
    </row>
    <row r="12502" spans="1:17" ht="15" x14ac:dyDescent="0.25">
      <c r="A12502" s="3">
        <f>12495</f>
        <v>12495</v>
      </c>
      <c r="B12502" s="3" t="s">
        <v>12504</v>
      </c>
      <c r="C12502" s="3" t="s">
        <v>10</v>
      </c>
      <c r="D12502" s="3" t="s">
        <v>9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/>
      <c r="P12502" s="3"/>
      <c r="Q12502" s="3"/>
    </row>
    <row r="12503" spans="1:17" ht="15" x14ac:dyDescent="0.25">
      <c r="A12503" s="3">
        <f>12496</f>
        <v>12496</v>
      </c>
      <c r="B12503" s="3" t="s">
        <v>12505</v>
      </c>
      <c r="C12503" s="3" t="s">
        <v>10</v>
      </c>
      <c r="D12503" s="3" t="s">
        <v>9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/>
      <c r="P12503" s="3"/>
      <c r="Q12503" s="3"/>
    </row>
    <row r="12504" spans="1:17" ht="15" x14ac:dyDescent="0.25">
      <c r="A12504" s="3">
        <f>12497</f>
        <v>12497</v>
      </c>
      <c r="B12504" s="3" t="s">
        <v>12506</v>
      </c>
      <c r="C12504" s="3" t="s">
        <v>10</v>
      </c>
      <c r="D12504" s="3" t="s">
        <v>9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/>
      <c r="P12504" s="3"/>
      <c r="Q12504" s="3"/>
    </row>
    <row r="12505" spans="1:17" ht="15" x14ac:dyDescent="0.25">
      <c r="A12505" s="3">
        <f>12498</f>
        <v>12498</v>
      </c>
      <c r="B12505" s="3" t="s">
        <v>12507</v>
      </c>
      <c r="C12505" s="3" t="s">
        <v>10</v>
      </c>
      <c r="D12505" s="3" t="s">
        <v>9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/>
      <c r="P12505" s="3"/>
      <c r="Q12505" s="3"/>
    </row>
    <row r="12506" spans="1:17" ht="15" x14ac:dyDescent="0.25">
      <c r="A12506" s="3">
        <f>12499</f>
        <v>12499</v>
      </c>
      <c r="B12506" s="3" t="s">
        <v>12508</v>
      </c>
      <c r="C12506" s="3" t="s">
        <v>10</v>
      </c>
      <c r="D12506" s="3" t="s">
        <v>9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/>
      <c r="P12506" s="3"/>
      <c r="Q12506" s="3"/>
    </row>
    <row r="12507" spans="1:17" ht="15" x14ac:dyDescent="0.25">
      <c r="A12507" s="3">
        <f>12500</f>
        <v>12500</v>
      </c>
      <c r="B12507" s="3" t="s">
        <v>12509</v>
      </c>
      <c r="C12507" s="3" t="s">
        <v>10</v>
      </c>
      <c r="D12507" s="3" t="s">
        <v>9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/>
      <c r="P12507" s="3"/>
      <c r="Q12507" s="3"/>
    </row>
    <row r="12508" spans="1:17" ht="15" x14ac:dyDescent="0.25">
      <c r="A12508" s="3">
        <f>12501</f>
        <v>12501</v>
      </c>
      <c r="B12508" s="3" t="s">
        <v>12510</v>
      </c>
      <c r="C12508" s="3" t="s">
        <v>10</v>
      </c>
      <c r="D12508" s="3" t="s">
        <v>9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/>
      <c r="P12508" s="3"/>
      <c r="Q12508" s="3"/>
    </row>
    <row r="12509" spans="1:17" ht="15" x14ac:dyDescent="0.25">
      <c r="A12509" s="3">
        <f>12502</f>
        <v>12502</v>
      </c>
      <c r="B12509" s="3" t="s">
        <v>12511</v>
      </c>
      <c r="C12509" s="3" t="s">
        <v>10</v>
      </c>
      <c r="D12509" s="3" t="s">
        <v>9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/>
      <c r="P12509" s="3"/>
      <c r="Q12509" s="3"/>
    </row>
    <row r="12510" spans="1:17" ht="15" x14ac:dyDescent="0.25">
      <c r="A12510" s="3">
        <f>12503</f>
        <v>12503</v>
      </c>
      <c r="B12510" s="3" t="s">
        <v>12512</v>
      </c>
      <c r="C12510" s="3" t="s">
        <v>10</v>
      </c>
      <c r="D12510" s="3" t="s">
        <v>9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/>
      <c r="P12510" s="3"/>
      <c r="Q12510" s="3"/>
    </row>
    <row r="12511" spans="1:17" ht="15" x14ac:dyDescent="0.25">
      <c r="A12511" s="3">
        <f>12504</f>
        <v>12504</v>
      </c>
      <c r="B12511" s="3" t="s">
        <v>12513</v>
      </c>
      <c r="C12511" s="3" t="s">
        <v>10</v>
      </c>
      <c r="D12511" s="3" t="s">
        <v>9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/>
      <c r="P12511" s="3"/>
      <c r="Q12511" s="3"/>
    </row>
    <row r="12512" spans="1:17" ht="15" x14ac:dyDescent="0.25">
      <c r="A12512" s="3">
        <f>12505</f>
        <v>12505</v>
      </c>
      <c r="B12512" s="3" t="s">
        <v>12514</v>
      </c>
      <c r="C12512" s="3" t="s">
        <v>10</v>
      </c>
      <c r="D12512" s="3" t="s">
        <v>9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/>
      <c r="P12512" s="3"/>
      <c r="Q12512" s="3"/>
    </row>
    <row r="12513" spans="1:17" ht="15" x14ac:dyDescent="0.25">
      <c r="A12513" s="3">
        <f>12506</f>
        <v>12506</v>
      </c>
      <c r="B12513" s="3" t="s">
        <v>12515</v>
      </c>
      <c r="C12513" s="3" t="s">
        <v>10</v>
      </c>
      <c r="D12513" s="3" t="s">
        <v>9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/>
      <c r="P12513" s="3"/>
      <c r="Q12513" s="3"/>
    </row>
    <row r="12514" spans="1:17" ht="15" x14ac:dyDescent="0.25">
      <c r="A12514" s="3">
        <f>12507</f>
        <v>12507</v>
      </c>
      <c r="B12514" s="3" t="s">
        <v>12516</v>
      </c>
      <c r="C12514" s="3" t="s">
        <v>10</v>
      </c>
      <c r="D12514" s="3" t="s">
        <v>9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/>
      <c r="P12514" s="3"/>
      <c r="Q12514" s="3"/>
    </row>
    <row r="12515" spans="1:17" ht="15" x14ac:dyDescent="0.25">
      <c r="A12515" s="3">
        <f>12508</f>
        <v>12508</v>
      </c>
      <c r="B12515" s="3" t="s">
        <v>12517</v>
      </c>
      <c r="C12515" s="3" t="s">
        <v>10</v>
      </c>
      <c r="D12515" s="3" t="s">
        <v>9</v>
      </c>
      <c r="E12515" s="3">
        <v>0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/>
      <c r="P12515" s="3"/>
      <c r="Q12515" s="3"/>
    </row>
    <row r="12516" spans="1:17" ht="15" x14ac:dyDescent="0.25">
      <c r="A12516" s="3">
        <f>12509</f>
        <v>12509</v>
      </c>
      <c r="B12516" s="3" t="s">
        <v>12518</v>
      </c>
      <c r="C12516" s="3" t="s">
        <v>10</v>
      </c>
      <c r="D12516" s="3" t="s">
        <v>9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/>
      <c r="P12516" s="3"/>
      <c r="Q12516" s="3"/>
    </row>
    <row r="12517" spans="1:17" ht="15" x14ac:dyDescent="0.25">
      <c r="A12517" s="3">
        <f>12510</f>
        <v>12510</v>
      </c>
      <c r="B12517" s="3" t="s">
        <v>12519</v>
      </c>
      <c r="C12517" s="3" t="s">
        <v>10</v>
      </c>
      <c r="D12517" s="3" t="s">
        <v>9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/>
      <c r="P12517" s="3"/>
      <c r="Q12517" s="3"/>
    </row>
    <row r="12518" spans="1:17" ht="15" x14ac:dyDescent="0.25">
      <c r="A12518" s="3">
        <f>12511</f>
        <v>12511</v>
      </c>
      <c r="B12518" s="3" t="s">
        <v>12520</v>
      </c>
      <c r="C12518" s="3" t="s">
        <v>10</v>
      </c>
      <c r="D12518" s="3" t="s">
        <v>9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/>
      <c r="P12518" s="3"/>
      <c r="Q12518" s="3"/>
    </row>
    <row r="12519" spans="1:17" ht="15" x14ac:dyDescent="0.25">
      <c r="A12519" s="3">
        <f>12512</f>
        <v>12512</v>
      </c>
      <c r="B12519" s="3" t="s">
        <v>12521</v>
      </c>
      <c r="C12519" s="3" t="s">
        <v>10</v>
      </c>
      <c r="D12519" s="3" t="s">
        <v>9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/>
      <c r="P12519" s="3"/>
      <c r="Q12519" s="3"/>
    </row>
    <row r="12520" spans="1:17" ht="15" x14ac:dyDescent="0.25">
      <c r="A12520" s="3">
        <f>12513</f>
        <v>12513</v>
      </c>
      <c r="B12520" s="3" t="s">
        <v>12522</v>
      </c>
      <c r="C12520" s="3" t="s">
        <v>10</v>
      </c>
      <c r="D12520" s="3" t="s">
        <v>9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/>
      <c r="P12520" s="3"/>
      <c r="Q12520" s="3"/>
    </row>
    <row r="12521" spans="1:17" ht="15" x14ac:dyDescent="0.25">
      <c r="A12521" s="3">
        <f>12514</f>
        <v>12514</v>
      </c>
      <c r="B12521" s="3" t="s">
        <v>12523</v>
      </c>
      <c r="C12521" s="3" t="s">
        <v>10</v>
      </c>
      <c r="D12521" s="3" t="s">
        <v>9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/>
      <c r="P12521" s="3"/>
      <c r="Q12521" s="3"/>
    </row>
    <row r="12522" spans="1:17" ht="15" x14ac:dyDescent="0.25">
      <c r="A12522" s="3">
        <f>12515</f>
        <v>12515</v>
      </c>
      <c r="B12522" s="3" t="s">
        <v>12524</v>
      </c>
      <c r="C12522" s="3" t="s">
        <v>10</v>
      </c>
      <c r="D12522" s="3" t="s">
        <v>9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/>
      <c r="P12522" s="3"/>
      <c r="Q12522" s="3"/>
    </row>
    <row r="12523" spans="1:17" ht="15" x14ac:dyDescent="0.25">
      <c r="A12523" s="3">
        <f>12516</f>
        <v>12516</v>
      </c>
      <c r="B12523" s="3" t="s">
        <v>12525</v>
      </c>
      <c r="C12523" s="3" t="s">
        <v>10</v>
      </c>
      <c r="D12523" s="3" t="s">
        <v>9</v>
      </c>
      <c r="E12523" s="3">
        <v>0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/>
      <c r="P12523" s="3"/>
      <c r="Q12523" s="3"/>
    </row>
    <row r="12524" spans="1:17" ht="15" x14ac:dyDescent="0.25">
      <c r="A12524" s="3">
        <f>12517</f>
        <v>12517</v>
      </c>
      <c r="B12524" s="3" t="s">
        <v>12526</v>
      </c>
      <c r="C12524" s="3" t="s">
        <v>10</v>
      </c>
      <c r="D12524" s="3" t="s">
        <v>9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/>
      <c r="P12524" s="3"/>
      <c r="Q12524" s="3"/>
    </row>
    <row r="12525" spans="1:17" ht="15" x14ac:dyDescent="0.25">
      <c r="A12525" s="3">
        <f>12518</f>
        <v>12518</v>
      </c>
      <c r="B12525" s="3" t="s">
        <v>12527</v>
      </c>
      <c r="C12525" s="3" t="s">
        <v>10</v>
      </c>
      <c r="D12525" s="3" t="s">
        <v>9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/>
      <c r="P12525" s="3"/>
      <c r="Q12525" s="3"/>
    </row>
    <row r="12526" spans="1:17" ht="15" x14ac:dyDescent="0.25">
      <c r="A12526" s="3">
        <f>12519</f>
        <v>12519</v>
      </c>
      <c r="B12526" s="3" t="s">
        <v>12528</v>
      </c>
      <c r="C12526" s="3" t="s">
        <v>10</v>
      </c>
      <c r="D12526" s="3" t="s">
        <v>9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/>
      <c r="P12526" s="3"/>
      <c r="Q12526" s="3"/>
    </row>
    <row r="12527" spans="1:17" ht="15" x14ac:dyDescent="0.25">
      <c r="A12527" s="3">
        <f>12520</f>
        <v>12520</v>
      </c>
      <c r="B12527" s="3" t="s">
        <v>12529</v>
      </c>
      <c r="C12527" s="3" t="s">
        <v>10</v>
      </c>
      <c r="D12527" s="3" t="s">
        <v>9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/>
      <c r="P12527" s="3"/>
      <c r="Q12527" s="3"/>
    </row>
    <row r="12528" spans="1:17" ht="15" x14ac:dyDescent="0.25">
      <c r="A12528" s="3">
        <f>12521</f>
        <v>12521</v>
      </c>
      <c r="B12528" s="3" t="s">
        <v>12530</v>
      </c>
      <c r="C12528" s="3" t="s">
        <v>10</v>
      </c>
      <c r="D12528" s="3" t="s">
        <v>9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/>
      <c r="P12528" s="3"/>
      <c r="Q12528" s="3"/>
    </row>
    <row r="12529" spans="1:17" ht="15" x14ac:dyDescent="0.25">
      <c r="A12529" s="3">
        <f>12522</f>
        <v>12522</v>
      </c>
      <c r="B12529" s="3" t="s">
        <v>12531</v>
      </c>
      <c r="C12529" s="3" t="s">
        <v>10</v>
      </c>
      <c r="D12529" s="3" t="s">
        <v>9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/>
      <c r="P12529" s="3"/>
      <c r="Q12529" s="3"/>
    </row>
    <row r="12530" spans="1:17" ht="15" x14ac:dyDescent="0.25">
      <c r="A12530" s="3">
        <f>12523</f>
        <v>12523</v>
      </c>
      <c r="B12530" s="3" t="s">
        <v>12532</v>
      </c>
      <c r="C12530" s="3" t="s">
        <v>10</v>
      </c>
      <c r="D12530" s="3" t="s">
        <v>9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/>
      <c r="P12530" s="3"/>
      <c r="Q12530" s="3"/>
    </row>
    <row r="12531" spans="1:17" ht="15" x14ac:dyDescent="0.25">
      <c r="A12531" s="3">
        <f>12524</f>
        <v>12524</v>
      </c>
      <c r="B12531" s="3" t="s">
        <v>12533</v>
      </c>
      <c r="C12531" s="3" t="s">
        <v>10</v>
      </c>
      <c r="D12531" s="3" t="s">
        <v>9</v>
      </c>
      <c r="E12531" s="3">
        <v>0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/>
      <c r="P12531" s="3"/>
      <c r="Q12531" s="3"/>
    </row>
    <row r="12532" spans="1:17" ht="15" x14ac:dyDescent="0.25">
      <c r="A12532" s="3">
        <f>12525</f>
        <v>12525</v>
      </c>
      <c r="B12532" s="3" t="s">
        <v>12534</v>
      </c>
      <c r="C12532" s="3" t="s">
        <v>10</v>
      </c>
      <c r="D12532" s="3" t="s">
        <v>9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/>
      <c r="P12532" s="3"/>
      <c r="Q12532" s="3"/>
    </row>
    <row r="12533" spans="1:17" ht="15" x14ac:dyDescent="0.25">
      <c r="A12533" s="3">
        <f>12526</f>
        <v>12526</v>
      </c>
      <c r="B12533" s="3" t="s">
        <v>12535</v>
      </c>
      <c r="C12533" s="3" t="s">
        <v>10</v>
      </c>
      <c r="D12533" s="3" t="s">
        <v>9</v>
      </c>
      <c r="E12533" s="3">
        <v>0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/>
      <c r="P12533" s="3"/>
      <c r="Q12533" s="3"/>
    </row>
    <row r="12534" spans="1:17" ht="15" x14ac:dyDescent="0.25">
      <c r="A12534" s="3">
        <f>12527</f>
        <v>12527</v>
      </c>
      <c r="B12534" s="3" t="s">
        <v>12536</v>
      </c>
      <c r="C12534" s="3" t="s">
        <v>10</v>
      </c>
      <c r="D12534" s="3" t="s">
        <v>9</v>
      </c>
      <c r="E12534" s="3">
        <v>0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s="3"/>
      <c r="P12534" s="3"/>
      <c r="Q12534" s="3"/>
    </row>
    <row r="12535" spans="1:17" ht="15" x14ac:dyDescent="0.25">
      <c r="A12535" s="3">
        <f>12528</f>
        <v>12528</v>
      </c>
      <c r="B12535" s="3" t="s">
        <v>12537</v>
      </c>
      <c r="C12535" s="3" t="s">
        <v>10</v>
      </c>
      <c r="D12535" s="3" t="s">
        <v>9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/>
      <c r="P12535" s="3"/>
      <c r="Q12535" s="3"/>
    </row>
    <row r="12536" spans="1:17" ht="15" x14ac:dyDescent="0.25">
      <c r="A12536" s="3">
        <f>12529</f>
        <v>12529</v>
      </c>
      <c r="B12536" s="3" t="s">
        <v>12538</v>
      </c>
      <c r="C12536" s="3" t="s">
        <v>10</v>
      </c>
      <c r="D12536" s="3" t="s">
        <v>9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/>
      <c r="P12536" s="3"/>
      <c r="Q12536" s="3"/>
    </row>
    <row r="12537" spans="1:17" ht="15" x14ac:dyDescent="0.25">
      <c r="A12537" s="3">
        <f>12530</f>
        <v>12530</v>
      </c>
      <c r="B12537" s="3" t="s">
        <v>12539</v>
      </c>
      <c r="C12537" s="3" t="s">
        <v>10</v>
      </c>
      <c r="D12537" s="3" t="s">
        <v>9</v>
      </c>
      <c r="E12537" s="3">
        <v>0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/>
      <c r="P12537" s="3"/>
      <c r="Q12537" s="3"/>
    </row>
    <row r="12538" spans="1:17" ht="15" x14ac:dyDescent="0.25">
      <c r="A12538" s="3">
        <f>12531</f>
        <v>12531</v>
      </c>
      <c r="B12538" s="3" t="s">
        <v>12540</v>
      </c>
      <c r="C12538" s="3" t="s">
        <v>10</v>
      </c>
      <c r="D12538" s="3" t="s">
        <v>9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/>
      <c r="P12538" s="3"/>
      <c r="Q12538" s="3"/>
    </row>
    <row r="12539" spans="1:17" ht="15" x14ac:dyDescent="0.25">
      <c r="A12539" s="3">
        <f>12532</f>
        <v>12532</v>
      </c>
      <c r="B12539" s="3" t="s">
        <v>12541</v>
      </c>
      <c r="C12539" s="3" t="s">
        <v>10</v>
      </c>
      <c r="D12539" s="3" t="s">
        <v>9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/>
      <c r="P12539" s="3"/>
      <c r="Q12539" s="3"/>
    </row>
    <row r="12540" spans="1:17" ht="15" x14ac:dyDescent="0.25">
      <c r="A12540" s="3">
        <f>12533</f>
        <v>12533</v>
      </c>
      <c r="B12540" s="3" t="s">
        <v>12542</v>
      </c>
      <c r="C12540" s="3" t="s">
        <v>10</v>
      </c>
      <c r="D12540" s="3" t="s">
        <v>9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/>
      <c r="P12540" s="3"/>
      <c r="Q12540" s="3"/>
    </row>
    <row r="12541" spans="1:17" ht="15" x14ac:dyDescent="0.25">
      <c r="A12541" s="3">
        <f>12534</f>
        <v>12534</v>
      </c>
      <c r="B12541" s="3" t="s">
        <v>12543</v>
      </c>
      <c r="C12541" s="3" t="s">
        <v>10</v>
      </c>
      <c r="D12541" s="3" t="s">
        <v>9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/>
      <c r="P12541" s="3"/>
      <c r="Q12541" s="3"/>
    </row>
    <row r="12542" spans="1:17" ht="15" x14ac:dyDescent="0.25">
      <c r="A12542" s="3">
        <f>12535</f>
        <v>12535</v>
      </c>
      <c r="B12542" s="3" t="s">
        <v>12544</v>
      </c>
      <c r="C12542" s="3" t="s">
        <v>10</v>
      </c>
      <c r="D12542" s="3" t="s">
        <v>9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/>
      <c r="P12542" s="3"/>
      <c r="Q12542" s="3"/>
    </row>
    <row r="12543" spans="1:17" ht="15" x14ac:dyDescent="0.25">
      <c r="A12543" s="3">
        <f>12536</f>
        <v>12536</v>
      </c>
      <c r="B12543" s="3" t="s">
        <v>12545</v>
      </c>
      <c r="C12543" s="3" t="s">
        <v>10</v>
      </c>
      <c r="D12543" s="3" t="s">
        <v>9</v>
      </c>
      <c r="E12543" s="3">
        <v>0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/>
      <c r="P12543" s="3"/>
      <c r="Q12543" s="3"/>
    </row>
    <row r="12544" spans="1:17" ht="15" x14ac:dyDescent="0.25">
      <c r="A12544" s="3">
        <f>12537</f>
        <v>12537</v>
      </c>
      <c r="B12544" s="3" t="s">
        <v>12546</v>
      </c>
      <c r="C12544" s="3" t="s">
        <v>10</v>
      </c>
      <c r="D12544" s="3" t="s">
        <v>9</v>
      </c>
      <c r="E12544" s="3">
        <v>0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/>
      <c r="P12544" s="3"/>
      <c r="Q12544" s="3"/>
    </row>
    <row r="12545" spans="1:17" ht="15" x14ac:dyDescent="0.25">
      <c r="A12545" s="3">
        <f>12538</f>
        <v>12538</v>
      </c>
      <c r="B12545" s="3" t="s">
        <v>12547</v>
      </c>
      <c r="C12545" s="3" t="s">
        <v>10</v>
      </c>
      <c r="D12545" s="3" t="s">
        <v>9</v>
      </c>
      <c r="E12545" s="3">
        <v>0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/>
      <c r="P12545" s="3"/>
      <c r="Q12545" s="3"/>
    </row>
    <row r="12546" spans="1:17" ht="15" x14ac:dyDescent="0.25">
      <c r="A12546" s="3">
        <f>12539</f>
        <v>12539</v>
      </c>
      <c r="B12546" s="3" t="s">
        <v>12548</v>
      </c>
      <c r="C12546" s="3" t="s">
        <v>10</v>
      </c>
      <c r="D12546" s="3" t="s">
        <v>9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/>
      <c r="P12546" s="3"/>
      <c r="Q12546" s="3"/>
    </row>
    <row r="12547" spans="1:17" ht="15" x14ac:dyDescent="0.25">
      <c r="A12547" s="3">
        <f>12540</f>
        <v>12540</v>
      </c>
      <c r="B12547" s="3" t="s">
        <v>12549</v>
      </c>
      <c r="C12547" s="3" t="s">
        <v>10</v>
      </c>
      <c r="D12547" s="3" t="s">
        <v>9</v>
      </c>
      <c r="E12547" s="3">
        <v>0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/>
      <c r="P12547" s="3"/>
      <c r="Q12547" s="3"/>
    </row>
    <row r="12548" spans="1:17" ht="15" x14ac:dyDescent="0.25">
      <c r="A12548" s="3">
        <f>12541</f>
        <v>12541</v>
      </c>
      <c r="B12548" s="3" t="s">
        <v>12550</v>
      </c>
      <c r="C12548" s="3" t="s">
        <v>10</v>
      </c>
      <c r="D12548" s="3" t="s">
        <v>9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/>
      <c r="P12548" s="3"/>
      <c r="Q12548" s="3"/>
    </row>
    <row r="12549" spans="1:17" ht="15" x14ac:dyDescent="0.25">
      <c r="A12549" s="3">
        <f>12542</f>
        <v>12542</v>
      </c>
      <c r="B12549" s="3" t="s">
        <v>12551</v>
      </c>
      <c r="C12549" s="3" t="s">
        <v>10</v>
      </c>
      <c r="D12549" s="3" t="s">
        <v>9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/>
      <c r="P12549" s="3"/>
      <c r="Q12549" s="3"/>
    </row>
    <row r="12550" spans="1:17" ht="15" x14ac:dyDescent="0.25">
      <c r="A12550" s="3">
        <f>12543</f>
        <v>12543</v>
      </c>
      <c r="B12550" s="3" t="s">
        <v>12552</v>
      </c>
      <c r="C12550" s="3" t="s">
        <v>10</v>
      </c>
      <c r="D12550" s="3" t="s">
        <v>9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/>
      <c r="P12550" s="3"/>
      <c r="Q12550" s="3"/>
    </row>
    <row r="12551" spans="1:17" ht="15" x14ac:dyDescent="0.25">
      <c r="A12551" s="3">
        <f>12544</f>
        <v>12544</v>
      </c>
      <c r="B12551" s="3" t="s">
        <v>12553</v>
      </c>
      <c r="C12551" s="3" t="s">
        <v>10</v>
      </c>
      <c r="D12551" s="3" t="s">
        <v>9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s="3"/>
      <c r="P12551" s="3"/>
      <c r="Q12551" s="3"/>
    </row>
    <row r="12552" spans="1:17" ht="15" x14ac:dyDescent="0.25">
      <c r="A12552" s="3">
        <f>12545</f>
        <v>12545</v>
      </c>
      <c r="B12552" s="3" t="s">
        <v>12554</v>
      </c>
      <c r="C12552" s="3" t="s">
        <v>10</v>
      </c>
      <c r="D12552" s="3" t="s">
        <v>9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/>
      <c r="P12552" s="3"/>
      <c r="Q12552" s="3"/>
    </row>
    <row r="12553" spans="1:17" ht="15" x14ac:dyDescent="0.25">
      <c r="A12553" s="3">
        <f>12546</f>
        <v>12546</v>
      </c>
      <c r="B12553" s="3" t="s">
        <v>12555</v>
      </c>
      <c r="C12553" s="3" t="s">
        <v>10</v>
      </c>
      <c r="D12553" s="3" t="s">
        <v>9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/>
      <c r="P12553" s="3"/>
      <c r="Q12553" s="3"/>
    </row>
    <row r="12554" spans="1:17" ht="15" x14ac:dyDescent="0.25">
      <c r="A12554" s="3">
        <f>12547</f>
        <v>12547</v>
      </c>
      <c r="B12554" s="3" t="s">
        <v>12556</v>
      </c>
      <c r="C12554" s="3" t="s">
        <v>10</v>
      </c>
      <c r="D12554" s="3" t="s">
        <v>9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/>
      <c r="P12554" s="3"/>
      <c r="Q12554" s="3"/>
    </row>
    <row r="12555" spans="1:17" ht="15" x14ac:dyDescent="0.25">
      <c r="A12555" s="3">
        <f>12548</f>
        <v>12548</v>
      </c>
      <c r="B12555" s="3" t="s">
        <v>12557</v>
      </c>
      <c r="C12555" s="3" t="s">
        <v>10</v>
      </c>
      <c r="D12555" s="3" t="s">
        <v>9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/>
      <c r="P12555" s="3"/>
      <c r="Q12555" s="3"/>
    </row>
    <row r="12556" spans="1:17" ht="15" x14ac:dyDescent="0.25">
      <c r="A12556" s="3">
        <f>12549</f>
        <v>12549</v>
      </c>
      <c r="B12556" s="3" t="s">
        <v>12558</v>
      </c>
      <c r="C12556" s="3" t="s">
        <v>10</v>
      </c>
      <c r="D12556" s="3" t="s">
        <v>9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/>
      <c r="P12556" s="3"/>
      <c r="Q12556" s="3"/>
    </row>
    <row r="12557" spans="1:17" ht="15" x14ac:dyDescent="0.25">
      <c r="A12557" s="3">
        <f>12550</f>
        <v>12550</v>
      </c>
      <c r="B12557" s="3" t="s">
        <v>12559</v>
      </c>
      <c r="C12557" s="3" t="s">
        <v>10</v>
      </c>
      <c r="D12557" s="3" t="s">
        <v>9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/>
      <c r="P12557" s="3"/>
      <c r="Q12557" s="3"/>
    </row>
    <row r="12558" spans="1:17" ht="15" x14ac:dyDescent="0.25">
      <c r="A12558" s="3">
        <f>12551</f>
        <v>12551</v>
      </c>
      <c r="B12558" s="3" t="s">
        <v>12560</v>
      </c>
      <c r="C12558" s="3" t="s">
        <v>9</v>
      </c>
      <c r="D12558" s="3" t="s">
        <v>9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/>
      <c r="P12558" s="3"/>
      <c r="Q12558" s="3"/>
    </row>
    <row r="12559" spans="1:17" ht="15" x14ac:dyDescent="0.25">
      <c r="A12559" s="3">
        <f>12552</f>
        <v>12552</v>
      </c>
      <c r="B12559" s="3" t="s">
        <v>12561</v>
      </c>
      <c r="C12559" s="3" t="s">
        <v>9</v>
      </c>
      <c r="D12559" s="3" t="s">
        <v>9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/>
      <c r="P12559" s="3"/>
      <c r="Q12559" s="3"/>
    </row>
    <row r="12560" spans="1:17" ht="15" x14ac:dyDescent="0.25">
      <c r="A12560" s="3">
        <f>12553</f>
        <v>12553</v>
      </c>
      <c r="B12560" s="3" t="s">
        <v>12562</v>
      </c>
      <c r="C12560" s="3" t="s">
        <v>9</v>
      </c>
      <c r="D12560" s="3" t="s">
        <v>9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/>
      <c r="P12560" s="3"/>
      <c r="Q12560" s="3"/>
    </row>
    <row r="12561" spans="1:17" ht="15" x14ac:dyDescent="0.25">
      <c r="A12561" s="3">
        <f>12554</f>
        <v>12554</v>
      </c>
      <c r="B12561" s="3" t="s">
        <v>12563</v>
      </c>
      <c r="C12561" s="3" t="s">
        <v>10</v>
      </c>
      <c r="D12561" s="3" t="s">
        <v>9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/>
      <c r="P12561" s="3"/>
      <c r="Q12561" s="3"/>
    </row>
    <row r="12562" spans="1:17" ht="15" x14ac:dyDescent="0.25">
      <c r="A12562" s="3">
        <f>12555</f>
        <v>12555</v>
      </c>
      <c r="B12562" s="3" t="s">
        <v>12564</v>
      </c>
      <c r="C12562" s="3" t="s">
        <v>10</v>
      </c>
      <c r="D12562" s="3" t="s">
        <v>9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/>
      <c r="P12562" s="3"/>
      <c r="Q12562" s="3"/>
    </row>
    <row r="12563" spans="1:17" ht="15" x14ac:dyDescent="0.25">
      <c r="A12563" s="3">
        <f>12556</f>
        <v>12556</v>
      </c>
      <c r="B12563" s="3" t="s">
        <v>12565</v>
      </c>
      <c r="C12563" s="3" t="s">
        <v>9</v>
      </c>
      <c r="D12563" s="3" t="s">
        <v>10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/>
      <c r="P12563" s="3"/>
      <c r="Q12563" s="3"/>
    </row>
    <row r="12564" spans="1:17" ht="15" x14ac:dyDescent="0.25">
      <c r="A12564" s="3">
        <f>12557</f>
        <v>12557</v>
      </c>
      <c r="B12564" s="3" t="s">
        <v>12566</v>
      </c>
      <c r="C12564" s="3" t="s">
        <v>9</v>
      </c>
      <c r="D12564" s="3" t="s">
        <v>10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/>
      <c r="P12564" s="3"/>
      <c r="Q12564" s="3"/>
    </row>
    <row r="12565" spans="1:17" ht="15" x14ac:dyDescent="0.25">
      <c r="A12565" s="3">
        <f>12558</f>
        <v>12558</v>
      </c>
      <c r="B12565" s="3" t="s">
        <v>12567</v>
      </c>
      <c r="C12565" s="3" t="s">
        <v>9</v>
      </c>
      <c r="D12565" s="3" t="s">
        <v>10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/>
      <c r="P12565" s="3"/>
      <c r="Q12565" s="3"/>
    </row>
    <row r="12566" spans="1:17" ht="15" x14ac:dyDescent="0.25">
      <c r="A12566" s="3">
        <f>12559</f>
        <v>12559</v>
      </c>
      <c r="B12566" s="3" t="s">
        <v>12568</v>
      </c>
      <c r="C12566" s="3" t="s">
        <v>9</v>
      </c>
      <c r="D12566" s="3" t="s">
        <v>10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/>
      <c r="P12566" s="3"/>
      <c r="Q12566" s="3"/>
    </row>
    <row r="12567" spans="1:17" ht="15" x14ac:dyDescent="0.25">
      <c r="A12567" s="3">
        <f>12560</f>
        <v>12560</v>
      </c>
      <c r="B12567" s="3" t="s">
        <v>12569</v>
      </c>
      <c r="C12567" s="3" t="s">
        <v>9</v>
      </c>
      <c r="D12567" s="3" t="s">
        <v>10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/>
      <c r="P12567" s="3"/>
      <c r="Q12567" s="3"/>
    </row>
    <row r="12568" spans="1:17" ht="15" x14ac:dyDescent="0.25">
      <c r="A12568" s="3">
        <f>12561</f>
        <v>12561</v>
      </c>
      <c r="B12568" s="3" t="s">
        <v>12570</v>
      </c>
      <c r="C12568" s="3" t="s">
        <v>9</v>
      </c>
      <c r="D12568" s="3" t="s">
        <v>10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s="3"/>
      <c r="P12568" s="3"/>
      <c r="Q12568" s="3"/>
    </row>
    <row r="12569" spans="1:17" ht="15" x14ac:dyDescent="0.25">
      <c r="A12569" s="3">
        <f>12562</f>
        <v>12562</v>
      </c>
      <c r="B12569" s="3" t="s">
        <v>12571</v>
      </c>
      <c r="C12569" s="3" t="s">
        <v>9</v>
      </c>
      <c r="D12569" s="3" t="s">
        <v>10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/>
      <c r="P12569" s="3"/>
      <c r="Q12569" s="3"/>
    </row>
    <row r="12570" spans="1:17" ht="15" x14ac:dyDescent="0.25">
      <c r="A12570" s="3">
        <f>12563</f>
        <v>12563</v>
      </c>
      <c r="B12570" s="3" t="s">
        <v>12572</v>
      </c>
      <c r="C12570" s="3" t="s">
        <v>9</v>
      </c>
      <c r="D12570" s="3" t="s">
        <v>10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/>
      <c r="P12570" s="3"/>
      <c r="Q12570" s="3"/>
    </row>
    <row r="12571" spans="1:17" ht="15" x14ac:dyDescent="0.25">
      <c r="A12571" s="3">
        <f>12564</f>
        <v>12564</v>
      </c>
      <c r="B12571" s="3" t="s">
        <v>12573</v>
      </c>
      <c r="C12571" s="3" t="s">
        <v>10</v>
      </c>
      <c r="D12571" s="3" t="s">
        <v>9</v>
      </c>
      <c r="E12571" s="3">
        <v>0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  <c r="O12571" s="3"/>
      <c r="P12571" s="3"/>
      <c r="Q12571" s="3"/>
    </row>
    <row r="12572" spans="1:17" ht="15" x14ac:dyDescent="0.25">
      <c r="A12572" s="3">
        <f>12565</f>
        <v>12565</v>
      </c>
      <c r="B12572" s="3" t="s">
        <v>12574</v>
      </c>
      <c r="C12572" s="3" t="s">
        <v>10</v>
      </c>
      <c r="D12572" s="3" t="s">
        <v>9</v>
      </c>
      <c r="E12572" s="3">
        <v>0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s="3"/>
      <c r="P12572" s="3"/>
      <c r="Q12572" s="3"/>
    </row>
    <row r="12573" spans="1:17" ht="15" x14ac:dyDescent="0.25">
      <c r="A12573" s="3">
        <f>12566</f>
        <v>12566</v>
      </c>
      <c r="B12573" s="3" t="s">
        <v>12575</v>
      </c>
      <c r="C12573" s="3" t="s">
        <v>10</v>
      </c>
      <c r="D12573" s="3" t="s">
        <v>9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/>
      <c r="P12573" s="3"/>
      <c r="Q12573" s="3"/>
    </row>
    <row r="12574" spans="1:17" ht="15" x14ac:dyDescent="0.25">
      <c r="A12574" s="3">
        <f>12567</f>
        <v>12567</v>
      </c>
      <c r="B12574" s="3" t="s">
        <v>12576</v>
      </c>
      <c r="C12574" s="3" t="s">
        <v>10</v>
      </c>
      <c r="D12574" s="3" t="s">
        <v>9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/>
      <c r="P12574" s="3"/>
      <c r="Q12574" s="3"/>
    </row>
    <row r="12575" spans="1:17" ht="15" x14ac:dyDescent="0.25">
      <c r="A12575" s="3">
        <f>12568</f>
        <v>12568</v>
      </c>
      <c r="B12575" s="3" t="s">
        <v>12577</v>
      </c>
      <c r="C12575" s="3" t="s">
        <v>10</v>
      </c>
      <c r="D12575" s="3" t="s">
        <v>9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/>
      <c r="P12575" s="3"/>
      <c r="Q12575" s="3"/>
    </row>
    <row r="12576" spans="1:17" ht="15" x14ac:dyDescent="0.25">
      <c r="A12576" s="3">
        <f>12569</f>
        <v>12569</v>
      </c>
      <c r="B12576" s="3" t="s">
        <v>12578</v>
      </c>
      <c r="C12576" s="3" t="s">
        <v>10</v>
      </c>
      <c r="D12576" s="3" t="s">
        <v>9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/>
      <c r="P12576" s="3"/>
      <c r="Q12576" s="3"/>
    </row>
    <row r="12577" spans="1:17" ht="15" x14ac:dyDescent="0.25">
      <c r="A12577" s="3">
        <f>12570</f>
        <v>12570</v>
      </c>
      <c r="B12577" s="3" t="s">
        <v>12579</v>
      </c>
      <c r="C12577" s="3" t="s">
        <v>10</v>
      </c>
      <c r="D12577" s="3" t="s">
        <v>9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/>
      <c r="P12577" s="3"/>
      <c r="Q12577" s="3"/>
    </row>
    <row r="12578" spans="1:17" ht="15" x14ac:dyDescent="0.25">
      <c r="A12578" s="3">
        <f>12571</f>
        <v>12571</v>
      </c>
      <c r="B12578" s="3" t="s">
        <v>12580</v>
      </c>
      <c r="C12578" s="3" t="s">
        <v>10</v>
      </c>
      <c r="D12578" s="3" t="s">
        <v>9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/>
      <c r="P12578" s="3"/>
      <c r="Q12578" s="3"/>
    </row>
    <row r="12579" spans="1:17" ht="15" x14ac:dyDescent="0.25">
      <c r="A12579" s="3">
        <f>12572</f>
        <v>12572</v>
      </c>
      <c r="B12579" s="3" t="s">
        <v>12581</v>
      </c>
      <c r="C12579" s="3" t="s">
        <v>10</v>
      </c>
      <c r="D12579" s="3" t="s">
        <v>9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/>
      <c r="P12579" s="3"/>
      <c r="Q12579" s="3"/>
    </row>
    <row r="12580" spans="1:17" ht="15" x14ac:dyDescent="0.25">
      <c r="A12580" s="3">
        <f>12573</f>
        <v>12573</v>
      </c>
      <c r="B12580" s="3" t="s">
        <v>12582</v>
      </c>
      <c r="C12580" s="3" t="s">
        <v>10</v>
      </c>
      <c r="D12580" s="3" t="s">
        <v>9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/>
      <c r="P12580" s="3"/>
      <c r="Q12580" s="3"/>
    </row>
    <row r="12581" spans="1:17" ht="15" x14ac:dyDescent="0.25">
      <c r="A12581" s="3">
        <f>12574</f>
        <v>12574</v>
      </c>
      <c r="B12581" s="3" t="s">
        <v>12583</v>
      </c>
      <c r="C12581" s="3" t="s">
        <v>9</v>
      </c>
      <c r="D12581" s="3" t="s">
        <v>10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/>
      <c r="P12581" s="3"/>
      <c r="Q12581" s="3"/>
    </row>
    <row r="12582" spans="1:17" ht="15" x14ac:dyDescent="0.25">
      <c r="A12582" s="3">
        <f>12575</f>
        <v>12575</v>
      </c>
      <c r="B12582" s="3" t="s">
        <v>12584</v>
      </c>
      <c r="C12582" s="3" t="s">
        <v>9</v>
      </c>
      <c r="D12582" s="3" t="s">
        <v>10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/>
      <c r="P12582" s="3"/>
      <c r="Q12582" s="3"/>
    </row>
    <row r="12583" spans="1:17" ht="15" x14ac:dyDescent="0.25">
      <c r="A12583" s="3">
        <f>12576</f>
        <v>12576</v>
      </c>
      <c r="B12583" s="3" t="s">
        <v>12585</v>
      </c>
      <c r="C12583" s="3" t="s">
        <v>9</v>
      </c>
      <c r="D12583" s="3" t="s">
        <v>10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/>
      <c r="P12583" s="3"/>
      <c r="Q12583" s="3"/>
    </row>
    <row r="12584" spans="1:17" ht="15" x14ac:dyDescent="0.25">
      <c r="A12584" s="3">
        <f>12577</f>
        <v>12577</v>
      </c>
      <c r="B12584" s="3" t="s">
        <v>12586</v>
      </c>
      <c r="C12584" s="3" t="s">
        <v>10</v>
      </c>
      <c r="D12584" s="3" t="s">
        <v>9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/>
      <c r="P12584" s="3"/>
      <c r="Q12584" s="3"/>
    </row>
    <row r="12585" spans="1:17" ht="15" x14ac:dyDescent="0.25">
      <c r="A12585" s="3">
        <f>12578</f>
        <v>12578</v>
      </c>
      <c r="B12585" s="3" t="s">
        <v>12587</v>
      </c>
      <c r="C12585" s="3" t="s">
        <v>9</v>
      </c>
      <c r="D12585" s="3" t="s">
        <v>10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/>
      <c r="P12585" s="3"/>
      <c r="Q12585" s="3"/>
    </row>
    <row r="12586" spans="1:17" ht="15" x14ac:dyDescent="0.25">
      <c r="A12586" s="3">
        <f>12579</f>
        <v>12579</v>
      </c>
      <c r="B12586" s="3" t="s">
        <v>12588</v>
      </c>
      <c r="C12586" s="3" t="s">
        <v>9</v>
      </c>
      <c r="D12586" s="3" t="s">
        <v>10</v>
      </c>
      <c r="E12586" s="3">
        <v>0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/>
      <c r="P12586" s="3"/>
      <c r="Q12586" s="3"/>
    </row>
    <row r="12587" spans="1:17" ht="15" x14ac:dyDescent="0.25">
      <c r="A12587" s="3">
        <f>12580</f>
        <v>12580</v>
      </c>
      <c r="B12587" s="3" t="s">
        <v>12589</v>
      </c>
      <c r="C12587" s="3" t="s">
        <v>9</v>
      </c>
      <c r="D12587" s="3" t="s">
        <v>10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/>
      <c r="P12587" s="3"/>
      <c r="Q12587" s="3"/>
    </row>
    <row r="12588" spans="1:17" ht="15" x14ac:dyDescent="0.25">
      <c r="A12588" s="3">
        <f>12581</f>
        <v>12581</v>
      </c>
      <c r="B12588" s="3" t="s">
        <v>12590</v>
      </c>
      <c r="C12588" s="3" t="s">
        <v>10</v>
      </c>
      <c r="D12588" s="3" t="s">
        <v>9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/>
      <c r="P12588" s="3"/>
      <c r="Q12588" s="3"/>
    </row>
    <row r="12589" spans="1:17" ht="15" x14ac:dyDescent="0.25">
      <c r="A12589" s="3">
        <f>12582</f>
        <v>12582</v>
      </c>
      <c r="B12589" s="3" t="s">
        <v>12591</v>
      </c>
      <c r="C12589" s="3" t="s">
        <v>10</v>
      </c>
      <c r="D12589" s="3" t="s">
        <v>9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/>
      <c r="P12589" s="3"/>
      <c r="Q12589" s="3"/>
    </row>
    <row r="12590" spans="1:17" ht="15" x14ac:dyDescent="0.25">
      <c r="A12590" s="3">
        <f>12583</f>
        <v>12583</v>
      </c>
      <c r="B12590" s="3" t="s">
        <v>12592</v>
      </c>
      <c r="C12590" s="3" t="s">
        <v>10</v>
      </c>
      <c r="D12590" s="3" t="s">
        <v>9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/>
      <c r="P12590" s="3"/>
      <c r="Q12590" s="3"/>
    </row>
    <row r="12591" spans="1:17" ht="15" x14ac:dyDescent="0.25">
      <c r="A12591" s="3">
        <f>12584</f>
        <v>12584</v>
      </c>
      <c r="B12591" s="3" t="s">
        <v>12593</v>
      </c>
      <c r="C12591" s="3" t="s">
        <v>10</v>
      </c>
      <c r="D12591" s="3" t="s">
        <v>9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/>
      <c r="P12591" s="3"/>
      <c r="Q12591" s="3"/>
    </row>
    <row r="12592" spans="1:17" ht="15" x14ac:dyDescent="0.25">
      <c r="A12592" s="3">
        <f>12585</f>
        <v>12585</v>
      </c>
      <c r="B12592" s="3" t="s">
        <v>12594</v>
      </c>
      <c r="C12592" s="3" t="s">
        <v>10</v>
      </c>
      <c r="D12592" s="3" t="s">
        <v>9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/>
      <c r="P12592" s="3"/>
      <c r="Q12592" s="3"/>
    </row>
    <row r="12593" spans="1:17" ht="15" x14ac:dyDescent="0.25">
      <c r="A12593" s="3">
        <f>12586</f>
        <v>12586</v>
      </c>
      <c r="B12593" s="3" t="s">
        <v>12595</v>
      </c>
      <c r="C12593" s="3" t="s">
        <v>10</v>
      </c>
      <c r="D12593" s="3" t="s">
        <v>9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/>
      <c r="P12593" s="3"/>
      <c r="Q12593" s="3"/>
    </row>
    <row r="12594" spans="1:17" ht="15" x14ac:dyDescent="0.25">
      <c r="A12594" s="3">
        <f>12587</f>
        <v>12587</v>
      </c>
      <c r="B12594" s="3" t="s">
        <v>12596</v>
      </c>
      <c r="C12594" s="3" t="s">
        <v>10</v>
      </c>
      <c r="D12594" s="3" t="s">
        <v>9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/>
      <c r="P12594" s="3"/>
      <c r="Q12594" s="3"/>
    </row>
    <row r="12595" spans="1:17" ht="15" x14ac:dyDescent="0.25">
      <c r="A12595" s="3">
        <f>12588</f>
        <v>12588</v>
      </c>
      <c r="B12595" s="3" t="s">
        <v>12597</v>
      </c>
      <c r="C12595" s="3" t="s">
        <v>9</v>
      </c>
      <c r="D12595" s="3" t="s">
        <v>10</v>
      </c>
      <c r="E12595" s="3">
        <v>0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s="3"/>
      <c r="P12595" s="3"/>
      <c r="Q12595" s="3"/>
    </row>
    <row r="12596" spans="1:17" ht="15" x14ac:dyDescent="0.25">
      <c r="A12596" s="3">
        <f>12589</f>
        <v>12589</v>
      </c>
      <c r="B12596" s="3" t="s">
        <v>12598</v>
      </c>
      <c r="C12596" s="3" t="s">
        <v>10</v>
      </c>
      <c r="D12596" s="3" t="s">
        <v>9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/>
      <c r="P12596" s="3"/>
      <c r="Q12596" s="3"/>
    </row>
    <row r="12597" spans="1:17" ht="15" x14ac:dyDescent="0.25">
      <c r="A12597" s="3">
        <f>12590</f>
        <v>12590</v>
      </c>
      <c r="B12597" s="3" t="s">
        <v>12599</v>
      </c>
      <c r="C12597" s="3" t="s">
        <v>10</v>
      </c>
      <c r="D12597" s="3" t="s">
        <v>9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/>
      <c r="P12597" s="3"/>
      <c r="Q12597" s="3"/>
    </row>
    <row r="12598" spans="1:17" ht="15" x14ac:dyDescent="0.25">
      <c r="A12598" s="3">
        <f>12591</f>
        <v>12591</v>
      </c>
      <c r="B12598" s="3" t="s">
        <v>12600</v>
      </c>
      <c r="C12598" s="3" t="s">
        <v>10</v>
      </c>
      <c r="D12598" s="3" t="s">
        <v>9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/>
      <c r="P12598" s="3"/>
      <c r="Q12598" s="3"/>
    </row>
    <row r="12599" spans="1:17" ht="15" x14ac:dyDescent="0.25">
      <c r="A12599" s="3">
        <f>12592</f>
        <v>12592</v>
      </c>
      <c r="B12599" s="3" t="s">
        <v>12601</v>
      </c>
      <c r="C12599" s="3" t="s">
        <v>10</v>
      </c>
      <c r="D12599" s="3" t="s">
        <v>9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/>
      <c r="P12599" s="3"/>
      <c r="Q12599" s="3"/>
    </row>
    <row r="12600" spans="1:17" ht="15" x14ac:dyDescent="0.25">
      <c r="A12600" s="3">
        <f>12593</f>
        <v>12593</v>
      </c>
      <c r="B12600" s="3" t="s">
        <v>12602</v>
      </c>
      <c r="C12600" s="3" t="s">
        <v>9</v>
      </c>
      <c r="D12600" s="3" t="s">
        <v>10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/>
      <c r="P12600" s="3"/>
      <c r="Q12600" s="3"/>
    </row>
    <row r="12601" spans="1:17" ht="15" x14ac:dyDescent="0.25">
      <c r="A12601" s="3">
        <f>12594</f>
        <v>12594</v>
      </c>
      <c r="B12601" s="3" t="s">
        <v>12603</v>
      </c>
      <c r="C12601" s="3" t="s">
        <v>10</v>
      </c>
      <c r="D12601" s="3" t="s">
        <v>9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/>
      <c r="P12601" s="3"/>
      <c r="Q12601" s="3"/>
    </row>
    <row r="12602" spans="1:17" ht="15" x14ac:dyDescent="0.25">
      <c r="A12602" s="3">
        <f>12595</f>
        <v>12595</v>
      </c>
      <c r="B12602" s="3" t="s">
        <v>12604</v>
      </c>
      <c r="C12602" s="3" t="s">
        <v>9</v>
      </c>
      <c r="D12602" s="3" t="s">
        <v>10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/>
      <c r="P12602" s="3"/>
      <c r="Q12602" s="3"/>
    </row>
    <row r="12603" spans="1:17" ht="15" x14ac:dyDescent="0.25">
      <c r="A12603" s="3">
        <f>12596</f>
        <v>12596</v>
      </c>
      <c r="B12603" s="3" t="s">
        <v>12605</v>
      </c>
      <c r="C12603" s="3" t="s">
        <v>9</v>
      </c>
      <c r="D12603" s="3" t="s">
        <v>10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/>
      <c r="P12603" s="3"/>
      <c r="Q12603" s="3"/>
    </row>
    <row r="12604" spans="1:17" ht="15" x14ac:dyDescent="0.25">
      <c r="A12604" s="3">
        <f>12597</f>
        <v>12597</v>
      </c>
      <c r="B12604" s="3" t="s">
        <v>12606</v>
      </c>
      <c r="C12604" s="3" t="s">
        <v>9</v>
      </c>
      <c r="D12604" s="3" t="s">
        <v>10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/>
      <c r="P12604" s="3"/>
      <c r="Q12604" s="3"/>
    </row>
    <row r="12605" spans="1:17" ht="15" x14ac:dyDescent="0.25">
      <c r="A12605" s="3">
        <f>12598</f>
        <v>12598</v>
      </c>
      <c r="B12605" s="3" t="s">
        <v>12607</v>
      </c>
      <c r="C12605" s="3" t="s">
        <v>9</v>
      </c>
      <c r="D12605" s="3" t="s">
        <v>10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/>
      <c r="P12605" s="3"/>
      <c r="Q12605" s="3"/>
    </row>
    <row r="12606" spans="1:17" ht="15" x14ac:dyDescent="0.25">
      <c r="A12606" s="3">
        <f>12599</f>
        <v>12599</v>
      </c>
      <c r="B12606" s="3" t="s">
        <v>12608</v>
      </c>
      <c r="C12606" s="3" t="s">
        <v>9</v>
      </c>
      <c r="D12606" s="3" t="s">
        <v>10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/>
      <c r="P12606" s="3"/>
      <c r="Q12606" s="3"/>
    </row>
    <row r="12607" spans="1:17" ht="15" x14ac:dyDescent="0.25">
      <c r="A12607" s="3">
        <f>12600</f>
        <v>12600</v>
      </c>
      <c r="B12607" s="3" t="s">
        <v>12609</v>
      </c>
      <c r="C12607" s="3" t="s">
        <v>10</v>
      </c>
      <c r="D12607" s="3" t="s">
        <v>9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/>
      <c r="P12607" s="3"/>
      <c r="Q12607" s="3"/>
    </row>
    <row r="12608" spans="1:17" ht="15" x14ac:dyDescent="0.25">
      <c r="A12608" s="3">
        <f>12601</f>
        <v>12601</v>
      </c>
      <c r="B12608" s="3" t="s">
        <v>12610</v>
      </c>
      <c r="C12608" s="3" t="s">
        <v>10</v>
      </c>
      <c r="D12608" s="3" t="s">
        <v>9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/>
      <c r="P12608" s="3"/>
      <c r="Q12608" s="3"/>
    </row>
    <row r="12609" spans="1:17" ht="15" x14ac:dyDescent="0.25">
      <c r="A12609" s="3">
        <f>12602</f>
        <v>12602</v>
      </c>
      <c r="B12609" s="3" t="s">
        <v>12611</v>
      </c>
      <c r="C12609" s="3" t="s">
        <v>9</v>
      </c>
      <c r="D12609" s="3" t="s">
        <v>10</v>
      </c>
      <c r="E12609" s="3">
        <v>0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/>
      <c r="P12609" s="3"/>
      <c r="Q12609" s="3"/>
    </row>
    <row r="12610" spans="1:17" ht="15" x14ac:dyDescent="0.25">
      <c r="A12610" s="3">
        <f>12603</f>
        <v>12603</v>
      </c>
      <c r="B12610" s="3" t="s">
        <v>12612</v>
      </c>
      <c r="C12610" s="3" t="s">
        <v>9</v>
      </c>
      <c r="D12610" s="3" t="s">
        <v>10</v>
      </c>
      <c r="E12610" s="3">
        <v>0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/>
      <c r="P12610" s="3"/>
      <c r="Q12610" s="3"/>
    </row>
    <row r="12611" spans="1:17" ht="15" x14ac:dyDescent="0.25">
      <c r="A12611" s="3">
        <f>12604</f>
        <v>12604</v>
      </c>
      <c r="B12611" s="3" t="s">
        <v>12613</v>
      </c>
      <c r="C12611" s="3" t="s">
        <v>9</v>
      </c>
      <c r="D12611" s="3" t="s">
        <v>10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/>
      <c r="P12611" s="3"/>
      <c r="Q12611" s="3"/>
    </row>
    <row r="12612" spans="1:17" ht="15" x14ac:dyDescent="0.25">
      <c r="A12612" s="3">
        <f>12605</f>
        <v>12605</v>
      </c>
      <c r="B12612" s="3" t="s">
        <v>12614</v>
      </c>
      <c r="C12612" s="3" t="s">
        <v>10</v>
      </c>
      <c r="D12612" s="3" t="s">
        <v>9</v>
      </c>
      <c r="E12612" s="3">
        <v>0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/>
      <c r="P12612" s="3"/>
      <c r="Q12612" s="3"/>
    </row>
    <row r="12613" spans="1:17" ht="15" x14ac:dyDescent="0.25">
      <c r="A12613" s="3">
        <f>12606</f>
        <v>12606</v>
      </c>
      <c r="B12613" s="3" t="s">
        <v>12615</v>
      </c>
      <c r="C12613" s="3" t="s">
        <v>9</v>
      </c>
      <c r="D12613" s="3" t="s">
        <v>10</v>
      </c>
      <c r="E12613" s="3">
        <v>0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/>
      <c r="P12613" s="3"/>
      <c r="Q12613" s="3"/>
    </row>
    <row r="12614" spans="1:17" ht="15" x14ac:dyDescent="0.25">
      <c r="A12614" s="3">
        <f>12607</f>
        <v>12607</v>
      </c>
      <c r="B12614" s="3" t="s">
        <v>12616</v>
      </c>
      <c r="C12614" s="3" t="s">
        <v>9</v>
      </c>
      <c r="D12614" s="3" t="s">
        <v>10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/>
      <c r="P12614" s="3"/>
      <c r="Q12614" s="3"/>
    </row>
    <row r="12615" spans="1:17" ht="15" x14ac:dyDescent="0.25">
      <c r="A12615" s="3">
        <f>12608</f>
        <v>12608</v>
      </c>
      <c r="B12615" s="3" t="s">
        <v>12617</v>
      </c>
      <c r="C12615" s="3" t="s">
        <v>9</v>
      </c>
      <c r="D12615" s="3" t="s">
        <v>10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/>
      <c r="P12615" s="3"/>
      <c r="Q12615" s="3"/>
    </row>
    <row r="12616" spans="1:17" ht="15" x14ac:dyDescent="0.25">
      <c r="A12616" s="3">
        <f>12609</f>
        <v>12609</v>
      </c>
      <c r="B12616" s="3" t="s">
        <v>12618</v>
      </c>
      <c r="C12616" s="3" t="s">
        <v>9</v>
      </c>
      <c r="D12616" s="3" t="s">
        <v>9</v>
      </c>
      <c r="E12616" s="3">
        <v>0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/>
      <c r="P12616" s="3"/>
      <c r="Q12616" s="3"/>
    </row>
    <row r="12617" spans="1:17" ht="15" x14ac:dyDescent="0.25">
      <c r="A12617" s="3">
        <f>12610</f>
        <v>12610</v>
      </c>
      <c r="B12617" s="3" t="s">
        <v>12619</v>
      </c>
      <c r="C12617" s="3" t="s">
        <v>9</v>
      </c>
      <c r="D12617" s="3" t="s">
        <v>9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/>
      <c r="P12617" s="3"/>
      <c r="Q12617" s="3"/>
    </row>
    <row r="12618" spans="1:17" ht="15" x14ac:dyDescent="0.25">
      <c r="A12618" s="3">
        <f>12611</f>
        <v>12611</v>
      </c>
      <c r="B12618" s="3" t="s">
        <v>12620</v>
      </c>
      <c r="C12618" s="3" t="s">
        <v>9</v>
      </c>
      <c r="D12618" s="3" t="s">
        <v>9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/>
      <c r="P12618" s="3"/>
      <c r="Q12618" s="3"/>
    </row>
    <row r="12619" spans="1:17" ht="15" x14ac:dyDescent="0.25">
      <c r="A12619" s="3">
        <f>12612</f>
        <v>12612</v>
      </c>
      <c r="B12619" s="3" t="s">
        <v>12621</v>
      </c>
      <c r="C12619" s="3" t="s">
        <v>9</v>
      </c>
      <c r="D12619" s="3" t="s">
        <v>9</v>
      </c>
      <c r="E12619" s="3">
        <v>0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/>
      <c r="P12619" s="3"/>
      <c r="Q12619" s="3"/>
    </row>
    <row r="12620" spans="1:17" ht="15" x14ac:dyDescent="0.25">
      <c r="A12620" s="3">
        <f>12613</f>
        <v>12613</v>
      </c>
      <c r="B12620" s="3" t="s">
        <v>12622</v>
      </c>
      <c r="C12620" s="3" t="s">
        <v>9</v>
      </c>
      <c r="D12620" s="3" t="s">
        <v>9</v>
      </c>
      <c r="E12620" s="3">
        <v>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/>
      <c r="P12620" s="3"/>
      <c r="Q12620" s="3"/>
    </row>
    <row r="12621" spans="1:17" ht="15" x14ac:dyDescent="0.25">
      <c r="A12621" s="3">
        <f>12614</f>
        <v>12614</v>
      </c>
      <c r="B12621" s="3" t="s">
        <v>12623</v>
      </c>
      <c r="C12621" s="3" t="s">
        <v>9</v>
      </c>
      <c r="D12621" s="3" t="s">
        <v>9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/>
      <c r="P12621" s="3"/>
      <c r="Q12621" s="3"/>
    </row>
    <row r="12622" spans="1:17" ht="15" x14ac:dyDescent="0.25">
      <c r="A12622" s="3">
        <f>12615</f>
        <v>12615</v>
      </c>
      <c r="B12622" s="3" t="s">
        <v>12624</v>
      </c>
      <c r="C12622" s="3" t="s">
        <v>9</v>
      </c>
      <c r="D12622" s="3" t="s">
        <v>9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/>
      <c r="P12622" s="3"/>
      <c r="Q12622" s="3"/>
    </row>
    <row r="12623" spans="1:17" ht="15" x14ac:dyDescent="0.25">
      <c r="A12623" s="3">
        <f>12616</f>
        <v>12616</v>
      </c>
      <c r="B12623" s="3" t="s">
        <v>12625</v>
      </c>
      <c r="C12623" s="3" t="s">
        <v>9</v>
      </c>
      <c r="D12623" s="3" t="s">
        <v>9</v>
      </c>
      <c r="E12623" s="3">
        <v>0</v>
      </c>
      <c r="F12623" s="3">
        <v>0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/>
      <c r="P12623" s="3"/>
      <c r="Q12623" s="3"/>
    </row>
    <row r="12624" spans="1:17" ht="15" x14ac:dyDescent="0.25">
      <c r="A12624" s="3">
        <f>12617</f>
        <v>12617</v>
      </c>
      <c r="B12624" s="3" t="s">
        <v>12626</v>
      </c>
      <c r="C12624" s="3" t="s">
        <v>9</v>
      </c>
      <c r="D12624" s="3" t="s">
        <v>9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/>
      <c r="P12624" s="3"/>
      <c r="Q12624" s="3"/>
    </row>
    <row r="12625" spans="1:17" ht="15" x14ac:dyDescent="0.25">
      <c r="A12625" s="3">
        <f>12618</f>
        <v>12618</v>
      </c>
      <c r="B12625" s="3" t="s">
        <v>12627</v>
      </c>
      <c r="C12625" s="3" t="s">
        <v>9</v>
      </c>
      <c r="D12625" s="3" t="s">
        <v>9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s="3"/>
      <c r="P12625" s="3"/>
      <c r="Q12625" s="3"/>
    </row>
    <row r="12626" spans="1:17" ht="15" x14ac:dyDescent="0.25">
      <c r="A12626" s="3">
        <f>12619</f>
        <v>12619</v>
      </c>
      <c r="B12626" s="3" t="s">
        <v>12628</v>
      </c>
      <c r="C12626" s="3" t="s">
        <v>9</v>
      </c>
      <c r="D12626" s="3" t="s">
        <v>9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0</v>
      </c>
      <c r="O12626" s="3"/>
      <c r="P12626" s="3"/>
      <c r="Q12626" s="3"/>
    </row>
    <row r="12627" spans="1:17" ht="15" x14ac:dyDescent="0.25">
      <c r="A12627" s="3">
        <f>12620</f>
        <v>12620</v>
      </c>
      <c r="B12627" s="3" t="s">
        <v>12629</v>
      </c>
      <c r="C12627" s="3" t="s">
        <v>9</v>
      </c>
      <c r="D12627" s="3" t="s">
        <v>9</v>
      </c>
      <c r="E12627" s="3">
        <v>0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/>
      <c r="P12627" s="3"/>
      <c r="Q12627" s="3"/>
    </row>
    <row r="12628" spans="1:17" ht="15" x14ac:dyDescent="0.25">
      <c r="A12628" s="3">
        <f>12621</f>
        <v>12621</v>
      </c>
      <c r="B12628" s="3" t="s">
        <v>12630</v>
      </c>
      <c r="C12628" s="3" t="s">
        <v>9</v>
      </c>
      <c r="D12628" s="3" t="s">
        <v>9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/>
      <c r="P12628" s="3"/>
      <c r="Q12628" s="3"/>
    </row>
    <row r="12629" spans="1:17" ht="15" x14ac:dyDescent="0.25">
      <c r="A12629" s="3">
        <f>12622</f>
        <v>12622</v>
      </c>
      <c r="B12629" s="3" t="s">
        <v>12631</v>
      </c>
      <c r="C12629" s="3" t="s">
        <v>9</v>
      </c>
      <c r="D12629" s="3" t="s">
        <v>9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s="3"/>
      <c r="P12629" s="3"/>
      <c r="Q12629" s="3"/>
    </row>
    <row r="12630" spans="1:17" ht="15" x14ac:dyDescent="0.25">
      <c r="A12630" s="3">
        <f>12623</f>
        <v>12623</v>
      </c>
      <c r="B12630" s="3" t="s">
        <v>12632</v>
      </c>
      <c r="C12630" s="3" t="s">
        <v>9</v>
      </c>
      <c r="D12630" s="3" t="s">
        <v>9</v>
      </c>
      <c r="E12630" s="3">
        <v>0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s="3"/>
      <c r="P12630" s="3"/>
      <c r="Q12630" s="3"/>
    </row>
    <row r="12631" spans="1:17" ht="15" x14ac:dyDescent="0.25">
      <c r="A12631" s="3">
        <f>12624</f>
        <v>12624</v>
      </c>
      <c r="B12631" s="3" t="s">
        <v>12633</v>
      </c>
      <c r="C12631" s="3" t="s">
        <v>9</v>
      </c>
      <c r="D12631" s="3" t="s">
        <v>9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s="3"/>
      <c r="P12631" s="3"/>
      <c r="Q12631" s="3"/>
    </row>
    <row r="12632" spans="1:17" ht="15" x14ac:dyDescent="0.25">
      <c r="A12632" s="3">
        <f>12625</f>
        <v>12625</v>
      </c>
      <c r="B12632" s="3" t="s">
        <v>12634</v>
      </c>
      <c r="C12632" s="3" t="s">
        <v>9</v>
      </c>
      <c r="D12632" s="3" t="s">
        <v>9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/>
      <c r="P12632" s="3"/>
      <c r="Q12632" s="3"/>
    </row>
    <row r="12633" spans="1:17" ht="15" x14ac:dyDescent="0.25">
      <c r="A12633" s="3">
        <f>12626</f>
        <v>12626</v>
      </c>
      <c r="B12633" s="3" t="s">
        <v>12635</v>
      </c>
      <c r="C12633" s="3" t="s">
        <v>9</v>
      </c>
      <c r="D12633" s="3" t="s">
        <v>9</v>
      </c>
      <c r="E12633" s="3">
        <v>0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/>
      <c r="P12633" s="3"/>
      <c r="Q12633" s="3"/>
    </row>
    <row r="12634" spans="1:17" ht="15" x14ac:dyDescent="0.25">
      <c r="A12634" s="3">
        <f>12627</f>
        <v>12627</v>
      </c>
      <c r="B12634" s="3" t="s">
        <v>12636</v>
      </c>
      <c r="C12634" s="3" t="s">
        <v>9</v>
      </c>
      <c r="D12634" s="3" t="s">
        <v>9</v>
      </c>
      <c r="E12634" s="3">
        <v>0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/>
      <c r="P12634" s="3"/>
      <c r="Q12634" s="3"/>
    </row>
    <row r="12635" spans="1:17" ht="15" x14ac:dyDescent="0.25">
      <c r="A12635" s="3">
        <f>12628</f>
        <v>12628</v>
      </c>
      <c r="B12635" s="3" t="s">
        <v>12637</v>
      </c>
      <c r="C12635" s="3" t="s">
        <v>9</v>
      </c>
      <c r="D12635" s="3" t="s">
        <v>9</v>
      </c>
      <c r="E12635" s="3">
        <v>0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  <c r="O12635" s="3"/>
      <c r="P12635" s="3"/>
      <c r="Q12635" s="3"/>
    </row>
    <row r="12636" spans="1:17" ht="15" x14ac:dyDescent="0.25">
      <c r="A12636" s="3">
        <f>12629</f>
        <v>12629</v>
      </c>
      <c r="B12636" s="3" t="s">
        <v>12638</v>
      </c>
      <c r="C12636" s="3" t="s">
        <v>9</v>
      </c>
      <c r="D12636" s="3" t="s">
        <v>9</v>
      </c>
      <c r="E12636" s="3">
        <v>0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/>
      <c r="P12636" s="3"/>
      <c r="Q12636" s="3"/>
    </row>
    <row r="12637" spans="1:17" ht="15" x14ac:dyDescent="0.25">
      <c r="A12637" s="3">
        <f>12630</f>
        <v>12630</v>
      </c>
      <c r="B12637" s="3" t="s">
        <v>12639</v>
      </c>
      <c r="C12637" s="3" t="s">
        <v>9</v>
      </c>
      <c r="D12637" s="3" t="s">
        <v>9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/>
      <c r="P12637" s="3"/>
      <c r="Q12637" s="3"/>
    </row>
    <row r="12638" spans="1:17" ht="15" x14ac:dyDescent="0.25">
      <c r="A12638" s="3">
        <f>12631</f>
        <v>12631</v>
      </c>
      <c r="B12638" s="3" t="s">
        <v>12640</v>
      </c>
      <c r="C12638" s="3" t="s">
        <v>9</v>
      </c>
      <c r="D12638" s="3" t="s">
        <v>9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s="3"/>
      <c r="P12638" s="3"/>
      <c r="Q12638" s="3"/>
    </row>
    <row r="12639" spans="1:17" ht="15" x14ac:dyDescent="0.25">
      <c r="A12639" s="3">
        <f>12632</f>
        <v>12632</v>
      </c>
      <c r="B12639" s="3" t="s">
        <v>12641</v>
      </c>
      <c r="C12639" s="3" t="s">
        <v>9</v>
      </c>
      <c r="D12639" s="3" t="s">
        <v>9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/>
      <c r="P12639" s="3"/>
      <c r="Q12639" s="3"/>
    </row>
    <row r="12640" spans="1:17" ht="15" x14ac:dyDescent="0.25">
      <c r="A12640" s="3">
        <f>12633</f>
        <v>12633</v>
      </c>
      <c r="B12640" s="3" t="s">
        <v>12642</v>
      </c>
      <c r="C12640" s="3" t="s">
        <v>9</v>
      </c>
      <c r="D12640" s="3" t="s">
        <v>9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/>
      <c r="P12640" s="3"/>
      <c r="Q12640" s="3"/>
    </row>
    <row r="12641" spans="1:17" ht="15" x14ac:dyDescent="0.25">
      <c r="A12641" s="3">
        <f>12634</f>
        <v>12634</v>
      </c>
      <c r="B12641" s="3" t="s">
        <v>12643</v>
      </c>
      <c r="C12641" s="3" t="s">
        <v>9</v>
      </c>
      <c r="D12641" s="3" t="s">
        <v>9</v>
      </c>
      <c r="E12641" s="3">
        <v>0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/>
      <c r="P12641" s="3"/>
      <c r="Q12641" s="3"/>
    </row>
    <row r="12642" spans="1:17" ht="15" x14ac:dyDescent="0.25">
      <c r="A12642" s="3">
        <f>12635</f>
        <v>12635</v>
      </c>
      <c r="B12642" s="3" t="s">
        <v>12644</v>
      </c>
      <c r="C12642" s="3" t="s">
        <v>9</v>
      </c>
      <c r="D12642" s="3" t="s">
        <v>9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/>
      <c r="P12642" s="3"/>
      <c r="Q12642" s="3"/>
    </row>
    <row r="12643" spans="1:17" ht="15" x14ac:dyDescent="0.25">
      <c r="A12643" s="3">
        <f>12636</f>
        <v>12636</v>
      </c>
      <c r="B12643" s="3" t="s">
        <v>12645</v>
      </c>
      <c r="C12643" s="3" t="s">
        <v>9</v>
      </c>
      <c r="D12643" s="3" t="s">
        <v>9</v>
      </c>
      <c r="E12643" s="3">
        <v>0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s="3"/>
      <c r="P12643" s="3"/>
      <c r="Q12643" s="3"/>
    </row>
    <row r="12644" spans="1:17" ht="15" x14ac:dyDescent="0.25">
      <c r="A12644" s="3">
        <f>12637</f>
        <v>12637</v>
      </c>
      <c r="B12644" s="3" t="s">
        <v>12646</v>
      </c>
      <c r="C12644" s="3" t="s">
        <v>9</v>
      </c>
      <c r="D12644" s="3" t="s">
        <v>9</v>
      </c>
      <c r="E12644" s="3">
        <v>0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s="3"/>
      <c r="P12644" s="3"/>
      <c r="Q12644" s="3"/>
    </row>
    <row r="12645" spans="1:17" ht="15" x14ac:dyDescent="0.25">
      <c r="A12645" s="3">
        <f>12638</f>
        <v>12638</v>
      </c>
      <c r="B12645" s="3" t="s">
        <v>12647</v>
      </c>
      <c r="C12645" s="3" t="s">
        <v>9</v>
      </c>
      <c r="D12645" s="3" t="s">
        <v>9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/>
      <c r="P12645" s="3"/>
      <c r="Q12645" s="3"/>
    </row>
    <row r="12646" spans="1:17" ht="15" x14ac:dyDescent="0.25">
      <c r="A12646" s="3">
        <f>12639</f>
        <v>12639</v>
      </c>
      <c r="B12646" s="3" t="s">
        <v>12648</v>
      </c>
      <c r="C12646" s="3" t="s">
        <v>9</v>
      </c>
      <c r="D12646" s="3" t="s">
        <v>9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/>
      <c r="P12646" s="3"/>
      <c r="Q12646" s="3"/>
    </row>
    <row r="12647" spans="1:17" ht="15" x14ac:dyDescent="0.25">
      <c r="A12647" s="3">
        <f>12640</f>
        <v>12640</v>
      </c>
      <c r="B12647" s="3" t="s">
        <v>12649</v>
      </c>
      <c r="C12647" s="3" t="s">
        <v>9</v>
      </c>
      <c r="D12647" s="3" t="s">
        <v>9</v>
      </c>
      <c r="E12647" s="3">
        <v>0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/>
      <c r="P12647" s="3"/>
      <c r="Q12647" s="3"/>
    </row>
    <row r="12648" spans="1:17" ht="15" x14ac:dyDescent="0.25">
      <c r="A12648" s="3">
        <f>12641</f>
        <v>12641</v>
      </c>
      <c r="B12648" s="3" t="s">
        <v>12650</v>
      </c>
      <c r="C12648" s="3" t="s">
        <v>9</v>
      </c>
      <c r="D12648" s="3" t="s">
        <v>9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/>
      <c r="P12648" s="3"/>
      <c r="Q12648" s="3"/>
    </row>
    <row r="12649" spans="1:17" ht="15" x14ac:dyDescent="0.25">
      <c r="A12649" s="3">
        <f>12642</f>
        <v>12642</v>
      </c>
      <c r="B12649" s="3" t="s">
        <v>12651</v>
      </c>
      <c r="C12649" s="3" t="s">
        <v>9</v>
      </c>
      <c r="D12649" s="3" t="s">
        <v>9</v>
      </c>
      <c r="E12649" s="3">
        <v>0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/>
      <c r="P12649" s="3"/>
      <c r="Q12649" s="3"/>
    </row>
    <row r="12650" spans="1:17" ht="15" x14ac:dyDescent="0.25">
      <c r="A12650" s="3">
        <f>12643</f>
        <v>12643</v>
      </c>
      <c r="B12650" s="3" t="s">
        <v>12652</v>
      </c>
      <c r="C12650" s="3" t="s">
        <v>9</v>
      </c>
      <c r="D12650" s="3" t="s">
        <v>9</v>
      </c>
      <c r="E12650" s="3">
        <v>0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/>
      <c r="P12650" s="3"/>
      <c r="Q12650" s="3"/>
    </row>
    <row r="12651" spans="1:17" ht="15" x14ac:dyDescent="0.25">
      <c r="A12651" s="3">
        <f>12644</f>
        <v>12644</v>
      </c>
      <c r="B12651" s="3" t="s">
        <v>12653</v>
      </c>
      <c r="C12651" s="3" t="s">
        <v>9</v>
      </c>
      <c r="D12651" s="3" t="s">
        <v>9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/>
      <c r="P12651" s="3"/>
      <c r="Q12651" s="3"/>
    </row>
    <row r="12652" spans="1:17" ht="15" x14ac:dyDescent="0.25">
      <c r="A12652" s="3">
        <f>12645</f>
        <v>12645</v>
      </c>
      <c r="B12652" s="3" t="s">
        <v>12654</v>
      </c>
      <c r="C12652" s="3" t="s">
        <v>9</v>
      </c>
      <c r="D12652" s="3" t="s">
        <v>9</v>
      </c>
      <c r="E12652" s="3">
        <v>0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s="3"/>
      <c r="P12652" s="3"/>
      <c r="Q12652" s="3"/>
    </row>
    <row r="12653" spans="1:17" ht="15" x14ac:dyDescent="0.25">
      <c r="A12653" s="3">
        <f>12646</f>
        <v>12646</v>
      </c>
      <c r="B12653" s="3" t="s">
        <v>12655</v>
      </c>
      <c r="C12653" s="3" t="s">
        <v>9</v>
      </c>
      <c r="D12653" s="3" t="s">
        <v>9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/>
      <c r="P12653" s="3"/>
      <c r="Q12653" s="3"/>
    </row>
    <row r="12654" spans="1:17" ht="15" x14ac:dyDescent="0.25">
      <c r="A12654" s="3">
        <f>12647</f>
        <v>12647</v>
      </c>
      <c r="B12654" s="3" t="s">
        <v>12656</v>
      </c>
      <c r="C12654" s="3" t="s">
        <v>9</v>
      </c>
      <c r="D12654" s="3" t="s">
        <v>9</v>
      </c>
      <c r="E12654" s="3">
        <v>0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  <c r="O12654" s="3"/>
      <c r="P12654" s="3"/>
      <c r="Q12654" s="3"/>
    </row>
    <row r="12655" spans="1:17" ht="15" x14ac:dyDescent="0.25">
      <c r="A12655" s="3">
        <f>12648</f>
        <v>12648</v>
      </c>
      <c r="B12655" s="3" t="s">
        <v>12657</v>
      </c>
      <c r="C12655" s="3" t="s">
        <v>9</v>
      </c>
      <c r="D12655" s="3" t="s">
        <v>9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/>
      <c r="P12655" s="3"/>
      <c r="Q12655" s="3"/>
    </row>
    <row r="12656" spans="1:17" ht="15" x14ac:dyDescent="0.25">
      <c r="A12656" s="3">
        <f>12649</f>
        <v>12649</v>
      </c>
      <c r="B12656" s="3" t="s">
        <v>12658</v>
      </c>
      <c r="C12656" s="3" t="s">
        <v>9</v>
      </c>
      <c r="D12656" s="3" t="s">
        <v>10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/>
      <c r="P12656" s="3"/>
      <c r="Q12656" s="3"/>
    </row>
    <row r="12657" spans="1:17" ht="15" x14ac:dyDescent="0.25">
      <c r="A12657" s="3">
        <f>12650</f>
        <v>12650</v>
      </c>
      <c r="B12657" s="3" t="s">
        <v>12659</v>
      </c>
      <c r="C12657" s="3" t="s">
        <v>9</v>
      </c>
      <c r="D12657" s="3" t="s">
        <v>10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/>
      <c r="P12657" s="3"/>
      <c r="Q12657" s="3"/>
    </row>
    <row r="12658" spans="1:17" ht="15" x14ac:dyDescent="0.25">
      <c r="A12658" s="3">
        <f>12651</f>
        <v>12651</v>
      </c>
      <c r="B12658" s="3" t="s">
        <v>12660</v>
      </c>
      <c r="C12658" s="3" t="s">
        <v>9</v>
      </c>
      <c r="D12658" s="3" t="s">
        <v>10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/>
      <c r="P12658" s="3"/>
      <c r="Q12658" s="3"/>
    </row>
    <row r="12659" spans="1:17" ht="15" x14ac:dyDescent="0.25">
      <c r="A12659" s="3">
        <f>12652</f>
        <v>12652</v>
      </c>
      <c r="B12659" s="3" t="s">
        <v>12661</v>
      </c>
      <c r="C12659" s="3" t="s">
        <v>9</v>
      </c>
      <c r="D12659" s="3" t="s">
        <v>10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/>
      <c r="P12659" s="3"/>
      <c r="Q12659" s="3"/>
    </row>
    <row r="12660" spans="1:17" ht="15" x14ac:dyDescent="0.25">
      <c r="A12660" s="3">
        <f>12653</f>
        <v>12653</v>
      </c>
      <c r="B12660" s="3" t="s">
        <v>12662</v>
      </c>
      <c r="C12660" s="3" t="s">
        <v>9</v>
      </c>
      <c r="D12660" s="3" t="s">
        <v>10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/>
      <c r="P12660" s="3"/>
      <c r="Q12660" s="3"/>
    </row>
    <row r="12661" spans="1:17" ht="15" x14ac:dyDescent="0.25">
      <c r="A12661" s="3">
        <f>12654</f>
        <v>12654</v>
      </c>
      <c r="B12661" s="3" t="s">
        <v>12663</v>
      </c>
      <c r="C12661" s="3" t="s">
        <v>9</v>
      </c>
      <c r="D12661" s="3" t="s">
        <v>10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/>
      <c r="P12661" s="3"/>
      <c r="Q12661" s="3"/>
    </row>
    <row r="12662" spans="1:17" ht="15" x14ac:dyDescent="0.25">
      <c r="A12662" s="3">
        <f>12655</f>
        <v>12655</v>
      </c>
      <c r="B12662" s="3" t="s">
        <v>12664</v>
      </c>
      <c r="C12662" s="3" t="s">
        <v>9</v>
      </c>
      <c r="D12662" s="3" t="s">
        <v>10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/>
      <c r="P12662" s="3"/>
      <c r="Q12662" s="3"/>
    </row>
    <row r="12663" spans="1:17" ht="15" x14ac:dyDescent="0.25">
      <c r="A12663" s="3">
        <f>12656</f>
        <v>12656</v>
      </c>
      <c r="B12663" s="3" t="s">
        <v>12665</v>
      </c>
      <c r="C12663" s="3" t="s">
        <v>9</v>
      </c>
      <c r="D12663" s="3" t="s">
        <v>10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/>
      <c r="P12663" s="3"/>
      <c r="Q12663" s="3"/>
    </row>
    <row r="12664" spans="1:17" ht="15" x14ac:dyDescent="0.25">
      <c r="A12664" s="3">
        <f>12657</f>
        <v>12657</v>
      </c>
      <c r="B12664" s="3" t="s">
        <v>12666</v>
      </c>
      <c r="C12664" s="3" t="s">
        <v>9</v>
      </c>
      <c r="D12664" s="3" t="s">
        <v>10</v>
      </c>
      <c r="E12664" s="3">
        <v>0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/>
      <c r="P12664" s="3"/>
      <c r="Q12664" s="3"/>
    </row>
    <row r="12665" spans="1:17" ht="15" x14ac:dyDescent="0.25">
      <c r="A12665" s="3">
        <f>12658</f>
        <v>12658</v>
      </c>
      <c r="B12665" s="3" t="s">
        <v>12667</v>
      </c>
      <c r="C12665" s="3" t="s">
        <v>9</v>
      </c>
      <c r="D12665" s="3" t="s">
        <v>10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/>
      <c r="P12665" s="3"/>
      <c r="Q12665" s="3"/>
    </row>
    <row r="12666" spans="1:17" ht="15" x14ac:dyDescent="0.25">
      <c r="A12666" s="3">
        <f>12659</f>
        <v>12659</v>
      </c>
      <c r="B12666" s="3" t="s">
        <v>12668</v>
      </c>
      <c r="C12666" s="3" t="s">
        <v>9</v>
      </c>
      <c r="D12666" s="3" t="s">
        <v>10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/>
      <c r="P12666" s="3"/>
      <c r="Q12666" s="3"/>
    </row>
    <row r="12667" spans="1:17" ht="15" x14ac:dyDescent="0.25">
      <c r="A12667" s="3">
        <f>12660</f>
        <v>12660</v>
      </c>
      <c r="B12667" s="3" t="s">
        <v>12669</v>
      </c>
      <c r="C12667" s="3" t="s">
        <v>9</v>
      </c>
      <c r="D12667" s="3" t="s">
        <v>10</v>
      </c>
      <c r="E12667" s="3">
        <v>0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s="3"/>
      <c r="P12667" s="3"/>
      <c r="Q12667" s="3"/>
    </row>
    <row r="12668" spans="1:17" ht="15" x14ac:dyDescent="0.25">
      <c r="A12668" s="3">
        <f>12661</f>
        <v>12661</v>
      </c>
      <c r="B12668" s="3" t="s">
        <v>12670</v>
      </c>
      <c r="C12668" s="3" t="s">
        <v>9</v>
      </c>
      <c r="D12668" s="3" t="s">
        <v>10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/>
      <c r="P12668" s="3"/>
      <c r="Q12668" s="3"/>
    </row>
    <row r="12669" spans="1:17" ht="15" x14ac:dyDescent="0.25">
      <c r="A12669" s="3">
        <f>12662</f>
        <v>12662</v>
      </c>
      <c r="B12669" s="3" t="s">
        <v>12671</v>
      </c>
      <c r="C12669" s="3" t="s">
        <v>9</v>
      </c>
      <c r="D12669" s="3" t="s">
        <v>10</v>
      </c>
      <c r="E12669" s="3">
        <v>0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s="3"/>
      <c r="P12669" s="3"/>
      <c r="Q12669" s="3"/>
    </row>
    <row r="12670" spans="1:17" ht="15" x14ac:dyDescent="0.25">
      <c r="A12670" s="3">
        <f>12663</f>
        <v>12663</v>
      </c>
      <c r="B12670" s="3" t="s">
        <v>12672</v>
      </c>
      <c r="C12670" s="3" t="s">
        <v>9</v>
      </c>
      <c r="D12670" s="3" t="s">
        <v>10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/>
      <c r="P12670" s="3"/>
      <c r="Q12670" s="3"/>
    </row>
    <row r="12671" spans="1:17" ht="15" x14ac:dyDescent="0.25">
      <c r="A12671" s="3">
        <f>12664</f>
        <v>12664</v>
      </c>
      <c r="B12671" s="3" t="s">
        <v>12673</v>
      </c>
      <c r="C12671" s="3" t="s">
        <v>9</v>
      </c>
      <c r="D12671" s="3" t="s">
        <v>10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  <c r="O12671" s="3"/>
      <c r="P12671" s="3"/>
      <c r="Q12671" s="3"/>
    </row>
    <row r="12672" spans="1:17" ht="15" x14ac:dyDescent="0.25">
      <c r="A12672" s="3">
        <f>12665</f>
        <v>12665</v>
      </c>
      <c r="B12672" s="3" t="s">
        <v>12674</v>
      </c>
      <c r="C12672" s="3" t="s">
        <v>9</v>
      </c>
      <c r="D12672" s="3" t="s">
        <v>10</v>
      </c>
      <c r="E12672" s="3">
        <v>0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/>
      <c r="P12672" s="3"/>
      <c r="Q12672" s="3"/>
    </row>
    <row r="12673" spans="1:17" ht="15" x14ac:dyDescent="0.25">
      <c r="A12673" s="3">
        <f>12666</f>
        <v>12666</v>
      </c>
      <c r="B12673" s="3" t="s">
        <v>12675</v>
      </c>
      <c r="C12673" s="3" t="s">
        <v>9</v>
      </c>
      <c r="D12673" s="3" t="s">
        <v>10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/>
      <c r="P12673" s="3"/>
      <c r="Q12673" s="3"/>
    </row>
    <row r="12674" spans="1:17" ht="15" x14ac:dyDescent="0.25">
      <c r="A12674" s="3">
        <f>12667</f>
        <v>12667</v>
      </c>
      <c r="B12674" s="3" t="s">
        <v>12676</v>
      </c>
      <c r="C12674" s="3" t="s">
        <v>9</v>
      </c>
      <c r="D12674" s="3" t="s">
        <v>10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/>
      <c r="P12674" s="3"/>
      <c r="Q12674" s="3"/>
    </row>
    <row r="12675" spans="1:17" ht="15" x14ac:dyDescent="0.25">
      <c r="A12675" s="3">
        <f>12668</f>
        <v>12668</v>
      </c>
      <c r="B12675" s="3" t="s">
        <v>12677</v>
      </c>
      <c r="C12675" s="3" t="s">
        <v>9</v>
      </c>
      <c r="D12675" s="3" t="s">
        <v>10</v>
      </c>
      <c r="E12675" s="3">
        <v>0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s="3"/>
      <c r="P12675" s="3"/>
      <c r="Q12675" s="3"/>
    </row>
    <row r="12676" spans="1:17" ht="15" x14ac:dyDescent="0.25">
      <c r="A12676" s="3">
        <f>12669</f>
        <v>12669</v>
      </c>
      <c r="B12676" s="3" t="s">
        <v>12678</v>
      </c>
      <c r="C12676" s="3" t="s">
        <v>9</v>
      </c>
      <c r="D12676" s="3" t="s">
        <v>10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/>
      <c r="P12676" s="3"/>
      <c r="Q12676" s="3"/>
    </row>
    <row r="12677" spans="1:17" ht="15" x14ac:dyDescent="0.25">
      <c r="A12677" s="3">
        <f>12670</f>
        <v>12670</v>
      </c>
      <c r="B12677" s="3" t="s">
        <v>12679</v>
      </c>
      <c r="C12677" s="3" t="s">
        <v>9</v>
      </c>
      <c r="D12677" s="3" t="s">
        <v>10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/>
      <c r="P12677" s="3"/>
      <c r="Q12677" s="3"/>
    </row>
    <row r="12678" spans="1:17" ht="15" x14ac:dyDescent="0.25">
      <c r="A12678" s="3">
        <f>12671</f>
        <v>12671</v>
      </c>
      <c r="B12678" s="3" t="s">
        <v>12680</v>
      </c>
      <c r="C12678" s="3" t="s">
        <v>9</v>
      </c>
      <c r="D12678" s="3" t="s">
        <v>10</v>
      </c>
      <c r="E12678" s="3">
        <v>0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/>
      <c r="P12678" s="3"/>
      <c r="Q12678" s="3"/>
    </row>
    <row r="12679" spans="1:17" ht="15" x14ac:dyDescent="0.25">
      <c r="A12679" s="3">
        <f>12672</f>
        <v>12672</v>
      </c>
      <c r="B12679" s="3" t="s">
        <v>12681</v>
      </c>
      <c r="C12679" s="3" t="s">
        <v>9</v>
      </c>
      <c r="D12679" s="3" t="s">
        <v>10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/>
      <c r="P12679" s="3"/>
      <c r="Q12679" s="3"/>
    </row>
    <row r="12680" spans="1:17" ht="15" x14ac:dyDescent="0.25">
      <c r="A12680" s="3">
        <f>12673</f>
        <v>12673</v>
      </c>
      <c r="B12680" s="3" t="s">
        <v>12682</v>
      </c>
      <c r="C12680" s="3" t="s">
        <v>9</v>
      </c>
      <c r="D12680" s="3" t="s">
        <v>10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/>
      <c r="P12680" s="3"/>
      <c r="Q12680" s="3"/>
    </row>
    <row r="12681" spans="1:17" ht="15" x14ac:dyDescent="0.25">
      <c r="A12681" s="3">
        <f>12674</f>
        <v>12674</v>
      </c>
      <c r="B12681" s="3" t="s">
        <v>12683</v>
      </c>
      <c r="C12681" s="3" t="s">
        <v>9</v>
      </c>
      <c r="D12681" s="3" t="s">
        <v>10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/>
      <c r="P12681" s="3"/>
      <c r="Q12681" s="3"/>
    </row>
    <row r="12682" spans="1:17" ht="15" x14ac:dyDescent="0.25">
      <c r="A12682" s="3">
        <f>12675</f>
        <v>12675</v>
      </c>
      <c r="B12682" s="3" t="s">
        <v>12684</v>
      </c>
      <c r="C12682" s="3" t="s">
        <v>9</v>
      </c>
      <c r="D12682" s="3" t="s">
        <v>10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/>
      <c r="P12682" s="3"/>
      <c r="Q12682" s="3"/>
    </row>
    <row r="12683" spans="1:17" ht="15" x14ac:dyDescent="0.25">
      <c r="A12683" s="3">
        <f>12676</f>
        <v>12676</v>
      </c>
      <c r="B12683" s="3" t="s">
        <v>12685</v>
      </c>
      <c r="C12683" s="3" t="s">
        <v>9</v>
      </c>
      <c r="D12683" s="3" t="s">
        <v>10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/>
      <c r="P12683" s="3"/>
      <c r="Q12683" s="3"/>
    </row>
    <row r="12684" spans="1:17" ht="15" x14ac:dyDescent="0.25">
      <c r="A12684" s="3">
        <f>12677</f>
        <v>12677</v>
      </c>
      <c r="B12684" s="3" t="s">
        <v>12686</v>
      </c>
      <c r="C12684" s="3" t="s">
        <v>9</v>
      </c>
      <c r="D12684" s="3" t="s">
        <v>10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/>
      <c r="P12684" s="3"/>
      <c r="Q12684" s="3"/>
    </row>
    <row r="12685" spans="1:17" ht="15" x14ac:dyDescent="0.25">
      <c r="A12685" s="3">
        <f>12678</f>
        <v>12678</v>
      </c>
      <c r="B12685" s="3" t="s">
        <v>12687</v>
      </c>
      <c r="C12685" s="3" t="s">
        <v>9</v>
      </c>
      <c r="D12685" s="3" t="s">
        <v>10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/>
      <c r="P12685" s="3"/>
      <c r="Q12685" s="3"/>
    </row>
    <row r="12686" spans="1:17" ht="15" x14ac:dyDescent="0.25">
      <c r="A12686" s="3">
        <f>12679</f>
        <v>12679</v>
      </c>
      <c r="B12686" s="3" t="s">
        <v>12688</v>
      </c>
      <c r="C12686" s="3" t="s">
        <v>9</v>
      </c>
      <c r="D12686" s="3" t="s">
        <v>10</v>
      </c>
      <c r="E12686" s="3">
        <v>0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/>
      <c r="P12686" s="3"/>
      <c r="Q12686" s="3"/>
    </row>
    <row r="12687" spans="1:17" ht="15" x14ac:dyDescent="0.25">
      <c r="A12687" s="3">
        <f>12680</f>
        <v>12680</v>
      </c>
      <c r="B12687" s="3" t="s">
        <v>12689</v>
      </c>
      <c r="C12687" s="3" t="s">
        <v>9</v>
      </c>
      <c r="D12687" s="3" t="s">
        <v>10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s="3"/>
      <c r="P12687" s="3"/>
      <c r="Q12687" s="3"/>
    </row>
    <row r="12688" spans="1:17" ht="15" x14ac:dyDescent="0.25">
      <c r="A12688" s="3">
        <f>12681</f>
        <v>12681</v>
      </c>
      <c r="B12688" s="3" t="s">
        <v>12690</v>
      </c>
      <c r="C12688" s="3" t="s">
        <v>9</v>
      </c>
      <c r="D12688" s="3" t="s">
        <v>10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s="3"/>
      <c r="P12688" s="3"/>
      <c r="Q12688" s="3"/>
    </row>
    <row r="12689" spans="1:17" ht="15" x14ac:dyDescent="0.25">
      <c r="A12689" s="3">
        <f>12682</f>
        <v>12682</v>
      </c>
      <c r="B12689" s="3" t="s">
        <v>12691</v>
      </c>
      <c r="C12689" s="3" t="s">
        <v>9</v>
      </c>
      <c r="D12689" s="3" t="s">
        <v>10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/>
      <c r="P12689" s="3"/>
      <c r="Q12689" s="3"/>
    </row>
    <row r="12690" spans="1:17" ht="15" x14ac:dyDescent="0.25">
      <c r="A12690" s="3">
        <f>12683</f>
        <v>12683</v>
      </c>
      <c r="B12690" s="3" t="s">
        <v>12692</v>
      </c>
      <c r="C12690" s="3" t="s">
        <v>9</v>
      </c>
      <c r="D12690" s="3" t="s">
        <v>10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s="3"/>
      <c r="P12690" s="3"/>
      <c r="Q12690" s="3"/>
    </row>
    <row r="12691" spans="1:17" ht="15" x14ac:dyDescent="0.25">
      <c r="A12691" s="3">
        <f>12684</f>
        <v>12684</v>
      </c>
      <c r="B12691" s="3" t="s">
        <v>12693</v>
      </c>
      <c r="C12691" s="3" t="s">
        <v>9</v>
      </c>
      <c r="D12691" s="3" t="s">
        <v>10</v>
      </c>
      <c r="E12691" s="3">
        <v>0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/>
      <c r="P12691" s="3"/>
      <c r="Q12691" s="3"/>
    </row>
    <row r="12692" spans="1:17" ht="15" x14ac:dyDescent="0.25">
      <c r="A12692" s="3">
        <f>12685</f>
        <v>12685</v>
      </c>
      <c r="B12692" s="3" t="s">
        <v>12694</v>
      </c>
      <c r="C12692" s="3" t="s">
        <v>9</v>
      </c>
      <c r="D12692" s="3" t="s">
        <v>10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/>
      <c r="P12692" s="3"/>
      <c r="Q12692" s="3"/>
    </row>
    <row r="12693" spans="1:17" ht="15" x14ac:dyDescent="0.25">
      <c r="A12693" s="3">
        <f>12686</f>
        <v>12686</v>
      </c>
      <c r="B12693" s="3" t="s">
        <v>12695</v>
      </c>
      <c r="C12693" s="3" t="s">
        <v>9</v>
      </c>
      <c r="D12693" s="3" t="s">
        <v>10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/>
      <c r="P12693" s="3"/>
      <c r="Q12693" s="3"/>
    </row>
    <row r="12694" spans="1:17" ht="15" x14ac:dyDescent="0.25">
      <c r="A12694" s="3">
        <f>12687</f>
        <v>12687</v>
      </c>
      <c r="B12694" s="3" t="s">
        <v>12696</v>
      </c>
      <c r="C12694" s="3" t="s">
        <v>9</v>
      </c>
      <c r="D12694" s="3" t="s">
        <v>10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/>
      <c r="P12694" s="3"/>
      <c r="Q12694" s="3"/>
    </row>
    <row r="12695" spans="1:17" ht="15" x14ac:dyDescent="0.25">
      <c r="A12695" s="3">
        <f>12688</f>
        <v>12688</v>
      </c>
      <c r="B12695" s="3" t="s">
        <v>12697</v>
      </c>
      <c r="C12695" s="3" t="s">
        <v>9</v>
      </c>
      <c r="D12695" s="3" t="s">
        <v>10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/>
      <c r="P12695" s="3"/>
      <c r="Q12695" s="3"/>
    </row>
    <row r="12696" spans="1:17" ht="15" x14ac:dyDescent="0.25">
      <c r="A12696" s="3">
        <f>12689</f>
        <v>12689</v>
      </c>
      <c r="B12696" s="3" t="s">
        <v>12698</v>
      </c>
      <c r="C12696" s="3" t="s">
        <v>9</v>
      </c>
      <c r="D12696" s="3" t="s">
        <v>10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s="3"/>
      <c r="P12696" s="3"/>
      <c r="Q12696" s="3"/>
    </row>
    <row r="12697" spans="1:17" ht="15" x14ac:dyDescent="0.25">
      <c r="A12697" s="3">
        <f>12690</f>
        <v>12690</v>
      </c>
      <c r="B12697" s="3" t="s">
        <v>12699</v>
      </c>
      <c r="C12697" s="3" t="s">
        <v>9</v>
      </c>
      <c r="D12697" s="3" t="s">
        <v>10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/>
      <c r="P12697" s="3"/>
      <c r="Q12697" s="3"/>
    </row>
    <row r="12698" spans="1:17" ht="15" x14ac:dyDescent="0.25">
      <c r="A12698" s="3">
        <f>12691</f>
        <v>12691</v>
      </c>
      <c r="B12698" s="3" t="s">
        <v>12700</v>
      </c>
      <c r="C12698" s="3" t="s">
        <v>9</v>
      </c>
      <c r="D12698" s="3" t="s">
        <v>10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s="3"/>
      <c r="P12698" s="3"/>
      <c r="Q12698" s="3"/>
    </row>
    <row r="12699" spans="1:17" ht="15" x14ac:dyDescent="0.25">
      <c r="A12699" s="3">
        <f>12692</f>
        <v>12692</v>
      </c>
      <c r="B12699" s="3" t="s">
        <v>12701</v>
      </c>
      <c r="C12699" s="3" t="s">
        <v>9</v>
      </c>
      <c r="D12699" s="3" t="s">
        <v>10</v>
      </c>
      <c r="E12699" s="3">
        <v>0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s="3"/>
      <c r="P12699" s="3"/>
      <c r="Q12699" s="3"/>
    </row>
    <row r="12700" spans="1:17" ht="15" x14ac:dyDescent="0.25">
      <c r="A12700" s="3">
        <f>12693</f>
        <v>12693</v>
      </c>
      <c r="B12700" s="3" t="s">
        <v>12702</v>
      </c>
      <c r="C12700" s="3" t="s">
        <v>9</v>
      </c>
      <c r="D12700" s="3" t="s">
        <v>10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/>
      <c r="P12700" s="3"/>
      <c r="Q12700" s="3"/>
    </row>
    <row r="12701" spans="1:17" ht="15" x14ac:dyDescent="0.25">
      <c r="A12701" s="3">
        <f>12694</f>
        <v>12694</v>
      </c>
      <c r="B12701" s="3" t="s">
        <v>12703</v>
      </c>
      <c r="C12701" s="3" t="s">
        <v>9</v>
      </c>
      <c r="D12701" s="3" t="s">
        <v>10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/>
      <c r="P12701" s="3"/>
      <c r="Q12701" s="3"/>
    </row>
    <row r="12702" spans="1:17" ht="15" x14ac:dyDescent="0.25">
      <c r="A12702" s="3">
        <f>12695</f>
        <v>12695</v>
      </c>
      <c r="B12702" s="3" t="s">
        <v>12704</v>
      </c>
      <c r="C12702" s="3" t="s">
        <v>9</v>
      </c>
      <c r="D12702" s="3" t="s">
        <v>10</v>
      </c>
      <c r="E12702" s="3">
        <v>0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/>
      <c r="P12702" s="3"/>
      <c r="Q12702" s="3"/>
    </row>
    <row r="12703" spans="1:17" ht="15" x14ac:dyDescent="0.25">
      <c r="A12703" s="3">
        <f>12696</f>
        <v>12696</v>
      </c>
      <c r="B12703" s="3" t="s">
        <v>12705</v>
      </c>
      <c r="C12703" s="3" t="s">
        <v>9</v>
      </c>
      <c r="D12703" s="3" t="s">
        <v>10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/>
      <c r="P12703" s="3"/>
      <c r="Q12703" s="3"/>
    </row>
    <row r="12704" spans="1:17" ht="15" x14ac:dyDescent="0.25">
      <c r="A12704" s="3">
        <f>12697</f>
        <v>12697</v>
      </c>
      <c r="B12704" s="3" t="s">
        <v>12706</v>
      </c>
      <c r="C12704" s="3" t="s">
        <v>9</v>
      </c>
      <c r="D12704" s="3" t="s">
        <v>10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/>
      <c r="P12704" s="3"/>
      <c r="Q12704" s="3"/>
    </row>
    <row r="12705" spans="1:17" ht="15" x14ac:dyDescent="0.25">
      <c r="A12705" s="3">
        <f>12698</f>
        <v>12698</v>
      </c>
      <c r="B12705" s="3" t="s">
        <v>12707</v>
      </c>
      <c r="C12705" s="3" t="s">
        <v>9</v>
      </c>
      <c r="D12705" s="3" t="s">
        <v>10</v>
      </c>
      <c r="E12705" s="3">
        <v>0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/>
      <c r="P12705" s="3"/>
      <c r="Q12705" s="3"/>
    </row>
    <row r="12706" spans="1:17" ht="15" x14ac:dyDescent="0.25">
      <c r="A12706" s="3">
        <f>12699</f>
        <v>12699</v>
      </c>
      <c r="B12706" s="3" t="s">
        <v>12708</v>
      </c>
      <c r="C12706" s="3" t="s">
        <v>9</v>
      </c>
      <c r="D12706" s="3" t="s">
        <v>10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/>
      <c r="P12706" s="3"/>
      <c r="Q12706" s="3"/>
    </row>
    <row r="12707" spans="1:17" ht="15" x14ac:dyDescent="0.25">
      <c r="A12707" s="3">
        <f>12700</f>
        <v>12700</v>
      </c>
      <c r="B12707" s="3" t="s">
        <v>12709</v>
      </c>
      <c r="C12707" s="3" t="s">
        <v>9</v>
      </c>
      <c r="D12707" s="3" t="s">
        <v>10</v>
      </c>
      <c r="E12707" s="3">
        <v>0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/>
      <c r="P12707" s="3"/>
      <c r="Q12707" s="3"/>
    </row>
    <row r="12708" spans="1:17" ht="15" x14ac:dyDescent="0.25">
      <c r="A12708" s="3">
        <f>12701</f>
        <v>12701</v>
      </c>
      <c r="B12708" s="3" t="s">
        <v>12710</v>
      </c>
      <c r="C12708" s="3" t="s">
        <v>9</v>
      </c>
      <c r="D12708" s="3" t="s">
        <v>10</v>
      </c>
      <c r="E12708" s="3">
        <v>0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/>
      <c r="P12708" s="3"/>
      <c r="Q12708" s="3"/>
    </row>
    <row r="12709" spans="1:17" ht="15" x14ac:dyDescent="0.25">
      <c r="A12709" s="3">
        <f>12702</f>
        <v>12702</v>
      </c>
      <c r="B12709" s="3" t="s">
        <v>12711</v>
      </c>
      <c r="C12709" s="3" t="s">
        <v>9</v>
      </c>
      <c r="D12709" s="3" t="s">
        <v>10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/>
      <c r="P12709" s="3"/>
      <c r="Q12709" s="3"/>
    </row>
    <row r="12710" spans="1:17" ht="15" x14ac:dyDescent="0.25">
      <c r="A12710" s="3">
        <f>12703</f>
        <v>12703</v>
      </c>
      <c r="B12710" s="3" t="s">
        <v>12712</v>
      </c>
      <c r="C12710" s="3" t="s">
        <v>9</v>
      </c>
      <c r="D12710" s="3" t="s">
        <v>10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/>
      <c r="P12710" s="3"/>
      <c r="Q12710" s="3"/>
    </row>
    <row r="12711" spans="1:17" ht="15" x14ac:dyDescent="0.25">
      <c r="A12711" s="3">
        <f>12704</f>
        <v>12704</v>
      </c>
      <c r="B12711" s="3" t="s">
        <v>12713</v>
      </c>
      <c r="C12711" s="3" t="s">
        <v>9</v>
      </c>
      <c r="D12711" s="3" t="s">
        <v>10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/>
      <c r="P12711" s="3"/>
      <c r="Q12711" s="3"/>
    </row>
    <row r="12712" spans="1:17" ht="15" x14ac:dyDescent="0.25">
      <c r="A12712" s="3">
        <f>12705</f>
        <v>12705</v>
      </c>
      <c r="B12712" s="3" t="s">
        <v>12714</v>
      </c>
      <c r="C12712" s="3" t="s">
        <v>9</v>
      </c>
      <c r="D12712" s="3" t="s">
        <v>10</v>
      </c>
      <c r="E12712" s="3">
        <v>0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/>
      <c r="P12712" s="3"/>
      <c r="Q12712" s="3"/>
    </row>
    <row r="12713" spans="1:17" ht="15" x14ac:dyDescent="0.25">
      <c r="A12713" s="3">
        <f>12706</f>
        <v>12706</v>
      </c>
      <c r="B12713" s="3" t="s">
        <v>12715</v>
      </c>
      <c r="C12713" s="3" t="s">
        <v>9</v>
      </c>
      <c r="D12713" s="3" t="s">
        <v>10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/>
      <c r="P12713" s="3"/>
      <c r="Q12713" s="3"/>
    </row>
    <row r="12714" spans="1:17" ht="15" x14ac:dyDescent="0.25">
      <c r="A12714" s="3">
        <f>12707</f>
        <v>12707</v>
      </c>
      <c r="B12714" s="3" t="s">
        <v>12716</v>
      </c>
      <c r="C12714" s="3" t="s">
        <v>9</v>
      </c>
      <c r="D12714" s="3" t="s">
        <v>10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/>
      <c r="P12714" s="3"/>
      <c r="Q12714" s="3"/>
    </row>
    <row r="12715" spans="1:17" ht="15" x14ac:dyDescent="0.25">
      <c r="A12715" s="3">
        <f>12708</f>
        <v>12708</v>
      </c>
      <c r="B12715" s="3" t="s">
        <v>12717</v>
      </c>
      <c r="C12715" s="3" t="s">
        <v>9</v>
      </c>
      <c r="D12715" s="3" t="s">
        <v>10</v>
      </c>
      <c r="E12715" s="3">
        <v>0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/>
      <c r="P12715" s="3"/>
      <c r="Q12715" s="3"/>
    </row>
    <row r="12716" spans="1:17" ht="15" x14ac:dyDescent="0.25">
      <c r="A12716" s="3">
        <f>12709</f>
        <v>12709</v>
      </c>
      <c r="B12716" s="3" t="s">
        <v>12718</v>
      </c>
      <c r="C12716" s="3" t="s">
        <v>9</v>
      </c>
      <c r="D12716" s="3" t="s">
        <v>10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/>
      <c r="P12716" s="3"/>
      <c r="Q12716" s="3"/>
    </row>
    <row r="12717" spans="1:17" ht="15" x14ac:dyDescent="0.25">
      <c r="A12717" s="3">
        <f>12710</f>
        <v>12710</v>
      </c>
      <c r="B12717" s="3" t="s">
        <v>12719</v>
      </c>
      <c r="C12717" s="3" t="s">
        <v>9</v>
      </c>
      <c r="D12717" s="3" t="s">
        <v>10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/>
      <c r="P12717" s="3"/>
      <c r="Q12717" s="3"/>
    </row>
    <row r="12718" spans="1:17" ht="15" x14ac:dyDescent="0.25">
      <c r="A12718" s="3">
        <f>12711</f>
        <v>12711</v>
      </c>
      <c r="B12718" s="3" t="s">
        <v>12720</v>
      </c>
      <c r="C12718" s="3" t="s">
        <v>9</v>
      </c>
      <c r="D12718" s="3" t="s">
        <v>10</v>
      </c>
      <c r="E12718" s="3">
        <v>0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/>
      <c r="P12718" s="3"/>
      <c r="Q12718" s="3"/>
    </row>
    <row r="12719" spans="1:17" ht="15" x14ac:dyDescent="0.25">
      <c r="A12719" s="3">
        <f>12712</f>
        <v>12712</v>
      </c>
      <c r="B12719" s="3" t="s">
        <v>12721</v>
      </c>
      <c r="C12719" s="3" t="s">
        <v>9</v>
      </c>
      <c r="D12719" s="3" t="s">
        <v>10</v>
      </c>
      <c r="E12719" s="3">
        <v>0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/>
      <c r="P12719" s="3"/>
      <c r="Q12719" s="3"/>
    </row>
    <row r="12720" spans="1:17" ht="15" x14ac:dyDescent="0.25">
      <c r="A12720" s="3">
        <f>12713</f>
        <v>12713</v>
      </c>
      <c r="B12720" s="3" t="s">
        <v>12722</v>
      </c>
      <c r="C12720" s="3" t="s">
        <v>9</v>
      </c>
      <c r="D12720" s="3" t="s">
        <v>10</v>
      </c>
      <c r="E12720" s="3">
        <v>0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/>
      <c r="P12720" s="3"/>
      <c r="Q12720" s="3"/>
    </row>
    <row r="12721" spans="1:17" ht="15" x14ac:dyDescent="0.25">
      <c r="A12721" s="3">
        <f>12714</f>
        <v>12714</v>
      </c>
      <c r="B12721" s="3" t="s">
        <v>12723</v>
      </c>
      <c r="C12721" s="3" t="s">
        <v>9</v>
      </c>
      <c r="D12721" s="3" t="s">
        <v>10</v>
      </c>
      <c r="E12721" s="3">
        <v>0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/>
      <c r="P12721" s="3"/>
      <c r="Q12721" s="3"/>
    </row>
    <row r="12722" spans="1:17" ht="15" x14ac:dyDescent="0.25">
      <c r="A12722" s="3">
        <f>12715</f>
        <v>12715</v>
      </c>
      <c r="B12722" s="3" t="s">
        <v>12724</v>
      </c>
      <c r="C12722" s="3" t="s">
        <v>9</v>
      </c>
      <c r="D12722" s="3" t="s">
        <v>10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/>
      <c r="P12722" s="3"/>
      <c r="Q12722" s="3"/>
    </row>
    <row r="12723" spans="1:17" ht="15" x14ac:dyDescent="0.25">
      <c r="A12723" s="3">
        <f>12716</f>
        <v>12716</v>
      </c>
      <c r="B12723" s="3" t="s">
        <v>12725</v>
      </c>
      <c r="C12723" s="3" t="s">
        <v>9</v>
      </c>
      <c r="D12723" s="3" t="s">
        <v>10</v>
      </c>
      <c r="E12723" s="3">
        <v>0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/>
      <c r="P12723" s="3"/>
      <c r="Q12723" s="3"/>
    </row>
    <row r="12724" spans="1:17" ht="15" x14ac:dyDescent="0.25">
      <c r="A12724" s="3">
        <f>12717</f>
        <v>12717</v>
      </c>
      <c r="B12724" s="3" t="s">
        <v>12726</v>
      </c>
      <c r="C12724" s="3" t="s">
        <v>9</v>
      </c>
      <c r="D12724" s="3" t="s">
        <v>10</v>
      </c>
      <c r="E12724" s="3">
        <v>0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s="3"/>
      <c r="P12724" s="3"/>
      <c r="Q12724" s="3"/>
    </row>
    <row r="12725" spans="1:17" ht="15" x14ac:dyDescent="0.25">
      <c r="A12725" s="3">
        <f>12718</f>
        <v>12718</v>
      </c>
      <c r="B12725" s="3" t="s">
        <v>12727</v>
      </c>
      <c r="C12725" s="3" t="s">
        <v>9</v>
      </c>
      <c r="D12725" s="3" t="s">
        <v>10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s="3"/>
      <c r="P12725" s="3"/>
      <c r="Q12725" s="3"/>
    </row>
    <row r="12726" spans="1:17" ht="15" x14ac:dyDescent="0.25">
      <c r="A12726" s="3">
        <f>12719</f>
        <v>12719</v>
      </c>
      <c r="B12726" s="3" t="s">
        <v>12728</v>
      </c>
      <c r="C12726" s="3" t="s">
        <v>9</v>
      </c>
      <c r="D12726" s="3" t="s">
        <v>10</v>
      </c>
      <c r="E12726" s="3">
        <v>0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/>
      <c r="P12726" s="3"/>
      <c r="Q12726" s="3"/>
    </row>
    <row r="12727" spans="1:17" ht="15" x14ac:dyDescent="0.25">
      <c r="A12727" s="3">
        <f>12720</f>
        <v>12720</v>
      </c>
      <c r="B12727" s="3" t="s">
        <v>12729</v>
      </c>
      <c r="C12727" s="3" t="s">
        <v>9</v>
      </c>
      <c r="D12727" s="3" t="s">
        <v>10</v>
      </c>
      <c r="E12727" s="3">
        <v>0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/>
      <c r="P12727" s="3"/>
      <c r="Q12727" s="3"/>
    </row>
    <row r="12728" spans="1:17" ht="15" x14ac:dyDescent="0.25">
      <c r="A12728" s="3">
        <f>12721</f>
        <v>12721</v>
      </c>
      <c r="B12728" s="3" t="s">
        <v>12730</v>
      </c>
      <c r="C12728" s="3" t="s">
        <v>10</v>
      </c>
      <c r="D12728" s="3" t="s">
        <v>9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/>
      <c r="P12728" s="3"/>
      <c r="Q12728" s="3"/>
    </row>
    <row r="12729" spans="1:17" ht="15" x14ac:dyDescent="0.25">
      <c r="A12729" s="3">
        <f>12722</f>
        <v>12722</v>
      </c>
      <c r="B12729" s="3" t="s">
        <v>12731</v>
      </c>
      <c r="C12729" s="3" t="s">
        <v>10</v>
      </c>
      <c r="D12729" s="3" t="s">
        <v>9</v>
      </c>
      <c r="E12729" s="3">
        <v>0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s="3"/>
      <c r="P12729" s="3"/>
      <c r="Q12729" s="3"/>
    </row>
    <row r="12730" spans="1:17" ht="15" x14ac:dyDescent="0.25">
      <c r="A12730" s="3">
        <f>12723</f>
        <v>12723</v>
      </c>
      <c r="B12730" s="3" t="s">
        <v>12732</v>
      </c>
      <c r="C12730" s="3" t="s">
        <v>10</v>
      </c>
      <c r="D12730" s="3" t="s">
        <v>9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/>
      <c r="P12730" s="3"/>
      <c r="Q12730" s="3"/>
    </row>
    <row r="12731" spans="1:17" ht="15" x14ac:dyDescent="0.25">
      <c r="A12731" s="3">
        <f>12724</f>
        <v>12724</v>
      </c>
      <c r="B12731" s="3" t="s">
        <v>12733</v>
      </c>
      <c r="C12731" s="3" t="s">
        <v>10</v>
      </c>
      <c r="D12731" s="3" t="s">
        <v>9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/>
      <c r="P12731" s="3"/>
      <c r="Q12731" s="3"/>
    </row>
    <row r="12732" spans="1:17" ht="15" x14ac:dyDescent="0.25">
      <c r="A12732" s="3">
        <f>12725</f>
        <v>12725</v>
      </c>
      <c r="B12732" s="3" t="s">
        <v>12734</v>
      </c>
      <c r="C12732" s="3" t="s">
        <v>10</v>
      </c>
      <c r="D12732" s="3" t="s">
        <v>9</v>
      </c>
      <c r="E12732" s="3">
        <v>0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/>
      <c r="P12732" s="3"/>
      <c r="Q12732" s="3"/>
    </row>
    <row r="12733" spans="1:17" ht="15" x14ac:dyDescent="0.25">
      <c r="A12733" s="3">
        <f>12726</f>
        <v>12726</v>
      </c>
      <c r="B12733" s="3" t="s">
        <v>12735</v>
      </c>
      <c r="C12733" s="3" t="s">
        <v>10</v>
      </c>
      <c r="D12733" s="3" t="s">
        <v>9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/>
      <c r="P12733" s="3"/>
      <c r="Q12733" s="3"/>
    </row>
    <row r="12734" spans="1:17" ht="15" x14ac:dyDescent="0.25">
      <c r="A12734" s="3">
        <f>12727</f>
        <v>12727</v>
      </c>
      <c r="B12734" s="3" t="s">
        <v>12736</v>
      </c>
      <c r="C12734" s="3" t="s">
        <v>10</v>
      </c>
      <c r="D12734" s="3" t="s">
        <v>9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/>
      <c r="P12734" s="3"/>
      <c r="Q12734" s="3"/>
    </row>
    <row r="12735" spans="1:17" ht="15" x14ac:dyDescent="0.25">
      <c r="A12735" s="3">
        <f>12728</f>
        <v>12728</v>
      </c>
      <c r="B12735" s="3" t="s">
        <v>12737</v>
      </c>
      <c r="C12735" s="3" t="s">
        <v>10</v>
      </c>
      <c r="D12735" s="3" t="s">
        <v>9</v>
      </c>
      <c r="E12735" s="3">
        <v>0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/>
      <c r="P12735" s="3"/>
      <c r="Q12735" s="3"/>
    </row>
    <row r="12736" spans="1:17" ht="15" x14ac:dyDescent="0.25">
      <c r="A12736" s="3">
        <f>12729</f>
        <v>12729</v>
      </c>
      <c r="B12736" s="3" t="s">
        <v>12738</v>
      </c>
      <c r="C12736" s="3" t="s">
        <v>10</v>
      </c>
      <c r="D12736" s="3" t="s">
        <v>9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/>
      <c r="P12736" s="3"/>
      <c r="Q12736" s="3"/>
    </row>
    <row r="12737" spans="1:17" ht="15" x14ac:dyDescent="0.25">
      <c r="A12737" s="3">
        <f>12730</f>
        <v>12730</v>
      </c>
      <c r="B12737" s="3" t="s">
        <v>12739</v>
      </c>
      <c r="C12737" s="3" t="s">
        <v>10</v>
      </c>
      <c r="D12737" s="3" t="s">
        <v>9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/>
      <c r="P12737" s="3"/>
      <c r="Q12737" s="3"/>
    </row>
    <row r="12738" spans="1:17" ht="15" x14ac:dyDescent="0.25">
      <c r="A12738" s="3">
        <f>12731</f>
        <v>12731</v>
      </c>
      <c r="B12738" s="3" t="s">
        <v>12740</v>
      </c>
      <c r="C12738" s="3" t="s">
        <v>10</v>
      </c>
      <c r="D12738" s="3" t="s">
        <v>9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  <c r="O12738" s="3"/>
      <c r="P12738" s="3"/>
      <c r="Q12738" s="3"/>
    </row>
    <row r="12739" spans="1:17" ht="15" x14ac:dyDescent="0.25">
      <c r="A12739" s="3">
        <f>12732</f>
        <v>12732</v>
      </c>
      <c r="B12739" s="3" t="s">
        <v>12741</v>
      </c>
      <c r="C12739" s="3" t="s">
        <v>10</v>
      </c>
      <c r="D12739" s="3" t="s">
        <v>9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/>
      <c r="P12739" s="3"/>
      <c r="Q12739" s="3"/>
    </row>
    <row r="12740" spans="1:17" ht="15" x14ac:dyDescent="0.25">
      <c r="A12740" s="3">
        <f>12733</f>
        <v>12733</v>
      </c>
      <c r="B12740" s="3" t="s">
        <v>12742</v>
      </c>
      <c r="C12740" s="3" t="s">
        <v>10</v>
      </c>
      <c r="D12740" s="3" t="s">
        <v>9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/>
      <c r="P12740" s="3"/>
      <c r="Q12740" s="3"/>
    </row>
    <row r="12741" spans="1:17" ht="15" x14ac:dyDescent="0.25">
      <c r="A12741" s="3">
        <f>12734</f>
        <v>12734</v>
      </c>
      <c r="B12741" s="3" t="s">
        <v>12743</v>
      </c>
      <c r="C12741" s="3" t="s">
        <v>10</v>
      </c>
      <c r="D12741" s="3" t="s">
        <v>9</v>
      </c>
      <c r="E12741" s="3">
        <v>0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  <c r="O12741" s="3"/>
      <c r="P12741" s="3"/>
      <c r="Q12741" s="3"/>
    </row>
    <row r="12742" spans="1:17" ht="15" x14ac:dyDescent="0.25">
      <c r="A12742" s="3">
        <f>12735</f>
        <v>12735</v>
      </c>
      <c r="B12742" s="3" t="s">
        <v>12744</v>
      </c>
      <c r="C12742" s="3" t="s">
        <v>10</v>
      </c>
      <c r="D12742" s="3" t="s">
        <v>9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/>
      <c r="P12742" s="3"/>
      <c r="Q12742" s="3"/>
    </row>
    <row r="12743" spans="1:17" ht="15" x14ac:dyDescent="0.25">
      <c r="A12743" s="3">
        <f>12736</f>
        <v>12736</v>
      </c>
      <c r="B12743" s="3" t="s">
        <v>12745</v>
      </c>
      <c r="C12743" s="3" t="s">
        <v>10</v>
      </c>
      <c r="D12743" s="3" t="s">
        <v>9</v>
      </c>
      <c r="E12743" s="3">
        <v>0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/>
      <c r="P12743" s="3"/>
      <c r="Q12743" s="3"/>
    </row>
    <row r="12744" spans="1:17" ht="15" x14ac:dyDescent="0.25">
      <c r="A12744" s="3">
        <f>12737</f>
        <v>12737</v>
      </c>
      <c r="B12744" s="3" t="s">
        <v>12746</v>
      </c>
      <c r="C12744" s="3" t="s">
        <v>10</v>
      </c>
      <c r="D12744" s="3" t="s">
        <v>9</v>
      </c>
      <c r="E12744" s="3">
        <v>0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/>
      <c r="P12744" s="3"/>
      <c r="Q12744" s="3"/>
    </row>
    <row r="12745" spans="1:17" ht="15" x14ac:dyDescent="0.25">
      <c r="A12745" s="3">
        <f>12738</f>
        <v>12738</v>
      </c>
      <c r="B12745" s="3" t="s">
        <v>12747</v>
      </c>
      <c r="C12745" s="3" t="s">
        <v>10</v>
      </c>
      <c r="D12745" s="3" t="s">
        <v>9</v>
      </c>
      <c r="E12745" s="3">
        <v>0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/>
      <c r="P12745" s="3"/>
      <c r="Q12745" s="3"/>
    </row>
    <row r="12746" spans="1:17" ht="15" x14ac:dyDescent="0.25">
      <c r="A12746" s="3">
        <f>12739</f>
        <v>12739</v>
      </c>
      <c r="B12746" s="3" t="s">
        <v>12748</v>
      </c>
      <c r="C12746" s="3" t="s">
        <v>10</v>
      </c>
      <c r="D12746" s="3" t="s">
        <v>9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/>
      <c r="P12746" s="3"/>
      <c r="Q12746" s="3"/>
    </row>
    <row r="12747" spans="1:17" ht="15" x14ac:dyDescent="0.25">
      <c r="A12747" s="3">
        <f>12740</f>
        <v>12740</v>
      </c>
      <c r="B12747" s="3" t="s">
        <v>12749</v>
      </c>
      <c r="C12747" s="3" t="s">
        <v>10</v>
      </c>
      <c r="D12747" s="3" t="s">
        <v>9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/>
      <c r="P12747" s="3"/>
      <c r="Q12747" s="3"/>
    </row>
    <row r="12748" spans="1:17" ht="15" x14ac:dyDescent="0.25">
      <c r="A12748" s="3">
        <f>12741</f>
        <v>12741</v>
      </c>
      <c r="B12748" s="3" t="s">
        <v>12750</v>
      </c>
      <c r="C12748" s="3" t="s">
        <v>10</v>
      </c>
      <c r="D12748" s="3" t="s">
        <v>9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/>
      <c r="P12748" s="3"/>
      <c r="Q12748" s="3"/>
    </row>
    <row r="12749" spans="1:17" ht="15" x14ac:dyDescent="0.25">
      <c r="A12749" s="3">
        <f>12742</f>
        <v>12742</v>
      </c>
      <c r="B12749" s="3" t="s">
        <v>12751</v>
      </c>
      <c r="C12749" s="3" t="s">
        <v>10</v>
      </c>
      <c r="D12749" s="3" t="s">
        <v>9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/>
      <c r="P12749" s="3"/>
      <c r="Q12749" s="3"/>
    </row>
    <row r="12750" spans="1:17" ht="15" x14ac:dyDescent="0.25">
      <c r="A12750" s="3">
        <f>12743</f>
        <v>12743</v>
      </c>
      <c r="B12750" s="3" t="s">
        <v>12752</v>
      </c>
      <c r="C12750" s="3" t="s">
        <v>10</v>
      </c>
      <c r="D12750" s="3" t="s">
        <v>9</v>
      </c>
      <c r="E12750" s="3">
        <v>0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/>
      <c r="P12750" s="3"/>
      <c r="Q12750" s="3"/>
    </row>
    <row r="12751" spans="1:17" ht="15" x14ac:dyDescent="0.25">
      <c r="A12751" s="3">
        <f>12744</f>
        <v>12744</v>
      </c>
      <c r="B12751" s="3" t="s">
        <v>12753</v>
      </c>
      <c r="C12751" s="3" t="s">
        <v>10</v>
      </c>
      <c r="D12751" s="3" t="s">
        <v>9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/>
      <c r="P12751" s="3"/>
      <c r="Q12751" s="3"/>
    </row>
    <row r="12752" spans="1:17" ht="15" x14ac:dyDescent="0.25">
      <c r="A12752" s="3">
        <f>12745</f>
        <v>12745</v>
      </c>
      <c r="B12752" s="3" t="s">
        <v>12754</v>
      </c>
      <c r="C12752" s="3" t="s">
        <v>10</v>
      </c>
      <c r="D12752" s="3" t="s">
        <v>9</v>
      </c>
      <c r="E12752" s="3">
        <v>0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/>
      <c r="P12752" s="3"/>
      <c r="Q12752" s="3"/>
    </row>
    <row r="12753" spans="1:17" ht="15" x14ac:dyDescent="0.25">
      <c r="A12753" s="3">
        <f>12746</f>
        <v>12746</v>
      </c>
      <c r="B12753" s="3" t="s">
        <v>12755</v>
      </c>
      <c r="C12753" s="3" t="s">
        <v>10</v>
      </c>
      <c r="D12753" s="3" t="s">
        <v>9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/>
      <c r="P12753" s="3"/>
      <c r="Q12753" s="3"/>
    </row>
    <row r="12754" spans="1:17" ht="15" x14ac:dyDescent="0.25">
      <c r="A12754" s="3">
        <f>12747</f>
        <v>12747</v>
      </c>
      <c r="B12754" s="3" t="s">
        <v>12756</v>
      </c>
      <c r="C12754" s="3" t="s">
        <v>10</v>
      </c>
      <c r="D12754" s="3" t="s">
        <v>9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s="3"/>
      <c r="P12754" s="3"/>
      <c r="Q12754" s="3"/>
    </row>
    <row r="12755" spans="1:17" ht="15" x14ac:dyDescent="0.25">
      <c r="A12755" s="3">
        <f>12748</f>
        <v>12748</v>
      </c>
      <c r="B12755" s="3" t="s">
        <v>12757</v>
      </c>
      <c r="C12755" s="3" t="s">
        <v>10</v>
      </c>
      <c r="D12755" s="3" t="s">
        <v>9</v>
      </c>
      <c r="E12755" s="3">
        <v>0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/>
      <c r="P12755" s="3"/>
      <c r="Q12755" s="3"/>
    </row>
    <row r="12756" spans="1:17" ht="15" x14ac:dyDescent="0.25">
      <c r="A12756" s="3">
        <f>12749</f>
        <v>12749</v>
      </c>
      <c r="B12756" s="3" t="s">
        <v>12758</v>
      </c>
      <c r="C12756" s="3" t="s">
        <v>10</v>
      </c>
      <c r="D12756" s="3" t="s">
        <v>9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/>
      <c r="P12756" s="3"/>
      <c r="Q12756" s="3"/>
    </row>
    <row r="12757" spans="1:17" ht="15" x14ac:dyDescent="0.25">
      <c r="A12757" s="3">
        <f>12750</f>
        <v>12750</v>
      </c>
      <c r="B12757" s="3" t="s">
        <v>12759</v>
      </c>
      <c r="C12757" s="3" t="s">
        <v>10</v>
      </c>
      <c r="D12757" s="3" t="s">
        <v>9</v>
      </c>
      <c r="E12757" s="3">
        <v>0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/>
      <c r="P12757" s="3"/>
      <c r="Q12757" s="3"/>
    </row>
    <row r="12758" spans="1:17" ht="15" x14ac:dyDescent="0.25">
      <c r="A12758" s="3">
        <f>12751</f>
        <v>12751</v>
      </c>
      <c r="B12758" s="3" t="s">
        <v>12760</v>
      </c>
      <c r="C12758" s="3" t="s">
        <v>10</v>
      </c>
      <c r="D12758" s="3" t="s">
        <v>9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s="3"/>
      <c r="P12758" s="3"/>
      <c r="Q12758" s="3"/>
    </row>
    <row r="12759" spans="1:17" ht="15" x14ac:dyDescent="0.25">
      <c r="A12759" s="3">
        <f>12752</f>
        <v>12752</v>
      </c>
      <c r="B12759" s="3" t="s">
        <v>12761</v>
      </c>
      <c r="C12759" s="3" t="s">
        <v>10</v>
      </c>
      <c r="D12759" s="3" t="s">
        <v>9</v>
      </c>
      <c r="E12759" s="3">
        <v>0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/>
      <c r="P12759" s="3"/>
      <c r="Q12759" s="3"/>
    </row>
    <row r="12760" spans="1:17" ht="15" x14ac:dyDescent="0.25">
      <c r="A12760" s="3">
        <f>12753</f>
        <v>12753</v>
      </c>
      <c r="B12760" s="3" t="s">
        <v>12762</v>
      </c>
      <c r="C12760" s="3" t="s">
        <v>10</v>
      </c>
      <c r="D12760" s="3" t="s">
        <v>9</v>
      </c>
      <c r="E12760" s="3">
        <v>0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s="3"/>
      <c r="P12760" s="3"/>
      <c r="Q12760" s="3"/>
    </row>
    <row r="12761" spans="1:17" ht="15" x14ac:dyDescent="0.25">
      <c r="A12761" s="3">
        <f>12754</f>
        <v>12754</v>
      </c>
      <c r="B12761" s="3" t="s">
        <v>12763</v>
      </c>
      <c r="C12761" s="3" t="s">
        <v>10</v>
      </c>
      <c r="D12761" s="3" t="s">
        <v>9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/>
      <c r="P12761" s="3"/>
      <c r="Q12761" s="3"/>
    </row>
    <row r="12762" spans="1:17" ht="15" x14ac:dyDescent="0.25">
      <c r="A12762" s="3">
        <f>12755</f>
        <v>12755</v>
      </c>
      <c r="B12762" s="3" t="s">
        <v>12764</v>
      </c>
      <c r="C12762" s="3" t="s">
        <v>10</v>
      </c>
      <c r="D12762" s="3" t="s">
        <v>9</v>
      </c>
      <c r="E12762" s="3">
        <v>0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/>
      <c r="P12762" s="3"/>
      <c r="Q12762" s="3"/>
    </row>
    <row r="12763" spans="1:17" ht="15" x14ac:dyDescent="0.25">
      <c r="A12763" s="3">
        <f>12756</f>
        <v>12756</v>
      </c>
      <c r="B12763" s="3" t="s">
        <v>12765</v>
      </c>
      <c r="C12763" s="3" t="s">
        <v>10</v>
      </c>
      <c r="D12763" s="3" t="s">
        <v>9</v>
      </c>
      <c r="E12763" s="3">
        <v>0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  <c r="O12763" s="3"/>
      <c r="P12763" s="3"/>
      <c r="Q12763" s="3"/>
    </row>
    <row r="12764" spans="1:17" ht="15" x14ac:dyDescent="0.25">
      <c r="A12764" s="3">
        <f>12757</f>
        <v>12757</v>
      </c>
      <c r="B12764" s="3" t="s">
        <v>12766</v>
      </c>
      <c r="C12764" s="3" t="s">
        <v>10</v>
      </c>
      <c r="D12764" s="3" t="s">
        <v>9</v>
      </c>
      <c r="E12764" s="3">
        <v>0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0</v>
      </c>
      <c r="O12764" s="3"/>
      <c r="P12764" s="3"/>
      <c r="Q12764" s="3"/>
    </row>
    <row r="12765" spans="1:17" ht="15" x14ac:dyDescent="0.25">
      <c r="A12765" s="3">
        <f>12758</f>
        <v>12758</v>
      </c>
      <c r="B12765" s="3" t="s">
        <v>12767</v>
      </c>
      <c r="C12765" s="3" t="s">
        <v>10</v>
      </c>
      <c r="D12765" s="3" t="s">
        <v>9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  <c r="O12765" s="3"/>
      <c r="P12765" s="3"/>
      <c r="Q12765" s="3"/>
    </row>
    <row r="12766" spans="1:17" ht="15" x14ac:dyDescent="0.25">
      <c r="A12766" s="3">
        <f>12759</f>
        <v>12759</v>
      </c>
      <c r="B12766" s="3" t="s">
        <v>12768</v>
      </c>
      <c r="C12766" s="3" t="s">
        <v>10</v>
      </c>
      <c r="D12766" s="3" t="s">
        <v>9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s="3"/>
      <c r="P12766" s="3"/>
      <c r="Q12766" s="3"/>
    </row>
    <row r="12767" spans="1:17" ht="15" x14ac:dyDescent="0.25">
      <c r="A12767" s="3">
        <f>12760</f>
        <v>12760</v>
      </c>
      <c r="B12767" s="3" t="s">
        <v>12769</v>
      </c>
      <c r="C12767" s="3" t="s">
        <v>10</v>
      </c>
      <c r="D12767" s="3" t="s">
        <v>9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s="3"/>
      <c r="P12767" s="3"/>
      <c r="Q12767" s="3"/>
    </row>
    <row r="12768" spans="1:17" ht="15" x14ac:dyDescent="0.25">
      <c r="A12768" s="3">
        <f>12761</f>
        <v>12761</v>
      </c>
      <c r="B12768" s="3" t="s">
        <v>12770</v>
      </c>
      <c r="C12768" s="3" t="s">
        <v>10</v>
      </c>
      <c r="D12768" s="3" t="s">
        <v>9</v>
      </c>
      <c r="E12768" s="3">
        <v>0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s="3"/>
      <c r="P12768" s="3"/>
      <c r="Q12768" s="3"/>
    </row>
    <row r="12769" spans="1:17" ht="15" x14ac:dyDescent="0.25">
      <c r="A12769" s="3">
        <f>12762</f>
        <v>12762</v>
      </c>
      <c r="B12769" s="3" t="s">
        <v>12771</v>
      </c>
      <c r="C12769" s="3" t="s">
        <v>10</v>
      </c>
      <c r="D12769" s="3" t="s">
        <v>9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/>
      <c r="P12769" s="3"/>
      <c r="Q12769" s="3"/>
    </row>
    <row r="12770" spans="1:17" ht="15" x14ac:dyDescent="0.25">
      <c r="A12770" s="3">
        <f>12763</f>
        <v>12763</v>
      </c>
      <c r="B12770" s="3" t="s">
        <v>12772</v>
      </c>
      <c r="C12770" s="3" t="s">
        <v>10</v>
      </c>
      <c r="D12770" s="3" t="s">
        <v>9</v>
      </c>
      <c r="E12770" s="3">
        <v>0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>
        <v>0</v>
      </c>
      <c r="O12770" s="3"/>
      <c r="P12770" s="3"/>
      <c r="Q12770" s="3"/>
    </row>
    <row r="12771" spans="1:17" ht="15" x14ac:dyDescent="0.25">
      <c r="A12771" s="3">
        <f>12764</f>
        <v>12764</v>
      </c>
      <c r="B12771" s="3" t="s">
        <v>12773</v>
      </c>
      <c r="C12771" s="3" t="s">
        <v>10</v>
      </c>
      <c r="D12771" s="3" t="s">
        <v>9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/>
      <c r="P12771" s="3"/>
      <c r="Q12771" s="3"/>
    </row>
    <row r="12772" spans="1:17" ht="15" x14ac:dyDescent="0.25">
      <c r="A12772" s="3">
        <f>12765</f>
        <v>12765</v>
      </c>
      <c r="B12772" s="3" t="s">
        <v>12774</v>
      </c>
      <c r="C12772" s="3" t="s">
        <v>10</v>
      </c>
      <c r="D12772" s="3" t="s">
        <v>9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s="3"/>
      <c r="P12772" s="3"/>
      <c r="Q12772" s="3"/>
    </row>
    <row r="12773" spans="1:17" ht="15" x14ac:dyDescent="0.25">
      <c r="A12773" s="3">
        <f>12766</f>
        <v>12766</v>
      </c>
      <c r="B12773" s="3" t="s">
        <v>12775</v>
      </c>
      <c r="C12773" s="3" t="s">
        <v>10</v>
      </c>
      <c r="D12773" s="3" t="s">
        <v>9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/>
      <c r="P12773" s="3"/>
      <c r="Q12773" s="3"/>
    </row>
    <row r="12774" spans="1:17" ht="15" x14ac:dyDescent="0.25">
      <c r="A12774" s="3">
        <f>12767</f>
        <v>12767</v>
      </c>
      <c r="B12774" s="3" t="s">
        <v>12776</v>
      </c>
      <c r="C12774" s="3" t="s">
        <v>10</v>
      </c>
      <c r="D12774" s="3" t="s">
        <v>9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/>
      <c r="P12774" s="3"/>
      <c r="Q12774" s="3"/>
    </row>
    <row r="12775" spans="1:17" ht="15" x14ac:dyDescent="0.25">
      <c r="A12775" s="3">
        <f>12768</f>
        <v>12768</v>
      </c>
      <c r="B12775" s="3" t="s">
        <v>12777</v>
      </c>
      <c r="C12775" s="3" t="s">
        <v>10</v>
      </c>
      <c r="D12775" s="3" t="s">
        <v>9</v>
      </c>
      <c r="E12775" s="3">
        <v>0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s="3"/>
      <c r="P12775" s="3"/>
      <c r="Q12775" s="3"/>
    </row>
    <row r="12776" spans="1:17" ht="15" x14ac:dyDescent="0.25">
      <c r="A12776" s="3">
        <f>12769</f>
        <v>12769</v>
      </c>
      <c r="B12776" s="3" t="s">
        <v>12778</v>
      </c>
      <c r="C12776" s="3" t="s">
        <v>10</v>
      </c>
      <c r="D12776" s="3" t="s">
        <v>9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/>
      <c r="P12776" s="3"/>
      <c r="Q12776" s="3"/>
    </row>
    <row r="12777" spans="1:17" ht="15" x14ac:dyDescent="0.25">
      <c r="A12777" s="3">
        <f>12770</f>
        <v>12770</v>
      </c>
      <c r="B12777" s="3" t="s">
        <v>12779</v>
      </c>
      <c r="C12777" s="3" t="s">
        <v>10</v>
      </c>
      <c r="D12777" s="3" t="s">
        <v>9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/>
      <c r="P12777" s="3"/>
      <c r="Q12777" s="3"/>
    </row>
    <row r="12778" spans="1:17" ht="15" x14ac:dyDescent="0.25">
      <c r="A12778" s="3">
        <f>12771</f>
        <v>12771</v>
      </c>
      <c r="B12778" s="3" t="s">
        <v>12780</v>
      </c>
      <c r="C12778" s="3" t="s">
        <v>10</v>
      </c>
      <c r="D12778" s="3" t="s">
        <v>9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/>
      <c r="P12778" s="3"/>
      <c r="Q12778" s="3"/>
    </row>
    <row r="12779" spans="1:17" ht="15" x14ac:dyDescent="0.25">
      <c r="A12779" s="3">
        <f>12772</f>
        <v>12772</v>
      </c>
      <c r="B12779" s="3" t="s">
        <v>12781</v>
      </c>
      <c r="C12779" s="3" t="s">
        <v>10</v>
      </c>
      <c r="D12779" s="3" t="s">
        <v>9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/>
      <c r="P12779" s="3"/>
      <c r="Q12779" s="3"/>
    </row>
    <row r="12780" spans="1:17" ht="15" x14ac:dyDescent="0.25">
      <c r="A12780" s="3">
        <f>12773</f>
        <v>12773</v>
      </c>
      <c r="B12780" s="3" t="s">
        <v>12782</v>
      </c>
      <c r="C12780" s="3" t="s">
        <v>10</v>
      </c>
      <c r="D12780" s="3" t="s">
        <v>9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/>
      <c r="P12780" s="3"/>
      <c r="Q12780" s="3"/>
    </row>
    <row r="12781" spans="1:17" ht="15" x14ac:dyDescent="0.25">
      <c r="A12781" s="3">
        <f>12774</f>
        <v>12774</v>
      </c>
      <c r="B12781" s="3" t="s">
        <v>12783</v>
      </c>
      <c r="C12781" s="3" t="s">
        <v>10</v>
      </c>
      <c r="D12781" s="3" t="s">
        <v>9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/>
      <c r="P12781" s="3"/>
      <c r="Q12781" s="3"/>
    </row>
    <row r="12782" spans="1:17" ht="15" x14ac:dyDescent="0.25">
      <c r="A12782" s="3">
        <f>12775</f>
        <v>12775</v>
      </c>
      <c r="B12782" s="3" t="s">
        <v>12784</v>
      </c>
      <c r="C12782" s="3" t="s">
        <v>10</v>
      </c>
      <c r="D12782" s="3" t="s">
        <v>9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/>
      <c r="P12782" s="3"/>
      <c r="Q12782" s="3"/>
    </row>
    <row r="12783" spans="1:17" ht="15" x14ac:dyDescent="0.25">
      <c r="A12783" s="3">
        <f>12776</f>
        <v>12776</v>
      </c>
      <c r="B12783" s="3" t="s">
        <v>12785</v>
      </c>
      <c r="C12783" s="3" t="s">
        <v>10</v>
      </c>
      <c r="D12783" s="3" t="s">
        <v>9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/>
      <c r="P12783" s="3"/>
      <c r="Q12783" s="3"/>
    </row>
    <row r="12784" spans="1:17" ht="15" x14ac:dyDescent="0.25">
      <c r="A12784" s="3">
        <f>12777</f>
        <v>12777</v>
      </c>
      <c r="B12784" s="3" t="s">
        <v>12786</v>
      </c>
      <c r="C12784" s="3" t="s">
        <v>10</v>
      </c>
      <c r="D12784" s="3" t="s">
        <v>9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/>
      <c r="P12784" s="3"/>
      <c r="Q12784" s="3"/>
    </row>
    <row r="12785" spans="1:17" ht="15" x14ac:dyDescent="0.25">
      <c r="A12785" s="3">
        <f>12778</f>
        <v>12778</v>
      </c>
      <c r="B12785" s="3" t="s">
        <v>12787</v>
      </c>
      <c r="C12785" s="3" t="s">
        <v>10</v>
      </c>
      <c r="D12785" s="3" t="s">
        <v>9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/>
      <c r="P12785" s="3"/>
      <c r="Q12785" s="3"/>
    </row>
    <row r="12786" spans="1:17" ht="15" x14ac:dyDescent="0.25">
      <c r="A12786" s="3">
        <f>12779</f>
        <v>12779</v>
      </c>
      <c r="B12786" s="3" t="s">
        <v>12788</v>
      </c>
      <c r="C12786" s="3" t="s">
        <v>10</v>
      </c>
      <c r="D12786" s="3" t="s">
        <v>9</v>
      </c>
      <c r="E12786" s="3">
        <v>0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/>
      <c r="P12786" s="3"/>
      <c r="Q12786" s="3"/>
    </row>
    <row r="12787" spans="1:17" ht="15" x14ac:dyDescent="0.25">
      <c r="A12787" s="3">
        <f>12780</f>
        <v>12780</v>
      </c>
      <c r="B12787" s="3" t="s">
        <v>12789</v>
      </c>
      <c r="C12787" s="3" t="s">
        <v>10</v>
      </c>
      <c r="D12787" s="3" t="s">
        <v>9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/>
      <c r="P12787" s="3"/>
      <c r="Q12787" s="3"/>
    </row>
    <row r="12788" spans="1:17" ht="15" x14ac:dyDescent="0.25">
      <c r="A12788" s="3">
        <f>12781</f>
        <v>12781</v>
      </c>
      <c r="B12788" s="3" t="s">
        <v>12790</v>
      </c>
      <c r="C12788" s="3" t="s">
        <v>10</v>
      </c>
      <c r="D12788" s="3" t="s">
        <v>9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/>
      <c r="P12788" s="3"/>
      <c r="Q12788" s="3"/>
    </row>
    <row r="12789" spans="1:17" ht="15" x14ac:dyDescent="0.25">
      <c r="A12789" s="3">
        <f>12782</f>
        <v>12782</v>
      </c>
      <c r="B12789" s="3" t="s">
        <v>12791</v>
      </c>
      <c r="C12789" s="3" t="s">
        <v>10</v>
      </c>
      <c r="D12789" s="3" t="s">
        <v>9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/>
      <c r="P12789" s="3"/>
      <c r="Q12789" s="3"/>
    </row>
    <row r="12790" spans="1:17" ht="15" x14ac:dyDescent="0.25">
      <c r="A12790" s="3">
        <f>12783</f>
        <v>12783</v>
      </c>
      <c r="B12790" s="3" t="s">
        <v>12792</v>
      </c>
      <c r="C12790" s="3" t="s">
        <v>10</v>
      </c>
      <c r="D12790" s="3" t="s">
        <v>9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/>
      <c r="P12790" s="3"/>
      <c r="Q12790" s="3"/>
    </row>
    <row r="12791" spans="1:17" ht="15" x14ac:dyDescent="0.25">
      <c r="A12791" s="3">
        <f>12784</f>
        <v>12784</v>
      </c>
      <c r="B12791" s="3" t="s">
        <v>12793</v>
      </c>
      <c r="C12791" s="3" t="s">
        <v>10</v>
      </c>
      <c r="D12791" s="3" t="s">
        <v>9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/>
      <c r="P12791" s="3"/>
      <c r="Q12791" s="3"/>
    </row>
    <row r="12792" spans="1:17" ht="15" x14ac:dyDescent="0.25">
      <c r="A12792" s="3">
        <f>12785</f>
        <v>12785</v>
      </c>
      <c r="B12792" s="3" t="s">
        <v>12794</v>
      </c>
      <c r="C12792" s="3" t="s">
        <v>10</v>
      </c>
      <c r="D12792" s="3" t="s">
        <v>9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/>
      <c r="P12792" s="3"/>
      <c r="Q12792" s="3"/>
    </row>
    <row r="12793" spans="1:17" ht="15" x14ac:dyDescent="0.25">
      <c r="A12793" s="3">
        <f>12786</f>
        <v>12786</v>
      </c>
      <c r="B12793" s="3" t="s">
        <v>12795</v>
      </c>
      <c r="C12793" s="3" t="s">
        <v>10</v>
      </c>
      <c r="D12793" s="3" t="s">
        <v>9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/>
      <c r="P12793" s="3"/>
      <c r="Q12793" s="3"/>
    </row>
    <row r="12794" spans="1:17" ht="15" x14ac:dyDescent="0.25">
      <c r="A12794" s="3">
        <f>12787</f>
        <v>12787</v>
      </c>
      <c r="B12794" s="3" t="s">
        <v>12796</v>
      </c>
      <c r="C12794" s="3" t="s">
        <v>10</v>
      </c>
      <c r="D12794" s="3" t="s">
        <v>9</v>
      </c>
      <c r="E12794" s="3">
        <v>0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/>
      <c r="P12794" s="3"/>
      <c r="Q12794" s="3"/>
    </row>
    <row r="12795" spans="1:17" ht="15" x14ac:dyDescent="0.25">
      <c r="A12795" s="3">
        <f>12788</f>
        <v>12788</v>
      </c>
      <c r="B12795" s="3" t="s">
        <v>12797</v>
      </c>
      <c r="C12795" s="3" t="s">
        <v>10</v>
      </c>
      <c r="D12795" s="3" t="s">
        <v>9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/>
      <c r="P12795" s="3"/>
      <c r="Q12795" s="3"/>
    </row>
    <row r="12796" spans="1:17" ht="15" x14ac:dyDescent="0.25">
      <c r="A12796" s="3">
        <f>12789</f>
        <v>12789</v>
      </c>
      <c r="B12796" s="3" t="s">
        <v>12798</v>
      </c>
      <c r="C12796" s="3" t="s">
        <v>10</v>
      </c>
      <c r="D12796" s="3" t="s">
        <v>9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/>
      <c r="P12796" s="3"/>
      <c r="Q12796" s="3"/>
    </row>
    <row r="12797" spans="1:17" ht="15" x14ac:dyDescent="0.25">
      <c r="A12797" s="3">
        <f>12790</f>
        <v>12790</v>
      </c>
      <c r="B12797" s="3" t="s">
        <v>12799</v>
      </c>
      <c r="C12797" s="3" t="s">
        <v>10</v>
      </c>
      <c r="D12797" s="3" t="s">
        <v>9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/>
      <c r="P12797" s="3"/>
      <c r="Q12797" s="3"/>
    </row>
    <row r="12798" spans="1:17" ht="15" x14ac:dyDescent="0.25">
      <c r="A12798" s="3">
        <f>12791</f>
        <v>12791</v>
      </c>
      <c r="B12798" s="3" t="s">
        <v>12800</v>
      </c>
      <c r="C12798" s="3" t="s">
        <v>10</v>
      </c>
      <c r="D12798" s="3" t="s">
        <v>9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s="3"/>
      <c r="P12798" s="3"/>
      <c r="Q12798" s="3"/>
    </row>
    <row r="12799" spans="1:17" ht="15" x14ac:dyDescent="0.25">
      <c r="A12799" s="3">
        <f>12792</f>
        <v>12792</v>
      </c>
      <c r="B12799" s="3" t="s">
        <v>12801</v>
      </c>
      <c r="C12799" s="3" t="s">
        <v>10</v>
      </c>
      <c r="D12799" s="3" t="s">
        <v>9</v>
      </c>
      <c r="E12799" s="3">
        <v>0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s="3"/>
      <c r="P12799" s="3"/>
      <c r="Q12799" s="3"/>
    </row>
    <row r="12800" spans="1:17" ht="15" x14ac:dyDescent="0.25">
      <c r="A12800" s="3">
        <f>12793</f>
        <v>12793</v>
      </c>
      <c r="B12800" s="3" t="s">
        <v>12802</v>
      </c>
      <c r="C12800" s="3" t="s">
        <v>10</v>
      </c>
      <c r="D12800" s="3" t="s">
        <v>9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/>
      <c r="P12800" s="3"/>
      <c r="Q12800" s="3"/>
    </row>
    <row r="12801" spans="1:17" ht="15" x14ac:dyDescent="0.25">
      <c r="A12801" s="3">
        <f>12794</f>
        <v>12794</v>
      </c>
      <c r="B12801" s="3" t="s">
        <v>12803</v>
      </c>
      <c r="C12801" s="3" t="s">
        <v>10</v>
      </c>
      <c r="D12801" s="3" t="s">
        <v>9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/>
      <c r="P12801" s="3"/>
      <c r="Q12801" s="3"/>
    </row>
    <row r="12802" spans="1:17" ht="15" x14ac:dyDescent="0.25">
      <c r="A12802" s="3">
        <f>12795</f>
        <v>12795</v>
      </c>
      <c r="B12802" s="3" t="s">
        <v>12804</v>
      </c>
      <c r="C12802" s="3" t="s">
        <v>10</v>
      </c>
      <c r="D12802" s="3" t="s">
        <v>9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/>
      <c r="P12802" s="3"/>
      <c r="Q12802" s="3"/>
    </row>
    <row r="12803" spans="1:17" ht="15" x14ac:dyDescent="0.25">
      <c r="A12803" s="3">
        <f>12796</f>
        <v>12796</v>
      </c>
      <c r="B12803" s="3" t="s">
        <v>12805</v>
      </c>
      <c r="C12803" s="3" t="s">
        <v>10</v>
      </c>
      <c r="D12803" s="3" t="s">
        <v>9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/>
      <c r="P12803" s="3"/>
      <c r="Q12803" s="3"/>
    </row>
    <row r="12804" spans="1:17" ht="15" x14ac:dyDescent="0.25">
      <c r="A12804" s="3">
        <f>12797</f>
        <v>12797</v>
      </c>
      <c r="B12804" s="3" t="s">
        <v>12806</v>
      </c>
      <c r="C12804" s="3" t="s">
        <v>10</v>
      </c>
      <c r="D12804" s="3" t="s">
        <v>9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s="3"/>
      <c r="P12804" s="3"/>
      <c r="Q12804" s="3"/>
    </row>
    <row r="12805" spans="1:17" ht="15" x14ac:dyDescent="0.25">
      <c r="A12805" s="3">
        <f>12798</f>
        <v>12798</v>
      </c>
      <c r="B12805" s="3" t="s">
        <v>12807</v>
      </c>
      <c r="C12805" s="3" t="s">
        <v>10</v>
      </c>
      <c r="D12805" s="3" t="s">
        <v>9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/>
      <c r="P12805" s="3"/>
      <c r="Q12805" s="3"/>
    </row>
    <row r="12806" spans="1:17" ht="15" x14ac:dyDescent="0.25">
      <c r="A12806" s="3">
        <f>12799</f>
        <v>12799</v>
      </c>
      <c r="B12806" s="3" t="s">
        <v>12808</v>
      </c>
      <c r="C12806" s="3" t="s">
        <v>10</v>
      </c>
      <c r="D12806" s="3" t="s">
        <v>9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/>
      <c r="P12806" s="3"/>
      <c r="Q12806" s="3"/>
    </row>
    <row r="12807" spans="1:17" ht="15" x14ac:dyDescent="0.25">
      <c r="A12807" s="3">
        <f>12800</f>
        <v>12800</v>
      </c>
      <c r="B12807" s="3" t="s">
        <v>12809</v>
      </c>
      <c r="C12807" s="3" t="s">
        <v>10</v>
      </c>
      <c r="D12807" s="3" t="s">
        <v>9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/>
      <c r="P12807" s="3"/>
      <c r="Q12807" s="3"/>
    </row>
    <row r="12808" spans="1:17" ht="15" x14ac:dyDescent="0.25">
      <c r="A12808" s="3">
        <f>12801</f>
        <v>12801</v>
      </c>
      <c r="B12808" s="3" t="s">
        <v>12810</v>
      </c>
      <c r="C12808" s="3" t="s">
        <v>10</v>
      </c>
      <c r="D12808" s="3" t="s">
        <v>9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/>
      <c r="P12808" s="3"/>
      <c r="Q12808" s="3"/>
    </row>
    <row r="12809" spans="1:17" ht="15" x14ac:dyDescent="0.25">
      <c r="A12809" s="3">
        <f>12802</f>
        <v>12802</v>
      </c>
      <c r="B12809" s="3" t="s">
        <v>12811</v>
      </c>
      <c r="C12809" s="3" t="s">
        <v>10</v>
      </c>
      <c r="D12809" s="3" t="s">
        <v>9</v>
      </c>
      <c r="E12809" s="3">
        <v>0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/>
      <c r="P12809" s="3"/>
      <c r="Q12809" s="3"/>
    </row>
    <row r="12810" spans="1:17" ht="15" x14ac:dyDescent="0.25">
      <c r="A12810" s="3">
        <f>12803</f>
        <v>12803</v>
      </c>
      <c r="B12810" s="3" t="s">
        <v>12812</v>
      </c>
      <c r="C12810" s="3" t="s">
        <v>10</v>
      </c>
      <c r="D12810" s="3" t="s">
        <v>9</v>
      </c>
      <c r="E12810" s="3">
        <v>0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/>
      <c r="P12810" s="3"/>
      <c r="Q12810" s="3"/>
    </row>
    <row r="12811" spans="1:17" ht="15" x14ac:dyDescent="0.25">
      <c r="A12811" s="3">
        <f>12804</f>
        <v>12804</v>
      </c>
      <c r="B12811" s="3" t="s">
        <v>12813</v>
      </c>
      <c r="C12811" s="3" t="s">
        <v>10</v>
      </c>
      <c r="D12811" s="3" t="s">
        <v>9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s="3"/>
      <c r="P12811" s="3"/>
      <c r="Q12811" s="3"/>
    </row>
    <row r="12812" spans="1:17" ht="15" x14ac:dyDescent="0.25">
      <c r="A12812" s="3">
        <f>12805</f>
        <v>12805</v>
      </c>
      <c r="B12812" s="3" t="s">
        <v>12814</v>
      </c>
      <c r="C12812" s="3" t="s">
        <v>10</v>
      </c>
      <c r="D12812" s="3" t="s">
        <v>9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s="3"/>
      <c r="P12812" s="3"/>
      <c r="Q12812" s="3"/>
    </row>
    <row r="12813" spans="1:17" ht="15" x14ac:dyDescent="0.25">
      <c r="A12813" s="3">
        <f>12806</f>
        <v>12806</v>
      </c>
      <c r="B12813" s="3" t="s">
        <v>12815</v>
      </c>
      <c r="C12813" s="3" t="s">
        <v>10</v>
      </c>
      <c r="D12813" s="3" t="s">
        <v>9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/>
      <c r="P12813" s="3"/>
      <c r="Q12813" s="3"/>
    </row>
    <row r="12814" spans="1:17" ht="15" x14ac:dyDescent="0.25">
      <c r="A12814" s="3">
        <f>12807</f>
        <v>12807</v>
      </c>
      <c r="B12814" s="3" t="s">
        <v>12816</v>
      </c>
      <c r="C12814" s="3" t="s">
        <v>10</v>
      </c>
      <c r="D12814" s="3" t="s">
        <v>9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/>
      <c r="P12814" s="3"/>
      <c r="Q12814" s="3"/>
    </row>
    <row r="12815" spans="1:17" ht="15" x14ac:dyDescent="0.25">
      <c r="A12815" s="3">
        <f>12808</f>
        <v>12808</v>
      </c>
      <c r="B12815" s="3" t="s">
        <v>12817</v>
      </c>
      <c r="C12815" s="3" t="s">
        <v>10</v>
      </c>
      <c r="D12815" s="3" t="s">
        <v>9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/>
      <c r="P12815" s="3"/>
      <c r="Q12815" s="3"/>
    </row>
    <row r="12816" spans="1:17" ht="15" x14ac:dyDescent="0.25">
      <c r="A12816" s="3">
        <f>12809</f>
        <v>12809</v>
      </c>
      <c r="B12816" s="3" t="s">
        <v>12818</v>
      </c>
      <c r="C12816" s="3" t="s">
        <v>10</v>
      </c>
      <c r="D12816" s="3" t="s">
        <v>9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/>
      <c r="P12816" s="3"/>
      <c r="Q12816" s="3"/>
    </row>
    <row r="12817" spans="1:17" ht="15" x14ac:dyDescent="0.25">
      <c r="A12817" s="3">
        <f>12810</f>
        <v>12810</v>
      </c>
      <c r="B12817" s="3" t="s">
        <v>12819</v>
      </c>
      <c r="C12817" s="3" t="s">
        <v>10</v>
      </c>
      <c r="D12817" s="3" t="s">
        <v>9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/>
      <c r="P12817" s="3"/>
      <c r="Q12817" s="3"/>
    </row>
    <row r="12818" spans="1:17" ht="15" x14ac:dyDescent="0.25">
      <c r="A12818" s="3">
        <f>12811</f>
        <v>12811</v>
      </c>
      <c r="B12818" s="3" t="s">
        <v>12820</v>
      </c>
      <c r="C12818" s="3" t="s">
        <v>10</v>
      </c>
      <c r="D12818" s="3" t="s">
        <v>9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/>
      <c r="P12818" s="3"/>
      <c r="Q12818" s="3"/>
    </row>
    <row r="12819" spans="1:17" ht="15" x14ac:dyDescent="0.25">
      <c r="A12819" s="3">
        <f>12812</f>
        <v>12812</v>
      </c>
      <c r="B12819" s="3" t="s">
        <v>12821</v>
      </c>
      <c r="C12819" s="3" t="s">
        <v>10</v>
      </c>
      <c r="D12819" s="3" t="s">
        <v>9</v>
      </c>
      <c r="E12819" s="3">
        <v>0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/>
      <c r="P12819" s="3"/>
      <c r="Q12819" s="3"/>
    </row>
    <row r="12820" spans="1:17" ht="15" x14ac:dyDescent="0.25">
      <c r="A12820" s="3">
        <f>12813</f>
        <v>12813</v>
      </c>
      <c r="B12820" s="3" t="s">
        <v>12822</v>
      </c>
      <c r="C12820" s="3" t="s">
        <v>10</v>
      </c>
      <c r="D12820" s="3" t="s">
        <v>9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/>
      <c r="P12820" s="3"/>
      <c r="Q12820" s="3"/>
    </row>
    <row r="12821" spans="1:17" ht="15" x14ac:dyDescent="0.25">
      <c r="A12821" s="3">
        <f>12814</f>
        <v>12814</v>
      </c>
      <c r="B12821" s="3" t="s">
        <v>12823</v>
      </c>
      <c r="C12821" s="3" t="s">
        <v>10</v>
      </c>
      <c r="D12821" s="3" t="s">
        <v>9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/>
      <c r="P12821" s="3"/>
      <c r="Q12821" s="3"/>
    </row>
    <row r="12822" spans="1:17" ht="15" x14ac:dyDescent="0.25">
      <c r="A12822" s="3">
        <f>12815</f>
        <v>12815</v>
      </c>
      <c r="B12822" s="3" t="s">
        <v>12824</v>
      </c>
      <c r="C12822" s="3" t="s">
        <v>10</v>
      </c>
      <c r="D12822" s="3" t="s">
        <v>9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/>
      <c r="P12822" s="3"/>
      <c r="Q12822" s="3"/>
    </row>
    <row r="12823" spans="1:17" ht="15" x14ac:dyDescent="0.25">
      <c r="A12823" s="3">
        <f>12816</f>
        <v>12816</v>
      </c>
      <c r="B12823" s="3" t="s">
        <v>12825</v>
      </c>
      <c r="C12823" s="3" t="s">
        <v>10</v>
      </c>
      <c r="D12823" s="3" t="s">
        <v>9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/>
      <c r="P12823" s="3"/>
      <c r="Q12823" s="3"/>
    </row>
    <row r="12824" spans="1:17" ht="15" x14ac:dyDescent="0.25">
      <c r="A12824" s="3">
        <f>12817</f>
        <v>12817</v>
      </c>
      <c r="B12824" s="3" t="s">
        <v>12826</v>
      </c>
      <c r="C12824" s="3" t="s">
        <v>10</v>
      </c>
      <c r="D12824" s="3" t="s">
        <v>9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/>
      <c r="P12824" s="3"/>
      <c r="Q12824" s="3"/>
    </row>
    <row r="12825" spans="1:17" ht="15" x14ac:dyDescent="0.25">
      <c r="A12825" s="3">
        <f>12818</f>
        <v>12818</v>
      </c>
      <c r="B12825" s="3" t="s">
        <v>12827</v>
      </c>
      <c r="C12825" s="3" t="s">
        <v>10</v>
      </c>
      <c r="D12825" s="3" t="s">
        <v>9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/>
      <c r="P12825" s="3"/>
      <c r="Q12825" s="3"/>
    </row>
    <row r="12826" spans="1:17" ht="15" x14ac:dyDescent="0.25">
      <c r="A12826" s="3">
        <f>12819</f>
        <v>12819</v>
      </c>
      <c r="B12826" s="3" t="s">
        <v>12828</v>
      </c>
      <c r="C12826" s="3" t="s">
        <v>10</v>
      </c>
      <c r="D12826" s="3" t="s">
        <v>9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/>
      <c r="P12826" s="3"/>
      <c r="Q12826" s="3"/>
    </row>
    <row r="12827" spans="1:17" ht="15" x14ac:dyDescent="0.25">
      <c r="A12827" s="3">
        <f>12820</f>
        <v>12820</v>
      </c>
      <c r="B12827" s="3" t="s">
        <v>12829</v>
      </c>
      <c r="C12827" s="3" t="s">
        <v>10</v>
      </c>
      <c r="D12827" s="3" t="s">
        <v>9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/>
      <c r="P12827" s="3"/>
      <c r="Q12827" s="3"/>
    </row>
    <row r="12828" spans="1:17" ht="15" x14ac:dyDescent="0.25">
      <c r="A12828" s="3">
        <f>12821</f>
        <v>12821</v>
      </c>
      <c r="B12828" s="3" t="s">
        <v>12830</v>
      </c>
      <c r="C12828" s="3" t="s">
        <v>10</v>
      </c>
      <c r="D12828" s="3" t="s">
        <v>9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/>
      <c r="P12828" s="3"/>
      <c r="Q12828" s="3"/>
    </row>
    <row r="12829" spans="1:17" ht="15" x14ac:dyDescent="0.25">
      <c r="A12829" s="3">
        <f>12822</f>
        <v>12822</v>
      </c>
      <c r="B12829" s="3" t="s">
        <v>12831</v>
      </c>
      <c r="C12829" s="3" t="s">
        <v>10</v>
      </c>
      <c r="D12829" s="3" t="s">
        <v>9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/>
      <c r="P12829" s="3"/>
      <c r="Q12829" s="3"/>
    </row>
    <row r="12830" spans="1:17" ht="15" x14ac:dyDescent="0.25">
      <c r="A12830" s="3">
        <f>12823</f>
        <v>12823</v>
      </c>
      <c r="B12830" s="3" t="s">
        <v>12832</v>
      </c>
      <c r="C12830" s="3" t="s">
        <v>10</v>
      </c>
      <c r="D12830" s="3" t="s">
        <v>9</v>
      </c>
      <c r="E12830" s="3">
        <v>0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/>
      <c r="P12830" s="3"/>
      <c r="Q12830" s="3"/>
    </row>
    <row r="12831" spans="1:17" ht="15" x14ac:dyDescent="0.25">
      <c r="A12831" s="3">
        <f>12824</f>
        <v>12824</v>
      </c>
      <c r="B12831" s="3" t="s">
        <v>12833</v>
      </c>
      <c r="C12831" s="3" t="s">
        <v>10</v>
      </c>
      <c r="D12831" s="3" t="s">
        <v>9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/>
      <c r="P12831" s="3"/>
      <c r="Q12831" s="3"/>
    </row>
    <row r="12832" spans="1:17" ht="15" x14ac:dyDescent="0.25">
      <c r="A12832" s="3">
        <f>12825</f>
        <v>12825</v>
      </c>
      <c r="B12832" s="3" t="s">
        <v>12834</v>
      </c>
      <c r="C12832" s="3" t="s">
        <v>10</v>
      </c>
      <c r="D12832" s="3" t="s">
        <v>9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/>
      <c r="P12832" s="3"/>
      <c r="Q12832" s="3"/>
    </row>
    <row r="12833" spans="1:17" ht="15" x14ac:dyDescent="0.25">
      <c r="A12833" s="3">
        <f>12826</f>
        <v>12826</v>
      </c>
      <c r="B12833" s="3" t="s">
        <v>12835</v>
      </c>
      <c r="C12833" s="3" t="s">
        <v>10</v>
      </c>
      <c r="D12833" s="3" t="s">
        <v>9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/>
      <c r="P12833" s="3"/>
      <c r="Q12833" s="3"/>
    </row>
    <row r="12834" spans="1:17" ht="15" x14ac:dyDescent="0.25">
      <c r="A12834" s="3">
        <f>12827</f>
        <v>12827</v>
      </c>
      <c r="B12834" s="3" t="s">
        <v>12836</v>
      </c>
      <c r="C12834" s="3" t="s">
        <v>10</v>
      </c>
      <c r="D12834" s="3" t="s">
        <v>9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/>
      <c r="P12834" s="3"/>
      <c r="Q12834" s="3"/>
    </row>
    <row r="12835" spans="1:17" ht="15" x14ac:dyDescent="0.25">
      <c r="A12835" s="3">
        <f>12828</f>
        <v>12828</v>
      </c>
      <c r="B12835" s="3" t="s">
        <v>12837</v>
      </c>
      <c r="C12835" s="3" t="s">
        <v>10</v>
      </c>
      <c r="D12835" s="3" t="s">
        <v>9</v>
      </c>
      <c r="E12835" s="3">
        <v>0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/>
      <c r="P12835" s="3"/>
      <c r="Q12835" s="3"/>
    </row>
    <row r="12836" spans="1:17" ht="15" x14ac:dyDescent="0.25">
      <c r="A12836" s="3">
        <f>12829</f>
        <v>12829</v>
      </c>
      <c r="B12836" s="3" t="s">
        <v>12838</v>
      </c>
      <c r="C12836" s="3" t="s">
        <v>10</v>
      </c>
      <c r="D12836" s="3" t="s">
        <v>9</v>
      </c>
      <c r="E12836" s="3">
        <v>0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s="3"/>
      <c r="P12836" s="3"/>
      <c r="Q12836" s="3"/>
    </row>
    <row r="12837" spans="1:17" ht="15" x14ac:dyDescent="0.25">
      <c r="A12837" s="3">
        <f>12830</f>
        <v>12830</v>
      </c>
      <c r="B12837" s="3" t="s">
        <v>12839</v>
      </c>
      <c r="C12837" s="3" t="s">
        <v>10</v>
      </c>
      <c r="D12837" s="3" t="s">
        <v>9</v>
      </c>
      <c r="E12837" s="3">
        <v>0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s="3"/>
      <c r="P12837" s="3"/>
      <c r="Q12837" s="3"/>
    </row>
    <row r="12838" spans="1:17" ht="15" x14ac:dyDescent="0.25">
      <c r="A12838" s="3">
        <f>12831</f>
        <v>12831</v>
      </c>
      <c r="B12838" s="3" t="s">
        <v>12840</v>
      </c>
      <c r="C12838" s="3" t="s">
        <v>10</v>
      </c>
      <c r="D12838" s="3" t="s">
        <v>9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/>
      <c r="P12838" s="3"/>
      <c r="Q12838" s="3"/>
    </row>
    <row r="12839" spans="1:17" ht="15" x14ac:dyDescent="0.25">
      <c r="A12839" s="3">
        <f>12832</f>
        <v>12832</v>
      </c>
      <c r="B12839" s="3" t="s">
        <v>12841</v>
      </c>
      <c r="C12839" s="3" t="s">
        <v>10</v>
      </c>
      <c r="D12839" s="3" t="s">
        <v>9</v>
      </c>
      <c r="E12839" s="3">
        <v>0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/>
      <c r="P12839" s="3"/>
      <c r="Q12839" s="3"/>
    </row>
    <row r="12840" spans="1:17" ht="15" x14ac:dyDescent="0.25">
      <c r="A12840" s="3">
        <f>12833</f>
        <v>12833</v>
      </c>
      <c r="B12840" s="3" t="s">
        <v>12842</v>
      </c>
      <c r="C12840" s="3" t="s">
        <v>10</v>
      </c>
      <c r="D12840" s="3" t="s">
        <v>9</v>
      </c>
      <c r="E12840" s="3">
        <v>0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/>
      <c r="P12840" s="3"/>
      <c r="Q12840" s="3"/>
    </row>
    <row r="12841" spans="1:17" ht="15" x14ac:dyDescent="0.25">
      <c r="A12841" s="3">
        <f>12834</f>
        <v>12834</v>
      </c>
      <c r="B12841" s="3" t="s">
        <v>12843</v>
      </c>
      <c r="C12841" s="3" t="s">
        <v>10</v>
      </c>
      <c r="D12841" s="3" t="s">
        <v>9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/>
      <c r="P12841" s="3"/>
      <c r="Q12841" s="3"/>
    </row>
    <row r="12842" spans="1:17" ht="15" x14ac:dyDescent="0.25">
      <c r="A12842" s="3">
        <f>12835</f>
        <v>12835</v>
      </c>
      <c r="B12842" s="3" t="s">
        <v>12844</v>
      </c>
      <c r="C12842" s="3" t="s">
        <v>10</v>
      </c>
      <c r="D12842" s="3" t="s">
        <v>9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/>
      <c r="P12842" s="3"/>
      <c r="Q12842" s="3"/>
    </row>
    <row r="12843" spans="1:17" ht="15" x14ac:dyDescent="0.25">
      <c r="A12843" s="3">
        <f>12836</f>
        <v>12836</v>
      </c>
      <c r="B12843" s="3" t="s">
        <v>12845</v>
      </c>
      <c r="C12843" s="3" t="s">
        <v>10</v>
      </c>
      <c r="D12843" s="3" t="s">
        <v>9</v>
      </c>
      <c r="E12843" s="3">
        <v>0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s="3"/>
      <c r="P12843" s="3"/>
      <c r="Q12843" s="3"/>
    </row>
    <row r="12844" spans="1:17" ht="15" x14ac:dyDescent="0.25">
      <c r="A12844" s="3">
        <f>12837</f>
        <v>12837</v>
      </c>
      <c r="B12844" s="3" t="s">
        <v>12846</v>
      </c>
      <c r="C12844" s="3" t="s">
        <v>10</v>
      </c>
      <c r="D12844" s="3" t="s">
        <v>9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/>
      <c r="P12844" s="3"/>
      <c r="Q12844" s="3"/>
    </row>
    <row r="12845" spans="1:17" ht="15" x14ac:dyDescent="0.25">
      <c r="A12845" s="3">
        <f>12838</f>
        <v>12838</v>
      </c>
      <c r="B12845" s="3" t="s">
        <v>12847</v>
      </c>
      <c r="C12845" s="3" t="s">
        <v>10</v>
      </c>
      <c r="D12845" s="3" t="s">
        <v>9</v>
      </c>
      <c r="E12845" s="3">
        <v>0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/>
      <c r="P12845" s="3"/>
      <c r="Q12845" s="3"/>
    </row>
    <row r="12846" spans="1:17" ht="15" x14ac:dyDescent="0.25">
      <c r="A12846" s="3">
        <f>12839</f>
        <v>12839</v>
      </c>
      <c r="B12846" s="3" t="s">
        <v>12848</v>
      </c>
      <c r="C12846" s="3" t="s">
        <v>10</v>
      </c>
      <c r="D12846" s="3" t="s">
        <v>9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/>
      <c r="P12846" s="3"/>
      <c r="Q12846" s="3"/>
    </row>
    <row r="12847" spans="1:17" ht="15" x14ac:dyDescent="0.25">
      <c r="A12847" s="3">
        <f>12840</f>
        <v>12840</v>
      </c>
      <c r="B12847" s="3" t="s">
        <v>12849</v>
      </c>
      <c r="C12847" s="3" t="s">
        <v>10</v>
      </c>
      <c r="D12847" s="3" t="s">
        <v>9</v>
      </c>
      <c r="E12847" s="3">
        <v>0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/>
      <c r="P12847" s="3"/>
      <c r="Q12847" s="3"/>
    </row>
    <row r="12848" spans="1:17" ht="15" x14ac:dyDescent="0.25">
      <c r="A12848" s="3">
        <f>12841</f>
        <v>12841</v>
      </c>
      <c r="B12848" s="3" t="s">
        <v>12850</v>
      </c>
      <c r="C12848" s="3" t="s">
        <v>10</v>
      </c>
      <c r="D12848" s="3" t="s">
        <v>9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/>
      <c r="P12848" s="3"/>
      <c r="Q12848" s="3"/>
    </row>
    <row r="12849" spans="1:17" ht="15" x14ac:dyDescent="0.25">
      <c r="A12849" s="3">
        <f>12842</f>
        <v>12842</v>
      </c>
      <c r="B12849" s="3" t="s">
        <v>12851</v>
      </c>
      <c r="C12849" s="3" t="s">
        <v>10</v>
      </c>
      <c r="D12849" s="3" t="s">
        <v>9</v>
      </c>
      <c r="E12849" s="3">
        <v>0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s="3"/>
      <c r="P12849" s="3"/>
      <c r="Q12849" s="3"/>
    </row>
    <row r="12850" spans="1:17" ht="15" x14ac:dyDescent="0.25">
      <c r="A12850" s="3">
        <f>12843</f>
        <v>12843</v>
      </c>
      <c r="B12850" s="3" t="s">
        <v>12852</v>
      </c>
      <c r="C12850" s="3" t="s">
        <v>10</v>
      </c>
      <c r="D12850" s="3" t="s">
        <v>9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/>
      <c r="P12850" s="3"/>
      <c r="Q12850" s="3"/>
    </row>
    <row r="12851" spans="1:17" ht="15" x14ac:dyDescent="0.25">
      <c r="A12851" s="3">
        <f>12844</f>
        <v>12844</v>
      </c>
      <c r="B12851" s="3" t="s">
        <v>12853</v>
      </c>
      <c r="C12851" s="3" t="s">
        <v>10</v>
      </c>
      <c r="D12851" s="3" t="s">
        <v>9</v>
      </c>
      <c r="E12851" s="3">
        <v>0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/>
      <c r="P12851" s="3"/>
      <c r="Q12851" s="3"/>
    </row>
    <row r="12852" spans="1:17" ht="15" x14ac:dyDescent="0.25">
      <c r="A12852" s="3">
        <f>12845</f>
        <v>12845</v>
      </c>
      <c r="B12852" s="3" t="s">
        <v>12854</v>
      </c>
      <c r="C12852" s="3" t="s">
        <v>10</v>
      </c>
      <c r="D12852" s="3" t="s">
        <v>9</v>
      </c>
      <c r="E12852" s="3">
        <v>0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s="3"/>
      <c r="P12852" s="3"/>
      <c r="Q12852" s="3"/>
    </row>
    <row r="12853" spans="1:17" ht="15" x14ac:dyDescent="0.25">
      <c r="A12853" s="3">
        <f>12846</f>
        <v>12846</v>
      </c>
      <c r="B12853" s="3" t="s">
        <v>12855</v>
      </c>
      <c r="C12853" s="3" t="s">
        <v>10</v>
      </c>
      <c r="D12853" s="3" t="s">
        <v>9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/>
      <c r="P12853" s="3"/>
      <c r="Q12853" s="3"/>
    </row>
    <row r="12854" spans="1:17" ht="15" x14ac:dyDescent="0.25">
      <c r="A12854" s="3">
        <f>12847</f>
        <v>12847</v>
      </c>
      <c r="B12854" s="3" t="s">
        <v>12856</v>
      </c>
      <c r="C12854" s="3" t="s">
        <v>9</v>
      </c>
      <c r="D12854" s="3" t="s">
        <v>10</v>
      </c>
      <c r="E12854" s="3">
        <v>0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s="3"/>
      <c r="P12854" s="3"/>
      <c r="Q12854" s="3"/>
    </row>
    <row r="12855" spans="1:17" ht="15" x14ac:dyDescent="0.25">
      <c r="A12855" s="3">
        <f>12848</f>
        <v>12848</v>
      </c>
      <c r="B12855" s="3" t="s">
        <v>12857</v>
      </c>
      <c r="C12855" s="3" t="s">
        <v>9</v>
      </c>
      <c r="D12855" s="3" t="s">
        <v>10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/>
      <c r="P12855" s="3"/>
      <c r="Q12855" s="3"/>
    </row>
    <row r="12856" spans="1:17" ht="15" x14ac:dyDescent="0.25">
      <c r="A12856" s="3">
        <f>12849</f>
        <v>12849</v>
      </c>
      <c r="B12856" s="3" t="s">
        <v>12858</v>
      </c>
      <c r="C12856" s="3" t="s">
        <v>9</v>
      </c>
      <c r="D12856" s="3" t="s">
        <v>10</v>
      </c>
      <c r="E12856" s="3">
        <v>0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/>
      <c r="P12856" s="3"/>
      <c r="Q12856" s="3"/>
    </row>
    <row r="12857" spans="1:17" ht="15" x14ac:dyDescent="0.25">
      <c r="A12857" s="3">
        <f>12850</f>
        <v>12850</v>
      </c>
      <c r="B12857" s="3" t="s">
        <v>12859</v>
      </c>
      <c r="C12857" s="3" t="s">
        <v>9</v>
      </c>
      <c r="D12857" s="3" t="s">
        <v>10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/>
      <c r="P12857" s="3"/>
      <c r="Q12857" s="3"/>
    </row>
    <row r="12858" spans="1:17" ht="15" x14ac:dyDescent="0.25">
      <c r="A12858" s="3">
        <f>12851</f>
        <v>12851</v>
      </c>
      <c r="B12858" s="3" t="s">
        <v>12860</v>
      </c>
      <c r="C12858" s="3" t="s">
        <v>9</v>
      </c>
      <c r="D12858" s="3" t="s">
        <v>10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/>
      <c r="P12858" s="3"/>
      <c r="Q12858" s="3"/>
    </row>
    <row r="12859" spans="1:17" ht="15" x14ac:dyDescent="0.25">
      <c r="A12859" s="3">
        <f>12852</f>
        <v>12852</v>
      </c>
      <c r="B12859" s="3" t="s">
        <v>12861</v>
      </c>
      <c r="C12859" s="3" t="s">
        <v>9</v>
      </c>
      <c r="D12859" s="3" t="s">
        <v>10</v>
      </c>
      <c r="E12859" s="3">
        <v>0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/>
      <c r="P12859" s="3"/>
      <c r="Q12859" s="3"/>
    </row>
    <row r="12860" spans="1:17" ht="15" x14ac:dyDescent="0.25">
      <c r="A12860" s="3">
        <f>12853</f>
        <v>12853</v>
      </c>
      <c r="B12860" s="3" t="s">
        <v>12862</v>
      </c>
      <c r="C12860" s="3" t="s">
        <v>9</v>
      </c>
      <c r="D12860" s="3" t="s">
        <v>10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s="3"/>
      <c r="P12860" s="3"/>
      <c r="Q12860" s="3"/>
    </row>
    <row r="12861" spans="1:17" ht="15" x14ac:dyDescent="0.25">
      <c r="A12861" s="3">
        <f>12854</f>
        <v>12854</v>
      </c>
      <c r="B12861" s="3" t="s">
        <v>12863</v>
      </c>
      <c r="C12861" s="3" t="s">
        <v>9</v>
      </c>
      <c r="D12861" s="3" t="s">
        <v>10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/>
      <c r="P12861" s="3"/>
      <c r="Q12861" s="3"/>
    </row>
    <row r="12862" spans="1:17" ht="15" x14ac:dyDescent="0.25">
      <c r="A12862" s="3">
        <f>12855</f>
        <v>12855</v>
      </c>
      <c r="B12862" s="3" t="s">
        <v>12864</v>
      </c>
      <c r="C12862" s="3" t="s">
        <v>9</v>
      </c>
      <c r="D12862" s="3" t="s">
        <v>10</v>
      </c>
      <c r="E12862" s="3">
        <v>0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/>
      <c r="P12862" s="3"/>
      <c r="Q12862" s="3"/>
    </row>
    <row r="12863" spans="1:17" ht="15" x14ac:dyDescent="0.25">
      <c r="A12863" s="3">
        <f>12856</f>
        <v>12856</v>
      </c>
      <c r="B12863" s="3" t="s">
        <v>12865</v>
      </c>
      <c r="C12863" s="3" t="s">
        <v>9</v>
      </c>
      <c r="D12863" s="3" t="s">
        <v>10</v>
      </c>
      <c r="E12863" s="3">
        <v>0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/>
      <c r="P12863" s="3"/>
      <c r="Q12863" s="3"/>
    </row>
    <row r="12864" spans="1:17" ht="15" x14ac:dyDescent="0.25">
      <c r="A12864" s="3">
        <f>12857</f>
        <v>12857</v>
      </c>
      <c r="B12864" s="3" t="s">
        <v>12866</v>
      </c>
      <c r="C12864" s="3" t="s">
        <v>9</v>
      </c>
      <c r="D12864" s="3" t="s">
        <v>10</v>
      </c>
      <c r="E12864" s="3">
        <v>0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s="3"/>
      <c r="P12864" s="3"/>
      <c r="Q12864" s="3"/>
    </row>
    <row r="12865" spans="1:17" ht="15" x14ac:dyDescent="0.25">
      <c r="A12865" s="3">
        <f>12858</f>
        <v>12858</v>
      </c>
      <c r="B12865" s="3" t="s">
        <v>12867</v>
      </c>
      <c r="C12865" s="3" t="s">
        <v>9</v>
      </c>
      <c r="D12865" s="3" t="s">
        <v>10</v>
      </c>
      <c r="E12865" s="3">
        <v>0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/>
      <c r="P12865" s="3"/>
      <c r="Q12865" s="3"/>
    </row>
    <row r="12866" spans="1:17" ht="15" x14ac:dyDescent="0.25">
      <c r="A12866" s="3">
        <f>12859</f>
        <v>12859</v>
      </c>
      <c r="B12866" s="3" t="s">
        <v>12868</v>
      </c>
      <c r="C12866" s="3" t="s">
        <v>9</v>
      </c>
      <c r="D12866" s="3" t="s">
        <v>10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/>
      <c r="P12866" s="3"/>
      <c r="Q12866" s="3"/>
    </row>
    <row r="12867" spans="1:17" ht="15" x14ac:dyDescent="0.25">
      <c r="A12867" s="3">
        <f>12860</f>
        <v>12860</v>
      </c>
      <c r="B12867" s="3" t="s">
        <v>12869</v>
      </c>
      <c r="C12867" s="3" t="s">
        <v>9</v>
      </c>
      <c r="D12867" s="3" t="s">
        <v>10</v>
      </c>
      <c r="E12867" s="3">
        <v>0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/>
      <c r="P12867" s="3"/>
      <c r="Q12867" s="3"/>
    </row>
    <row r="12868" spans="1:17" ht="15" x14ac:dyDescent="0.25">
      <c r="A12868" s="3">
        <f>12861</f>
        <v>12861</v>
      </c>
      <c r="B12868" s="3" t="s">
        <v>12870</v>
      </c>
      <c r="C12868" s="3" t="s">
        <v>9</v>
      </c>
      <c r="D12868" s="3" t="s">
        <v>10</v>
      </c>
      <c r="E12868" s="3">
        <v>0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/>
      <c r="P12868" s="3"/>
      <c r="Q12868" s="3"/>
    </row>
    <row r="12869" spans="1:17" ht="15" x14ac:dyDescent="0.25">
      <c r="A12869" s="3">
        <f>12862</f>
        <v>12862</v>
      </c>
      <c r="B12869" s="3" t="s">
        <v>12871</v>
      </c>
      <c r="C12869" s="3" t="s">
        <v>9</v>
      </c>
      <c r="D12869" s="3" t="s">
        <v>10</v>
      </c>
      <c r="E12869" s="3">
        <v>0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s="3"/>
      <c r="P12869" s="3"/>
      <c r="Q12869" s="3"/>
    </row>
    <row r="12870" spans="1:17" ht="15" x14ac:dyDescent="0.25">
      <c r="A12870" s="3">
        <f>12863</f>
        <v>12863</v>
      </c>
      <c r="B12870" s="3" t="s">
        <v>12872</v>
      </c>
      <c r="C12870" s="3" t="s">
        <v>9</v>
      </c>
      <c r="D12870" s="3" t="s">
        <v>10</v>
      </c>
      <c r="E12870" s="3">
        <v>0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/>
      <c r="P12870" s="3"/>
      <c r="Q12870" s="3"/>
    </row>
    <row r="12871" spans="1:17" ht="15" x14ac:dyDescent="0.25">
      <c r="A12871" s="3">
        <f>12864</f>
        <v>12864</v>
      </c>
      <c r="B12871" s="3" t="s">
        <v>12873</v>
      </c>
      <c r="C12871" s="3" t="s">
        <v>9</v>
      </c>
      <c r="D12871" s="3" t="s">
        <v>10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/>
      <c r="P12871" s="3"/>
      <c r="Q12871" s="3"/>
    </row>
    <row r="12872" spans="1:17" ht="15" x14ac:dyDescent="0.25">
      <c r="A12872" s="3">
        <f>12865</f>
        <v>12865</v>
      </c>
      <c r="B12872" s="3" t="s">
        <v>12874</v>
      </c>
      <c r="C12872" s="3" t="s">
        <v>9</v>
      </c>
      <c r="D12872" s="3" t="s">
        <v>10</v>
      </c>
      <c r="E12872" s="3">
        <v>0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/>
      <c r="P12872" s="3"/>
      <c r="Q12872" s="3"/>
    </row>
    <row r="12873" spans="1:17" ht="15" x14ac:dyDescent="0.25">
      <c r="A12873" s="3">
        <f>12866</f>
        <v>12866</v>
      </c>
      <c r="B12873" s="3" t="s">
        <v>12875</v>
      </c>
      <c r="C12873" s="3" t="s">
        <v>9</v>
      </c>
      <c r="D12873" s="3" t="s">
        <v>10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/>
      <c r="P12873" s="3"/>
      <c r="Q12873" s="3"/>
    </row>
    <row r="12874" spans="1:17" ht="15" x14ac:dyDescent="0.25">
      <c r="A12874" s="3">
        <f>12867</f>
        <v>12867</v>
      </c>
      <c r="B12874" s="3" t="s">
        <v>12876</v>
      </c>
      <c r="C12874" s="3" t="s">
        <v>9</v>
      </c>
      <c r="D12874" s="3" t="s">
        <v>10</v>
      </c>
      <c r="E12874" s="3">
        <v>0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s="3"/>
      <c r="P12874" s="3"/>
      <c r="Q12874" s="3"/>
    </row>
    <row r="12875" spans="1:17" ht="15" x14ac:dyDescent="0.25">
      <c r="A12875" s="3">
        <f>12868</f>
        <v>12868</v>
      </c>
      <c r="B12875" s="3" t="s">
        <v>12877</v>
      </c>
      <c r="C12875" s="3" t="s">
        <v>9</v>
      </c>
      <c r="D12875" s="3" t="s">
        <v>10</v>
      </c>
      <c r="E12875" s="3">
        <v>0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/>
      <c r="P12875" s="3"/>
      <c r="Q12875" s="3"/>
    </row>
    <row r="12876" spans="1:17" ht="15" x14ac:dyDescent="0.25">
      <c r="A12876" s="3">
        <f>12869</f>
        <v>12869</v>
      </c>
      <c r="B12876" s="3" t="s">
        <v>12878</v>
      </c>
      <c r="C12876" s="3" t="s">
        <v>9</v>
      </c>
      <c r="D12876" s="3" t="s">
        <v>10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/>
      <c r="P12876" s="3"/>
      <c r="Q12876" s="3"/>
    </row>
    <row r="12877" spans="1:17" ht="15" x14ac:dyDescent="0.25">
      <c r="A12877" s="3">
        <f>12870</f>
        <v>12870</v>
      </c>
      <c r="B12877" s="3" t="s">
        <v>12879</v>
      </c>
      <c r="C12877" s="3" t="s">
        <v>9</v>
      </c>
      <c r="D12877" s="3" t="s">
        <v>10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/>
      <c r="P12877" s="3"/>
      <c r="Q12877" s="3"/>
    </row>
    <row r="12878" spans="1:17" ht="15" x14ac:dyDescent="0.25">
      <c r="A12878" s="3">
        <f>12871</f>
        <v>12871</v>
      </c>
      <c r="B12878" s="3" t="s">
        <v>12880</v>
      </c>
      <c r="C12878" s="3" t="s">
        <v>9</v>
      </c>
      <c r="D12878" s="3" t="s">
        <v>10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s="3"/>
      <c r="P12878" s="3"/>
      <c r="Q12878" s="3"/>
    </row>
    <row r="12879" spans="1:17" ht="15" x14ac:dyDescent="0.25">
      <c r="A12879" s="3">
        <f>12872</f>
        <v>12872</v>
      </c>
      <c r="B12879" s="3" t="s">
        <v>12881</v>
      </c>
      <c r="C12879" s="3" t="s">
        <v>9</v>
      </c>
      <c r="D12879" s="3" t="s">
        <v>10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s="3"/>
      <c r="P12879" s="3"/>
      <c r="Q12879" s="3"/>
    </row>
    <row r="12880" spans="1:17" ht="15" x14ac:dyDescent="0.25">
      <c r="A12880" s="3">
        <f>12873</f>
        <v>12873</v>
      </c>
      <c r="B12880" s="3" t="s">
        <v>12882</v>
      </c>
      <c r="C12880" s="3" t="s">
        <v>9</v>
      </c>
      <c r="D12880" s="3" t="s">
        <v>10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/>
      <c r="P12880" s="3"/>
      <c r="Q12880" s="3"/>
    </row>
    <row r="12881" spans="1:17" ht="15" x14ac:dyDescent="0.25">
      <c r="A12881" s="3">
        <f>12874</f>
        <v>12874</v>
      </c>
      <c r="B12881" s="3" t="s">
        <v>12883</v>
      </c>
      <c r="C12881" s="3" t="s">
        <v>9</v>
      </c>
      <c r="D12881" s="3" t="s">
        <v>10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s="3"/>
      <c r="P12881" s="3"/>
      <c r="Q12881" s="3"/>
    </row>
    <row r="12882" spans="1:17" ht="15" x14ac:dyDescent="0.25">
      <c r="A12882" s="3">
        <f>12875</f>
        <v>12875</v>
      </c>
      <c r="B12882" s="3" t="s">
        <v>12884</v>
      </c>
      <c r="C12882" s="3" t="s">
        <v>9</v>
      </c>
      <c r="D12882" s="3" t="s">
        <v>10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/>
      <c r="P12882" s="3"/>
      <c r="Q12882" s="3"/>
    </row>
    <row r="12883" spans="1:17" ht="15" x14ac:dyDescent="0.25">
      <c r="A12883" s="3">
        <f>12876</f>
        <v>12876</v>
      </c>
      <c r="B12883" s="3" t="s">
        <v>12885</v>
      </c>
      <c r="C12883" s="3" t="s">
        <v>9</v>
      </c>
      <c r="D12883" s="3" t="s">
        <v>10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/>
      <c r="P12883" s="3"/>
      <c r="Q12883" s="3"/>
    </row>
    <row r="12884" spans="1:17" ht="15" x14ac:dyDescent="0.25">
      <c r="A12884" s="3">
        <f>12877</f>
        <v>12877</v>
      </c>
      <c r="B12884" s="3" t="s">
        <v>12886</v>
      </c>
      <c r="C12884" s="3" t="s">
        <v>9</v>
      </c>
      <c r="D12884" s="3" t="s">
        <v>10</v>
      </c>
      <c r="E12884" s="3">
        <v>0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/>
      <c r="P12884" s="3"/>
      <c r="Q12884" s="3"/>
    </row>
    <row r="12885" spans="1:17" ht="15" x14ac:dyDescent="0.25">
      <c r="A12885" s="3">
        <f>12878</f>
        <v>12878</v>
      </c>
      <c r="B12885" s="3" t="s">
        <v>12887</v>
      </c>
      <c r="C12885" s="3" t="s">
        <v>9</v>
      </c>
      <c r="D12885" s="3" t="s">
        <v>10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s="3"/>
      <c r="P12885" s="3"/>
      <c r="Q12885" s="3"/>
    </row>
    <row r="12886" spans="1:17" ht="15" x14ac:dyDescent="0.25">
      <c r="A12886" s="3">
        <f>12879</f>
        <v>12879</v>
      </c>
      <c r="B12886" s="3" t="s">
        <v>12888</v>
      </c>
      <c r="C12886" s="3" t="s">
        <v>9</v>
      </c>
      <c r="D12886" s="3" t="s">
        <v>10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  <c r="O12886" s="3"/>
      <c r="P12886" s="3"/>
      <c r="Q12886" s="3"/>
    </row>
    <row r="12887" spans="1:17" ht="15" x14ac:dyDescent="0.25">
      <c r="A12887" s="3">
        <f>12880</f>
        <v>12880</v>
      </c>
      <c r="B12887" s="3" t="s">
        <v>12889</v>
      </c>
      <c r="C12887" s="3" t="s">
        <v>9</v>
      </c>
      <c r="D12887" s="3" t="s">
        <v>10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/>
      <c r="P12887" s="3"/>
      <c r="Q12887" s="3"/>
    </row>
    <row r="12888" spans="1:17" ht="15" x14ac:dyDescent="0.25">
      <c r="A12888" s="3">
        <f>12881</f>
        <v>12881</v>
      </c>
      <c r="B12888" s="3" t="s">
        <v>12890</v>
      </c>
      <c r="C12888" s="3" t="s">
        <v>9</v>
      </c>
      <c r="D12888" s="3" t="s">
        <v>10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/>
      <c r="P12888" s="3"/>
      <c r="Q12888" s="3"/>
    </row>
    <row r="12889" spans="1:17" ht="15" x14ac:dyDescent="0.25">
      <c r="A12889" s="3">
        <f>12882</f>
        <v>12882</v>
      </c>
      <c r="B12889" s="3" t="s">
        <v>12891</v>
      </c>
      <c r="C12889" s="3" t="s">
        <v>9</v>
      </c>
      <c r="D12889" s="3" t="s">
        <v>10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/>
      <c r="P12889" s="3"/>
      <c r="Q12889" s="3"/>
    </row>
    <row r="12890" spans="1:17" ht="15" x14ac:dyDescent="0.25">
      <c r="A12890" s="3">
        <f>12883</f>
        <v>12883</v>
      </c>
      <c r="B12890" s="3" t="s">
        <v>12892</v>
      </c>
      <c r="C12890" s="3" t="s">
        <v>9</v>
      </c>
      <c r="D12890" s="3" t="s">
        <v>10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/>
      <c r="P12890" s="3"/>
      <c r="Q12890" s="3"/>
    </row>
    <row r="12891" spans="1:17" ht="15" x14ac:dyDescent="0.25">
      <c r="A12891" s="3">
        <f>12884</f>
        <v>12884</v>
      </c>
      <c r="B12891" s="3" t="s">
        <v>12893</v>
      </c>
      <c r="C12891" s="3" t="s">
        <v>9</v>
      </c>
      <c r="D12891" s="3" t="s">
        <v>10</v>
      </c>
      <c r="E12891" s="3">
        <v>0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/>
      <c r="P12891" s="3"/>
      <c r="Q12891" s="3"/>
    </row>
    <row r="12892" spans="1:17" ht="15" x14ac:dyDescent="0.25">
      <c r="A12892" s="3">
        <f>12885</f>
        <v>12885</v>
      </c>
      <c r="B12892" s="3" t="s">
        <v>12894</v>
      </c>
      <c r="C12892" s="3" t="s">
        <v>9</v>
      </c>
      <c r="D12892" s="3" t="s">
        <v>10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/>
      <c r="P12892" s="3"/>
      <c r="Q12892" s="3"/>
    </row>
    <row r="12893" spans="1:17" ht="15" x14ac:dyDescent="0.25">
      <c r="A12893" s="3">
        <f>12886</f>
        <v>12886</v>
      </c>
      <c r="B12893" s="3" t="s">
        <v>12895</v>
      </c>
      <c r="C12893" s="3" t="s">
        <v>9</v>
      </c>
      <c r="D12893" s="3" t="s">
        <v>10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/>
      <c r="P12893" s="3"/>
      <c r="Q12893" s="3"/>
    </row>
    <row r="12894" spans="1:17" ht="15" x14ac:dyDescent="0.25">
      <c r="A12894" s="3">
        <f>12887</f>
        <v>12887</v>
      </c>
      <c r="B12894" s="3" t="s">
        <v>12896</v>
      </c>
      <c r="C12894" s="3" t="s">
        <v>9</v>
      </c>
      <c r="D12894" s="3" t="s">
        <v>10</v>
      </c>
      <c r="E12894" s="3">
        <v>0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/>
      <c r="P12894" s="3"/>
      <c r="Q12894" s="3"/>
    </row>
    <row r="12895" spans="1:17" ht="15" x14ac:dyDescent="0.25">
      <c r="A12895" s="3">
        <f>12888</f>
        <v>12888</v>
      </c>
      <c r="B12895" s="3" t="s">
        <v>12897</v>
      </c>
      <c r="C12895" s="3" t="s">
        <v>9</v>
      </c>
      <c r="D12895" s="3" t="s">
        <v>10</v>
      </c>
      <c r="E12895" s="3">
        <v>0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/>
      <c r="P12895" s="3"/>
      <c r="Q12895" s="3"/>
    </row>
    <row r="12896" spans="1:17" ht="15" x14ac:dyDescent="0.25">
      <c r="A12896" s="3">
        <f>12889</f>
        <v>12889</v>
      </c>
      <c r="B12896" s="3" t="s">
        <v>12898</v>
      </c>
      <c r="C12896" s="3" t="s">
        <v>9</v>
      </c>
      <c r="D12896" s="3" t="s">
        <v>10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/>
      <c r="P12896" s="3"/>
      <c r="Q12896" s="3"/>
    </row>
    <row r="12897" spans="1:17" ht="15" x14ac:dyDescent="0.25">
      <c r="A12897" s="3">
        <f>12890</f>
        <v>12890</v>
      </c>
      <c r="B12897" s="3" t="s">
        <v>12899</v>
      </c>
      <c r="C12897" s="3" t="s">
        <v>9</v>
      </c>
      <c r="D12897" s="3" t="s">
        <v>10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/>
      <c r="P12897" s="3"/>
      <c r="Q12897" s="3"/>
    </row>
    <row r="12898" spans="1:17" ht="15" x14ac:dyDescent="0.25">
      <c r="A12898" s="3">
        <f>12891</f>
        <v>12891</v>
      </c>
      <c r="B12898" s="3" t="s">
        <v>12900</v>
      </c>
      <c r="C12898" s="3" t="s">
        <v>9</v>
      </c>
      <c r="D12898" s="3" t="s">
        <v>10</v>
      </c>
      <c r="E12898" s="3">
        <v>0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/>
      <c r="P12898" s="3"/>
      <c r="Q12898" s="3"/>
    </row>
    <row r="12899" spans="1:17" ht="15" x14ac:dyDescent="0.25">
      <c r="A12899" s="3">
        <f>12892</f>
        <v>12892</v>
      </c>
      <c r="B12899" s="3" t="s">
        <v>12901</v>
      </c>
      <c r="C12899" s="3" t="s">
        <v>9</v>
      </c>
      <c r="D12899" s="3" t="s">
        <v>10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/>
      <c r="P12899" s="3"/>
      <c r="Q12899" s="3"/>
    </row>
    <row r="12900" spans="1:17" ht="15" x14ac:dyDescent="0.25">
      <c r="A12900" s="3">
        <f>12893</f>
        <v>12893</v>
      </c>
      <c r="B12900" s="3" t="s">
        <v>12902</v>
      </c>
      <c r="C12900" s="3" t="s">
        <v>9</v>
      </c>
      <c r="D12900" s="3" t="s">
        <v>10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/>
      <c r="P12900" s="3"/>
      <c r="Q12900" s="3"/>
    </row>
    <row r="12901" spans="1:17" ht="15" x14ac:dyDescent="0.25">
      <c r="A12901" s="3">
        <f>12894</f>
        <v>12894</v>
      </c>
      <c r="B12901" s="3" t="s">
        <v>12903</v>
      </c>
      <c r="C12901" s="3" t="s">
        <v>9</v>
      </c>
      <c r="D12901" s="3" t="s">
        <v>10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s="3"/>
      <c r="P12901" s="3"/>
      <c r="Q12901" s="3"/>
    </row>
    <row r="12902" spans="1:17" ht="15" x14ac:dyDescent="0.25">
      <c r="A12902" s="3">
        <f>12895</f>
        <v>12895</v>
      </c>
      <c r="B12902" s="3" t="s">
        <v>12904</v>
      </c>
      <c r="C12902" s="3" t="s">
        <v>9</v>
      </c>
      <c r="D12902" s="3" t="s">
        <v>10</v>
      </c>
      <c r="E12902" s="3">
        <v>0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s="3"/>
      <c r="P12902" s="3"/>
      <c r="Q12902" s="3"/>
    </row>
    <row r="12903" spans="1:17" ht="15" x14ac:dyDescent="0.25">
      <c r="A12903" s="3">
        <f>12896</f>
        <v>12896</v>
      </c>
      <c r="B12903" s="3" t="s">
        <v>12905</v>
      </c>
      <c r="C12903" s="3" t="s">
        <v>9</v>
      </c>
      <c r="D12903" s="3" t="s">
        <v>10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/>
      <c r="P12903" s="3"/>
      <c r="Q12903" s="3"/>
    </row>
    <row r="12904" spans="1:17" ht="15" x14ac:dyDescent="0.25">
      <c r="A12904" s="3">
        <f>12897</f>
        <v>12897</v>
      </c>
      <c r="B12904" s="3" t="s">
        <v>12906</v>
      </c>
      <c r="C12904" s="3" t="s">
        <v>9</v>
      </c>
      <c r="D12904" s="3" t="s">
        <v>10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s="3"/>
      <c r="P12904" s="3"/>
      <c r="Q12904" s="3"/>
    </row>
    <row r="12905" spans="1:17" ht="15" x14ac:dyDescent="0.25">
      <c r="A12905" s="3">
        <f>12898</f>
        <v>12898</v>
      </c>
      <c r="B12905" s="3" t="s">
        <v>12907</v>
      </c>
      <c r="C12905" s="3" t="s">
        <v>9</v>
      </c>
      <c r="D12905" s="3" t="s">
        <v>10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/>
      <c r="P12905" s="3"/>
      <c r="Q12905" s="3"/>
    </row>
    <row r="12906" spans="1:17" ht="15" x14ac:dyDescent="0.25">
      <c r="A12906" s="3">
        <f>12899</f>
        <v>12899</v>
      </c>
      <c r="B12906" s="3" t="s">
        <v>12908</v>
      </c>
      <c r="C12906" s="3" t="s">
        <v>9</v>
      </c>
      <c r="D12906" s="3" t="s">
        <v>10</v>
      </c>
      <c r="E12906" s="3">
        <v>0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/>
      <c r="P12906" s="3"/>
      <c r="Q12906" s="3"/>
    </row>
    <row r="12907" spans="1:17" ht="15" x14ac:dyDescent="0.25">
      <c r="A12907" s="3">
        <f>12900</f>
        <v>12900</v>
      </c>
      <c r="B12907" s="3" t="s">
        <v>12909</v>
      </c>
      <c r="C12907" s="3" t="s">
        <v>9</v>
      </c>
      <c r="D12907" s="3" t="s">
        <v>10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/>
      <c r="P12907" s="3"/>
      <c r="Q12907" s="3"/>
    </row>
    <row r="12908" spans="1:17" ht="15" x14ac:dyDescent="0.25">
      <c r="A12908" s="3">
        <f>12901</f>
        <v>12901</v>
      </c>
      <c r="B12908" s="3" t="s">
        <v>12910</v>
      </c>
      <c r="C12908" s="3" t="s">
        <v>9</v>
      </c>
      <c r="D12908" s="3" t="s">
        <v>10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/>
      <c r="P12908" s="3"/>
      <c r="Q12908" s="3"/>
    </row>
    <row r="12909" spans="1:17" ht="15" x14ac:dyDescent="0.25">
      <c r="A12909" s="3">
        <f>12902</f>
        <v>12902</v>
      </c>
      <c r="B12909" s="3" t="s">
        <v>12911</v>
      </c>
      <c r="C12909" s="3" t="s">
        <v>9</v>
      </c>
      <c r="D12909" s="3" t="s">
        <v>10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  <c r="O12909" s="3"/>
      <c r="P12909" s="3"/>
      <c r="Q12909" s="3"/>
    </row>
    <row r="12910" spans="1:17" ht="15" x14ac:dyDescent="0.25">
      <c r="A12910" s="3">
        <f>12903</f>
        <v>12903</v>
      </c>
      <c r="B12910" s="3" t="s">
        <v>12912</v>
      </c>
      <c r="C12910" s="3" t="s">
        <v>9</v>
      </c>
      <c r="D12910" s="3" t="s">
        <v>10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s="3"/>
      <c r="P12910" s="3"/>
      <c r="Q12910" s="3"/>
    </row>
    <row r="12911" spans="1:17" ht="15" x14ac:dyDescent="0.25">
      <c r="A12911" s="3">
        <f>12904</f>
        <v>12904</v>
      </c>
      <c r="B12911" s="3" t="s">
        <v>12913</v>
      </c>
      <c r="C12911" s="3" t="s">
        <v>9</v>
      </c>
      <c r="D12911" s="3" t="s">
        <v>10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/>
      <c r="P12911" s="3"/>
      <c r="Q12911" s="3"/>
    </row>
    <row r="12912" spans="1:17" ht="15" x14ac:dyDescent="0.25">
      <c r="A12912" s="3">
        <f>12905</f>
        <v>12905</v>
      </c>
      <c r="B12912" s="3" t="s">
        <v>12914</v>
      </c>
      <c r="C12912" s="3" t="s">
        <v>9</v>
      </c>
      <c r="D12912" s="3" t="s">
        <v>10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/>
      <c r="P12912" s="3"/>
      <c r="Q12912" s="3"/>
    </row>
    <row r="12913" spans="1:17" ht="15" x14ac:dyDescent="0.25">
      <c r="A12913" s="3">
        <f>12906</f>
        <v>12906</v>
      </c>
      <c r="B12913" s="3" t="s">
        <v>12915</v>
      </c>
      <c r="C12913" s="3" t="s">
        <v>9</v>
      </c>
      <c r="D12913" s="3" t="s">
        <v>10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/>
      <c r="P12913" s="3"/>
      <c r="Q12913" s="3"/>
    </row>
    <row r="12914" spans="1:17" ht="15" x14ac:dyDescent="0.25">
      <c r="A12914" s="3">
        <f>12907</f>
        <v>12907</v>
      </c>
      <c r="B12914" s="3" t="s">
        <v>12916</v>
      </c>
      <c r="C12914" s="3" t="s">
        <v>9</v>
      </c>
      <c r="D12914" s="3" t="s">
        <v>10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/>
      <c r="P12914" s="3"/>
      <c r="Q12914" s="3"/>
    </row>
    <row r="12915" spans="1:17" ht="15" x14ac:dyDescent="0.25">
      <c r="A12915" s="3">
        <f>12908</f>
        <v>12908</v>
      </c>
      <c r="B12915" s="3" t="s">
        <v>12917</v>
      </c>
      <c r="C12915" s="3" t="s">
        <v>9</v>
      </c>
      <c r="D12915" s="3" t="s">
        <v>10</v>
      </c>
      <c r="E12915" s="3">
        <v>0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/>
      <c r="P12915" s="3"/>
      <c r="Q12915" s="3"/>
    </row>
    <row r="12916" spans="1:17" ht="15" x14ac:dyDescent="0.25">
      <c r="A12916" s="3">
        <f>12909</f>
        <v>12909</v>
      </c>
      <c r="B12916" s="3" t="s">
        <v>12918</v>
      </c>
      <c r="C12916" s="3" t="s">
        <v>9</v>
      </c>
      <c r="D12916" s="3" t="s">
        <v>10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/>
      <c r="P12916" s="3"/>
      <c r="Q12916" s="3"/>
    </row>
    <row r="12917" spans="1:17" ht="15" x14ac:dyDescent="0.25">
      <c r="A12917" s="3">
        <f>12910</f>
        <v>12910</v>
      </c>
      <c r="B12917" s="3" t="s">
        <v>12919</v>
      </c>
      <c r="C12917" s="3" t="s">
        <v>9</v>
      </c>
      <c r="D12917" s="3" t="s">
        <v>10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/>
      <c r="P12917" s="3"/>
      <c r="Q12917" s="3"/>
    </row>
    <row r="12918" spans="1:17" ht="15" x14ac:dyDescent="0.25">
      <c r="A12918" s="3">
        <f>12911</f>
        <v>12911</v>
      </c>
      <c r="B12918" s="3" t="s">
        <v>12920</v>
      </c>
      <c r="C12918" s="3" t="s">
        <v>9</v>
      </c>
      <c r="D12918" s="3" t="s">
        <v>10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/>
      <c r="P12918" s="3"/>
      <c r="Q12918" s="3"/>
    </row>
    <row r="12919" spans="1:17" ht="15" x14ac:dyDescent="0.25">
      <c r="A12919" s="3">
        <f>12912</f>
        <v>12912</v>
      </c>
      <c r="B12919" s="3" t="s">
        <v>12921</v>
      </c>
      <c r="C12919" s="3" t="s">
        <v>9</v>
      </c>
      <c r="D12919" s="3" t="s">
        <v>10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/>
      <c r="P12919" s="3"/>
      <c r="Q12919" s="3"/>
    </row>
    <row r="12920" spans="1:17" ht="15" x14ac:dyDescent="0.25">
      <c r="A12920" s="3">
        <f>12913</f>
        <v>12913</v>
      </c>
      <c r="B12920" s="3" t="s">
        <v>12922</v>
      </c>
      <c r="C12920" s="3" t="s">
        <v>9</v>
      </c>
      <c r="D12920" s="3" t="s">
        <v>10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/>
      <c r="P12920" s="3"/>
      <c r="Q12920" s="3"/>
    </row>
    <row r="12921" spans="1:17" ht="15" x14ac:dyDescent="0.25">
      <c r="A12921" s="3">
        <f>12914</f>
        <v>12914</v>
      </c>
      <c r="B12921" s="3" t="s">
        <v>12923</v>
      </c>
      <c r="C12921" s="3" t="s">
        <v>9</v>
      </c>
      <c r="D12921" s="3" t="s">
        <v>10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/>
      <c r="P12921" s="3"/>
      <c r="Q12921" s="3"/>
    </row>
    <row r="12922" spans="1:17" ht="15" x14ac:dyDescent="0.25">
      <c r="A12922" s="3">
        <f>12915</f>
        <v>12915</v>
      </c>
      <c r="B12922" s="3" t="s">
        <v>12924</v>
      </c>
      <c r="C12922" s="3" t="s">
        <v>9</v>
      </c>
      <c r="D12922" s="3" t="s">
        <v>10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/>
      <c r="P12922" s="3"/>
      <c r="Q12922" s="3"/>
    </row>
    <row r="12923" spans="1:17" ht="15" x14ac:dyDescent="0.25">
      <c r="A12923" s="3">
        <f>12916</f>
        <v>12916</v>
      </c>
      <c r="B12923" s="3" t="s">
        <v>12925</v>
      </c>
      <c r="C12923" s="3" t="s">
        <v>9</v>
      </c>
      <c r="D12923" s="3" t="s">
        <v>10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s="3"/>
      <c r="P12923" s="3"/>
      <c r="Q12923" s="3"/>
    </row>
    <row r="12924" spans="1:17" ht="15" x14ac:dyDescent="0.25">
      <c r="A12924" s="3">
        <f>12917</f>
        <v>12917</v>
      </c>
      <c r="B12924" s="3" t="s">
        <v>12926</v>
      </c>
      <c r="C12924" s="3" t="s">
        <v>9</v>
      </c>
      <c r="D12924" s="3" t="s">
        <v>10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/>
      <c r="P12924" s="3"/>
      <c r="Q12924" s="3"/>
    </row>
    <row r="12925" spans="1:17" ht="15" x14ac:dyDescent="0.25">
      <c r="A12925" s="3">
        <f>12918</f>
        <v>12918</v>
      </c>
      <c r="B12925" s="3" t="s">
        <v>12927</v>
      </c>
      <c r="C12925" s="3" t="s">
        <v>9</v>
      </c>
      <c r="D12925" s="3" t="s">
        <v>10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/>
      <c r="P12925" s="3"/>
      <c r="Q12925" s="3"/>
    </row>
    <row r="12926" spans="1:17" ht="15" x14ac:dyDescent="0.25">
      <c r="A12926" s="3">
        <f>12919</f>
        <v>12919</v>
      </c>
      <c r="B12926" s="3" t="s">
        <v>12928</v>
      </c>
      <c r="C12926" s="3" t="s">
        <v>9</v>
      </c>
      <c r="D12926" s="3" t="s">
        <v>10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/>
      <c r="P12926" s="3"/>
      <c r="Q12926" s="3"/>
    </row>
    <row r="12927" spans="1:17" ht="15" x14ac:dyDescent="0.25">
      <c r="A12927" s="3">
        <f>12920</f>
        <v>12920</v>
      </c>
      <c r="B12927" s="3" t="s">
        <v>12929</v>
      </c>
      <c r="C12927" s="3" t="s">
        <v>9</v>
      </c>
      <c r="D12927" s="3" t="s">
        <v>10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/>
      <c r="P12927" s="3"/>
      <c r="Q12927" s="3"/>
    </row>
    <row r="12928" spans="1:17" ht="15" x14ac:dyDescent="0.25">
      <c r="A12928" s="3">
        <f>12921</f>
        <v>12921</v>
      </c>
      <c r="B12928" s="3" t="s">
        <v>12930</v>
      </c>
      <c r="C12928" s="3" t="s">
        <v>9</v>
      </c>
      <c r="D12928" s="3" t="s">
        <v>10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/>
      <c r="P12928" s="3"/>
      <c r="Q12928" s="3"/>
    </row>
    <row r="12929" spans="1:17" ht="15" x14ac:dyDescent="0.25">
      <c r="A12929" s="3">
        <f>12922</f>
        <v>12922</v>
      </c>
      <c r="B12929" s="3" t="s">
        <v>12931</v>
      </c>
      <c r="C12929" s="3" t="s">
        <v>9</v>
      </c>
      <c r="D12929" s="3" t="s">
        <v>10</v>
      </c>
      <c r="E12929" s="3">
        <v>0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/>
      <c r="P12929" s="3"/>
      <c r="Q12929" s="3"/>
    </row>
    <row r="12930" spans="1:17" ht="15" x14ac:dyDescent="0.25">
      <c r="A12930" s="3">
        <f>12923</f>
        <v>12923</v>
      </c>
      <c r="B12930" s="3" t="s">
        <v>12932</v>
      </c>
      <c r="C12930" s="3" t="s">
        <v>9</v>
      </c>
      <c r="D12930" s="3" t="s">
        <v>10</v>
      </c>
      <c r="E12930" s="3">
        <v>0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/>
      <c r="P12930" s="3"/>
      <c r="Q12930" s="3"/>
    </row>
    <row r="12931" spans="1:17" ht="15" x14ac:dyDescent="0.25">
      <c r="A12931" s="3">
        <f>12924</f>
        <v>12924</v>
      </c>
      <c r="B12931" s="3" t="s">
        <v>12933</v>
      </c>
      <c r="C12931" s="3" t="s">
        <v>9</v>
      </c>
      <c r="D12931" s="3" t="s">
        <v>10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/>
      <c r="P12931" s="3"/>
      <c r="Q12931" s="3"/>
    </row>
    <row r="12932" spans="1:17" ht="15" x14ac:dyDescent="0.25">
      <c r="A12932" s="3">
        <f>12925</f>
        <v>12925</v>
      </c>
      <c r="B12932" s="3" t="s">
        <v>12934</v>
      </c>
      <c r="C12932" s="3" t="s">
        <v>9</v>
      </c>
      <c r="D12932" s="3" t="s">
        <v>10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/>
      <c r="P12932" s="3"/>
      <c r="Q12932" s="3"/>
    </row>
    <row r="12933" spans="1:17" ht="15" x14ac:dyDescent="0.25">
      <c r="A12933" s="3">
        <f>12926</f>
        <v>12926</v>
      </c>
      <c r="B12933" s="3" t="s">
        <v>12935</v>
      </c>
      <c r="C12933" s="3" t="s">
        <v>9</v>
      </c>
      <c r="D12933" s="3" t="s">
        <v>10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/>
      <c r="P12933" s="3"/>
      <c r="Q12933" s="3"/>
    </row>
    <row r="12934" spans="1:17" ht="15" x14ac:dyDescent="0.25">
      <c r="A12934" s="3">
        <f>12927</f>
        <v>12927</v>
      </c>
      <c r="B12934" s="3" t="s">
        <v>12936</v>
      </c>
      <c r="C12934" s="3" t="s">
        <v>9</v>
      </c>
      <c r="D12934" s="3" t="s">
        <v>10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/>
      <c r="P12934" s="3"/>
      <c r="Q12934" s="3"/>
    </row>
    <row r="12935" spans="1:17" ht="15" x14ac:dyDescent="0.25">
      <c r="A12935" s="3">
        <f>12928</f>
        <v>12928</v>
      </c>
      <c r="B12935" s="3" t="s">
        <v>12937</v>
      </c>
      <c r="C12935" s="3" t="s">
        <v>9</v>
      </c>
      <c r="D12935" s="3" t="s">
        <v>10</v>
      </c>
      <c r="E12935" s="3">
        <v>0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/>
      <c r="P12935" s="3"/>
      <c r="Q12935" s="3"/>
    </row>
    <row r="12936" spans="1:17" ht="15" x14ac:dyDescent="0.25">
      <c r="A12936" s="3">
        <f>12929</f>
        <v>12929</v>
      </c>
      <c r="B12936" s="3" t="s">
        <v>12938</v>
      </c>
      <c r="C12936" s="3" t="s">
        <v>9</v>
      </c>
      <c r="D12936" s="3" t="s">
        <v>10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s="3"/>
      <c r="P12936" s="3"/>
      <c r="Q12936" s="3"/>
    </row>
    <row r="12937" spans="1:17" ht="15" x14ac:dyDescent="0.25">
      <c r="A12937" s="3">
        <f>12930</f>
        <v>12930</v>
      </c>
      <c r="B12937" s="3" t="s">
        <v>12939</v>
      </c>
      <c r="C12937" s="3" t="s">
        <v>9</v>
      </c>
      <c r="D12937" s="3" t="s">
        <v>10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/>
      <c r="P12937" s="3"/>
      <c r="Q12937" s="3"/>
    </row>
    <row r="12938" spans="1:17" ht="15" x14ac:dyDescent="0.25">
      <c r="A12938" s="3">
        <f>12931</f>
        <v>12931</v>
      </c>
      <c r="B12938" s="3" t="s">
        <v>12940</v>
      </c>
      <c r="C12938" s="3" t="s">
        <v>9</v>
      </c>
      <c r="D12938" s="3" t="s">
        <v>10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s="3"/>
      <c r="P12938" s="3"/>
      <c r="Q12938" s="3"/>
    </row>
    <row r="12939" spans="1:17" ht="15" x14ac:dyDescent="0.25">
      <c r="A12939" s="3">
        <f>12932</f>
        <v>12932</v>
      </c>
      <c r="B12939" s="3" t="s">
        <v>12941</v>
      </c>
      <c r="C12939" s="3" t="s">
        <v>9</v>
      </c>
      <c r="D12939" s="3" t="s">
        <v>10</v>
      </c>
      <c r="E12939" s="3">
        <v>0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/>
      <c r="P12939" s="3"/>
      <c r="Q12939" s="3"/>
    </row>
    <row r="12940" spans="1:17" ht="15" x14ac:dyDescent="0.25">
      <c r="A12940" s="3">
        <f>12933</f>
        <v>12933</v>
      </c>
      <c r="B12940" s="3" t="s">
        <v>12942</v>
      </c>
      <c r="C12940" s="3" t="s">
        <v>9</v>
      </c>
      <c r="D12940" s="3" t="s">
        <v>10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/>
      <c r="P12940" s="3"/>
      <c r="Q12940" s="3"/>
    </row>
    <row r="12941" spans="1:17" ht="15" x14ac:dyDescent="0.25">
      <c r="A12941" s="3">
        <f>12934</f>
        <v>12934</v>
      </c>
      <c r="B12941" s="3" t="s">
        <v>12943</v>
      </c>
      <c r="C12941" s="3" t="s">
        <v>9</v>
      </c>
      <c r="D12941" s="3" t="s">
        <v>10</v>
      </c>
      <c r="E12941" s="3">
        <v>0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/>
      <c r="P12941" s="3"/>
      <c r="Q12941" s="3"/>
    </row>
    <row r="12942" spans="1:17" ht="15" x14ac:dyDescent="0.25">
      <c r="A12942" s="3">
        <f>12935</f>
        <v>12935</v>
      </c>
      <c r="B12942" s="3" t="s">
        <v>12944</v>
      </c>
      <c r="C12942" s="3" t="s">
        <v>9</v>
      </c>
      <c r="D12942" s="3" t="s">
        <v>10</v>
      </c>
      <c r="E12942" s="3">
        <v>0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/>
      <c r="P12942" s="3"/>
      <c r="Q12942" s="3"/>
    </row>
    <row r="12943" spans="1:17" ht="15" x14ac:dyDescent="0.25">
      <c r="A12943" s="3">
        <f>12936</f>
        <v>12936</v>
      </c>
      <c r="B12943" s="3" t="s">
        <v>12945</v>
      </c>
      <c r="C12943" s="3" t="s">
        <v>9</v>
      </c>
      <c r="D12943" s="3" t="s">
        <v>10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/>
      <c r="P12943" s="3"/>
      <c r="Q12943" s="3"/>
    </row>
    <row r="12944" spans="1:17" ht="15" x14ac:dyDescent="0.25">
      <c r="A12944" s="3">
        <f>12937</f>
        <v>12937</v>
      </c>
      <c r="B12944" s="3" t="s">
        <v>12946</v>
      </c>
      <c r="C12944" s="3" t="s">
        <v>9</v>
      </c>
      <c r="D12944" s="3" t="s">
        <v>10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/>
      <c r="P12944" s="3"/>
      <c r="Q12944" s="3"/>
    </row>
    <row r="12945" spans="1:17" ht="15" x14ac:dyDescent="0.25">
      <c r="A12945" s="3">
        <f>12938</f>
        <v>12938</v>
      </c>
      <c r="B12945" s="3" t="s">
        <v>12947</v>
      </c>
      <c r="C12945" s="3" t="s">
        <v>9</v>
      </c>
      <c r="D12945" s="3" t="s">
        <v>10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/>
      <c r="P12945" s="3"/>
      <c r="Q12945" s="3"/>
    </row>
    <row r="12946" spans="1:17" ht="15" x14ac:dyDescent="0.25">
      <c r="A12946" s="3">
        <f>12939</f>
        <v>12939</v>
      </c>
      <c r="B12946" s="3" t="s">
        <v>12948</v>
      </c>
      <c r="C12946" s="3" t="s">
        <v>9</v>
      </c>
      <c r="D12946" s="3" t="s">
        <v>10</v>
      </c>
      <c r="E12946" s="3">
        <v>0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/>
      <c r="P12946" s="3"/>
      <c r="Q12946" s="3"/>
    </row>
    <row r="12947" spans="1:17" ht="15" x14ac:dyDescent="0.25">
      <c r="A12947" s="3">
        <f>12940</f>
        <v>12940</v>
      </c>
      <c r="B12947" s="3" t="s">
        <v>12949</v>
      </c>
      <c r="C12947" s="3" t="s">
        <v>9</v>
      </c>
      <c r="D12947" s="3" t="s">
        <v>10</v>
      </c>
      <c r="E12947" s="3">
        <v>0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/>
      <c r="P12947" s="3"/>
      <c r="Q12947" s="3"/>
    </row>
    <row r="12948" spans="1:17" ht="15" x14ac:dyDescent="0.25">
      <c r="A12948" s="3">
        <f>12941</f>
        <v>12941</v>
      </c>
      <c r="B12948" s="3" t="s">
        <v>12950</v>
      </c>
      <c r="C12948" s="3" t="s">
        <v>9</v>
      </c>
      <c r="D12948" s="3" t="s">
        <v>10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s="3"/>
      <c r="P12948" s="3"/>
      <c r="Q12948" s="3"/>
    </row>
    <row r="12949" spans="1:17" ht="15" x14ac:dyDescent="0.25">
      <c r="A12949" s="3">
        <f>12942</f>
        <v>12942</v>
      </c>
      <c r="B12949" s="3" t="s">
        <v>12951</v>
      </c>
      <c r="C12949" s="3" t="s">
        <v>9</v>
      </c>
      <c r="D12949" s="3" t="s">
        <v>10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/>
      <c r="P12949" s="3"/>
      <c r="Q12949" s="3"/>
    </row>
    <row r="12950" spans="1:17" ht="15" x14ac:dyDescent="0.25">
      <c r="A12950" s="3">
        <f>12943</f>
        <v>12943</v>
      </c>
      <c r="B12950" s="3" t="s">
        <v>12952</v>
      </c>
      <c r="C12950" s="3" t="s">
        <v>9</v>
      </c>
      <c r="D12950" s="3" t="s">
        <v>10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/>
      <c r="P12950" s="3"/>
      <c r="Q12950" s="3"/>
    </row>
    <row r="12951" spans="1:17" ht="15" x14ac:dyDescent="0.25">
      <c r="A12951" s="3">
        <f>12944</f>
        <v>12944</v>
      </c>
      <c r="B12951" s="3" t="s">
        <v>12953</v>
      </c>
      <c r="C12951" s="3" t="s">
        <v>9</v>
      </c>
      <c r="D12951" s="3" t="s">
        <v>10</v>
      </c>
      <c r="E12951" s="3">
        <v>0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/>
      <c r="P12951" s="3"/>
      <c r="Q12951" s="3"/>
    </row>
    <row r="12952" spans="1:17" ht="15" x14ac:dyDescent="0.25">
      <c r="A12952" s="3">
        <f>12945</f>
        <v>12945</v>
      </c>
      <c r="B12952" s="3" t="s">
        <v>12954</v>
      </c>
      <c r="C12952" s="3" t="s">
        <v>9</v>
      </c>
      <c r="D12952" s="3" t="s">
        <v>10</v>
      </c>
      <c r="E12952" s="3">
        <v>0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/>
      <c r="P12952" s="3"/>
      <c r="Q12952" s="3"/>
    </row>
    <row r="12953" spans="1:17" ht="15" x14ac:dyDescent="0.25">
      <c r="A12953" s="3">
        <f>12946</f>
        <v>12946</v>
      </c>
      <c r="B12953" s="3" t="s">
        <v>12955</v>
      </c>
      <c r="C12953" s="3" t="s">
        <v>9</v>
      </c>
      <c r="D12953" s="3" t="s">
        <v>10</v>
      </c>
      <c r="E12953" s="3">
        <v>0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/>
      <c r="P12953" s="3"/>
      <c r="Q12953" s="3"/>
    </row>
    <row r="12954" spans="1:17" ht="15" x14ac:dyDescent="0.25">
      <c r="A12954" s="3">
        <f>12947</f>
        <v>12947</v>
      </c>
      <c r="B12954" s="3" t="s">
        <v>12956</v>
      </c>
      <c r="C12954" s="3" t="s">
        <v>9</v>
      </c>
      <c r="D12954" s="3" t="s">
        <v>10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/>
      <c r="P12954" s="3"/>
      <c r="Q12954" s="3"/>
    </row>
    <row r="12955" spans="1:17" ht="15" x14ac:dyDescent="0.25">
      <c r="A12955" s="3">
        <f>12948</f>
        <v>12948</v>
      </c>
      <c r="B12955" s="3" t="s">
        <v>12957</v>
      </c>
      <c r="C12955" s="3" t="s">
        <v>9</v>
      </c>
      <c r="D12955" s="3" t="s">
        <v>10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/>
      <c r="P12955" s="3"/>
      <c r="Q12955" s="3"/>
    </row>
    <row r="12956" spans="1:17" ht="15" x14ac:dyDescent="0.25">
      <c r="A12956" s="3">
        <f>12949</f>
        <v>12949</v>
      </c>
      <c r="B12956" s="3" t="s">
        <v>12958</v>
      </c>
      <c r="C12956" s="3" t="s">
        <v>9</v>
      </c>
      <c r="D12956" s="3" t="s">
        <v>10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/>
      <c r="P12956" s="3"/>
      <c r="Q12956" s="3"/>
    </row>
    <row r="12957" spans="1:17" ht="15" x14ac:dyDescent="0.25">
      <c r="A12957" s="3">
        <f>12950</f>
        <v>12950</v>
      </c>
      <c r="B12957" s="3" t="s">
        <v>12959</v>
      </c>
      <c r="C12957" s="3" t="s">
        <v>9</v>
      </c>
      <c r="D12957" s="3" t="s">
        <v>10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/>
      <c r="P12957" s="3"/>
      <c r="Q12957" s="3"/>
    </row>
    <row r="12958" spans="1:17" ht="15" x14ac:dyDescent="0.25">
      <c r="A12958" s="3">
        <f>12951</f>
        <v>12951</v>
      </c>
      <c r="B12958" s="3" t="s">
        <v>12960</v>
      </c>
      <c r="C12958" s="3" t="s">
        <v>9</v>
      </c>
      <c r="D12958" s="3" t="s">
        <v>10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s="3"/>
      <c r="P12958" s="3"/>
      <c r="Q12958" s="3"/>
    </row>
    <row r="12959" spans="1:17" ht="15" x14ac:dyDescent="0.25">
      <c r="A12959" s="3">
        <f>12952</f>
        <v>12952</v>
      </c>
      <c r="B12959" s="3" t="s">
        <v>12961</v>
      </c>
      <c r="C12959" s="3" t="s">
        <v>9</v>
      </c>
      <c r="D12959" s="3" t="s">
        <v>10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s="3"/>
      <c r="P12959" s="3"/>
      <c r="Q12959" s="3"/>
    </row>
    <row r="12960" spans="1:17" ht="15" x14ac:dyDescent="0.25">
      <c r="A12960" s="3">
        <f>12953</f>
        <v>12953</v>
      </c>
      <c r="B12960" s="3" t="s">
        <v>12962</v>
      </c>
      <c r="C12960" s="3" t="s">
        <v>9</v>
      </c>
      <c r="D12960" s="3" t="s">
        <v>10</v>
      </c>
      <c r="E12960" s="3">
        <v>0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/>
      <c r="P12960" s="3"/>
      <c r="Q12960" s="3"/>
    </row>
    <row r="12961" spans="1:17" ht="15" x14ac:dyDescent="0.25">
      <c r="A12961" s="3">
        <f>12954</f>
        <v>12954</v>
      </c>
      <c r="B12961" s="3" t="s">
        <v>12963</v>
      </c>
      <c r="C12961" s="3" t="s">
        <v>9</v>
      </c>
      <c r="D12961" s="3" t="s">
        <v>10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/>
      <c r="P12961" s="3"/>
      <c r="Q12961" s="3"/>
    </row>
    <row r="12962" spans="1:17" ht="15" x14ac:dyDescent="0.25">
      <c r="A12962" s="3">
        <f>12955</f>
        <v>12955</v>
      </c>
      <c r="B12962" s="3" t="s">
        <v>12964</v>
      </c>
      <c r="C12962" s="3" t="s">
        <v>9</v>
      </c>
      <c r="D12962" s="3" t="s">
        <v>10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/>
      <c r="P12962" s="3"/>
      <c r="Q12962" s="3"/>
    </row>
    <row r="12963" spans="1:17" ht="15" x14ac:dyDescent="0.25">
      <c r="A12963" s="3">
        <f>12956</f>
        <v>12956</v>
      </c>
      <c r="B12963" s="3" t="s">
        <v>12965</v>
      </c>
      <c r="C12963" s="3" t="s">
        <v>9</v>
      </c>
      <c r="D12963" s="3" t="s">
        <v>10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/>
      <c r="P12963" s="3"/>
      <c r="Q12963" s="3"/>
    </row>
    <row r="12964" spans="1:17" ht="15" x14ac:dyDescent="0.25">
      <c r="A12964" s="3">
        <f>12957</f>
        <v>12957</v>
      </c>
      <c r="B12964" s="3" t="s">
        <v>12966</v>
      </c>
      <c r="C12964" s="3" t="s">
        <v>9</v>
      </c>
      <c r="D12964" s="3" t="s">
        <v>10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/>
      <c r="P12964" s="3"/>
      <c r="Q12964" s="3"/>
    </row>
    <row r="12965" spans="1:17" ht="15" x14ac:dyDescent="0.25">
      <c r="A12965" s="3">
        <f>12958</f>
        <v>12958</v>
      </c>
      <c r="B12965" s="3" t="s">
        <v>12967</v>
      </c>
      <c r="C12965" s="3" t="s">
        <v>9</v>
      </c>
      <c r="D12965" s="3" t="s">
        <v>10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/>
      <c r="P12965" s="3"/>
      <c r="Q12965" s="3"/>
    </row>
    <row r="12966" spans="1:17" ht="15" x14ac:dyDescent="0.25">
      <c r="A12966" s="3">
        <f>12959</f>
        <v>12959</v>
      </c>
      <c r="B12966" s="3" t="s">
        <v>12968</v>
      </c>
      <c r="C12966" s="3" t="s">
        <v>9</v>
      </c>
      <c r="D12966" s="3" t="s">
        <v>10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/>
      <c r="P12966" s="3"/>
      <c r="Q12966" s="3"/>
    </row>
    <row r="12967" spans="1:17" ht="15" x14ac:dyDescent="0.25">
      <c r="A12967" s="3">
        <f>12960</f>
        <v>12960</v>
      </c>
      <c r="B12967" s="3" t="s">
        <v>12969</v>
      </c>
      <c r="C12967" s="3" t="s">
        <v>9</v>
      </c>
      <c r="D12967" s="3" t="s">
        <v>10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/>
      <c r="P12967" s="3"/>
      <c r="Q12967" s="3"/>
    </row>
    <row r="12968" spans="1:17" ht="15" x14ac:dyDescent="0.25">
      <c r="A12968" s="3">
        <f>12961</f>
        <v>12961</v>
      </c>
      <c r="B12968" s="3" t="s">
        <v>12970</v>
      </c>
      <c r="C12968" s="3" t="s">
        <v>9</v>
      </c>
      <c r="D12968" s="3" t="s">
        <v>10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/>
      <c r="P12968" s="3"/>
      <c r="Q12968" s="3"/>
    </row>
    <row r="12969" spans="1:17" ht="15" x14ac:dyDescent="0.25">
      <c r="A12969" s="3">
        <f>12962</f>
        <v>12962</v>
      </c>
      <c r="B12969" s="3" t="s">
        <v>12971</v>
      </c>
      <c r="C12969" s="3" t="s">
        <v>9</v>
      </c>
      <c r="D12969" s="3" t="s">
        <v>10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s="3"/>
      <c r="P12969" s="3"/>
      <c r="Q12969" s="3"/>
    </row>
    <row r="12970" spans="1:17" ht="15" x14ac:dyDescent="0.25">
      <c r="A12970" s="3">
        <f>12963</f>
        <v>12963</v>
      </c>
      <c r="B12970" s="3" t="s">
        <v>12972</v>
      </c>
      <c r="C12970" s="3" t="s">
        <v>9</v>
      </c>
      <c r="D12970" s="3" t="s">
        <v>10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/>
      <c r="P12970" s="3"/>
      <c r="Q12970" s="3"/>
    </row>
    <row r="12971" spans="1:17" ht="15" x14ac:dyDescent="0.25">
      <c r="A12971" s="3">
        <f>12964</f>
        <v>12964</v>
      </c>
      <c r="B12971" s="3" t="s">
        <v>12973</v>
      </c>
      <c r="C12971" s="3" t="s">
        <v>9</v>
      </c>
      <c r="D12971" s="3" t="s">
        <v>10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/>
      <c r="P12971" s="3"/>
      <c r="Q12971" s="3"/>
    </row>
    <row r="12972" spans="1:17" ht="15" x14ac:dyDescent="0.25">
      <c r="A12972" s="3">
        <f>12965</f>
        <v>12965</v>
      </c>
      <c r="B12972" s="3" t="s">
        <v>12974</v>
      </c>
      <c r="C12972" s="3" t="s">
        <v>9</v>
      </c>
      <c r="D12972" s="3" t="s">
        <v>10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/>
      <c r="P12972" s="3"/>
      <c r="Q12972" s="3"/>
    </row>
    <row r="12973" spans="1:17" ht="15" x14ac:dyDescent="0.25">
      <c r="A12973" s="3">
        <f>12966</f>
        <v>12966</v>
      </c>
      <c r="B12973" s="3" t="s">
        <v>12975</v>
      </c>
      <c r="C12973" s="3" t="s">
        <v>9</v>
      </c>
      <c r="D12973" s="3" t="s">
        <v>10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/>
      <c r="P12973" s="3"/>
      <c r="Q12973" s="3"/>
    </row>
    <row r="12974" spans="1:17" ht="15" x14ac:dyDescent="0.25">
      <c r="A12974" s="3">
        <f>12967</f>
        <v>12967</v>
      </c>
      <c r="B12974" s="3" t="s">
        <v>12976</v>
      </c>
      <c r="C12974" s="3" t="s">
        <v>9</v>
      </c>
      <c r="D12974" s="3" t="s">
        <v>10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/>
      <c r="P12974" s="3"/>
      <c r="Q12974" s="3"/>
    </row>
    <row r="12975" spans="1:17" ht="15" x14ac:dyDescent="0.25">
      <c r="A12975" s="3">
        <f>12968</f>
        <v>12968</v>
      </c>
      <c r="B12975" s="3" t="s">
        <v>12977</v>
      </c>
      <c r="C12975" s="3" t="s">
        <v>9</v>
      </c>
      <c r="D12975" s="3" t="s">
        <v>10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/>
      <c r="P12975" s="3"/>
      <c r="Q12975" s="3"/>
    </row>
    <row r="12976" spans="1:17" ht="15" x14ac:dyDescent="0.25">
      <c r="A12976" s="3">
        <f>12969</f>
        <v>12969</v>
      </c>
      <c r="B12976" s="3" t="s">
        <v>12978</v>
      </c>
      <c r="C12976" s="3" t="s">
        <v>9</v>
      </c>
      <c r="D12976" s="3" t="s">
        <v>10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/>
      <c r="P12976" s="3"/>
      <c r="Q12976" s="3"/>
    </row>
    <row r="12977" spans="1:17" ht="15" x14ac:dyDescent="0.25">
      <c r="A12977" s="3">
        <f>12970</f>
        <v>12970</v>
      </c>
      <c r="B12977" s="3" t="s">
        <v>12979</v>
      </c>
      <c r="C12977" s="3" t="s">
        <v>9</v>
      </c>
      <c r="D12977" s="3" t="s">
        <v>10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/>
      <c r="P12977" s="3"/>
      <c r="Q12977" s="3"/>
    </row>
    <row r="12978" spans="1:17" ht="15" x14ac:dyDescent="0.25">
      <c r="A12978" s="3">
        <f>12971</f>
        <v>12971</v>
      </c>
      <c r="B12978" s="3" t="s">
        <v>12980</v>
      </c>
      <c r="C12978" s="3" t="s">
        <v>9</v>
      </c>
      <c r="D12978" s="3" t="s">
        <v>10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/>
      <c r="P12978" s="3"/>
      <c r="Q12978" s="3"/>
    </row>
    <row r="12979" spans="1:17" ht="15" x14ac:dyDescent="0.25">
      <c r="A12979" s="3">
        <f>12972</f>
        <v>12972</v>
      </c>
      <c r="B12979" s="3" t="s">
        <v>12981</v>
      </c>
      <c r="C12979" s="3" t="s">
        <v>9</v>
      </c>
      <c r="D12979" s="3" t="s">
        <v>10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/>
      <c r="P12979" s="3"/>
      <c r="Q12979" s="3"/>
    </row>
    <row r="12980" spans="1:17" ht="15" x14ac:dyDescent="0.25">
      <c r="A12980" s="3">
        <f>12973</f>
        <v>12973</v>
      </c>
      <c r="B12980" s="3" t="s">
        <v>12982</v>
      </c>
      <c r="C12980" s="3" t="s">
        <v>9</v>
      </c>
      <c r="D12980" s="3" t="s">
        <v>10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/>
      <c r="P12980" s="3"/>
      <c r="Q12980" s="3"/>
    </row>
    <row r="12981" spans="1:17" ht="15" x14ac:dyDescent="0.25">
      <c r="A12981" s="3">
        <f>12974</f>
        <v>12974</v>
      </c>
      <c r="B12981" s="3" t="s">
        <v>12983</v>
      </c>
      <c r="C12981" s="3" t="s">
        <v>9</v>
      </c>
      <c r="D12981" s="3" t="s">
        <v>10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/>
      <c r="P12981" s="3"/>
      <c r="Q12981" s="3"/>
    </row>
    <row r="12982" spans="1:17" ht="15" x14ac:dyDescent="0.25">
      <c r="A12982" s="3">
        <f>12975</f>
        <v>12975</v>
      </c>
      <c r="B12982" s="3" t="s">
        <v>12984</v>
      </c>
      <c r="C12982" s="3" t="s">
        <v>9</v>
      </c>
      <c r="D12982" s="3" t="s">
        <v>10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/>
      <c r="P12982" s="3"/>
      <c r="Q12982" s="3"/>
    </row>
    <row r="12983" spans="1:17" ht="15" x14ac:dyDescent="0.25">
      <c r="A12983" s="3">
        <f>12976</f>
        <v>12976</v>
      </c>
      <c r="B12983" s="3" t="s">
        <v>12985</v>
      </c>
      <c r="C12983" s="3" t="s">
        <v>9</v>
      </c>
      <c r="D12983" s="3" t="s">
        <v>10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/>
      <c r="P12983" s="3"/>
      <c r="Q12983" s="3"/>
    </row>
    <row r="12984" spans="1:17" ht="15" x14ac:dyDescent="0.25">
      <c r="A12984" s="3">
        <f>12977</f>
        <v>12977</v>
      </c>
      <c r="B12984" s="3" t="s">
        <v>12986</v>
      </c>
      <c r="C12984" s="3" t="s">
        <v>9</v>
      </c>
      <c r="D12984" s="3" t="s">
        <v>10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/>
      <c r="P12984" s="3"/>
      <c r="Q12984" s="3"/>
    </row>
    <row r="12985" spans="1:17" ht="15" x14ac:dyDescent="0.25">
      <c r="A12985" s="3">
        <f>12978</f>
        <v>12978</v>
      </c>
      <c r="B12985" s="3" t="s">
        <v>12987</v>
      </c>
      <c r="C12985" s="3" t="s">
        <v>9</v>
      </c>
      <c r="D12985" s="3" t="s">
        <v>10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/>
      <c r="P12985" s="3"/>
      <c r="Q12985" s="3"/>
    </row>
    <row r="12986" spans="1:17" ht="15" x14ac:dyDescent="0.25">
      <c r="A12986" s="3">
        <f>12979</f>
        <v>12979</v>
      </c>
      <c r="B12986" s="3" t="s">
        <v>12988</v>
      </c>
      <c r="C12986" s="3" t="s">
        <v>9</v>
      </c>
      <c r="D12986" s="3" t="s">
        <v>10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/>
      <c r="P12986" s="3"/>
      <c r="Q12986" s="3"/>
    </row>
    <row r="12987" spans="1:17" ht="15" x14ac:dyDescent="0.25">
      <c r="A12987" s="3">
        <f>12980</f>
        <v>12980</v>
      </c>
      <c r="B12987" s="3" t="s">
        <v>12989</v>
      </c>
      <c r="C12987" s="3" t="s">
        <v>9</v>
      </c>
      <c r="D12987" s="3" t="s">
        <v>10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/>
      <c r="P12987" s="3"/>
      <c r="Q12987" s="3"/>
    </row>
    <row r="12988" spans="1:17" ht="15" x14ac:dyDescent="0.25">
      <c r="A12988" s="3">
        <f>12981</f>
        <v>12981</v>
      </c>
      <c r="B12988" s="3" t="s">
        <v>12990</v>
      </c>
      <c r="C12988" s="3" t="s">
        <v>9</v>
      </c>
      <c r="D12988" s="3" t="s">
        <v>10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/>
      <c r="P12988" s="3"/>
      <c r="Q12988" s="3"/>
    </row>
    <row r="12989" spans="1:17" ht="15" x14ac:dyDescent="0.25">
      <c r="A12989" s="3">
        <f>12982</f>
        <v>12982</v>
      </c>
      <c r="B12989" s="3" t="s">
        <v>12991</v>
      </c>
      <c r="C12989" s="3" t="s">
        <v>9</v>
      </c>
      <c r="D12989" s="3" t="s">
        <v>10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/>
      <c r="P12989" s="3"/>
      <c r="Q12989" s="3"/>
    </row>
    <row r="12990" spans="1:17" ht="15" x14ac:dyDescent="0.25">
      <c r="A12990" s="3">
        <f>12983</f>
        <v>12983</v>
      </c>
      <c r="B12990" s="3" t="s">
        <v>12992</v>
      </c>
      <c r="C12990" s="3" t="s">
        <v>9</v>
      </c>
      <c r="D12990" s="3" t="s">
        <v>10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/>
      <c r="P12990" s="3"/>
      <c r="Q12990" s="3"/>
    </row>
    <row r="12991" spans="1:17" ht="15" x14ac:dyDescent="0.25">
      <c r="A12991" s="3">
        <f>12984</f>
        <v>12984</v>
      </c>
      <c r="B12991" s="3" t="s">
        <v>12993</v>
      </c>
      <c r="C12991" s="3" t="s">
        <v>9</v>
      </c>
      <c r="D12991" s="3" t="s">
        <v>10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/>
      <c r="P12991" s="3"/>
      <c r="Q12991" s="3"/>
    </row>
    <row r="12992" spans="1:17" ht="15" x14ac:dyDescent="0.25">
      <c r="A12992" s="3">
        <f>12985</f>
        <v>12985</v>
      </c>
      <c r="B12992" s="3" t="s">
        <v>12994</v>
      </c>
      <c r="C12992" s="3" t="s">
        <v>9</v>
      </c>
      <c r="D12992" s="3" t="s">
        <v>10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/>
      <c r="P12992" s="3"/>
      <c r="Q12992" s="3"/>
    </row>
    <row r="12993" spans="1:17" ht="15" x14ac:dyDescent="0.25">
      <c r="A12993" s="3">
        <f>12986</f>
        <v>12986</v>
      </c>
      <c r="B12993" s="3" t="s">
        <v>12995</v>
      </c>
      <c r="C12993" s="3" t="s">
        <v>10</v>
      </c>
      <c r="D12993" s="3" t="s">
        <v>9</v>
      </c>
      <c r="E12993" s="3">
        <v>0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/>
      <c r="P12993" s="3"/>
      <c r="Q12993" s="3"/>
    </row>
    <row r="12994" spans="1:17" ht="15" x14ac:dyDescent="0.25">
      <c r="A12994" s="3">
        <f>12987</f>
        <v>12987</v>
      </c>
      <c r="B12994" s="3" t="s">
        <v>12996</v>
      </c>
      <c r="C12994" s="3" t="s">
        <v>10</v>
      </c>
      <c r="D12994" s="3" t="s">
        <v>9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/>
      <c r="P12994" s="3"/>
      <c r="Q12994" s="3"/>
    </row>
    <row r="12995" spans="1:17" ht="15" x14ac:dyDescent="0.25">
      <c r="A12995" s="3">
        <f>12988</f>
        <v>12988</v>
      </c>
      <c r="B12995" s="3" t="s">
        <v>12997</v>
      </c>
      <c r="C12995" s="3" t="s">
        <v>10</v>
      </c>
      <c r="D12995" s="3" t="s">
        <v>9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/>
      <c r="P12995" s="3"/>
      <c r="Q12995" s="3"/>
    </row>
    <row r="12996" spans="1:17" ht="15" x14ac:dyDescent="0.25">
      <c r="A12996" s="3">
        <f>12989</f>
        <v>12989</v>
      </c>
      <c r="B12996" s="3" t="s">
        <v>12998</v>
      </c>
      <c r="C12996" s="3" t="s">
        <v>10</v>
      </c>
      <c r="D12996" s="3" t="s">
        <v>9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/>
      <c r="P12996" s="3"/>
      <c r="Q12996" s="3"/>
    </row>
    <row r="12997" spans="1:17" ht="15" x14ac:dyDescent="0.25">
      <c r="A12997" s="3">
        <f>12990</f>
        <v>12990</v>
      </c>
      <c r="B12997" s="3" t="s">
        <v>12999</v>
      </c>
      <c r="C12997" s="3" t="s">
        <v>10</v>
      </c>
      <c r="D12997" s="3" t="s">
        <v>9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/>
      <c r="P12997" s="3"/>
      <c r="Q12997" s="3"/>
    </row>
    <row r="12998" spans="1:17" ht="15" x14ac:dyDescent="0.25">
      <c r="A12998" s="3">
        <f>12991</f>
        <v>12991</v>
      </c>
      <c r="B12998" s="3" t="s">
        <v>13000</v>
      </c>
      <c r="C12998" s="3" t="s">
        <v>10</v>
      </c>
      <c r="D12998" s="3" t="s">
        <v>9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/>
      <c r="P12998" s="3"/>
      <c r="Q12998" s="3"/>
    </row>
    <row r="12999" spans="1:17" ht="15" x14ac:dyDescent="0.25">
      <c r="A12999" s="3">
        <f>12992</f>
        <v>12992</v>
      </c>
      <c r="B12999" s="3" t="s">
        <v>13001</v>
      </c>
      <c r="C12999" s="3" t="s">
        <v>10</v>
      </c>
      <c r="D12999" s="3" t="s">
        <v>9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/>
      <c r="P12999" s="3"/>
      <c r="Q12999" s="3"/>
    </row>
    <row r="13000" spans="1:17" ht="15" x14ac:dyDescent="0.25">
      <c r="A13000" s="3">
        <f>12993</f>
        <v>12993</v>
      </c>
      <c r="B13000" s="3" t="s">
        <v>13002</v>
      </c>
      <c r="C13000" s="3" t="s">
        <v>10</v>
      </c>
      <c r="D13000" s="3" t="s">
        <v>9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/>
      <c r="P13000" s="3"/>
      <c r="Q13000" s="3"/>
    </row>
    <row r="13001" spans="1:17" ht="15" x14ac:dyDescent="0.25">
      <c r="A13001" s="3">
        <f>12994</f>
        <v>12994</v>
      </c>
      <c r="B13001" s="3" t="s">
        <v>13003</v>
      </c>
      <c r="C13001" s="3" t="s">
        <v>10</v>
      </c>
      <c r="D13001" s="3" t="s">
        <v>9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s="3"/>
      <c r="P13001" s="3"/>
      <c r="Q13001" s="3"/>
    </row>
    <row r="13002" spans="1:17" ht="15" x14ac:dyDescent="0.25">
      <c r="A13002" s="3">
        <f>12995</f>
        <v>12995</v>
      </c>
      <c r="B13002" s="3" t="s">
        <v>13004</v>
      </c>
      <c r="C13002" s="3" t="s">
        <v>10</v>
      </c>
      <c r="D13002" s="3" t="s">
        <v>9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/>
      <c r="P13002" s="3"/>
      <c r="Q13002" s="3"/>
    </row>
    <row r="13003" spans="1:17" ht="15" x14ac:dyDescent="0.25">
      <c r="A13003" s="3">
        <f>12996</f>
        <v>12996</v>
      </c>
      <c r="B13003" s="3" t="s">
        <v>13005</v>
      </c>
      <c r="C13003" s="3" t="s">
        <v>10</v>
      </c>
      <c r="D13003" s="3" t="s">
        <v>9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/>
      <c r="P13003" s="3"/>
      <c r="Q13003" s="3"/>
    </row>
    <row r="13004" spans="1:17" ht="15" x14ac:dyDescent="0.25">
      <c r="A13004" s="3">
        <f>12997</f>
        <v>12997</v>
      </c>
      <c r="B13004" s="3" t="s">
        <v>13006</v>
      </c>
      <c r="C13004" s="3" t="s">
        <v>10</v>
      </c>
      <c r="D13004" s="3" t="s">
        <v>9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s="3"/>
      <c r="P13004" s="3"/>
      <c r="Q13004" s="3"/>
    </row>
    <row r="13005" spans="1:17" ht="15" x14ac:dyDescent="0.25">
      <c r="A13005" s="3">
        <f>12998</f>
        <v>12998</v>
      </c>
      <c r="B13005" s="3" t="s">
        <v>13007</v>
      </c>
      <c r="C13005" s="3" t="s">
        <v>10</v>
      </c>
      <c r="D13005" s="3" t="s">
        <v>9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/>
      <c r="P13005" s="3"/>
      <c r="Q13005" s="3"/>
    </row>
    <row r="13006" spans="1:17" ht="15" x14ac:dyDescent="0.25">
      <c r="A13006" s="3">
        <f>12999</f>
        <v>12999</v>
      </c>
      <c r="B13006" s="3" t="s">
        <v>13008</v>
      </c>
      <c r="C13006" s="3" t="s">
        <v>10</v>
      </c>
      <c r="D13006" s="3" t="s">
        <v>9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/>
      <c r="P13006" s="3"/>
      <c r="Q13006" s="3"/>
    </row>
    <row r="13007" spans="1:17" ht="15" x14ac:dyDescent="0.25">
      <c r="A13007" s="3">
        <f>13000</f>
        <v>13000</v>
      </c>
      <c r="B13007" s="3" t="s">
        <v>13009</v>
      </c>
      <c r="C13007" s="3" t="s">
        <v>10</v>
      </c>
      <c r="D13007" s="3" t="s">
        <v>9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/>
      <c r="P13007" s="3"/>
      <c r="Q13007" s="3"/>
    </row>
    <row r="13008" spans="1:17" ht="15" x14ac:dyDescent="0.25">
      <c r="A13008" s="3">
        <f>13001</f>
        <v>13001</v>
      </c>
      <c r="B13008" s="3" t="s">
        <v>13010</v>
      </c>
      <c r="C13008" s="3" t="s">
        <v>10</v>
      </c>
      <c r="D13008" s="3" t="s">
        <v>9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/>
      <c r="P13008" s="3"/>
      <c r="Q13008" s="3"/>
    </row>
    <row r="13009" spans="1:17" ht="15" x14ac:dyDescent="0.25">
      <c r="A13009" s="3">
        <f>13002</f>
        <v>13002</v>
      </c>
      <c r="B13009" s="3" t="s">
        <v>13011</v>
      </c>
      <c r="C13009" s="3" t="s">
        <v>10</v>
      </c>
      <c r="D13009" s="3" t="s">
        <v>9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/>
      <c r="P13009" s="3"/>
      <c r="Q13009" s="3"/>
    </row>
    <row r="13010" spans="1:17" ht="15" x14ac:dyDescent="0.25">
      <c r="A13010" s="3">
        <f>13003</f>
        <v>13003</v>
      </c>
      <c r="B13010" s="3" t="s">
        <v>13012</v>
      </c>
      <c r="C13010" s="3" t="s">
        <v>10</v>
      </c>
      <c r="D13010" s="3" t="s">
        <v>9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/>
      <c r="P13010" s="3"/>
      <c r="Q13010" s="3"/>
    </row>
    <row r="13011" spans="1:17" ht="15" x14ac:dyDescent="0.25">
      <c r="A13011" s="3">
        <f>13004</f>
        <v>13004</v>
      </c>
      <c r="B13011" s="3" t="s">
        <v>13013</v>
      </c>
      <c r="C13011" s="3" t="s">
        <v>10</v>
      </c>
      <c r="D13011" s="3" t="s">
        <v>9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/>
      <c r="P13011" s="3"/>
      <c r="Q13011" s="3"/>
    </row>
    <row r="13012" spans="1:17" ht="15" x14ac:dyDescent="0.25">
      <c r="A13012" s="3">
        <f>13005</f>
        <v>13005</v>
      </c>
      <c r="B13012" s="3" t="s">
        <v>13014</v>
      </c>
      <c r="C13012" s="3" t="s">
        <v>10</v>
      </c>
      <c r="D13012" s="3" t="s">
        <v>9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/>
      <c r="P13012" s="3"/>
      <c r="Q13012" s="3"/>
    </row>
    <row r="13013" spans="1:17" ht="15" x14ac:dyDescent="0.25">
      <c r="A13013" s="3">
        <f>13006</f>
        <v>13006</v>
      </c>
      <c r="B13013" s="3" t="s">
        <v>13015</v>
      </c>
      <c r="C13013" s="3" t="s">
        <v>10</v>
      </c>
      <c r="D13013" s="3" t="s">
        <v>9</v>
      </c>
      <c r="E13013" s="3">
        <v>0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/>
      <c r="P13013" s="3"/>
      <c r="Q13013" s="3"/>
    </row>
    <row r="13014" spans="1:17" ht="15" x14ac:dyDescent="0.25">
      <c r="A13014" s="3">
        <f>13007</f>
        <v>13007</v>
      </c>
      <c r="B13014" s="3" t="s">
        <v>13016</v>
      </c>
      <c r="C13014" s="3" t="s">
        <v>10</v>
      </c>
      <c r="D13014" s="3" t="s">
        <v>9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s="3"/>
      <c r="P13014" s="3"/>
      <c r="Q13014" s="3"/>
    </row>
    <row r="13015" spans="1:17" ht="15" x14ac:dyDescent="0.25">
      <c r="A13015" s="3">
        <f>13008</f>
        <v>13008</v>
      </c>
      <c r="B13015" s="3" t="s">
        <v>13017</v>
      </c>
      <c r="C13015" s="3" t="s">
        <v>10</v>
      </c>
      <c r="D13015" s="3" t="s">
        <v>9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/>
      <c r="P13015" s="3"/>
      <c r="Q13015" s="3"/>
    </row>
    <row r="13016" spans="1:17" ht="15" x14ac:dyDescent="0.25">
      <c r="A13016" s="3">
        <f>13009</f>
        <v>13009</v>
      </c>
      <c r="B13016" s="3" t="s">
        <v>13018</v>
      </c>
      <c r="C13016" s="3" t="s">
        <v>10</v>
      </c>
      <c r="D13016" s="3" t="s">
        <v>9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/>
      <c r="P13016" s="3"/>
      <c r="Q13016" s="3"/>
    </row>
    <row r="13017" spans="1:17" ht="15" x14ac:dyDescent="0.25">
      <c r="A13017" s="3">
        <f>13010</f>
        <v>13010</v>
      </c>
      <c r="B13017" s="3" t="s">
        <v>13019</v>
      </c>
      <c r="C13017" s="3" t="s">
        <v>10</v>
      </c>
      <c r="D13017" s="3" t="s">
        <v>9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/>
      <c r="P13017" s="3"/>
      <c r="Q13017" s="3"/>
    </row>
    <row r="13018" spans="1:17" ht="15" x14ac:dyDescent="0.25">
      <c r="A13018" s="3">
        <f>13011</f>
        <v>13011</v>
      </c>
      <c r="B13018" s="3" t="s">
        <v>13020</v>
      </c>
      <c r="C13018" s="3" t="s">
        <v>10</v>
      </c>
      <c r="D13018" s="3" t="s">
        <v>9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/>
      <c r="P13018" s="3"/>
      <c r="Q13018" s="3"/>
    </row>
    <row r="13019" spans="1:17" ht="15" x14ac:dyDescent="0.25">
      <c r="A13019" s="3">
        <f>13012</f>
        <v>13012</v>
      </c>
      <c r="B13019" s="3" t="s">
        <v>13021</v>
      </c>
      <c r="C13019" s="3" t="s">
        <v>10</v>
      </c>
      <c r="D13019" s="3" t="s">
        <v>9</v>
      </c>
      <c r="E13019" s="3">
        <v>0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/>
      <c r="P13019" s="3"/>
      <c r="Q13019" s="3"/>
    </row>
    <row r="13020" spans="1:17" ht="15" x14ac:dyDescent="0.25">
      <c r="A13020" s="3">
        <f>13013</f>
        <v>13013</v>
      </c>
      <c r="B13020" s="3" t="s">
        <v>13022</v>
      </c>
      <c r="C13020" s="3" t="s">
        <v>10</v>
      </c>
      <c r="D13020" s="3" t="s">
        <v>9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/>
      <c r="P13020" s="3"/>
      <c r="Q13020" s="3"/>
    </row>
    <row r="13021" spans="1:17" ht="15" x14ac:dyDescent="0.25">
      <c r="A13021" s="3">
        <f>13014</f>
        <v>13014</v>
      </c>
      <c r="B13021" s="3" t="s">
        <v>13023</v>
      </c>
      <c r="C13021" s="3" t="s">
        <v>10</v>
      </c>
      <c r="D13021" s="3" t="s">
        <v>9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/>
      <c r="P13021" s="3"/>
      <c r="Q13021" s="3"/>
    </row>
    <row r="13022" spans="1:17" ht="15" x14ac:dyDescent="0.25">
      <c r="A13022" s="3">
        <f>13015</f>
        <v>13015</v>
      </c>
      <c r="B13022" s="3" t="s">
        <v>13024</v>
      </c>
      <c r="C13022" s="3" t="s">
        <v>10</v>
      </c>
      <c r="D13022" s="3" t="s">
        <v>9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s="3"/>
      <c r="P13022" s="3"/>
      <c r="Q13022" s="3"/>
    </row>
    <row r="13023" spans="1:17" ht="15" x14ac:dyDescent="0.25">
      <c r="A13023" s="3">
        <f>13016</f>
        <v>13016</v>
      </c>
      <c r="B13023" s="3" t="s">
        <v>13025</v>
      </c>
      <c r="C13023" s="3" t="s">
        <v>10</v>
      </c>
      <c r="D13023" s="3" t="s">
        <v>9</v>
      </c>
      <c r="E13023" s="3">
        <v>0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/>
      <c r="P13023" s="3"/>
      <c r="Q13023" s="3"/>
    </row>
    <row r="13024" spans="1:17" ht="15" x14ac:dyDescent="0.25">
      <c r="A13024" s="3">
        <f>13017</f>
        <v>13017</v>
      </c>
      <c r="B13024" s="3" t="s">
        <v>13026</v>
      </c>
      <c r="C13024" s="3" t="s">
        <v>10</v>
      </c>
      <c r="D13024" s="3" t="s">
        <v>9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/>
      <c r="P13024" s="3"/>
      <c r="Q13024" s="3"/>
    </row>
    <row r="13025" spans="1:17" ht="15" x14ac:dyDescent="0.25">
      <c r="A13025" s="3">
        <f>13018</f>
        <v>13018</v>
      </c>
      <c r="B13025" s="3" t="s">
        <v>13027</v>
      </c>
      <c r="C13025" s="3" t="s">
        <v>10</v>
      </c>
      <c r="D13025" s="3" t="s">
        <v>9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/>
      <c r="P13025" s="3"/>
      <c r="Q13025" s="3"/>
    </row>
    <row r="13026" spans="1:17" ht="15" x14ac:dyDescent="0.25">
      <c r="A13026" s="3">
        <f>13019</f>
        <v>13019</v>
      </c>
      <c r="B13026" s="3" t="s">
        <v>13028</v>
      </c>
      <c r="C13026" s="3" t="s">
        <v>10</v>
      </c>
      <c r="D13026" s="3" t="s">
        <v>9</v>
      </c>
      <c r="E13026" s="3">
        <v>0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s="3"/>
      <c r="P13026" s="3"/>
      <c r="Q13026" s="3"/>
    </row>
    <row r="13027" spans="1:17" ht="15" x14ac:dyDescent="0.25">
      <c r="A13027" s="3">
        <f>13020</f>
        <v>13020</v>
      </c>
      <c r="B13027" s="3" t="s">
        <v>13029</v>
      </c>
      <c r="C13027" s="3" t="s">
        <v>10</v>
      </c>
      <c r="D13027" s="3" t="s">
        <v>9</v>
      </c>
      <c r="E13027" s="3">
        <v>0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/>
      <c r="P13027" s="3"/>
      <c r="Q13027" s="3"/>
    </row>
    <row r="13028" spans="1:17" ht="15" x14ac:dyDescent="0.25">
      <c r="A13028" s="3">
        <f>13021</f>
        <v>13021</v>
      </c>
      <c r="B13028" s="3" t="s">
        <v>13030</v>
      </c>
      <c r="C13028" s="3" t="s">
        <v>10</v>
      </c>
      <c r="D13028" s="3" t="s">
        <v>9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/>
      <c r="P13028" s="3"/>
      <c r="Q13028" s="3"/>
    </row>
    <row r="13029" spans="1:17" ht="15" x14ac:dyDescent="0.25">
      <c r="A13029" s="3">
        <f>13022</f>
        <v>13022</v>
      </c>
      <c r="B13029" s="3" t="s">
        <v>13031</v>
      </c>
      <c r="C13029" s="3" t="s">
        <v>10</v>
      </c>
      <c r="D13029" s="3" t="s">
        <v>9</v>
      </c>
      <c r="E13029" s="3">
        <v>0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/>
      <c r="P13029" s="3"/>
      <c r="Q13029" s="3"/>
    </row>
    <row r="13030" spans="1:17" ht="15" x14ac:dyDescent="0.25">
      <c r="A13030" s="3">
        <f>13023</f>
        <v>13023</v>
      </c>
      <c r="B13030" s="3" t="s">
        <v>13032</v>
      </c>
      <c r="C13030" s="3" t="s">
        <v>10</v>
      </c>
      <c r="D13030" s="3" t="s">
        <v>9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/>
      <c r="P13030" s="3"/>
      <c r="Q13030" s="3"/>
    </row>
    <row r="13031" spans="1:17" ht="15" x14ac:dyDescent="0.25">
      <c r="A13031" s="3">
        <f>13024</f>
        <v>13024</v>
      </c>
      <c r="B13031" s="3" t="s">
        <v>13033</v>
      </c>
      <c r="C13031" s="3" t="s">
        <v>10</v>
      </c>
      <c r="D13031" s="3" t="s">
        <v>9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/>
      <c r="P13031" s="3"/>
      <c r="Q13031" s="3"/>
    </row>
    <row r="13032" spans="1:17" ht="15" x14ac:dyDescent="0.25">
      <c r="A13032" s="3">
        <f>13025</f>
        <v>13025</v>
      </c>
      <c r="B13032" s="3" t="s">
        <v>13034</v>
      </c>
      <c r="C13032" s="3" t="s">
        <v>10</v>
      </c>
      <c r="D13032" s="3" t="s">
        <v>9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/>
      <c r="P13032" s="3"/>
      <c r="Q13032" s="3"/>
    </row>
    <row r="13033" spans="1:17" ht="15" x14ac:dyDescent="0.25">
      <c r="A13033" s="3">
        <f>13026</f>
        <v>13026</v>
      </c>
      <c r="B13033" s="3" t="s">
        <v>13035</v>
      </c>
      <c r="C13033" s="3" t="s">
        <v>10</v>
      </c>
      <c r="D13033" s="3" t="s">
        <v>9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/>
      <c r="P13033" s="3"/>
      <c r="Q13033" s="3"/>
    </row>
    <row r="13034" spans="1:17" ht="15" x14ac:dyDescent="0.25">
      <c r="A13034" s="3">
        <f>13027</f>
        <v>13027</v>
      </c>
      <c r="B13034" s="3" t="s">
        <v>13036</v>
      </c>
      <c r="C13034" s="3" t="s">
        <v>10</v>
      </c>
      <c r="D13034" s="3" t="s">
        <v>9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/>
      <c r="P13034" s="3"/>
      <c r="Q13034" s="3"/>
    </row>
    <row r="13035" spans="1:17" ht="15" x14ac:dyDescent="0.25">
      <c r="A13035" s="3">
        <f>13028</f>
        <v>13028</v>
      </c>
      <c r="B13035" s="3" t="s">
        <v>13037</v>
      </c>
      <c r="C13035" s="3" t="s">
        <v>10</v>
      </c>
      <c r="D13035" s="3" t="s">
        <v>9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/>
      <c r="P13035" s="3"/>
      <c r="Q13035" s="3"/>
    </row>
    <row r="13036" spans="1:17" ht="15" x14ac:dyDescent="0.25">
      <c r="A13036" s="3">
        <f>13029</f>
        <v>13029</v>
      </c>
      <c r="B13036" s="3" t="s">
        <v>13038</v>
      </c>
      <c r="C13036" s="3" t="s">
        <v>10</v>
      </c>
      <c r="D13036" s="3" t="s">
        <v>9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/>
      <c r="P13036" s="3"/>
      <c r="Q13036" s="3"/>
    </row>
    <row r="13037" spans="1:17" ht="15" x14ac:dyDescent="0.25">
      <c r="A13037" s="3">
        <f>13030</f>
        <v>13030</v>
      </c>
      <c r="B13037" s="3" t="s">
        <v>13039</v>
      </c>
      <c r="C13037" s="3" t="s">
        <v>10</v>
      </c>
      <c r="D13037" s="3" t="s">
        <v>9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/>
      <c r="P13037" s="3"/>
      <c r="Q13037" s="3"/>
    </row>
    <row r="13038" spans="1:17" ht="15" x14ac:dyDescent="0.25">
      <c r="A13038" s="3">
        <f>13031</f>
        <v>13031</v>
      </c>
      <c r="B13038" s="3" t="s">
        <v>13040</v>
      </c>
      <c r="C13038" s="3" t="s">
        <v>10</v>
      </c>
      <c r="D13038" s="3" t="s">
        <v>9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/>
      <c r="P13038" s="3"/>
      <c r="Q13038" s="3"/>
    </row>
    <row r="13039" spans="1:17" ht="15" x14ac:dyDescent="0.25">
      <c r="A13039" s="3">
        <f>13032</f>
        <v>13032</v>
      </c>
      <c r="B13039" s="3" t="s">
        <v>13041</v>
      </c>
      <c r="C13039" s="3" t="s">
        <v>10</v>
      </c>
      <c r="D13039" s="3" t="s">
        <v>9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s="3"/>
      <c r="P13039" s="3"/>
      <c r="Q13039" s="3"/>
    </row>
    <row r="13040" spans="1:17" ht="15" x14ac:dyDescent="0.25">
      <c r="A13040" s="3">
        <f>13033</f>
        <v>13033</v>
      </c>
      <c r="B13040" s="3" t="s">
        <v>13042</v>
      </c>
      <c r="C13040" s="3" t="s">
        <v>10</v>
      </c>
      <c r="D13040" s="3" t="s">
        <v>9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/>
      <c r="P13040" s="3"/>
      <c r="Q13040" s="3"/>
    </row>
    <row r="13041" spans="1:17" ht="15" x14ac:dyDescent="0.25">
      <c r="A13041" s="3">
        <f>13034</f>
        <v>13034</v>
      </c>
      <c r="B13041" s="3" t="s">
        <v>13043</v>
      </c>
      <c r="C13041" s="3" t="s">
        <v>10</v>
      </c>
      <c r="D13041" s="3" t="s">
        <v>9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/>
      <c r="P13041" s="3"/>
      <c r="Q13041" s="3"/>
    </row>
    <row r="13042" spans="1:17" ht="15" x14ac:dyDescent="0.25">
      <c r="A13042" s="3">
        <f>13035</f>
        <v>13035</v>
      </c>
      <c r="B13042" s="3" t="s">
        <v>13044</v>
      </c>
      <c r="C13042" s="3" t="s">
        <v>10</v>
      </c>
      <c r="D13042" s="3" t="s">
        <v>9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/>
      <c r="P13042" s="3"/>
      <c r="Q13042" s="3"/>
    </row>
    <row r="13043" spans="1:17" ht="15" x14ac:dyDescent="0.25">
      <c r="A13043" s="3">
        <f>13036</f>
        <v>13036</v>
      </c>
      <c r="B13043" s="3" t="s">
        <v>13045</v>
      </c>
      <c r="C13043" s="3" t="s">
        <v>10</v>
      </c>
      <c r="D13043" s="3" t="s">
        <v>9</v>
      </c>
      <c r="E13043" s="3">
        <v>0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/>
      <c r="P13043" s="3"/>
      <c r="Q13043" s="3"/>
    </row>
    <row r="13044" spans="1:17" ht="15" x14ac:dyDescent="0.25">
      <c r="A13044" s="3">
        <f>13037</f>
        <v>13037</v>
      </c>
      <c r="B13044" s="3" t="s">
        <v>13046</v>
      </c>
      <c r="C13044" s="3" t="s">
        <v>10</v>
      </c>
      <c r="D13044" s="3" t="s">
        <v>9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/>
      <c r="P13044" s="3"/>
      <c r="Q13044" s="3"/>
    </row>
    <row r="13045" spans="1:17" ht="15" x14ac:dyDescent="0.25">
      <c r="A13045" s="3">
        <f>13038</f>
        <v>13038</v>
      </c>
      <c r="B13045" s="3" t="s">
        <v>13047</v>
      </c>
      <c r="C13045" s="3" t="s">
        <v>10</v>
      </c>
      <c r="D13045" s="3" t="s">
        <v>9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/>
      <c r="P13045" s="3"/>
      <c r="Q13045" s="3"/>
    </row>
    <row r="13046" spans="1:17" ht="15" x14ac:dyDescent="0.25">
      <c r="A13046" s="3">
        <f>13039</f>
        <v>13039</v>
      </c>
      <c r="B13046" s="3" t="s">
        <v>13048</v>
      </c>
      <c r="C13046" s="3" t="s">
        <v>10</v>
      </c>
      <c r="D13046" s="3" t="s">
        <v>9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/>
      <c r="P13046" s="3"/>
      <c r="Q13046" s="3"/>
    </row>
    <row r="13047" spans="1:17" ht="15" x14ac:dyDescent="0.25">
      <c r="A13047" s="3">
        <f>13040</f>
        <v>13040</v>
      </c>
      <c r="B13047" s="3" t="s">
        <v>13049</v>
      </c>
      <c r="C13047" s="3" t="s">
        <v>10</v>
      </c>
      <c r="D13047" s="3" t="s">
        <v>9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/>
      <c r="P13047" s="3"/>
      <c r="Q13047" s="3"/>
    </row>
    <row r="13048" spans="1:17" ht="15" x14ac:dyDescent="0.25">
      <c r="A13048" s="3">
        <f>13041</f>
        <v>13041</v>
      </c>
      <c r="B13048" s="3" t="s">
        <v>13050</v>
      </c>
      <c r="C13048" s="3" t="s">
        <v>10</v>
      </c>
      <c r="D13048" s="3" t="s">
        <v>9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/>
      <c r="P13048" s="3"/>
      <c r="Q13048" s="3"/>
    </row>
    <row r="13049" spans="1:17" ht="15" x14ac:dyDescent="0.25">
      <c r="A13049" s="3">
        <f>13042</f>
        <v>13042</v>
      </c>
      <c r="B13049" s="3" t="s">
        <v>13051</v>
      </c>
      <c r="C13049" s="3" t="s">
        <v>10</v>
      </c>
      <c r="D13049" s="3" t="s">
        <v>9</v>
      </c>
      <c r="E13049" s="3">
        <v>0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/>
      <c r="P13049" s="3"/>
      <c r="Q13049" s="3"/>
    </row>
    <row r="13050" spans="1:17" ht="15" x14ac:dyDescent="0.25">
      <c r="A13050" s="3">
        <f>13043</f>
        <v>13043</v>
      </c>
      <c r="B13050" s="3" t="s">
        <v>13052</v>
      </c>
      <c r="C13050" s="3" t="s">
        <v>10</v>
      </c>
      <c r="D13050" s="3" t="s">
        <v>9</v>
      </c>
      <c r="E13050" s="3">
        <v>0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/>
      <c r="P13050" s="3"/>
      <c r="Q13050" s="3"/>
    </row>
    <row r="13051" spans="1:17" ht="15" x14ac:dyDescent="0.25">
      <c r="A13051" s="3">
        <f>13044</f>
        <v>13044</v>
      </c>
      <c r="B13051" s="3" t="s">
        <v>13053</v>
      </c>
      <c r="C13051" s="3" t="s">
        <v>10</v>
      </c>
      <c r="D13051" s="3" t="s">
        <v>9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/>
      <c r="P13051" s="3"/>
      <c r="Q13051" s="3"/>
    </row>
    <row r="13052" spans="1:17" ht="15" x14ac:dyDescent="0.25">
      <c r="A13052" s="3">
        <f>13045</f>
        <v>13045</v>
      </c>
      <c r="B13052" s="3" t="s">
        <v>13054</v>
      </c>
      <c r="C13052" s="3" t="s">
        <v>10</v>
      </c>
      <c r="D13052" s="3" t="s">
        <v>9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/>
      <c r="P13052" s="3"/>
      <c r="Q13052" s="3"/>
    </row>
    <row r="13053" spans="1:17" ht="15" x14ac:dyDescent="0.25">
      <c r="A13053" s="3">
        <f>13046</f>
        <v>13046</v>
      </c>
      <c r="B13053" s="3" t="s">
        <v>13055</v>
      </c>
      <c r="C13053" s="3" t="s">
        <v>10</v>
      </c>
      <c r="D13053" s="3" t="s">
        <v>9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/>
      <c r="P13053" s="3"/>
      <c r="Q13053" s="3"/>
    </row>
    <row r="13054" spans="1:17" ht="15" x14ac:dyDescent="0.25">
      <c r="A13054" s="3">
        <f>13047</f>
        <v>13047</v>
      </c>
      <c r="B13054" s="3" t="s">
        <v>13056</v>
      </c>
      <c r="C13054" s="3" t="s">
        <v>10</v>
      </c>
      <c r="D13054" s="3" t="s">
        <v>9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/>
      <c r="P13054" s="3"/>
      <c r="Q13054" s="3"/>
    </row>
    <row r="13055" spans="1:17" ht="15" x14ac:dyDescent="0.25">
      <c r="A13055" s="3">
        <f>13048</f>
        <v>13048</v>
      </c>
      <c r="B13055" s="3" t="s">
        <v>13057</v>
      </c>
      <c r="C13055" s="3" t="s">
        <v>10</v>
      </c>
      <c r="D13055" s="3" t="s">
        <v>9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s="3"/>
      <c r="P13055" s="3"/>
      <c r="Q13055" s="3"/>
    </row>
    <row r="13056" spans="1:17" ht="15" x14ac:dyDescent="0.25">
      <c r="A13056" s="3">
        <f>13049</f>
        <v>13049</v>
      </c>
      <c r="B13056" s="3" t="s">
        <v>13058</v>
      </c>
      <c r="C13056" s="3" t="s">
        <v>10</v>
      </c>
      <c r="D13056" s="3" t="s">
        <v>9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/>
      <c r="P13056" s="3"/>
      <c r="Q13056" s="3"/>
    </row>
    <row r="13057" spans="1:17" ht="15" x14ac:dyDescent="0.25">
      <c r="A13057" s="3">
        <f>13050</f>
        <v>13050</v>
      </c>
      <c r="B13057" s="3" t="s">
        <v>13059</v>
      </c>
      <c r="C13057" s="3" t="s">
        <v>10</v>
      </c>
      <c r="D13057" s="3" t="s">
        <v>9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/>
      <c r="P13057" s="3"/>
      <c r="Q13057" s="3"/>
    </row>
    <row r="13058" spans="1:17" ht="15" x14ac:dyDescent="0.25">
      <c r="A13058" s="3">
        <f>13051</f>
        <v>13051</v>
      </c>
      <c r="B13058" s="3" t="s">
        <v>13060</v>
      </c>
      <c r="C13058" s="3" t="s">
        <v>10</v>
      </c>
      <c r="D13058" s="3" t="s">
        <v>9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/>
      <c r="P13058" s="3"/>
      <c r="Q13058" s="3"/>
    </row>
    <row r="13059" spans="1:17" ht="15" x14ac:dyDescent="0.25">
      <c r="A13059" s="3">
        <f>13052</f>
        <v>13052</v>
      </c>
      <c r="B13059" s="3" t="s">
        <v>13061</v>
      </c>
      <c r="C13059" s="3" t="s">
        <v>10</v>
      </c>
      <c r="D13059" s="3" t="s">
        <v>9</v>
      </c>
      <c r="E13059" s="3">
        <v>0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/>
      <c r="P13059" s="3"/>
      <c r="Q13059" s="3"/>
    </row>
    <row r="13060" spans="1:17" ht="15" x14ac:dyDescent="0.25">
      <c r="A13060" s="3">
        <f>13053</f>
        <v>13053</v>
      </c>
      <c r="B13060" s="3" t="s">
        <v>13062</v>
      </c>
      <c r="C13060" s="3" t="s">
        <v>10</v>
      </c>
      <c r="D13060" s="3" t="s">
        <v>9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/>
      <c r="P13060" s="3"/>
      <c r="Q13060" s="3"/>
    </row>
    <row r="13061" spans="1:17" ht="15" x14ac:dyDescent="0.25">
      <c r="A13061" s="3">
        <f>13054</f>
        <v>13054</v>
      </c>
      <c r="B13061" s="3" t="s">
        <v>13063</v>
      </c>
      <c r="C13061" s="3" t="s">
        <v>10</v>
      </c>
      <c r="D13061" s="3" t="s">
        <v>9</v>
      </c>
      <c r="E13061" s="3">
        <v>0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/>
      <c r="P13061" s="3"/>
      <c r="Q13061" s="3"/>
    </row>
    <row r="13062" spans="1:17" ht="15" x14ac:dyDescent="0.25">
      <c r="A13062" s="3">
        <f>13055</f>
        <v>13055</v>
      </c>
      <c r="B13062" s="3" t="s">
        <v>13064</v>
      </c>
      <c r="C13062" s="3" t="s">
        <v>10</v>
      </c>
      <c r="D13062" s="3" t="s">
        <v>9</v>
      </c>
      <c r="E13062" s="3">
        <v>0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/>
      <c r="P13062" s="3"/>
      <c r="Q13062" s="3"/>
    </row>
    <row r="13063" spans="1:17" ht="15" x14ac:dyDescent="0.25">
      <c r="A13063" s="3">
        <f>13056</f>
        <v>13056</v>
      </c>
      <c r="B13063" s="3" t="s">
        <v>13065</v>
      </c>
      <c r="C13063" s="3" t="s">
        <v>10</v>
      </c>
      <c r="D13063" s="3" t="s">
        <v>9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/>
      <c r="P13063" s="3"/>
      <c r="Q13063" s="3"/>
    </row>
    <row r="13064" spans="1:17" ht="15" x14ac:dyDescent="0.25">
      <c r="A13064" s="3">
        <f>13057</f>
        <v>13057</v>
      </c>
      <c r="B13064" s="3" t="s">
        <v>13066</v>
      </c>
      <c r="C13064" s="3" t="s">
        <v>10</v>
      </c>
      <c r="D13064" s="3" t="s">
        <v>9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/>
      <c r="P13064" s="3"/>
      <c r="Q13064" s="3"/>
    </row>
    <row r="13065" spans="1:17" ht="15" x14ac:dyDescent="0.25">
      <c r="A13065" s="3">
        <f>13058</f>
        <v>13058</v>
      </c>
      <c r="B13065" s="3" t="s">
        <v>13067</v>
      </c>
      <c r="C13065" s="3" t="s">
        <v>10</v>
      </c>
      <c r="D13065" s="3" t="s">
        <v>9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/>
      <c r="P13065" s="3"/>
      <c r="Q13065" s="3"/>
    </row>
    <row r="13066" spans="1:17" ht="15" x14ac:dyDescent="0.25">
      <c r="A13066" s="3">
        <f>13059</f>
        <v>13059</v>
      </c>
      <c r="B13066" s="3" t="s">
        <v>13068</v>
      </c>
      <c r="C13066" s="3" t="s">
        <v>10</v>
      </c>
      <c r="D13066" s="3" t="s">
        <v>9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/>
      <c r="P13066" s="3"/>
      <c r="Q13066" s="3"/>
    </row>
    <row r="13067" spans="1:17" ht="15" x14ac:dyDescent="0.25">
      <c r="A13067" s="3">
        <f>13060</f>
        <v>13060</v>
      </c>
      <c r="B13067" s="3" t="s">
        <v>13069</v>
      </c>
      <c r="C13067" s="3" t="s">
        <v>10</v>
      </c>
      <c r="D13067" s="3" t="s">
        <v>9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/>
      <c r="P13067" s="3"/>
      <c r="Q13067" s="3"/>
    </row>
    <row r="13068" spans="1:17" ht="15" x14ac:dyDescent="0.25">
      <c r="A13068" s="3">
        <f>13061</f>
        <v>13061</v>
      </c>
      <c r="B13068" s="3" t="s">
        <v>13070</v>
      </c>
      <c r="C13068" s="3" t="s">
        <v>10</v>
      </c>
      <c r="D13068" s="3" t="s">
        <v>9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/>
      <c r="P13068" s="3"/>
      <c r="Q13068" s="3"/>
    </row>
    <row r="13069" spans="1:17" ht="15" x14ac:dyDescent="0.25">
      <c r="A13069" s="3">
        <f>13062</f>
        <v>13062</v>
      </c>
      <c r="B13069" s="3" t="s">
        <v>13071</v>
      </c>
      <c r="C13069" s="3" t="s">
        <v>10</v>
      </c>
      <c r="D13069" s="3" t="s">
        <v>9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/>
      <c r="P13069" s="3"/>
      <c r="Q13069" s="3"/>
    </row>
    <row r="13070" spans="1:17" ht="15" x14ac:dyDescent="0.25">
      <c r="A13070" s="3">
        <f>13063</f>
        <v>13063</v>
      </c>
      <c r="B13070" s="3" t="s">
        <v>13072</v>
      </c>
      <c r="C13070" s="3" t="s">
        <v>10</v>
      </c>
      <c r="D13070" s="3" t="s">
        <v>9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/>
      <c r="P13070" s="3"/>
      <c r="Q13070" s="3"/>
    </row>
    <row r="13071" spans="1:17" ht="15" x14ac:dyDescent="0.25">
      <c r="A13071" s="3">
        <f>13064</f>
        <v>13064</v>
      </c>
      <c r="B13071" s="3" t="s">
        <v>13073</v>
      </c>
      <c r="C13071" s="3" t="s">
        <v>10</v>
      </c>
      <c r="D13071" s="3" t="s">
        <v>9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s="3"/>
      <c r="P13071" s="3"/>
      <c r="Q13071" s="3"/>
    </row>
    <row r="13072" spans="1:17" ht="15" x14ac:dyDescent="0.25">
      <c r="A13072" s="3">
        <f>13065</f>
        <v>13065</v>
      </c>
      <c r="B13072" s="3" t="s">
        <v>13074</v>
      </c>
      <c r="C13072" s="3" t="s">
        <v>10</v>
      </c>
      <c r="D13072" s="3" t="s">
        <v>9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/>
      <c r="P13072" s="3"/>
      <c r="Q13072" s="3"/>
    </row>
    <row r="13073" spans="1:17" ht="15" x14ac:dyDescent="0.25">
      <c r="A13073" s="3">
        <f>13066</f>
        <v>13066</v>
      </c>
      <c r="B13073" s="3" t="s">
        <v>13075</v>
      </c>
      <c r="C13073" s="3" t="s">
        <v>10</v>
      </c>
      <c r="D13073" s="3" t="s">
        <v>9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s="3"/>
      <c r="P13073" s="3"/>
      <c r="Q13073" s="3"/>
    </row>
    <row r="13074" spans="1:17" ht="15" x14ac:dyDescent="0.25">
      <c r="A13074" s="3">
        <f>13067</f>
        <v>13067</v>
      </c>
      <c r="B13074" s="3" t="s">
        <v>13076</v>
      </c>
      <c r="C13074" s="3" t="s">
        <v>10</v>
      </c>
      <c r="D13074" s="3" t="s">
        <v>9</v>
      </c>
      <c r="E13074" s="3">
        <v>0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/>
      <c r="P13074" s="3"/>
      <c r="Q13074" s="3"/>
    </row>
    <row r="13075" spans="1:17" ht="15" x14ac:dyDescent="0.25">
      <c r="A13075" s="3">
        <f>13068</f>
        <v>13068</v>
      </c>
      <c r="B13075" s="3" t="s">
        <v>13077</v>
      </c>
      <c r="C13075" s="3" t="s">
        <v>10</v>
      </c>
      <c r="D13075" s="3" t="s">
        <v>9</v>
      </c>
      <c r="E13075" s="3">
        <v>0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/>
      <c r="P13075" s="3"/>
      <c r="Q13075" s="3"/>
    </row>
    <row r="13076" spans="1:17" ht="15" x14ac:dyDescent="0.25">
      <c r="A13076" s="3">
        <f>13069</f>
        <v>13069</v>
      </c>
      <c r="B13076" s="3" t="s">
        <v>13078</v>
      </c>
      <c r="C13076" s="3" t="s">
        <v>10</v>
      </c>
      <c r="D13076" s="3" t="s">
        <v>9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/>
      <c r="P13076" s="3"/>
      <c r="Q13076" s="3"/>
    </row>
    <row r="13077" spans="1:17" ht="15" x14ac:dyDescent="0.25">
      <c r="A13077" s="3">
        <f>13070</f>
        <v>13070</v>
      </c>
      <c r="B13077" s="3" t="s">
        <v>13079</v>
      </c>
      <c r="C13077" s="3" t="s">
        <v>10</v>
      </c>
      <c r="D13077" s="3" t="s">
        <v>9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/>
      <c r="P13077" s="3"/>
      <c r="Q13077" s="3"/>
    </row>
    <row r="13078" spans="1:17" ht="15" x14ac:dyDescent="0.25">
      <c r="A13078" s="3">
        <f>13071</f>
        <v>13071</v>
      </c>
      <c r="B13078" s="3" t="s">
        <v>13080</v>
      </c>
      <c r="C13078" s="3" t="s">
        <v>10</v>
      </c>
      <c r="D13078" s="3" t="s">
        <v>9</v>
      </c>
      <c r="E13078" s="3">
        <v>0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/>
      <c r="P13078" s="3"/>
      <c r="Q13078" s="3"/>
    </row>
    <row r="13079" spans="1:17" ht="15" x14ac:dyDescent="0.25">
      <c r="A13079" s="3">
        <f>13072</f>
        <v>13072</v>
      </c>
      <c r="B13079" s="3" t="s">
        <v>13081</v>
      </c>
      <c r="C13079" s="3" t="s">
        <v>10</v>
      </c>
      <c r="D13079" s="3" t="s">
        <v>9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/>
      <c r="P13079" s="3"/>
      <c r="Q13079" s="3"/>
    </row>
    <row r="13080" spans="1:17" ht="15" x14ac:dyDescent="0.25">
      <c r="A13080" s="3">
        <f>13073</f>
        <v>13073</v>
      </c>
      <c r="B13080" s="3" t="s">
        <v>13082</v>
      </c>
      <c r="C13080" s="3" t="s">
        <v>10</v>
      </c>
      <c r="D13080" s="3" t="s">
        <v>9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/>
      <c r="P13080" s="3"/>
      <c r="Q13080" s="3"/>
    </row>
    <row r="13081" spans="1:17" ht="15" x14ac:dyDescent="0.25">
      <c r="A13081" s="3">
        <f>13074</f>
        <v>13074</v>
      </c>
      <c r="B13081" s="3" t="s">
        <v>13083</v>
      </c>
      <c r="C13081" s="3" t="s">
        <v>10</v>
      </c>
      <c r="D13081" s="3" t="s">
        <v>9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/>
      <c r="P13081" s="3"/>
      <c r="Q13081" s="3"/>
    </row>
    <row r="13082" spans="1:17" ht="15" x14ac:dyDescent="0.25">
      <c r="A13082" s="3">
        <f>13075</f>
        <v>13075</v>
      </c>
      <c r="B13082" s="3" t="s">
        <v>13084</v>
      </c>
      <c r="C13082" s="3" t="s">
        <v>10</v>
      </c>
      <c r="D13082" s="3" t="s">
        <v>9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/>
      <c r="P13082" s="3"/>
      <c r="Q13082" s="3"/>
    </row>
    <row r="13083" spans="1:17" ht="15" x14ac:dyDescent="0.25">
      <c r="A13083" s="3">
        <f>13076</f>
        <v>13076</v>
      </c>
      <c r="B13083" s="3" t="s">
        <v>13085</v>
      </c>
      <c r="C13083" s="3" t="s">
        <v>10</v>
      </c>
      <c r="D13083" s="3" t="s">
        <v>9</v>
      </c>
      <c r="E13083" s="3">
        <v>0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/>
      <c r="P13083" s="3"/>
      <c r="Q13083" s="3"/>
    </row>
    <row r="13084" spans="1:17" ht="15" x14ac:dyDescent="0.25">
      <c r="A13084" s="3">
        <f>13077</f>
        <v>13077</v>
      </c>
      <c r="B13084" s="3" t="s">
        <v>13086</v>
      </c>
      <c r="C13084" s="3" t="s">
        <v>10</v>
      </c>
      <c r="D13084" s="3" t="s">
        <v>9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/>
      <c r="P13084" s="3"/>
      <c r="Q13084" s="3"/>
    </row>
    <row r="13085" spans="1:17" ht="15" x14ac:dyDescent="0.25">
      <c r="A13085" s="3">
        <f>13078</f>
        <v>13078</v>
      </c>
      <c r="B13085" s="3" t="s">
        <v>13087</v>
      </c>
      <c r="C13085" s="3" t="s">
        <v>10</v>
      </c>
      <c r="D13085" s="3" t="s">
        <v>9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/>
      <c r="P13085" s="3"/>
      <c r="Q13085" s="3"/>
    </row>
    <row r="13086" spans="1:17" ht="15" x14ac:dyDescent="0.25">
      <c r="A13086" s="3">
        <f>13079</f>
        <v>13079</v>
      </c>
      <c r="B13086" s="3" t="s">
        <v>13088</v>
      </c>
      <c r="C13086" s="3" t="s">
        <v>10</v>
      </c>
      <c r="D13086" s="3" t="s">
        <v>9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/>
      <c r="P13086" s="3"/>
      <c r="Q13086" s="3"/>
    </row>
    <row r="13087" spans="1:17" ht="15" x14ac:dyDescent="0.25">
      <c r="A13087" s="3">
        <f>13080</f>
        <v>13080</v>
      </c>
      <c r="B13087" s="3" t="s">
        <v>13089</v>
      </c>
      <c r="C13087" s="3" t="s">
        <v>10</v>
      </c>
      <c r="D13087" s="3" t="s">
        <v>9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/>
      <c r="P13087" s="3"/>
      <c r="Q13087" s="3"/>
    </row>
    <row r="13088" spans="1:17" ht="15" x14ac:dyDescent="0.25">
      <c r="A13088" s="3">
        <f>13081</f>
        <v>13081</v>
      </c>
      <c r="B13088" s="3" t="s">
        <v>13090</v>
      </c>
      <c r="C13088" s="3" t="s">
        <v>10</v>
      </c>
      <c r="D13088" s="3" t="s">
        <v>9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s="3"/>
      <c r="P13088" s="3"/>
      <c r="Q13088" s="3"/>
    </row>
    <row r="13089" spans="1:17" ht="15" x14ac:dyDescent="0.25">
      <c r="A13089" s="3">
        <f>13082</f>
        <v>13082</v>
      </c>
      <c r="B13089" s="3" t="s">
        <v>13091</v>
      </c>
      <c r="C13089" s="3" t="s">
        <v>10</v>
      </c>
      <c r="D13089" s="3" t="s">
        <v>9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/>
      <c r="P13089" s="3"/>
      <c r="Q13089" s="3"/>
    </row>
    <row r="13090" spans="1:17" ht="15" x14ac:dyDescent="0.25">
      <c r="A13090" s="3">
        <f>13083</f>
        <v>13083</v>
      </c>
      <c r="B13090" s="3" t="s">
        <v>13092</v>
      </c>
      <c r="C13090" s="3" t="s">
        <v>10</v>
      </c>
      <c r="D13090" s="3" t="s">
        <v>9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/>
      <c r="P13090" s="3"/>
      <c r="Q13090" s="3"/>
    </row>
    <row r="13091" spans="1:17" ht="15" x14ac:dyDescent="0.25">
      <c r="A13091" s="3">
        <f>13084</f>
        <v>13084</v>
      </c>
      <c r="B13091" s="3" t="s">
        <v>13093</v>
      </c>
      <c r="C13091" s="3" t="s">
        <v>10</v>
      </c>
      <c r="D13091" s="3" t="s">
        <v>9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/>
      <c r="P13091" s="3"/>
      <c r="Q13091" s="3"/>
    </row>
    <row r="13092" spans="1:17" ht="15" x14ac:dyDescent="0.25">
      <c r="A13092" s="3">
        <f>13085</f>
        <v>13085</v>
      </c>
      <c r="B13092" s="3" t="s">
        <v>13094</v>
      </c>
      <c r="C13092" s="3" t="s">
        <v>10</v>
      </c>
      <c r="D13092" s="3" t="s">
        <v>9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/>
      <c r="P13092" s="3"/>
      <c r="Q13092" s="3"/>
    </row>
    <row r="13093" spans="1:17" ht="15" x14ac:dyDescent="0.25">
      <c r="A13093" s="3">
        <f>13086</f>
        <v>13086</v>
      </c>
      <c r="B13093" s="3" t="s">
        <v>13095</v>
      </c>
      <c r="C13093" s="3" t="s">
        <v>10</v>
      </c>
      <c r="D13093" s="3" t="s">
        <v>9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/>
      <c r="P13093" s="3"/>
      <c r="Q13093" s="3"/>
    </row>
    <row r="13094" spans="1:17" ht="15" x14ac:dyDescent="0.25">
      <c r="A13094" s="3">
        <f>13087</f>
        <v>13087</v>
      </c>
      <c r="B13094" s="3" t="s">
        <v>13096</v>
      </c>
      <c r="C13094" s="3" t="s">
        <v>10</v>
      </c>
      <c r="D13094" s="3" t="s">
        <v>9</v>
      </c>
      <c r="E13094" s="3">
        <v>0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/>
      <c r="P13094" s="3"/>
      <c r="Q13094" s="3"/>
    </row>
    <row r="13095" spans="1:17" ht="15" x14ac:dyDescent="0.25">
      <c r="A13095" s="3">
        <f>13088</f>
        <v>13088</v>
      </c>
      <c r="B13095" s="3" t="s">
        <v>13097</v>
      </c>
      <c r="C13095" s="3" t="s">
        <v>10</v>
      </c>
      <c r="D13095" s="3" t="s">
        <v>9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/>
      <c r="P13095" s="3"/>
      <c r="Q13095" s="3"/>
    </row>
    <row r="13096" spans="1:17" ht="15" x14ac:dyDescent="0.25">
      <c r="A13096" s="3">
        <f>13089</f>
        <v>13089</v>
      </c>
      <c r="B13096" s="3" t="s">
        <v>13098</v>
      </c>
      <c r="C13096" s="3" t="s">
        <v>10</v>
      </c>
      <c r="D13096" s="3" t="s">
        <v>9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s="3"/>
      <c r="P13096" s="3"/>
      <c r="Q13096" s="3"/>
    </row>
    <row r="13097" spans="1:17" ht="15" x14ac:dyDescent="0.25">
      <c r="A13097" s="3">
        <f>13090</f>
        <v>13090</v>
      </c>
      <c r="B13097" s="3" t="s">
        <v>13099</v>
      </c>
      <c r="C13097" s="3" t="s">
        <v>10</v>
      </c>
      <c r="D13097" s="3" t="s">
        <v>9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/>
      <c r="P13097" s="3"/>
      <c r="Q13097" s="3"/>
    </row>
    <row r="13098" spans="1:17" ht="15" x14ac:dyDescent="0.25">
      <c r="A13098" s="3">
        <f>13091</f>
        <v>13091</v>
      </c>
      <c r="B13098" s="3" t="s">
        <v>13100</v>
      </c>
      <c r="C13098" s="3" t="s">
        <v>10</v>
      </c>
      <c r="D13098" s="3" t="s">
        <v>9</v>
      </c>
      <c r="E13098" s="3">
        <v>0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/>
      <c r="P13098" s="3"/>
      <c r="Q13098" s="3"/>
    </row>
    <row r="13099" spans="1:17" ht="15" x14ac:dyDescent="0.25">
      <c r="A13099" s="3">
        <f>13092</f>
        <v>13092</v>
      </c>
      <c r="B13099" s="3" t="s">
        <v>13101</v>
      </c>
      <c r="C13099" s="3" t="s">
        <v>10</v>
      </c>
      <c r="D13099" s="3" t="s">
        <v>9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/>
      <c r="P13099" s="3"/>
      <c r="Q13099" s="3"/>
    </row>
    <row r="13100" spans="1:17" ht="15" x14ac:dyDescent="0.25">
      <c r="A13100" s="3">
        <f>13093</f>
        <v>13093</v>
      </c>
      <c r="B13100" s="3" t="s">
        <v>13102</v>
      </c>
      <c r="C13100" s="3" t="s">
        <v>10</v>
      </c>
      <c r="D13100" s="3" t="s">
        <v>9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/>
      <c r="P13100" s="3"/>
      <c r="Q13100" s="3"/>
    </row>
    <row r="13101" spans="1:17" ht="15" x14ac:dyDescent="0.25">
      <c r="A13101" s="3">
        <f>13094</f>
        <v>13094</v>
      </c>
      <c r="B13101" s="3" t="s">
        <v>13103</v>
      </c>
      <c r="C13101" s="3" t="s">
        <v>10</v>
      </c>
      <c r="D13101" s="3" t="s">
        <v>9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/>
      <c r="P13101" s="3"/>
      <c r="Q13101" s="3"/>
    </row>
    <row r="13102" spans="1:17" ht="15" x14ac:dyDescent="0.25">
      <c r="A13102" s="3">
        <f>13095</f>
        <v>13095</v>
      </c>
      <c r="B13102" s="3" t="s">
        <v>13104</v>
      </c>
      <c r="C13102" s="3" t="s">
        <v>10</v>
      </c>
      <c r="D13102" s="3" t="s">
        <v>9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0</v>
      </c>
      <c r="O13102" s="3"/>
      <c r="P13102" s="3"/>
      <c r="Q13102" s="3"/>
    </row>
    <row r="13103" spans="1:17" ht="15" x14ac:dyDescent="0.25">
      <c r="A13103" s="3">
        <f>13096</f>
        <v>13096</v>
      </c>
      <c r="B13103" s="3" t="s">
        <v>13105</v>
      </c>
      <c r="C13103" s="3" t="s">
        <v>10</v>
      </c>
      <c r="D13103" s="3" t="s">
        <v>9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/>
      <c r="P13103" s="3"/>
      <c r="Q13103" s="3"/>
    </row>
    <row r="13104" spans="1:17" ht="15" x14ac:dyDescent="0.25">
      <c r="A13104" s="3">
        <f>13097</f>
        <v>13097</v>
      </c>
      <c r="B13104" s="3" t="s">
        <v>13106</v>
      </c>
      <c r="C13104" s="3" t="s">
        <v>10</v>
      </c>
      <c r="D13104" s="3" t="s">
        <v>9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/>
      <c r="P13104" s="3"/>
      <c r="Q13104" s="3"/>
    </row>
    <row r="13105" spans="1:17" ht="15" x14ac:dyDescent="0.25">
      <c r="A13105" s="3">
        <f>13098</f>
        <v>13098</v>
      </c>
      <c r="B13105" s="3" t="s">
        <v>13107</v>
      </c>
      <c r="C13105" s="3" t="s">
        <v>10</v>
      </c>
      <c r="D13105" s="3" t="s">
        <v>9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s="3"/>
      <c r="P13105" s="3"/>
      <c r="Q13105" s="3"/>
    </row>
    <row r="13106" spans="1:17" ht="15" x14ac:dyDescent="0.25">
      <c r="A13106" s="3">
        <f>13099</f>
        <v>13099</v>
      </c>
      <c r="B13106" s="3" t="s">
        <v>13108</v>
      </c>
      <c r="C13106" s="3" t="s">
        <v>10</v>
      </c>
      <c r="D13106" s="3" t="s">
        <v>9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/>
      <c r="P13106" s="3"/>
      <c r="Q13106" s="3"/>
    </row>
    <row r="13107" spans="1:17" ht="15" x14ac:dyDescent="0.25">
      <c r="A13107" s="3">
        <f>13100</f>
        <v>13100</v>
      </c>
      <c r="B13107" s="3" t="s">
        <v>13109</v>
      </c>
      <c r="C13107" s="3" t="s">
        <v>10</v>
      </c>
      <c r="D13107" s="3" t="s">
        <v>9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/>
      <c r="P13107" s="3"/>
      <c r="Q13107" s="3"/>
    </row>
    <row r="13108" spans="1:17" ht="15" x14ac:dyDescent="0.25">
      <c r="A13108" s="3">
        <f>13101</f>
        <v>13101</v>
      </c>
      <c r="B13108" s="3" t="s">
        <v>13110</v>
      </c>
      <c r="C13108" s="3" t="s">
        <v>10</v>
      </c>
      <c r="D13108" s="3" t="s">
        <v>9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/>
      <c r="P13108" s="3"/>
      <c r="Q13108" s="3"/>
    </row>
    <row r="13109" spans="1:17" ht="15" x14ac:dyDescent="0.25">
      <c r="A13109" s="3">
        <f>13102</f>
        <v>13102</v>
      </c>
      <c r="B13109" s="3" t="s">
        <v>13111</v>
      </c>
      <c r="C13109" s="3" t="s">
        <v>10</v>
      </c>
      <c r="D13109" s="3" t="s">
        <v>9</v>
      </c>
      <c r="E13109" s="3">
        <v>0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/>
      <c r="P13109" s="3"/>
      <c r="Q13109" s="3"/>
    </row>
    <row r="13110" spans="1:17" ht="15" x14ac:dyDescent="0.25">
      <c r="A13110" s="3">
        <f>13103</f>
        <v>13103</v>
      </c>
      <c r="B13110" s="3" t="s">
        <v>13112</v>
      </c>
      <c r="C13110" s="3" t="s">
        <v>10</v>
      </c>
      <c r="D13110" s="3" t="s">
        <v>9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/>
      <c r="P13110" s="3"/>
      <c r="Q13110" s="3"/>
    </row>
    <row r="13111" spans="1:17" ht="15" x14ac:dyDescent="0.25">
      <c r="A13111" s="3">
        <f>13104</f>
        <v>13104</v>
      </c>
      <c r="B13111" s="3" t="s">
        <v>13113</v>
      </c>
      <c r="C13111" s="3" t="s">
        <v>10</v>
      </c>
      <c r="D13111" s="3" t="s">
        <v>9</v>
      </c>
      <c r="E13111" s="3">
        <v>0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  <c r="O13111" s="3"/>
      <c r="P13111" s="3"/>
      <c r="Q13111" s="3"/>
    </row>
    <row r="13112" spans="1:17" ht="15" x14ac:dyDescent="0.25">
      <c r="A13112" s="3">
        <f>13105</f>
        <v>13105</v>
      </c>
      <c r="B13112" s="3" t="s">
        <v>13114</v>
      </c>
      <c r="C13112" s="3" t="s">
        <v>10</v>
      </c>
      <c r="D13112" s="3" t="s">
        <v>9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/>
      <c r="P13112" s="3"/>
      <c r="Q13112" s="3"/>
    </row>
    <row r="13113" spans="1:17" ht="15" x14ac:dyDescent="0.25">
      <c r="A13113" s="3">
        <f>13106</f>
        <v>13106</v>
      </c>
      <c r="B13113" s="3" t="s">
        <v>13115</v>
      </c>
      <c r="C13113" s="3" t="s">
        <v>10</v>
      </c>
      <c r="D13113" s="3" t="s">
        <v>9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/>
      <c r="P13113" s="3"/>
      <c r="Q13113" s="3"/>
    </row>
    <row r="13114" spans="1:17" ht="15" x14ac:dyDescent="0.25">
      <c r="A13114" s="3">
        <f>13107</f>
        <v>13107</v>
      </c>
      <c r="B13114" s="3" t="s">
        <v>13116</v>
      </c>
      <c r="C13114" s="3" t="s">
        <v>10</v>
      </c>
      <c r="D13114" s="3" t="s">
        <v>9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/>
      <c r="P13114" s="3"/>
      <c r="Q13114" s="3"/>
    </row>
    <row r="13115" spans="1:17" ht="15" x14ac:dyDescent="0.25">
      <c r="A13115" s="3">
        <f>13108</f>
        <v>13108</v>
      </c>
      <c r="B13115" s="3" t="s">
        <v>13117</v>
      </c>
      <c r="C13115" s="3" t="s">
        <v>10</v>
      </c>
      <c r="D13115" s="3" t="s">
        <v>9</v>
      </c>
      <c r="E13115" s="3">
        <v>0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/>
      <c r="P13115" s="3"/>
      <c r="Q13115" s="3"/>
    </row>
    <row r="13116" spans="1:17" ht="15" x14ac:dyDescent="0.25">
      <c r="A13116" s="3">
        <f>13109</f>
        <v>13109</v>
      </c>
      <c r="B13116" s="3" t="s">
        <v>13118</v>
      </c>
      <c r="C13116" s="3" t="s">
        <v>10</v>
      </c>
      <c r="D13116" s="3" t="s">
        <v>9</v>
      </c>
      <c r="E13116" s="3">
        <v>0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/>
      <c r="P13116" s="3"/>
      <c r="Q13116" s="3"/>
    </row>
    <row r="13117" spans="1:17" ht="15" x14ac:dyDescent="0.25">
      <c r="A13117" s="3">
        <f>13110</f>
        <v>13110</v>
      </c>
      <c r="B13117" s="3" t="s">
        <v>13119</v>
      </c>
      <c r="C13117" s="3" t="s">
        <v>10</v>
      </c>
      <c r="D13117" s="3" t="s">
        <v>9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/>
      <c r="P13117" s="3"/>
      <c r="Q13117" s="3"/>
    </row>
    <row r="13118" spans="1:17" ht="15" x14ac:dyDescent="0.25">
      <c r="A13118" s="3">
        <f>13111</f>
        <v>13111</v>
      </c>
      <c r="B13118" s="3" t="s">
        <v>13120</v>
      </c>
      <c r="C13118" s="3" t="s">
        <v>10</v>
      </c>
      <c r="D13118" s="3" t="s">
        <v>9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s="3"/>
      <c r="P13118" s="3"/>
      <c r="Q13118" s="3"/>
    </row>
    <row r="13119" spans="1:17" ht="15" x14ac:dyDescent="0.25">
      <c r="A13119" s="3">
        <f>13112</f>
        <v>13112</v>
      </c>
      <c r="B13119" s="3" t="s">
        <v>13121</v>
      </c>
      <c r="C13119" s="3" t="s">
        <v>10</v>
      </c>
      <c r="D13119" s="3" t="s">
        <v>9</v>
      </c>
      <c r="E13119" s="3">
        <v>0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s="3"/>
      <c r="P13119" s="3"/>
      <c r="Q13119" s="3"/>
    </row>
    <row r="13120" spans="1:17" ht="15" x14ac:dyDescent="0.25">
      <c r="A13120" s="3">
        <f>13113</f>
        <v>13113</v>
      </c>
      <c r="B13120" s="3" t="s">
        <v>13122</v>
      </c>
      <c r="C13120" s="3" t="s">
        <v>10</v>
      </c>
      <c r="D13120" s="3" t="s">
        <v>9</v>
      </c>
      <c r="E13120" s="3">
        <v>0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/>
      <c r="P13120" s="3"/>
      <c r="Q13120" s="3"/>
    </row>
    <row r="13121" spans="1:17" ht="15" x14ac:dyDescent="0.25">
      <c r="A13121" s="3">
        <f>13114</f>
        <v>13114</v>
      </c>
      <c r="B13121" s="3" t="s">
        <v>13123</v>
      </c>
      <c r="C13121" s="3" t="s">
        <v>10</v>
      </c>
      <c r="D13121" s="3" t="s">
        <v>9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/>
      <c r="P13121" s="3"/>
      <c r="Q13121" s="3"/>
    </row>
    <row r="13122" spans="1:17" ht="15" x14ac:dyDescent="0.25">
      <c r="A13122" s="3">
        <f>13115</f>
        <v>13115</v>
      </c>
      <c r="B13122" s="3" t="s">
        <v>13124</v>
      </c>
      <c r="C13122" s="3" t="s">
        <v>10</v>
      </c>
      <c r="D13122" s="3" t="s">
        <v>9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/>
      <c r="P13122" s="3"/>
      <c r="Q13122" s="3"/>
    </row>
    <row r="13123" spans="1:17" ht="15" x14ac:dyDescent="0.25">
      <c r="A13123" s="3">
        <f>13116</f>
        <v>13116</v>
      </c>
      <c r="B13123" s="3" t="s">
        <v>13125</v>
      </c>
      <c r="C13123" s="3" t="s">
        <v>10</v>
      </c>
      <c r="D13123" s="3" t="s">
        <v>9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/>
      <c r="P13123" s="3"/>
      <c r="Q13123" s="3"/>
    </row>
    <row r="13124" spans="1:17" ht="15" x14ac:dyDescent="0.25">
      <c r="A13124" s="3">
        <f>13117</f>
        <v>13117</v>
      </c>
      <c r="B13124" s="3" t="s">
        <v>13126</v>
      </c>
      <c r="C13124" s="3" t="s">
        <v>10</v>
      </c>
      <c r="D13124" s="3" t="s">
        <v>9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/>
      <c r="P13124" s="3"/>
      <c r="Q13124" s="3"/>
    </row>
    <row r="13125" spans="1:17" ht="15" x14ac:dyDescent="0.25">
      <c r="A13125" s="3">
        <f>13118</f>
        <v>13118</v>
      </c>
      <c r="B13125" s="3" t="s">
        <v>13127</v>
      </c>
      <c r="C13125" s="3" t="s">
        <v>10</v>
      </c>
      <c r="D13125" s="3" t="s">
        <v>9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/>
      <c r="P13125" s="3"/>
      <c r="Q13125" s="3"/>
    </row>
    <row r="13126" spans="1:17" ht="15" x14ac:dyDescent="0.25">
      <c r="A13126" s="3">
        <f>13119</f>
        <v>13119</v>
      </c>
      <c r="B13126" s="3" t="s">
        <v>13128</v>
      </c>
      <c r="C13126" s="3" t="s">
        <v>10</v>
      </c>
      <c r="D13126" s="3" t="s">
        <v>9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  <c r="O13126" s="3"/>
      <c r="P13126" s="3"/>
      <c r="Q13126" s="3"/>
    </row>
    <row r="13127" spans="1:17" ht="15" x14ac:dyDescent="0.25">
      <c r="A13127" s="3">
        <f>13120</f>
        <v>13120</v>
      </c>
      <c r="B13127" s="3" t="s">
        <v>13129</v>
      </c>
      <c r="C13127" s="3" t="s">
        <v>10</v>
      </c>
      <c r="D13127" s="3" t="s">
        <v>9</v>
      </c>
      <c r="E13127" s="3">
        <v>0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/>
      <c r="P13127" s="3"/>
      <c r="Q13127" s="3"/>
    </row>
    <row r="13128" spans="1:17" ht="15" x14ac:dyDescent="0.25">
      <c r="A13128" s="3">
        <f>13121</f>
        <v>13121</v>
      </c>
      <c r="B13128" s="3" t="s">
        <v>13130</v>
      </c>
      <c r="C13128" s="3" t="s">
        <v>10</v>
      </c>
      <c r="D13128" s="3" t="s">
        <v>9</v>
      </c>
      <c r="E13128" s="3">
        <v>0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s="3"/>
      <c r="P13128" s="3"/>
      <c r="Q13128" s="3"/>
    </row>
    <row r="13129" spans="1:17" ht="15" x14ac:dyDescent="0.25">
      <c r="A13129" s="3">
        <f>13122</f>
        <v>13122</v>
      </c>
      <c r="B13129" s="3" t="s">
        <v>13131</v>
      </c>
      <c r="C13129" s="3" t="s">
        <v>10</v>
      </c>
      <c r="D13129" s="3" t="s">
        <v>9</v>
      </c>
      <c r="E13129" s="3">
        <v>0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/>
      <c r="P13129" s="3"/>
      <c r="Q13129" s="3"/>
    </row>
    <row r="13130" spans="1:17" ht="15" x14ac:dyDescent="0.25">
      <c r="A13130" s="3">
        <f>13123</f>
        <v>13123</v>
      </c>
      <c r="B13130" s="3" t="s">
        <v>13132</v>
      </c>
      <c r="C13130" s="3" t="s">
        <v>10</v>
      </c>
      <c r="D13130" s="3" t="s">
        <v>9</v>
      </c>
      <c r="E13130" s="3">
        <v>0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s="3"/>
      <c r="P13130" s="3"/>
      <c r="Q13130" s="3"/>
    </row>
    <row r="13131" spans="1:17" ht="15" x14ac:dyDescent="0.25">
      <c r="A13131" s="3">
        <f>13124</f>
        <v>13124</v>
      </c>
      <c r="B13131" s="3" t="s">
        <v>13133</v>
      </c>
      <c r="C13131" s="3" t="s">
        <v>10</v>
      </c>
      <c r="D13131" s="3" t="s">
        <v>9</v>
      </c>
      <c r="E13131" s="3">
        <v>0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/>
      <c r="P13131" s="3"/>
      <c r="Q13131" s="3"/>
    </row>
    <row r="13132" spans="1:17" ht="15" x14ac:dyDescent="0.25">
      <c r="A13132" s="3">
        <f>13125</f>
        <v>13125</v>
      </c>
      <c r="B13132" s="3" t="s">
        <v>13134</v>
      </c>
      <c r="C13132" s="3" t="s">
        <v>10</v>
      </c>
      <c r="D13132" s="3" t="s">
        <v>9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/>
      <c r="P13132" s="3"/>
      <c r="Q13132" s="3"/>
    </row>
    <row r="13133" spans="1:17" ht="15" x14ac:dyDescent="0.25">
      <c r="A13133" s="3">
        <f>13126</f>
        <v>13126</v>
      </c>
      <c r="B13133" s="3" t="s">
        <v>13135</v>
      </c>
      <c r="C13133" s="3" t="s">
        <v>10</v>
      </c>
      <c r="D13133" s="3" t="s">
        <v>9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/>
      <c r="P13133" s="3"/>
      <c r="Q13133" s="3"/>
    </row>
    <row r="13134" spans="1:17" ht="15" x14ac:dyDescent="0.25">
      <c r="A13134" s="3">
        <f>13127</f>
        <v>13127</v>
      </c>
      <c r="B13134" s="3" t="s">
        <v>13136</v>
      </c>
      <c r="C13134" s="3" t="s">
        <v>10</v>
      </c>
      <c r="D13134" s="3" t="s">
        <v>9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/>
      <c r="P13134" s="3"/>
      <c r="Q13134" s="3"/>
    </row>
    <row r="13135" spans="1:17" ht="15" x14ac:dyDescent="0.25">
      <c r="A13135" s="3">
        <f>13128</f>
        <v>13128</v>
      </c>
      <c r="B13135" s="3" t="s">
        <v>13137</v>
      </c>
      <c r="C13135" s="3" t="s">
        <v>10</v>
      </c>
      <c r="D13135" s="3" t="s">
        <v>9</v>
      </c>
      <c r="E13135" s="3">
        <v>0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/>
      <c r="P13135" s="3"/>
      <c r="Q13135" s="3"/>
    </row>
    <row r="13136" spans="1:17" ht="15" x14ac:dyDescent="0.25">
      <c r="A13136" s="3">
        <f>13129</f>
        <v>13129</v>
      </c>
      <c r="B13136" s="3" t="s">
        <v>13138</v>
      </c>
      <c r="C13136" s="3" t="s">
        <v>10</v>
      </c>
      <c r="D13136" s="3" t="s">
        <v>9</v>
      </c>
      <c r="E13136" s="3">
        <v>0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/>
      <c r="P13136" s="3"/>
      <c r="Q13136" s="3"/>
    </row>
    <row r="13137" spans="1:17" ht="15" x14ac:dyDescent="0.25">
      <c r="A13137" s="3">
        <f>13130</f>
        <v>13130</v>
      </c>
      <c r="B13137" s="3" t="s">
        <v>13139</v>
      </c>
      <c r="C13137" s="3" t="s">
        <v>10</v>
      </c>
      <c r="D13137" s="3" t="s">
        <v>9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/>
      <c r="P13137" s="3"/>
      <c r="Q13137" s="3"/>
    </row>
    <row r="13138" spans="1:17" ht="15" x14ac:dyDescent="0.25">
      <c r="A13138" s="3">
        <f>13131</f>
        <v>13131</v>
      </c>
      <c r="B13138" s="3" t="s">
        <v>13140</v>
      </c>
      <c r="C13138" s="3" t="s">
        <v>10</v>
      </c>
      <c r="D13138" s="3" t="s">
        <v>9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/>
      <c r="P13138" s="3"/>
      <c r="Q13138" s="3"/>
    </row>
    <row r="13139" spans="1:17" ht="15" x14ac:dyDescent="0.25">
      <c r="A13139" s="3">
        <f>13132</f>
        <v>13132</v>
      </c>
      <c r="B13139" s="3" t="s">
        <v>13141</v>
      </c>
      <c r="C13139" s="3" t="s">
        <v>10</v>
      </c>
      <c r="D13139" s="3" t="s">
        <v>9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/>
      <c r="P13139" s="3"/>
      <c r="Q13139" s="3"/>
    </row>
    <row r="13140" spans="1:17" ht="15" x14ac:dyDescent="0.25">
      <c r="A13140" s="3">
        <f>13133</f>
        <v>13133</v>
      </c>
      <c r="B13140" s="3" t="s">
        <v>13142</v>
      </c>
      <c r="C13140" s="3" t="s">
        <v>10</v>
      </c>
      <c r="D13140" s="3" t="s">
        <v>9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/>
      <c r="P13140" s="3"/>
      <c r="Q13140" s="3"/>
    </row>
    <row r="13141" spans="1:17" ht="15" x14ac:dyDescent="0.25">
      <c r="A13141" s="3">
        <f>13134</f>
        <v>13134</v>
      </c>
      <c r="B13141" s="3" t="s">
        <v>13143</v>
      </c>
      <c r="C13141" s="3" t="s">
        <v>10</v>
      </c>
      <c r="D13141" s="3" t="s">
        <v>9</v>
      </c>
      <c r="E13141" s="3">
        <v>0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/>
      <c r="P13141" s="3"/>
      <c r="Q13141" s="3"/>
    </row>
    <row r="13142" spans="1:17" ht="15" x14ac:dyDescent="0.25">
      <c r="A13142" s="3">
        <f>13135</f>
        <v>13135</v>
      </c>
      <c r="B13142" s="3" t="s">
        <v>13144</v>
      </c>
      <c r="C13142" s="3" t="s">
        <v>10</v>
      </c>
      <c r="D13142" s="3" t="s">
        <v>9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/>
      <c r="P13142" s="3"/>
      <c r="Q13142" s="3"/>
    </row>
    <row r="13143" spans="1:17" ht="15" x14ac:dyDescent="0.25">
      <c r="A13143" s="3">
        <f>13136</f>
        <v>13136</v>
      </c>
      <c r="B13143" s="3" t="s">
        <v>13145</v>
      </c>
      <c r="C13143" s="3" t="s">
        <v>10</v>
      </c>
      <c r="D13143" s="3" t="s">
        <v>9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/>
      <c r="P13143" s="3"/>
      <c r="Q13143" s="3"/>
    </row>
    <row r="13144" spans="1:17" ht="15" x14ac:dyDescent="0.25">
      <c r="A13144" s="3">
        <f>13137</f>
        <v>13137</v>
      </c>
      <c r="B13144" s="3" t="s">
        <v>13146</v>
      </c>
      <c r="C13144" s="3" t="s">
        <v>10</v>
      </c>
      <c r="D13144" s="3" t="s">
        <v>9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/>
      <c r="P13144" s="3"/>
      <c r="Q13144" s="3"/>
    </row>
    <row r="13145" spans="1:17" ht="15" x14ac:dyDescent="0.25">
      <c r="A13145" s="3">
        <f>13138</f>
        <v>13138</v>
      </c>
      <c r="B13145" s="3" t="s">
        <v>13147</v>
      </c>
      <c r="C13145" s="3" t="s">
        <v>10</v>
      </c>
      <c r="D13145" s="3" t="s">
        <v>9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/>
      <c r="P13145" s="3"/>
      <c r="Q13145" s="3"/>
    </row>
    <row r="13146" spans="1:17" ht="15" x14ac:dyDescent="0.25">
      <c r="A13146" s="3">
        <f>13139</f>
        <v>13139</v>
      </c>
      <c r="B13146" s="3" t="s">
        <v>13148</v>
      </c>
      <c r="C13146" s="3" t="s">
        <v>10</v>
      </c>
      <c r="D13146" s="3" t="s">
        <v>9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/>
      <c r="P13146" s="3"/>
      <c r="Q13146" s="3"/>
    </row>
    <row r="13147" spans="1:17" ht="15" x14ac:dyDescent="0.25">
      <c r="A13147" s="3">
        <f>13140</f>
        <v>13140</v>
      </c>
      <c r="B13147" s="3" t="s">
        <v>13149</v>
      </c>
      <c r="C13147" s="3" t="s">
        <v>10</v>
      </c>
      <c r="D13147" s="3" t="s">
        <v>9</v>
      </c>
      <c r="E13147" s="3">
        <v>0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/>
      <c r="P13147" s="3"/>
      <c r="Q13147" s="3"/>
    </row>
    <row r="13148" spans="1:17" ht="15" x14ac:dyDescent="0.25">
      <c r="A13148" s="3">
        <f>13141</f>
        <v>13141</v>
      </c>
      <c r="B13148" s="3" t="s">
        <v>13150</v>
      </c>
      <c r="C13148" s="3" t="s">
        <v>10</v>
      </c>
      <c r="D13148" s="3" t="s">
        <v>9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/>
      <c r="P13148" s="3"/>
      <c r="Q13148" s="3"/>
    </row>
    <row r="13149" spans="1:17" ht="15" x14ac:dyDescent="0.25">
      <c r="A13149" s="3">
        <f>13142</f>
        <v>13142</v>
      </c>
      <c r="B13149" s="3" t="s">
        <v>13151</v>
      </c>
      <c r="C13149" s="3" t="s">
        <v>10</v>
      </c>
      <c r="D13149" s="3" t="s">
        <v>9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/>
      <c r="P13149" s="3"/>
      <c r="Q13149" s="3"/>
    </row>
    <row r="13150" spans="1:17" ht="15" x14ac:dyDescent="0.25">
      <c r="A13150" s="3">
        <f>13143</f>
        <v>13143</v>
      </c>
      <c r="B13150" s="3" t="s">
        <v>13152</v>
      </c>
      <c r="C13150" s="3" t="s">
        <v>10</v>
      </c>
      <c r="D13150" s="3" t="s">
        <v>9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/>
      <c r="P13150" s="3"/>
      <c r="Q13150" s="3"/>
    </row>
    <row r="13151" spans="1:17" ht="15" x14ac:dyDescent="0.25">
      <c r="A13151" s="3">
        <f>13144</f>
        <v>13144</v>
      </c>
      <c r="B13151" s="3" t="s">
        <v>13153</v>
      </c>
      <c r="C13151" s="3" t="s">
        <v>10</v>
      </c>
      <c r="D13151" s="3" t="s">
        <v>9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/>
      <c r="P13151" s="3"/>
      <c r="Q13151" s="3"/>
    </row>
    <row r="13152" spans="1:17" ht="15" x14ac:dyDescent="0.25">
      <c r="A13152" s="3">
        <f>13145</f>
        <v>13145</v>
      </c>
      <c r="B13152" s="3" t="s">
        <v>13154</v>
      </c>
      <c r="C13152" s="3" t="s">
        <v>10</v>
      </c>
      <c r="D13152" s="3" t="s">
        <v>9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/>
      <c r="P13152" s="3"/>
      <c r="Q13152" s="3"/>
    </row>
    <row r="13153" spans="1:17" ht="15" x14ac:dyDescent="0.25">
      <c r="A13153" s="3">
        <f>13146</f>
        <v>13146</v>
      </c>
      <c r="B13153" s="3" t="s">
        <v>13155</v>
      </c>
      <c r="C13153" s="3" t="s">
        <v>10</v>
      </c>
      <c r="D13153" s="3" t="s">
        <v>9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/>
      <c r="P13153" s="3"/>
      <c r="Q13153" s="3"/>
    </row>
    <row r="13154" spans="1:17" ht="15" x14ac:dyDescent="0.25">
      <c r="A13154" s="3">
        <f>13147</f>
        <v>13147</v>
      </c>
      <c r="B13154" s="3" t="s">
        <v>13156</v>
      </c>
      <c r="C13154" s="3" t="s">
        <v>10</v>
      </c>
      <c r="D13154" s="3" t="s">
        <v>9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/>
      <c r="P13154" s="3"/>
      <c r="Q13154" s="3"/>
    </row>
    <row r="13155" spans="1:17" ht="15" x14ac:dyDescent="0.25">
      <c r="A13155" s="3">
        <f>13148</f>
        <v>13148</v>
      </c>
      <c r="B13155" s="3" t="s">
        <v>13157</v>
      </c>
      <c r="C13155" s="3" t="s">
        <v>10</v>
      </c>
      <c r="D13155" s="3" t="s">
        <v>9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/>
      <c r="P13155" s="3"/>
      <c r="Q13155" s="3"/>
    </row>
    <row r="13156" spans="1:17" ht="15" x14ac:dyDescent="0.25">
      <c r="A13156" s="3">
        <f>13149</f>
        <v>13149</v>
      </c>
      <c r="B13156" s="3" t="s">
        <v>13158</v>
      </c>
      <c r="C13156" s="3" t="s">
        <v>10</v>
      </c>
      <c r="D13156" s="3" t="s">
        <v>9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/>
      <c r="P13156" s="3"/>
      <c r="Q13156" s="3"/>
    </row>
    <row r="13157" spans="1:17" ht="15" x14ac:dyDescent="0.25">
      <c r="A13157" s="3">
        <f>13150</f>
        <v>13150</v>
      </c>
      <c r="B13157" s="3" t="s">
        <v>13159</v>
      </c>
      <c r="C13157" s="3" t="s">
        <v>10</v>
      </c>
      <c r="D13157" s="3" t="s">
        <v>9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/>
      <c r="P13157" s="3"/>
      <c r="Q13157" s="3"/>
    </row>
    <row r="13158" spans="1:17" ht="15" x14ac:dyDescent="0.25">
      <c r="A13158" s="3">
        <f>13151</f>
        <v>13151</v>
      </c>
      <c r="B13158" s="3" t="s">
        <v>13160</v>
      </c>
      <c r="C13158" s="3" t="s">
        <v>10</v>
      </c>
      <c r="D13158" s="3" t="s">
        <v>9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/>
      <c r="P13158" s="3"/>
      <c r="Q13158" s="3"/>
    </row>
    <row r="13159" spans="1:17" ht="15" x14ac:dyDescent="0.25">
      <c r="A13159" s="3">
        <f>13152</f>
        <v>13152</v>
      </c>
      <c r="B13159" s="3" t="s">
        <v>13161</v>
      </c>
      <c r="C13159" s="3" t="s">
        <v>10</v>
      </c>
      <c r="D13159" s="3" t="s">
        <v>9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/>
      <c r="P13159" s="3"/>
      <c r="Q13159" s="3"/>
    </row>
    <row r="13160" spans="1:17" ht="15" x14ac:dyDescent="0.25">
      <c r="A13160" s="3">
        <f>13153</f>
        <v>13153</v>
      </c>
      <c r="B13160" s="3" t="s">
        <v>13162</v>
      </c>
      <c r="C13160" s="3" t="s">
        <v>10</v>
      </c>
      <c r="D13160" s="3" t="s">
        <v>9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/>
      <c r="P13160" s="3"/>
      <c r="Q13160" s="3"/>
    </row>
    <row r="13161" spans="1:17" ht="15" x14ac:dyDescent="0.25">
      <c r="A13161" s="3">
        <f>13154</f>
        <v>13154</v>
      </c>
      <c r="B13161" s="3" t="s">
        <v>13163</v>
      </c>
      <c r="C13161" s="3" t="s">
        <v>10</v>
      </c>
      <c r="D13161" s="3" t="s">
        <v>9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/>
      <c r="P13161" s="3"/>
      <c r="Q13161" s="3"/>
    </row>
    <row r="13162" spans="1:17" ht="15" x14ac:dyDescent="0.25">
      <c r="A13162" s="3">
        <f>13155</f>
        <v>13155</v>
      </c>
      <c r="B13162" s="3" t="s">
        <v>13164</v>
      </c>
      <c r="C13162" s="3" t="s">
        <v>10</v>
      </c>
      <c r="D13162" s="3" t="s">
        <v>9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  <c r="O13162" s="3"/>
      <c r="P13162" s="3"/>
      <c r="Q13162" s="3"/>
    </row>
    <row r="13163" spans="1:17" ht="15" x14ac:dyDescent="0.25">
      <c r="A13163" s="3">
        <f>13156</f>
        <v>13156</v>
      </c>
      <c r="B13163" s="3" t="s">
        <v>13165</v>
      </c>
      <c r="C13163" s="3" t="s">
        <v>10</v>
      </c>
      <c r="D13163" s="3" t="s">
        <v>9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/>
      <c r="P13163" s="3"/>
      <c r="Q13163" s="3"/>
    </row>
    <row r="13164" spans="1:17" ht="15" x14ac:dyDescent="0.25">
      <c r="A13164" s="3">
        <f>13157</f>
        <v>13157</v>
      </c>
      <c r="B13164" s="3" t="s">
        <v>13166</v>
      </c>
      <c r="C13164" s="3" t="s">
        <v>10</v>
      </c>
      <c r="D13164" s="3" t="s">
        <v>9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/>
      <c r="P13164" s="3"/>
      <c r="Q13164" s="3"/>
    </row>
    <row r="13165" spans="1:17" ht="15" x14ac:dyDescent="0.25">
      <c r="A13165" s="3">
        <f>13158</f>
        <v>13158</v>
      </c>
      <c r="B13165" s="3" t="s">
        <v>13167</v>
      </c>
      <c r="C13165" s="3" t="s">
        <v>10</v>
      </c>
      <c r="D13165" s="3" t="s">
        <v>9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/>
      <c r="P13165" s="3"/>
      <c r="Q13165" s="3"/>
    </row>
    <row r="13166" spans="1:17" ht="15" x14ac:dyDescent="0.25">
      <c r="A13166" s="3">
        <f>13159</f>
        <v>13159</v>
      </c>
      <c r="B13166" s="3" t="s">
        <v>13168</v>
      </c>
      <c r="C13166" s="3" t="s">
        <v>10</v>
      </c>
      <c r="D13166" s="3" t="s">
        <v>9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/>
      <c r="P13166" s="3"/>
      <c r="Q13166" s="3"/>
    </row>
    <row r="13167" spans="1:17" ht="15" x14ac:dyDescent="0.25">
      <c r="A13167" s="3">
        <f>13160</f>
        <v>13160</v>
      </c>
      <c r="B13167" s="3" t="s">
        <v>13169</v>
      </c>
      <c r="C13167" s="3" t="s">
        <v>10</v>
      </c>
      <c r="D13167" s="3" t="s">
        <v>9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s="3"/>
      <c r="P13167" s="3"/>
      <c r="Q13167" s="3"/>
    </row>
    <row r="13168" spans="1:17" ht="15" x14ac:dyDescent="0.25">
      <c r="A13168" s="3">
        <f>13161</f>
        <v>13161</v>
      </c>
      <c r="B13168" s="3" t="s">
        <v>13170</v>
      </c>
      <c r="C13168" s="3" t="s">
        <v>10</v>
      </c>
      <c r="D13168" s="3" t="s">
        <v>9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/>
      <c r="P13168" s="3"/>
      <c r="Q13168" s="3"/>
    </row>
    <row r="13169" spans="1:17" ht="15" x14ac:dyDescent="0.25">
      <c r="A13169" s="3">
        <f>13162</f>
        <v>13162</v>
      </c>
      <c r="B13169" s="3" t="s">
        <v>13171</v>
      </c>
      <c r="C13169" s="3" t="s">
        <v>10</v>
      </c>
      <c r="D13169" s="3" t="s">
        <v>9</v>
      </c>
      <c r="E13169" s="3">
        <v>0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s="3"/>
      <c r="P13169" s="3"/>
      <c r="Q13169" s="3"/>
    </row>
    <row r="13170" spans="1:17" ht="15" x14ac:dyDescent="0.25">
      <c r="A13170" s="3">
        <f>13163</f>
        <v>13163</v>
      </c>
      <c r="B13170" s="3" t="s">
        <v>13172</v>
      </c>
      <c r="C13170" s="3" t="s">
        <v>10</v>
      </c>
      <c r="D13170" s="3" t="s">
        <v>9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/>
      <c r="P13170" s="3"/>
      <c r="Q13170" s="3"/>
    </row>
    <row r="13171" spans="1:17" ht="15" x14ac:dyDescent="0.25">
      <c r="A13171" s="3">
        <f>13164</f>
        <v>13164</v>
      </c>
      <c r="B13171" s="3" t="s">
        <v>13173</v>
      </c>
      <c r="C13171" s="3" t="s">
        <v>10</v>
      </c>
      <c r="D13171" s="3" t="s">
        <v>9</v>
      </c>
      <c r="E13171" s="3">
        <v>0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/>
      <c r="P13171" s="3"/>
      <c r="Q13171" s="3"/>
    </row>
    <row r="13172" spans="1:17" ht="15" x14ac:dyDescent="0.25">
      <c r="A13172" s="3">
        <f>13165</f>
        <v>13165</v>
      </c>
      <c r="B13172" s="3" t="s">
        <v>13174</v>
      </c>
      <c r="C13172" s="3" t="s">
        <v>10</v>
      </c>
      <c r="D13172" s="3" t="s">
        <v>9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/>
      <c r="P13172" s="3"/>
      <c r="Q13172" s="3"/>
    </row>
    <row r="13173" spans="1:17" ht="15" x14ac:dyDescent="0.25">
      <c r="A13173" s="3">
        <f>13166</f>
        <v>13166</v>
      </c>
      <c r="B13173" s="3" t="s">
        <v>13175</v>
      </c>
      <c r="C13173" s="3" t="s">
        <v>10</v>
      </c>
      <c r="D13173" s="3" t="s">
        <v>9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/>
      <c r="P13173" s="3"/>
      <c r="Q13173" s="3"/>
    </row>
    <row r="13174" spans="1:17" ht="15" x14ac:dyDescent="0.25">
      <c r="A13174" s="3">
        <f>13167</f>
        <v>13167</v>
      </c>
      <c r="B13174" s="3" t="s">
        <v>13176</v>
      </c>
      <c r="C13174" s="3" t="s">
        <v>10</v>
      </c>
      <c r="D13174" s="3" t="s">
        <v>9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/>
      <c r="P13174" s="3"/>
      <c r="Q13174" s="3"/>
    </row>
    <row r="13175" spans="1:17" ht="15" x14ac:dyDescent="0.25">
      <c r="A13175" s="3">
        <f>13168</f>
        <v>13168</v>
      </c>
      <c r="B13175" s="3" t="s">
        <v>13177</v>
      </c>
      <c r="C13175" s="3" t="s">
        <v>10</v>
      </c>
      <c r="D13175" s="3" t="s">
        <v>9</v>
      </c>
      <c r="E13175" s="3">
        <v>0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  <c r="O13175" s="3"/>
      <c r="P13175" s="3"/>
      <c r="Q13175" s="3"/>
    </row>
    <row r="13176" spans="1:17" ht="15" x14ac:dyDescent="0.25">
      <c r="A13176" s="3">
        <f>13169</f>
        <v>13169</v>
      </c>
      <c r="B13176" s="3" t="s">
        <v>13178</v>
      </c>
      <c r="C13176" s="3" t="s">
        <v>10</v>
      </c>
      <c r="D13176" s="3" t="s">
        <v>9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/>
      <c r="P13176" s="3"/>
      <c r="Q13176" s="3"/>
    </row>
    <row r="13177" spans="1:17" ht="15" x14ac:dyDescent="0.25">
      <c r="A13177" s="3">
        <f>13170</f>
        <v>13170</v>
      </c>
      <c r="B13177" s="3" t="s">
        <v>13179</v>
      </c>
      <c r="C13177" s="3" t="s">
        <v>10</v>
      </c>
      <c r="D13177" s="3" t="s">
        <v>9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/>
      <c r="P13177" s="3"/>
      <c r="Q13177" s="3"/>
    </row>
    <row r="13178" spans="1:17" ht="15" x14ac:dyDescent="0.25">
      <c r="A13178" s="3">
        <f>13171</f>
        <v>13171</v>
      </c>
      <c r="B13178" s="3" t="s">
        <v>13180</v>
      </c>
      <c r="C13178" s="3" t="s">
        <v>10</v>
      </c>
      <c r="D13178" s="3" t="s">
        <v>9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/>
      <c r="P13178" s="3"/>
      <c r="Q13178" s="3"/>
    </row>
    <row r="13179" spans="1:17" ht="15" x14ac:dyDescent="0.25">
      <c r="A13179" s="3">
        <f>13172</f>
        <v>13172</v>
      </c>
      <c r="B13179" s="3" t="s">
        <v>13181</v>
      </c>
      <c r="C13179" s="3" t="s">
        <v>10</v>
      </c>
      <c r="D13179" s="3" t="s">
        <v>9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/>
      <c r="P13179" s="3"/>
      <c r="Q13179" s="3"/>
    </row>
    <row r="13180" spans="1:17" ht="15" x14ac:dyDescent="0.25">
      <c r="A13180" s="3">
        <f>13173</f>
        <v>13173</v>
      </c>
      <c r="B13180" s="3" t="s">
        <v>13182</v>
      </c>
      <c r="C13180" s="3" t="s">
        <v>10</v>
      </c>
      <c r="D13180" s="3" t="s">
        <v>9</v>
      </c>
      <c r="E13180" s="3">
        <v>0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/>
      <c r="P13180" s="3"/>
      <c r="Q13180" s="3"/>
    </row>
    <row r="13181" spans="1:17" ht="15" x14ac:dyDescent="0.25">
      <c r="A13181" s="3">
        <f>13174</f>
        <v>13174</v>
      </c>
      <c r="B13181" s="3" t="s">
        <v>13183</v>
      </c>
      <c r="C13181" s="3" t="s">
        <v>10</v>
      </c>
      <c r="D13181" s="3" t="s">
        <v>9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/>
      <c r="P13181" s="3"/>
      <c r="Q13181" s="3"/>
    </row>
    <row r="13182" spans="1:17" ht="15" x14ac:dyDescent="0.25">
      <c r="A13182" s="3">
        <f>13175</f>
        <v>13175</v>
      </c>
      <c r="B13182" s="3" t="s">
        <v>13184</v>
      </c>
      <c r="C13182" s="3" t="s">
        <v>10</v>
      </c>
      <c r="D13182" s="3" t="s">
        <v>9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/>
      <c r="P13182" s="3"/>
      <c r="Q13182" s="3"/>
    </row>
    <row r="13183" spans="1:17" ht="15" x14ac:dyDescent="0.25">
      <c r="A13183" s="3">
        <f>13176</f>
        <v>13176</v>
      </c>
      <c r="B13183" s="3" t="s">
        <v>13185</v>
      </c>
      <c r="C13183" s="3" t="s">
        <v>10</v>
      </c>
      <c r="D13183" s="3" t="s">
        <v>9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/>
      <c r="P13183" s="3"/>
      <c r="Q13183" s="3"/>
    </row>
    <row r="13184" spans="1:17" ht="15" x14ac:dyDescent="0.25">
      <c r="A13184" s="3">
        <f>13177</f>
        <v>13177</v>
      </c>
      <c r="B13184" s="3" t="s">
        <v>13186</v>
      </c>
      <c r="C13184" s="3" t="s">
        <v>10</v>
      </c>
      <c r="D13184" s="3" t="s">
        <v>9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/>
      <c r="P13184" s="3"/>
      <c r="Q13184" s="3"/>
    </row>
    <row r="13185" spans="1:17" ht="15" x14ac:dyDescent="0.25">
      <c r="A13185" s="3">
        <f>13178</f>
        <v>13178</v>
      </c>
      <c r="B13185" s="3" t="s">
        <v>13187</v>
      </c>
      <c r="C13185" s="3" t="s">
        <v>10</v>
      </c>
      <c r="D13185" s="3" t="s">
        <v>9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/>
      <c r="P13185" s="3"/>
      <c r="Q13185" s="3"/>
    </row>
    <row r="13186" spans="1:17" ht="15" x14ac:dyDescent="0.25">
      <c r="A13186" s="3">
        <f>13179</f>
        <v>13179</v>
      </c>
      <c r="B13186" s="3" t="s">
        <v>13188</v>
      </c>
      <c r="C13186" s="3" t="s">
        <v>10</v>
      </c>
      <c r="D13186" s="3" t="s">
        <v>9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/>
      <c r="P13186" s="3"/>
      <c r="Q13186" s="3"/>
    </row>
    <row r="13187" spans="1:17" ht="15" x14ac:dyDescent="0.25">
      <c r="A13187" s="3">
        <f>13180</f>
        <v>13180</v>
      </c>
      <c r="B13187" s="3" t="s">
        <v>13189</v>
      </c>
      <c r="C13187" s="3" t="s">
        <v>10</v>
      </c>
      <c r="D13187" s="3" t="s">
        <v>9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/>
      <c r="P13187" s="3"/>
      <c r="Q13187" s="3"/>
    </row>
    <row r="13188" spans="1:17" ht="15" x14ac:dyDescent="0.25">
      <c r="A13188" s="3">
        <f>13181</f>
        <v>13181</v>
      </c>
      <c r="B13188" s="3" t="s">
        <v>13190</v>
      </c>
      <c r="C13188" s="3" t="s">
        <v>10</v>
      </c>
      <c r="D13188" s="3" t="s">
        <v>9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/>
      <c r="P13188" s="3"/>
      <c r="Q13188" s="3"/>
    </row>
    <row r="13189" spans="1:17" ht="15" x14ac:dyDescent="0.25">
      <c r="A13189" s="3">
        <f>13182</f>
        <v>13182</v>
      </c>
      <c r="B13189" s="3" t="s">
        <v>13191</v>
      </c>
      <c r="C13189" s="3" t="s">
        <v>10</v>
      </c>
      <c r="D13189" s="3" t="s">
        <v>9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/>
      <c r="P13189" s="3"/>
      <c r="Q13189" s="3"/>
    </row>
    <row r="13190" spans="1:17" ht="15" x14ac:dyDescent="0.25">
      <c r="A13190" s="3">
        <f>13183</f>
        <v>13183</v>
      </c>
      <c r="B13190" s="3" t="s">
        <v>13192</v>
      </c>
      <c r="C13190" s="3" t="s">
        <v>10</v>
      </c>
      <c r="D13190" s="3" t="s">
        <v>9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/>
      <c r="P13190" s="3"/>
      <c r="Q13190" s="3"/>
    </row>
    <row r="13191" spans="1:17" ht="15" x14ac:dyDescent="0.25">
      <c r="A13191" s="3">
        <f>13184</f>
        <v>13184</v>
      </c>
      <c r="B13191" s="3" t="s">
        <v>13193</v>
      </c>
      <c r="C13191" s="3" t="s">
        <v>10</v>
      </c>
      <c r="D13191" s="3" t="s">
        <v>9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/>
      <c r="P13191" s="3"/>
      <c r="Q13191" s="3"/>
    </row>
    <row r="13192" spans="1:17" ht="15" x14ac:dyDescent="0.25">
      <c r="A13192" s="3">
        <f>13185</f>
        <v>13185</v>
      </c>
      <c r="B13192" s="3" t="s">
        <v>13194</v>
      </c>
      <c r="C13192" s="3" t="s">
        <v>10</v>
      </c>
      <c r="D13192" s="3" t="s">
        <v>9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/>
      <c r="P13192" s="3"/>
      <c r="Q13192" s="3"/>
    </row>
    <row r="13193" spans="1:17" ht="15" x14ac:dyDescent="0.25">
      <c r="A13193" s="3">
        <f>13186</f>
        <v>13186</v>
      </c>
      <c r="B13193" s="3" t="s">
        <v>13195</v>
      </c>
      <c r="C13193" s="3" t="s">
        <v>10</v>
      </c>
      <c r="D13193" s="3" t="s">
        <v>9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/>
      <c r="P13193" s="3"/>
      <c r="Q13193" s="3"/>
    </row>
    <row r="13194" spans="1:17" ht="15" x14ac:dyDescent="0.25">
      <c r="A13194" s="3">
        <f>13187</f>
        <v>13187</v>
      </c>
      <c r="B13194" s="3" t="s">
        <v>13196</v>
      </c>
      <c r="C13194" s="3" t="s">
        <v>10</v>
      </c>
      <c r="D13194" s="3" t="s">
        <v>9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/>
      <c r="P13194" s="3"/>
      <c r="Q13194" s="3"/>
    </row>
    <row r="13195" spans="1:17" ht="15" x14ac:dyDescent="0.25">
      <c r="A13195" s="3">
        <f>13188</f>
        <v>13188</v>
      </c>
      <c r="B13195" s="3" t="s">
        <v>13197</v>
      </c>
      <c r="C13195" s="3" t="s">
        <v>10</v>
      </c>
      <c r="D13195" s="3" t="s">
        <v>9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/>
      <c r="P13195" s="3"/>
      <c r="Q13195" s="3"/>
    </row>
    <row r="13196" spans="1:17" ht="15" x14ac:dyDescent="0.25">
      <c r="A13196" s="3">
        <f>13189</f>
        <v>13189</v>
      </c>
      <c r="B13196" s="3" t="s">
        <v>13198</v>
      </c>
      <c r="C13196" s="3" t="s">
        <v>10</v>
      </c>
      <c r="D13196" s="3" t="s">
        <v>9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/>
      <c r="P13196" s="3"/>
      <c r="Q13196" s="3"/>
    </row>
    <row r="13197" spans="1:17" ht="15" x14ac:dyDescent="0.25">
      <c r="A13197" s="3">
        <f>13190</f>
        <v>13190</v>
      </c>
      <c r="B13197" s="3" t="s">
        <v>13199</v>
      </c>
      <c r="C13197" s="3" t="s">
        <v>10</v>
      </c>
      <c r="D13197" s="3" t="s">
        <v>9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/>
      <c r="P13197" s="3"/>
      <c r="Q13197" s="3"/>
    </row>
    <row r="13198" spans="1:17" ht="15" x14ac:dyDescent="0.25">
      <c r="A13198" s="3">
        <f>13191</f>
        <v>13191</v>
      </c>
      <c r="B13198" s="3" t="s">
        <v>13200</v>
      </c>
      <c r="C13198" s="3" t="s">
        <v>10</v>
      </c>
      <c r="D13198" s="3" t="s">
        <v>9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/>
      <c r="P13198" s="3"/>
      <c r="Q13198" s="3"/>
    </row>
    <row r="13199" spans="1:17" ht="15" x14ac:dyDescent="0.25">
      <c r="A13199" s="3">
        <f>13192</f>
        <v>13192</v>
      </c>
      <c r="B13199" s="3" t="s">
        <v>13201</v>
      </c>
      <c r="C13199" s="3" t="s">
        <v>10</v>
      </c>
      <c r="D13199" s="3" t="s">
        <v>9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/>
      <c r="P13199" s="3"/>
      <c r="Q13199" s="3"/>
    </row>
    <row r="13200" spans="1:17" ht="15" x14ac:dyDescent="0.25">
      <c r="A13200" s="3">
        <f>13193</f>
        <v>13193</v>
      </c>
      <c r="B13200" s="3" t="s">
        <v>13202</v>
      </c>
      <c r="C13200" s="3" t="s">
        <v>10</v>
      </c>
      <c r="D13200" s="3" t="s">
        <v>9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/>
      <c r="P13200" s="3"/>
      <c r="Q13200" s="3"/>
    </row>
    <row r="13201" spans="1:17" ht="15" x14ac:dyDescent="0.25">
      <c r="A13201" s="3">
        <f>13194</f>
        <v>13194</v>
      </c>
      <c r="B13201" s="3" t="s">
        <v>13203</v>
      </c>
      <c r="C13201" s="3" t="s">
        <v>10</v>
      </c>
      <c r="D13201" s="3" t="s">
        <v>9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/>
      <c r="P13201" s="3"/>
      <c r="Q13201" s="3"/>
    </row>
    <row r="13202" spans="1:17" ht="15" x14ac:dyDescent="0.25">
      <c r="A13202" s="3">
        <f>13195</f>
        <v>13195</v>
      </c>
      <c r="B13202" s="3" t="s">
        <v>13204</v>
      </c>
      <c r="C13202" s="3" t="s">
        <v>10</v>
      </c>
      <c r="D13202" s="3" t="s">
        <v>9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/>
      <c r="P13202" s="3"/>
      <c r="Q13202" s="3"/>
    </row>
    <row r="13203" spans="1:17" ht="15" x14ac:dyDescent="0.25">
      <c r="A13203" s="3">
        <f>13196</f>
        <v>13196</v>
      </c>
      <c r="B13203" s="3" t="s">
        <v>13205</v>
      </c>
      <c r="C13203" s="3" t="s">
        <v>10</v>
      </c>
      <c r="D13203" s="3" t="s">
        <v>9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/>
      <c r="P13203" s="3"/>
      <c r="Q13203" s="3"/>
    </row>
    <row r="13204" spans="1:17" ht="15" x14ac:dyDescent="0.25">
      <c r="A13204" s="3">
        <f>13197</f>
        <v>13197</v>
      </c>
      <c r="B13204" s="3" t="s">
        <v>13206</v>
      </c>
      <c r="C13204" s="3" t="s">
        <v>10</v>
      </c>
      <c r="D13204" s="3" t="s">
        <v>9</v>
      </c>
      <c r="E13204" s="3">
        <v>0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/>
      <c r="P13204" s="3"/>
      <c r="Q13204" s="3"/>
    </row>
    <row r="13205" spans="1:17" ht="15" x14ac:dyDescent="0.25">
      <c r="A13205" s="3">
        <f>13198</f>
        <v>13198</v>
      </c>
      <c r="B13205" s="3" t="s">
        <v>13207</v>
      </c>
      <c r="C13205" s="3" t="s">
        <v>10</v>
      </c>
      <c r="D13205" s="3" t="s">
        <v>9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/>
      <c r="P13205" s="3"/>
      <c r="Q13205" s="3"/>
    </row>
    <row r="13206" spans="1:17" ht="15" x14ac:dyDescent="0.25">
      <c r="A13206" s="3">
        <f>13199</f>
        <v>13199</v>
      </c>
      <c r="B13206" s="3" t="s">
        <v>13208</v>
      </c>
      <c r="C13206" s="3" t="s">
        <v>10</v>
      </c>
      <c r="D13206" s="3" t="s">
        <v>9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/>
      <c r="P13206" s="3"/>
      <c r="Q13206" s="3"/>
    </row>
    <row r="13207" spans="1:17" ht="15" x14ac:dyDescent="0.25">
      <c r="A13207" s="3">
        <f>13200</f>
        <v>13200</v>
      </c>
      <c r="B13207" s="3" t="s">
        <v>13209</v>
      </c>
      <c r="C13207" s="3" t="s">
        <v>10</v>
      </c>
      <c r="D13207" s="3" t="s">
        <v>9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/>
      <c r="P13207" s="3"/>
      <c r="Q13207" s="3"/>
    </row>
    <row r="13208" spans="1:17" ht="15" x14ac:dyDescent="0.25">
      <c r="A13208" s="3">
        <f>13201</f>
        <v>13201</v>
      </c>
      <c r="B13208" s="3" t="s">
        <v>13210</v>
      </c>
      <c r="C13208" s="3" t="s">
        <v>10</v>
      </c>
      <c r="D13208" s="3" t="s">
        <v>9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0</v>
      </c>
      <c r="O13208" s="3"/>
      <c r="P13208" s="3"/>
      <c r="Q13208" s="3"/>
    </row>
    <row r="13209" spans="1:17" ht="15" x14ac:dyDescent="0.25">
      <c r="A13209" s="3">
        <f>13202</f>
        <v>13202</v>
      </c>
      <c r="B13209" s="3" t="s">
        <v>13211</v>
      </c>
      <c r="C13209" s="3" t="s">
        <v>10</v>
      </c>
      <c r="D13209" s="3" t="s">
        <v>9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  <c r="O13209" s="3"/>
      <c r="P13209" s="3"/>
      <c r="Q13209" s="3"/>
    </row>
    <row r="13210" spans="1:17" ht="15" x14ac:dyDescent="0.25">
      <c r="A13210" s="3">
        <f>13203</f>
        <v>13203</v>
      </c>
      <c r="B13210" s="3" t="s">
        <v>13212</v>
      </c>
      <c r="C13210" s="3" t="s">
        <v>10</v>
      </c>
      <c r="D13210" s="3" t="s">
        <v>9</v>
      </c>
      <c r="E13210" s="3">
        <v>0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s="3"/>
      <c r="P13210" s="3"/>
      <c r="Q13210" s="3"/>
    </row>
    <row r="13211" spans="1:17" ht="15" x14ac:dyDescent="0.25">
      <c r="A13211" s="3">
        <f>13204</f>
        <v>13204</v>
      </c>
      <c r="B13211" s="3" t="s">
        <v>13213</v>
      </c>
      <c r="C13211" s="3" t="s">
        <v>10</v>
      </c>
      <c r="D13211" s="3" t="s">
        <v>9</v>
      </c>
      <c r="E13211" s="3">
        <v>0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s="3"/>
      <c r="P13211" s="3"/>
      <c r="Q13211" s="3"/>
    </row>
    <row r="13212" spans="1:17" ht="15" x14ac:dyDescent="0.25">
      <c r="A13212" s="3">
        <f>13205</f>
        <v>13205</v>
      </c>
      <c r="B13212" s="3" t="s">
        <v>13214</v>
      </c>
      <c r="C13212" s="3" t="s">
        <v>10</v>
      </c>
      <c r="D13212" s="3" t="s">
        <v>9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/>
      <c r="P13212" s="3"/>
      <c r="Q13212" s="3"/>
    </row>
    <row r="13213" spans="1:17" ht="15" x14ac:dyDescent="0.25">
      <c r="A13213" s="3">
        <f>13206</f>
        <v>13206</v>
      </c>
      <c r="B13213" s="3" t="s">
        <v>13215</v>
      </c>
      <c r="C13213" s="3" t="s">
        <v>10</v>
      </c>
      <c r="D13213" s="3" t="s">
        <v>9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/>
      <c r="P13213" s="3"/>
      <c r="Q13213" s="3"/>
    </row>
    <row r="13214" spans="1:17" ht="15" x14ac:dyDescent="0.25">
      <c r="A13214" s="3">
        <f>13207</f>
        <v>13207</v>
      </c>
      <c r="B13214" s="3" t="s">
        <v>13216</v>
      </c>
      <c r="C13214" s="3" t="s">
        <v>10</v>
      </c>
      <c r="D13214" s="3" t="s">
        <v>9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s="3"/>
      <c r="P13214" s="3"/>
      <c r="Q13214" s="3"/>
    </row>
    <row r="13215" spans="1:17" ht="15" x14ac:dyDescent="0.25">
      <c r="A13215" s="3">
        <f>13208</f>
        <v>13208</v>
      </c>
      <c r="B13215" s="3" t="s">
        <v>13217</v>
      </c>
      <c r="C13215" s="3" t="s">
        <v>10</v>
      </c>
      <c r="D13215" s="3" t="s">
        <v>9</v>
      </c>
      <c r="E13215" s="3">
        <v>0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0</v>
      </c>
      <c r="O13215" s="3"/>
      <c r="P13215" s="3"/>
      <c r="Q13215" s="3"/>
    </row>
    <row r="13216" spans="1:17" ht="15" x14ac:dyDescent="0.25">
      <c r="A13216" s="3">
        <f>13209</f>
        <v>13209</v>
      </c>
      <c r="B13216" s="3" t="s">
        <v>13218</v>
      </c>
      <c r="C13216" s="3" t="s">
        <v>10</v>
      </c>
      <c r="D13216" s="3" t="s">
        <v>9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/>
      <c r="P13216" s="3"/>
      <c r="Q13216" s="3"/>
    </row>
    <row r="13217" spans="1:17" ht="15" x14ac:dyDescent="0.25">
      <c r="A13217" s="3">
        <f>13210</f>
        <v>13210</v>
      </c>
      <c r="B13217" s="3" t="s">
        <v>13219</v>
      </c>
      <c r="C13217" s="3" t="s">
        <v>10</v>
      </c>
      <c r="D13217" s="3" t="s">
        <v>9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/>
      <c r="P13217" s="3"/>
      <c r="Q13217" s="3"/>
    </row>
    <row r="13218" spans="1:17" ht="15" x14ac:dyDescent="0.25">
      <c r="A13218" s="3">
        <f>13211</f>
        <v>13211</v>
      </c>
      <c r="B13218" s="3" t="s">
        <v>13220</v>
      </c>
      <c r="C13218" s="3" t="s">
        <v>10</v>
      </c>
      <c r="D13218" s="3" t="s">
        <v>9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/>
      <c r="P13218" s="3"/>
      <c r="Q13218" s="3"/>
    </row>
    <row r="13219" spans="1:17" ht="15" x14ac:dyDescent="0.25">
      <c r="A13219" s="3">
        <f>13212</f>
        <v>13212</v>
      </c>
      <c r="B13219" s="3" t="s">
        <v>13221</v>
      </c>
      <c r="C13219" s="3" t="s">
        <v>10</v>
      </c>
      <c r="D13219" s="3" t="s">
        <v>9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/>
      <c r="P13219" s="3"/>
      <c r="Q13219" s="3"/>
    </row>
    <row r="13220" spans="1:17" ht="15" x14ac:dyDescent="0.25">
      <c r="A13220" s="3">
        <f>13213</f>
        <v>13213</v>
      </c>
      <c r="B13220" s="3" t="s">
        <v>13222</v>
      </c>
      <c r="C13220" s="3" t="s">
        <v>10</v>
      </c>
      <c r="D13220" s="3" t="s">
        <v>9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s="3"/>
      <c r="P13220" s="3"/>
      <c r="Q13220" s="3"/>
    </row>
    <row r="13221" spans="1:17" ht="15" x14ac:dyDescent="0.25">
      <c r="A13221" s="3">
        <f>13214</f>
        <v>13214</v>
      </c>
      <c r="B13221" s="3" t="s">
        <v>13223</v>
      </c>
      <c r="C13221" s="3" t="s">
        <v>10</v>
      </c>
      <c r="D13221" s="3" t="s">
        <v>9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s="3"/>
      <c r="P13221" s="3"/>
      <c r="Q13221" s="3"/>
    </row>
    <row r="13222" spans="1:17" ht="15" x14ac:dyDescent="0.25">
      <c r="A13222" s="3">
        <f>13215</f>
        <v>13215</v>
      </c>
      <c r="B13222" s="3" t="s">
        <v>13224</v>
      </c>
      <c r="C13222" s="3" t="s">
        <v>10</v>
      </c>
      <c r="D13222" s="3" t="s">
        <v>9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  <c r="O13222" s="3"/>
      <c r="P13222" s="3"/>
      <c r="Q13222" s="3"/>
    </row>
    <row r="13223" spans="1:17" ht="15" x14ac:dyDescent="0.25">
      <c r="A13223" s="3">
        <f>13216</f>
        <v>13216</v>
      </c>
      <c r="B13223" s="3" t="s">
        <v>13225</v>
      </c>
      <c r="C13223" s="3" t="s">
        <v>10</v>
      </c>
      <c r="D13223" s="3" t="s">
        <v>9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  <c r="O13223" s="3"/>
      <c r="P13223" s="3"/>
      <c r="Q13223" s="3"/>
    </row>
    <row r="13224" spans="1:17" ht="15" x14ac:dyDescent="0.25">
      <c r="A13224" s="3">
        <f>13217</f>
        <v>13217</v>
      </c>
      <c r="B13224" s="3" t="s">
        <v>13226</v>
      </c>
      <c r="C13224" s="3" t="s">
        <v>10</v>
      </c>
      <c r="D13224" s="3" t="s">
        <v>9</v>
      </c>
      <c r="E13224" s="3">
        <v>0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/>
      <c r="P13224" s="3"/>
      <c r="Q13224" s="3"/>
    </row>
    <row r="13225" spans="1:17" ht="15" x14ac:dyDescent="0.25">
      <c r="A13225" s="3">
        <f>13218</f>
        <v>13218</v>
      </c>
      <c r="B13225" s="3" t="s">
        <v>13227</v>
      </c>
      <c r="C13225" s="3" t="s">
        <v>10</v>
      </c>
      <c r="D13225" s="3" t="s">
        <v>9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/>
      <c r="P13225" s="3"/>
      <c r="Q13225" s="3"/>
    </row>
    <row r="13226" spans="1:17" ht="15" x14ac:dyDescent="0.25">
      <c r="A13226" s="3">
        <f>13219</f>
        <v>13219</v>
      </c>
      <c r="B13226" s="3" t="s">
        <v>13228</v>
      </c>
      <c r="C13226" s="3" t="s">
        <v>10</v>
      </c>
      <c r="D13226" s="3" t="s">
        <v>9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/>
      <c r="P13226" s="3"/>
      <c r="Q13226" s="3"/>
    </row>
    <row r="13227" spans="1:17" ht="15" x14ac:dyDescent="0.25">
      <c r="A13227" s="3">
        <f>13220</f>
        <v>13220</v>
      </c>
      <c r="B13227" s="3" t="s">
        <v>13229</v>
      </c>
      <c r="C13227" s="3" t="s">
        <v>10</v>
      </c>
      <c r="D13227" s="3" t="s">
        <v>9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/>
      <c r="P13227" s="3"/>
      <c r="Q13227" s="3"/>
    </row>
    <row r="13228" spans="1:17" ht="15" x14ac:dyDescent="0.25">
      <c r="A13228" s="3">
        <f>13221</f>
        <v>13221</v>
      </c>
      <c r="B13228" s="3" t="s">
        <v>13230</v>
      </c>
      <c r="C13228" s="3" t="s">
        <v>10</v>
      </c>
      <c r="D13228" s="3" t="s">
        <v>9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/>
      <c r="P13228" s="3"/>
      <c r="Q13228" s="3"/>
    </row>
    <row r="13229" spans="1:17" ht="15" x14ac:dyDescent="0.25">
      <c r="A13229" s="3">
        <f>13222</f>
        <v>13222</v>
      </c>
      <c r="B13229" s="3" t="s">
        <v>13231</v>
      </c>
      <c r="C13229" s="3" t="s">
        <v>10</v>
      </c>
      <c r="D13229" s="3" t="s">
        <v>9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/>
      <c r="P13229" s="3"/>
      <c r="Q13229" s="3"/>
    </row>
    <row r="13230" spans="1:17" ht="15" x14ac:dyDescent="0.25">
      <c r="A13230" s="3">
        <f>13223</f>
        <v>13223</v>
      </c>
      <c r="B13230" s="3" t="s">
        <v>13232</v>
      </c>
      <c r="C13230" s="3" t="s">
        <v>10</v>
      </c>
      <c r="D13230" s="3" t="s">
        <v>9</v>
      </c>
      <c r="E13230" s="3">
        <v>0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  <c r="O13230" s="3"/>
      <c r="P13230" s="3"/>
      <c r="Q13230" s="3"/>
    </row>
    <row r="13231" spans="1:17" ht="15" x14ac:dyDescent="0.25">
      <c r="A13231" s="3">
        <f>13224</f>
        <v>13224</v>
      </c>
      <c r="B13231" s="3" t="s">
        <v>13233</v>
      </c>
      <c r="C13231" s="3" t="s">
        <v>10</v>
      </c>
      <c r="D13231" s="3" t="s">
        <v>9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/>
      <c r="P13231" s="3"/>
      <c r="Q13231" s="3"/>
    </row>
    <row r="13232" spans="1:17" ht="15" x14ac:dyDescent="0.25">
      <c r="A13232" s="3">
        <f>13225</f>
        <v>13225</v>
      </c>
      <c r="B13232" s="3" t="s">
        <v>13234</v>
      </c>
      <c r="C13232" s="3" t="s">
        <v>10</v>
      </c>
      <c r="D13232" s="3" t="s">
        <v>9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  <c r="O13232" s="3"/>
      <c r="P13232" s="3"/>
      <c r="Q13232" s="3"/>
    </row>
    <row r="13233" spans="1:17" ht="15" x14ac:dyDescent="0.25">
      <c r="A13233" s="3">
        <f>13226</f>
        <v>13226</v>
      </c>
      <c r="B13233" s="3" t="s">
        <v>13235</v>
      </c>
      <c r="C13233" s="3" t="s">
        <v>10</v>
      </c>
      <c r="D13233" s="3" t="s">
        <v>9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/>
      <c r="P13233" s="3"/>
      <c r="Q13233" s="3"/>
    </row>
    <row r="13234" spans="1:17" ht="15" x14ac:dyDescent="0.25">
      <c r="A13234" s="3">
        <f>13227</f>
        <v>13227</v>
      </c>
      <c r="B13234" s="3" t="s">
        <v>13236</v>
      </c>
      <c r="C13234" s="3" t="s">
        <v>10</v>
      </c>
      <c r="D13234" s="3" t="s">
        <v>9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/>
      <c r="P13234" s="3"/>
      <c r="Q13234" s="3"/>
    </row>
    <row r="13235" spans="1:17" ht="15" x14ac:dyDescent="0.25">
      <c r="A13235" s="3">
        <f>13228</f>
        <v>13228</v>
      </c>
      <c r="B13235" s="3" t="s">
        <v>13237</v>
      </c>
      <c r="C13235" s="3" t="s">
        <v>10</v>
      </c>
      <c r="D13235" s="3" t="s">
        <v>9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/>
      <c r="P13235" s="3"/>
      <c r="Q13235" s="3"/>
    </row>
    <row r="13236" spans="1:17" ht="15" x14ac:dyDescent="0.25">
      <c r="A13236" s="3">
        <f>13229</f>
        <v>13229</v>
      </c>
      <c r="B13236" s="3" t="s">
        <v>13238</v>
      </c>
      <c r="C13236" s="3" t="s">
        <v>10</v>
      </c>
      <c r="D13236" s="3" t="s">
        <v>9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/>
      <c r="P13236" s="3"/>
      <c r="Q13236" s="3"/>
    </row>
    <row r="13237" spans="1:17" ht="15" x14ac:dyDescent="0.25">
      <c r="A13237" s="3">
        <f>13230</f>
        <v>13230</v>
      </c>
      <c r="B13237" s="3" t="s">
        <v>13239</v>
      </c>
      <c r="C13237" s="3" t="s">
        <v>10</v>
      </c>
      <c r="D13237" s="3" t="s">
        <v>9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/>
      <c r="P13237" s="3"/>
      <c r="Q13237" s="3"/>
    </row>
    <row r="13238" spans="1:17" ht="15" x14ac:dyDescent="0.25">
      <c r="A13238" s="3">
        <f>13231</f>
        <v>13231</v>
      </c>
      <c r="B13238" s="3" t="s">
        <v>13240</v>
      </c>
      <c r="C13238" s="3" t="s">
        <v>10</v>
      </c>
      <c r="D13238" s="3" t="s">
        <v>9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/>
      <c r="P13238" s="3"/>
      <c r="Q13238" s="3"/>
    </row>
    <row r="13239" spans="1:17" ht="15" x14ac:dyDescent="0.25">
      <c r="A13239" s="3">
        <f>13232</f>
        <v>13232</v>
      </c>
      <c r="B13239" s="3" t="s">
        <v>13241</v>
      </c>
      <c r="C13239" s="3" t="s">
        <v>10</v>
      </c>
      <c r="D13239" s="3" t="s">
        <v>9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/>
      <c r="P13239" s="3"/>
      <c r="Q13239" s="3"/>
    </row>
    <row r="13240" spans="1:17" ht="15" x14ac:dyDescent="0.25">
      <c r="A13240" s="3">
        <f>13233</f>
        <v>13233</v>
      </c>
      <c r="B13240" s="3" t="s">
        <v>13242</v>
      </c>
      <c r="C13240" s="3" t="s">
        <v>10</v>
      </c>
      <c r="D13240" s="3" t="s">
        <v>9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s="3"/>
      <c r="P13240" s="3"/>
      <c r="Q13240" s="3"/>
    </row>
    <row r="13241" spans="1:17" ht="15" x14ac:dyDescent="0.25">
      <c r="A13241" s="3">
        <f>13234</f>
        <v>13234</v>
      </c>
      <c r="B13241" s="3" t="s">
        <v>13243</v>
      </c>
      <c r="C13241" s="3" t="s">
        <v>10</v>
      </c>
      <c r="D13241" s="3" t="s">
        <v>9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/>
      <c r="P13241" s="3"/>
      <c r="Q13241" s="3"/>
    </row>
    <row r="13242" spans="1:17" ht="15" x14ac:dyDescent="0.25">
      <c r="A13242" s="3">
        <f>13235</f>
        <v>13235</v>
      </c>
      <c r="B13242" s="3" t="s">
        <v>13244</v>
      </c>
      <c r="C13242" s="3" t="s">
        <v>10</v>
      </c>
      <c r="D13242" s="3" t="s">
        <v>9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/>
      <c r="P13242" s="3"/>
      <c r="Q13242" s="3"/>
    </row>
    <row r="13243" spans="1:17" ht="15" x14ac:dyDescent="0.25">
      <c r="A13243" s="3">
        <f>13236</f>
        <v>13236</v>
      </c>
      <c r="B13243" s="3" t="s">
        <v>13245</v>
      </c>
      <c r="C13243" s="3" t="s">
        <v>10</v>
      </c>
      <c r="D13243" s="3" t="s">
        <v>9</v>
      </c>
      <c r="E13243" s="3">
        <v>0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/>
      <c r="P13243" s="3"/>
      <c r="Q13243" s="3"/>
    </row>
    <row r="13244" spans="1:17" ht="15" x14ac:dyDescent="0.25">
      <c r="A13244" s="3">
        <f>13237</f>
        <v>13237</v>
      </c>
      <c r="B13244" s="3" t="s">
        <v>13246</v>
      </c>
      <c r="C13244" s="3" t="s">
        <v>10</v>
      </c>
      <c r="D13244" s="3" t="s">
        <v>9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/>
      <c r="P13244" s="3"/>
      <c r="Q13244" s="3"/>
    </row>
    <row r="13245" spans="1:17" ht="15" x14ac:dyDescent="0.25">
      <c r="A13245" s="3">
        <f>13238</f>
        <v>13238</v>
      </c>
      <c r="B13245" s="3" t="s">
        <v>13247</v>
      </c>
      <c r="C13245" s="3" t="s">
        <v>10</v>
      </c>
      <c r="D13245" s="3" t="s">
        <v>9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/>
      <c r="P13245" s="3"/>
      <c r="Q13245" s="3"/>
    </row>
    <row r="13246" spans="1:17" ht="15" x14ac:dyDescent="0.25">
      <c r="A13246" s="3">
        <f>13239</f>
        <v>13239</v>
      </c>
      <c r="B13246" s="3" t="s">
        <v>13248</v>
      </c>
      <c r="C13246" s="3" t="s">
        <v>10</v>
      </c>
      <c r="D13246" s="3" t="s">
        <v>9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/>
      <c r="P13246" s="3"/>
      <c r="Q13246" s="3"/>
    </row>
    <row r="13247" spans="1:17" ht="15" x14ac:dyDescent="0.25">
      <c r="A13247" s="3">
        <f>13240</f>
        <v>13240</v>
      </c>
      <c r="B13247" s="3" t="s">
        <v>13249</v>
      </c>
      <c r="C13247" s="3" t="s">
        <v>10</v>
      </c>
      <c r="D13247" s="3" t="s">
        <v>9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/>
      <c r="P13247" s="3"/>
      <c r="Q13247" s="3"/>
    </row>
    <row r="13248" spans="1:17" ht="15" x14ac:dyDescent="0.25">
      <c r="A13248" s="3">
        <f>13241</f>
        <v>13241</v>
      </c>
      <c r="B13248" s="3" t="s">
        <v>13250</v>
      </c>
      <c r="C13248" s="3" t="s">
        <v>10</v>
      </c>
      <c r="D13248" s="3" t="s">
        <v>9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/>
      <c r="P13248" s="3"/>
      <c r="Q13248" s="3"/>
    </row>
    <row r="13249" spans="1:17" ht="15" x14ac:dyDescent="0.25">
      <c r="A13249" s="3">
        <f>13242</f>
        <v>13242</v>
      </c>
      <c r="B13249" s="3" t="s">
        <v>13251</v>
      </c>
      <c r="C13249" s="3" t="s">
        <v>10</v>
      </c>
      <c r="D13249" s="3" t="s">
        <v>9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/>
      <c r="P13249" s="3"/>
      <c r="Q13249" s="3"/>
    </row>
    <row r="13250" spans="1:17" ht="15" x14ac:dyDescent="0.25">
      <c r="A13250" s="3">
        <f>13243</f>
        <v>13243</v>
      </c>
      <c r="B13250" s="3" t="s">
        <v>13252</v>
      </c>
      <c r="C13250" s="3" t="s">
        <v>10</v>
      </c>
      <c r="D13250" s="3" t="s">
        <v>9</v>
      </c>
      <c r="E13250" s="3">
        <v>0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s="3"/>
      <c r="P13250" s="3"/>
      <c r="Q13250" s="3"/>
    </row>
    <row r="13251" spans="1:17" ht="15" x14ac:dyDescent="0.25">
      <c r="A13251" s="3">
        <f>13244</f>
        <v>13244</v>
      </c>
      <c r="B13251" s="3" t="s">
        <v>13253</v>
      </c>
      <c r="C13251" s="3" t="s">
        <v>10</v>
      </c>
      <c r="D13251" s="3" t="s">
        <v>9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/>
      <c r="P13251" s="3"/>
      <c r="Q13251" s="3"/>
    </row>
    <row r="13252" spans="1:17" ht="15" x14ac:dyDescent="0.25">
      <c r="A13252" s="3">
        <f>13245</f>
        <v>13245</v>
      </c>
      <c r="B13252" s="3" t="s">
        <v>13254</v>
      </c>
      <c r="C13252" s="3" t="s">
        <v>10</v>
      </c>
      <c r="D13252" s="3" t="s">
        <v>9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/>
      <c r="P13252" s="3"/>
      <c r="Q13252" s="3"/>
    </row>
    <row r="13253" spans="1:17" ht="15" x14ac:dyDescent="0.25">
      <c r="A13253" s="3">
        <f>13246</f>
        <v>13246</v>
      </c>
      <c r="B13253" s="3" t="s">
        <v>13255</v>
      </c>
      <c r="C13253" s="3" t="s">
        <v>10</v>
      </c>
      <c r="D13253" s="3" t="s">
        <v>9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/>
      <c r="P13253" s="3"/>
      <c r="Q13253" s="3"/>
    </row>
    <row r="13254" spans="1:17" ht="15" x14ac:dyDescent="0.25">
      <c r="A13254" s="3">
        <f>13247</f>
        <v>13247</v>
      </c>
      <c r="B13254" s="3" t="s">
        <v>13256</v>
      </c>
      <c r="C13254" s="3" t="s">
        <v>10</v>
      </c>
      <c r="D13254" s="3" t="s">
        <v>9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s="3"/>
      <c r="P13254" s="3"/>
      <c r="Q13254" s="3"/>
    </row>
    <row r="13255" spans="1:17" ht="15" x14ac:dyDescent="0.25">
      <c r="A13255" s="3">
        <f>13248</f>
        <v>13248</v>
      </c>
      <c r="B13255" s="3" t="s">
        <v>13257</v>
      </c>
      <c r="C13255" s="3" t="s">
        <v>10</v>
      </c>
      <c r="D13255" s="3" t="s">
        <v>9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/>
      <c r="P13255" s="3"/>
      <c r="Q13255" s="3"/>
    </row>
    <row r="13256" spans="1:17" ht="15" x14ac:dyDescent="0.25">
      <c r="A13256" s="3">
        <f>13249</f>
        <v>13249</v>
      </c>
      <c r="B13256" s="3" t="s">
        <v>13258</v>
      </c>
      <c r="C13256" s="3" t="s">
        <v>10</v>
      </c>
      <c r="D13256" s="3" t="s">
        <v>9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/>
      <c r="P13256" s="3"/>
      <c r="Q13256" s="3"/>
    </row>
    <row r="13257" spans="1:17" ht="15" x14ac:dyDescent="0.25">
      <c r="A13257" s="3">
        <f>13250</f>
        <v>13250</v>
      </c>
      <c r="B13257" s="3" t="s">
        <v>13259</v>
      </c>
      <c r="C13257" s="3" t="s">
        <v>10</v>
      </c>
      <c r="D13257" s="3" t="s">
        <v>9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/>
      <c r="P13257" s="3"/>
      <c r="Q13257" s="3"/>
    </row>
    <row r="13258" spans="1:17" ht="15" x14ac:dyDescent="0.25">
      <c r="A13258" s="3">
        <f>13251</f>
        <v>13251</v>
      </c>
      <c r="B13258" s="3" t="s">
        <v>13260</v>
      </c>
      <c r="C13258" s="3" t="s">
        <v>10</v>
      </c>
      <c r="D13258" s="3" t="s">
        <v>9</v>
      </c>
      <c r="E13258" s="3">
        <v>0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/>
      <c r="P13258" s="3"/>
      <c r="Q13258" s="3"/>
    </row>
    <row r="13259" spans="1:17" ht="15" x14ac:dyDescent="0.25">
      <c r="A13259" s="3">
        <f>13252</f>
        <v>13252</v>
      </c>
      <c r="B13259" s="3" t="s">
        <v>13261</v>
      </c>
      <c r="C13259" s="3" t="s">
        <v>10</v>
      </c>
      <c r="D13259" s="3" t="s">
        <v>9</v>
      </c>
      <c r="E13259" s="3">
        <v>0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s="3"/>
      <c r="P13259" s="3"/>
      <c r="Q13259" s="3"/>
    </row>
    <row r="13260" spans="1:17" ht="15" x14ac:dyDescent="0.25">
      <c r="A13260" s="3">
        <f>13253</f>
        <v>13253</v>
      </c>
      <c r="B13260" s="3" t="s">
        <v>13262</v>
      </c>
      <c r="C13260" s="3" t="s">
        <v>9</v>
      </c>
      <c r="D13260" s="3" t="s">
        <v>10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/>
      <c r="P13260" s="3"/>
      <c r="Q13260" s="3"/>
    </row>
    <row r="13261" spans="1:17" ht="15" x14ac:dyDescent="0.25">
      <c r="A13261" s="3">
        <f>13254</f>
        <v>13254</v>
      </c>
      <c r="B13261" s="3" t="s">
        <v>13263</v>
      </c>
      <c r="C13261" s="3" t="s">
        <v>10</v>
      </c>
      <c r="D13261" s="3" t="s">
        <v>9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/>
      <c r="P13261" s="3"/>
      <c r="Q13261" s="3"/>
    </row>
    <row r="13262" spans="1:17" ht="15" x14ac:dyDescent="0.25">
      <c r="A13262" s="3">
        <f>13255</f>
        <v>13255</v>
      </c>
      <c r="B13262" s="3" t="s">
        <v>13264</v>
      </c>
      <c r="C13262" s="3" t="s">
        <v>10</v>
      </c>
      <c r="D13262" s="3" t="s">
        <v>9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/>
      <c r="P13262" s="3"/>
      <c r="Q13262" s="3"/>
    </row>
    <row r="13263" spans="1:17" ht="15" x14ac:dyDescent="0.25">
      <c r="A13263" s="3">
        <f>13256</f>
        <v>13256</v>
      </c>
      <c r="B13263" s="3" t="s">
        <v>13265</v>
      </c>
      <c r="C13263" s="3" t="s">
        <v>10</v>
      </c>
      <c r="D13263" s="3" t="s">
        <v>9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/>
      <c r="P13263" s="3"/>
      <c r="Q13263" s="3"/>
    </row>
    <row r="13264" spans="1:17" ht="15" x14ac:dyDescent="0.25">
      <c r="A13264" s="3">
        <f>13257</f>
        <v>13257</v>
      </c>
      <c r="B13264" s="3" t="s">
        <v>13266</v>
      </c>
      <c r="C13264" s="3" t="s">
        <v>10</v>
      </c>
      <c r="D13264" s="3" t="s">
        <v>9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/>
      <c r="P13264" s="3"/>
      <c r="Q13264" s="3"/>
    </row>
    <row r="13265" spans="1:17" ht="15" x14ac:dyDescent="0.25">
      <c r="A13265" s="3">
        <f>13258</f>
        <v>13258</v>
      </c>
      <c r="B13265" s="3" t="s">
        <v>13267</v>
      </c>
      <c r="C13265" s="3" t="s">
        <v>10</v>
      </c>
      <c r="D13265" s="3" t="s">
        <v>9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/>
      <c r="P13265" s="3"/>
      <c r="Q13265" s="3"/>
    </row>
    <row r="13266" spans="1:17" ht="15" x14ac:dyDescent="0.25">
      <c r="A13266" s="3">
        <f>13259</f>
        <v>13259</v>
      </c>
      <c r="B13266" s="3" t="s">
        <v>13268</v>
      </c>
      <c r="C13266" s="3" t="s">
        <v>10</v>
      </c>
      <c r="D13266" s="3" t="s">
        <v>9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/>
      <c r="P13266" s="3"/>
      <c r="Q13266" s="3"/>
    </row>
    <row r="13267" spans="1:17" ht="15" x14ac:dyDescent="0.25">
      <c r="A13267" s="3">
        <f>13260</f>
        <v>13260</v>
      </c>
      <c r="B13267" s="3" t="s">
        <v>13269</v>
      </c>
      <c r="C13267" s="3" t="s">
        <v>10</v>
      </c>
      <c r="D13267" s="3" t="s">
        <v>9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/>
      <c r="P13267" s="3"/>
      <c r="Q13267" s="3"/>
    </row>
    <row r="13268" spans="1:17" ht="15" x14ac:dyDescent="0.25">
      <c r="A13268" s="3">
        <f>13261</f>
        <v>13261</v>
      </c>
      <c r="B13268" s="3" t="s">
        <v>13270</v>
      </c>
      <c r="C13268" s="3" t="s">
        <v>10</v>
      </c>
      <c r="D13268" s="3" t="s">
        <v>9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/>
      <c r="P13268" s="3"/>
      <c r="Q13268" s="3"/>
    </row>
    <row r="13269" spans="1:17" ht="15" x14ac:dyDescent="0.25">
      <c r="A13269" s="3">
        <f>13262</f>
        <v>13262</v>
      </c>
      <c r="B13269" s="3" t="s">
        <v>13271</v>
      </c>
      <c r="C13269" s="3" t="s">
        <v>10</v>
      </c>
      <c r="D13269" s="3" t="s">
        <v>9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/>
      <c r="P13269" s="3"/>
      <c r="Q13269" s="3"/>
    </row>
    <row r="13270" spans="1:17" ht="15" x14ac:dyDescent="0.25">
      <c r="A13270" s="3">
        <f>13263</f>
        <v>13263</v>
      </c>
      <c r="B13270" s="3" t="s">
        <v>13272</v>
      </c>
      <c r="C13270" s="3" t="s">
        <v>10</v>
      </c>
      <c r="D13270" s="3" t="s">
        <v>9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/>
      <c r="P13270" s="3"/>
      <c r="Q13270" s="3"/>
    </row>
    <row r="13271" spans="1:17" ht="15" x14ac:dyDescent="0.25">
      <c r="A13271" s="3">
        <f>13264</f>
        <v>13264</v>
      </c>
      <c r="B13271" s="3" t="s">
        <v>13273</v>
      </c>
      <c r="C13271" s="3" t="s">
        <v>10</v>
      </c>
      <c r="D13271" s="3" t="s">
        <v>9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/>
      <c r="P13271" s="3"/>
      <c r="Q13271" s="3"/>
    </row>
    <row r="13272" spans="1:17" ht="15" x14ac:dyDescent="0.25">
      <c r="A13272" s="3">
        <f>13265</f>
        <v>13265</v>
      </c>
      <c r="B13272" s="3" t="s">
        <v>13274</v>
      </c>
      <c r="C13272" s="3" t="s">
        <v>10</v>
      </c>
      <c r="D13272" s="3" t="s">
        <v>9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/>
      <c r="P13272" s="3"/>
      <c r="Q13272" s="3"/>
    </row>
    <row r="13273" spans="1:17" ht="15" x14ac:dyDescent="0.25">
      <c r="A13273" s="3">
        <f>13266</f>
        <v>13266</v>
      </c>
      <c r="B13273" s="3" t="s">
        <v>13275</v>
      </c>
      <c r="C13273" s="3" t="s">
        <v>10</v>
      </c>
      <c r="D13273" s="3" t="s">
        <v>9</v>
      </c>
      <c r="E13273" s="3">
        <v>0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/>
      <c r="P13273" s="3"/>
      <c r="Q13273" s="3"/>
    </row>
    <row r="13274" spans="1:17" ht="15" x14ac:dyDescent="0.25">
      <c r="A13274" s="3">
        <f>13267</f>
        <v>13267</v>
      </c>
      <c r="B13274" s="3" t="s">
        <v>13276</v>
      </c>
      <c r="C13274" s="3" t="s">
        <v>10</v>
      </c>
      <c r="D13274" s="3" t="s">
        <v>9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/>
      <c r="P13274" s="3"/>
      <c r="Q13274" s="3"/>
    </row>
    <row r="13275" spans="1:17" ht="15" x14ac:dyDescent="0.25">
      <c r="A13275" s="3">
        <f>13268</f>
        <v>13268</v>
      </c>
      <c r="B13275" s="3" t="s">
        <v>13277</v>
      </c>
      <c r="C13275" s="3" t="s">
        <v>10</v>
      </c>
      <c r="D13275" s="3" t="s">
        <v>9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/>
      <c r="P13275" s="3"/>
      <c r="Q13275" s="3"/>
    </row>
    <row r="13276" spans="1:17" ht="15" x14ac:dyDescent="0.25">
      <c r="A13276" s="3">
        <f>13269</f>
        <v>13269</v>
      </c>
      <c r="B13276" s="3" t="s">
        <v>13278</v>
      </c>
      <c r="C13276" s="3" t="s">
        <v>10</v>
      </c>
      <c r="D13276" s="3" t="s">
        <v>9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/>
      <c r="P13276" s="3"/>
      <c r="Q13276" s="3"/>
    </row>
    <row r="13277" spans="1:17" ht="15" x14ac:dyDescent="0.25">
      <c r="A13277" s="3">
        <f>13270</f>
        <v>13270</v>
      </c>
      <c r="B13277" s="3" t="s">
        <v>13279</v>
      </c>
      <c r="C13277" s="3" t="s">
        <v>10</v>
      </c>
      <c r="D13277" s="3" t="s">
        <v>9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  <c r="O13277" s="3"/>
      <c r="P13277" s="3"/>
      <c r="Q13277" s="3"/>
    </row>
    <row r="13278" spans="1:17" ht="15" x14ac:dyDescent="0.25">
      <c r="A13278" s="3">
        <f>13271</f>
        <v>13271</v>
      </c>
      <c r="B13278" s="3" t="s">
        <v>13280</v>
      </c>
      <c r="C13278" s="3" t="s">
        <v>10</v>
      </c>
      <c r="D13278" s="3" t="s">
        <v>9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s="3"/>
      <c r="P13278" s="3"/>
      <c r="Q13278" s="3"/>
    </row>
    <row r="13279" spans="1:17" ht="15" x14ac:dyDescent="0.25">
      <c r="A13279" s="3">
        <f>13272</f>
        <v>13272</v>
      </c>
      <c r="B13279" s="3" t="s">
        <v>13281</v>
      </c>
      <c r="C13279" s="3" t="s">
        <v>10</v>
      </c>
      <c r="D13279" s="3" t="s">
        <v>9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/>
      <c r="P13279" s="3"/>
      <c r="Q13279" s="3"/>
    </row>
    <row r="13280" spans="1:17" ht="15" x14ac:dyDescent="0.25">
      <c r="A13280" s="3">
        <f>13273</f>
        <v>13273</v>
      </c>
      <c r="B13280" s="3" t="s">
        <v>13282</v>
      </c>
      <c r="C13280" s="3" t="s">
        <v>10</v>
      </c>
      <c r="D13280" s="3" t="s">
        <v>9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/>
      <c r="P13280" s="3"/>
      <c r="Q13280" s="3"/>
    </row>
    <row r="13281" spans="1:17" ht="15" x14ac:dyDescent="0.25">
      <c r="A13281" s="3">
        <f>13274</f>
        <v>13274</v>
      </c>
      <c r="B13281" s="3" t="s">
        <v>13283</v>
      </c>
      <c r="C13281" s="3" t="s">
        <v>10</v>
      </c>
      <c r="D13281" s="3" t="s">
        <v>9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/>
      <c r="P13281" s="3"/>
      <c r="Q13281" s="3"/>
    </row>
    <row r="13282" spans="1:17" ht="15" x14ac:dyDescent="0.25">
      <c r="A13282" s="3">
        <f>13275</f>
        <v>13275</v>
      </c>
      <c r="B13282" s="3" t="s">
        <v>13284</v>
      </c>
      <c r="C13282" s="3" t="s">
        <v>10</v>
      </c>
      <c r="D13282" s="3" t="s">
        <v>9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/>
      <c r="P13282" s="3"/>
      <c r="Q13282" s="3"/>
    </row>
    <row r="13283" spans="1:17" ht="15" x14ac:dyDescent="0.25">
      <c r="A13283" s="3">
        <f>13276</f>
        <v>13276</v>
      </c>
      <c r="B13283" s="3" t="s">
        <v>13285</v>
      </c>
      <c r="C13283" s="3" t="s">
        <v>10</v>
      </c>
      <c r="D13283" s="3" t="s">
        <v>9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/>
      <c r="P13283" s="3"/>
      <c r="Q13283" s="3"/>
    </row>
    <row r="13284" spans="1:17" ht="15" x14ac:dyDescent="0.25">
      <c r="A13284" s="3">
        <f>13277</f>
        <v>13277</v>
      </c>
      <c r="B13284" s="3" t="s">
        <v>13286</v>
      </c>
      <c r="C13284" s="3" t="s">
        <v>10</v>
      </c>
      <c r="D13284" s="3" t="s">
        <v>9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s="3"/>
      <c r="P13284" s="3"/>
      <c r="Q13284" s="3"/>
    </row>
    <row r="13285" spans="1:17" ht="15" x14ac:dyDescent="0.25">
      <c r="A13285" s="3">
        <f>13278</f>
        <v>13278</v>
      </c>
      <c r="B13285" s="3" t="s">
        <v>13287</v>
      </c>
      <c r="C13285" s="3" t="s">
        <v>10</v>
      </c>
      <c r="D13285" s="3" t="s">
        <v>9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/>
      <c r="P13285" s="3"/>
      <c r="Q13285" s="3"/>
    </row>
    <row r="13286" spans="1:17" ht="15" x14ac:dyDescent="0.25">
      <c r="A13286" s="3">
        <f>13279</f>
        <v>13279</v>
      </c>
      <c r="B13286" s="3" t="s">
        <v>13288</v>
      </c>
      <c r="C13286" s="3" t="s">
        <v>10</v>
      </c>
      <c r="D13286" s="3" t="s">
        <v>9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s="3"/>
      <c r="P13286" s="3"/>
      <c r="Q13286" s="3"/>
    </row>
    <row r="13287" spans="1:17" ht="15" x14ac:dyDescent="0.25">
      <c r="A13287" s="3">
        <f>13280</f>
        <v>13280</v>
      </c>
      <c r="B13287" s="3" t="s">
        <v>13289</v>
      </c>
      <c r="C13287" s="3" t="s">
        <v>10</v>
      </c>
      <c r="D13287" s="3" t="s">
        <v>9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/>
      <c r="P13287" s="3"/>
      <c r="Q13287" s="3"/>
    </row>
    <row r="13288" spans="1:17" ht="15" x14ac:dyDescent="0.25">
      <c r="A13288" s="3">
        <f>13281</f>
        <v>13281</v>
      </c>
      <c r="B13288" s="3" t="s">
        <v>13290</v>
      </c>
      <c r="C13288" s="3" t="s">
        <v>10</v>
      </c>
      <c r="D13288" s="3" t="s">
        <v>9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/>
      <c r="P13288" s="3"/>
      <c r="Q13288" s="3"/>
    </row>
    <row r="13289" spans="1:17" ht="15" x14ac:dyDescent="0.25">
      <c r="A13289" s="3">
        <f>13282</f>
        <v>13282</v>
      </c>
      <c r="B13289" s="3" t="s">
        <v>13291</v>
      </c>
      <c r="C13289" s="3" t="s">
        <v>10</v>
      </c>
      <c r="D13289" s="3" t="s">
        <v>9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/>
      <c r="P13289" s="3"/>
      <c r="Q13289" s="3"/>
    </row>
    <row r="13290" spans="1:17" ht="15" x14ac:dyDescent="0.25">
      <c r="A13290" s="3">
        <f>13283</f>
        <v>13283</v>
      </c>
      <c r="B13290" s="3" t="s">
        <v>13292</v>
      </c>
      <c r="C13290" s="3" t="s">
        <v>10</v>
      </c>
      <c r="D13290" s="3" t="s">
        <v>9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/>
      <c r="P13290" s="3"/>
      <c r="Q13290" s="3"/>
    </row>
    <row r="13291" spans="1:17" ht="15" x14ac:dyDescent="0.25">
      <c r="A13291" s="3">
        <f>13284</f>
        <v>13284</v>
      </c>
      <c r="B13291" s="3" t="s">
        <v>13293</v>
      </c>
      <c r="C13291" s="3" t="s">
        <v>10</v>
      </c>
      <c r="D13291" s="3" t="s">
        <v>9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s="3"/>
      <c r="P13291" s="3"/>
      <c r="Q13291" s="3"/>
    </row>
    <row r="13292" spans="1:17" ht="15" x14ac:dyDescent="0.25">
      <c r="A13292" s="3">
        <f>13285</f>
        <v>13285</v>
      </c>
      <c r="B13292" s="3" t="s">
        <v>13294</v>
      </c>
      <c r="C13292" s="3" t="s">
        <v>10</v>
      </c>
      <c r="D13292" s="3" t="s">
        <v>9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/>
      <c r="P13292" s="3"/>
      <c r="Q13292" s="3"/>
    </row>
    <row r="13293" spans="1:17" ht="15" x14ac:dyDescent="0.25">
      <c r="A13293" s="3">
        <f>13286</f>
        <v>13286</v>
      </c>
      <c r="B13293" s="3" t="s">
        <v>13295</v>
      </c>
      <c r="C13293" s="3" t="s">
        <v>10</v>
      </c>
      <c r="D13293" s="3" t="s">
        <v>9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/>
      <c r="P13293" s="3"/>
      <c r="Q13293" s="3"/>
    </row>
    <row r="13294" spans="1:17" ht="15" x14ac:dyDescent="0.25">
      <c r="A13294" s="3">
        <f>13287</f>
        <v>13287</v>
      </c>
      <c r="B13294" s="3" t="s">
        <v>13296</v>
      </c>
      <c r="C13294" s="3" t="s">
        <v>10</v>
      </c>
      <c r="D13294" s="3" t="s">
        <v>9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/>
      <c r="P13294" s="3"/>
      <c r="Q13294" s="3"/>
    </row>
    <row r="13295" spans="1:17" ht="15" x14ac:dyDescent="0.25">
      <c r="A13295" s="3">
        <f>13288</f>
        <v>13288</v>
      </c>
      <c r="B13295" s="3" t="s">
        <v>13297</v>
      </c>
      <c r="C13295" s="3" t="s">
        <v>10</v>
      </c>
      <c r="D13295" s="3" t="s">
        <v>9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/>
      <c r="P13295" s="3"/>
      <c r="Q13295" s="3"/>
    </row>
    <row r="13296" spans="1:17" ht="15" x14ac:dyDescent="0.25">
      <c r="A13296" s="3">
        <f>13289</f>
        <v>13289</v>
      </c>
      <c r="B13296" s="3" t="s">
        <v>13298</v>
      </c>
      <c r="C13296" s="3" t="s">
        <v>10</v>
      </c>
      <c r="D13296" s="3" t="s">
        <v>9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/>
      <c r="P13296" s="3"/>
      <c r="Q13296" s="3"/>
    </row>
    <row r="13297" spans="1:17" ht="15" x14ac:dyDescent="0.25">
      <c r="A13297" s="3">
        <f>13290</f>
        <v>13290</v>
      </c>
      <c r="B13297" s="3" t="s">
        <v>13299</v>
      </c>
      <c r="C13297" s="3" t="s">
        <v>10</v>
      </c>
      <c r="D13297" s="3" t="s">
        <v>9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/>
      <c r="P13297" s="3"/>
      <c r="Q13297" s="3"/>
    </row>
    <row r="13298" spans="1:17" ht="15" x14ac:dyDescent="0.25">
      <c r="A13298" s="3">
        <f>13291</f>
        <v>13291</v>
      </c>
      <c r="B13298" s="3" t="s">
        <v>13300</v>
      </c>
      <c r="C13298" s="3" t="s">
        <v>10</v>
      </c>
      <c r="D13298" s="3" t="s">
        <v>9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s="3"/>
      <c r="P13298" s="3"/>
      <c r="Q13298" s="3"/>
    </row>
    <row r="13299" spans="1:17" ht="15" x14ac:dyDescent="0.25">
      <c r="A13299" s="3">
        <f>13292</f>
        <v>13292</v>
      </c>
      <c r="B13299" s="3" t="s">
        <v>13301</v>
      </c>
      <c r="C13299" s="3" t="s">
        <v>10</v>
      </c>
      <c r="D13299" s="3" t="s">
        <v>9</v>
      </c>
      <c r="E13299" s="3">
        <v>0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s="3"/>
      <c r="P13299" s="3"/>
      <c r="Q13299" s="3"/>
    </row>
    <row r="13300" spans="1:17" ht="15" x14ac:dyDescent="0.25">
      <c r="A13300" s="3">
        <f>13293</f>
        <v>13293</v>
      </c>
      <c r="B13300" s="3" t="s">
        <v>13302</v>
      </c>
      <c r="C13300" s="3" t="s">
        <v>10</v>
      </c>
      <c r="D13300" s="3" t="s">
        <v>9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/>
      <c r="P13300" s="3"/>
      <c r="Q13300" s="3"/>
    </row>
    <row r="13301" spans="1:17" ht="15" x14ac:dyDescent="0.25">
      <c r="A13301" s="3">
        <f>13294</f>
        <v>13294</v>
      </c>
      <c r="B13301" s="3" t="s">
        <v>13303</v>
      </c>
      <c r="C13301" s="3" t="s">
        <v>10</v>
      </c>
      <c r="D13301" s="3" t="s">
        <v>9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/>
      <c r="P13301" s="3"/>
      <c r="Q13301" s="3"/>
    </row>
    <row r="13302" spans="1:17" ht="15" x14ac:dyDescent="0.25">
      <c r="A13302" s="3">
        <f>13295</f>
        <v>13295</v>
      </c>
      <c r="B13302" s="3" t="s">
        <v>13304</v>
      </c>
      <c r="C13302" s="3" t="s">
        <v>10</v>
      </c>
      <c r="D13302" s="3" t="s">
        <v>9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/>
      <c r="P13302" s="3"/>
      <c r="Q13302" s="3"/>
    </row>
    <row r="13303" spans="1:17" ht="15" x14ac:dyDescent="0.25">
      <c r="A13303" s="3">
        <f>13296</f>
        <v>13296</v>
      </c>
      <c r="B13303" s="3" t="s">
        <v>13305</v>
      </c>
      <c r="C13303" s="3" t="s">
        <v>10</v>
      </c>
      <c r="D13303" s="3" t="s">
        <v>9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s="3"/>
      <c r="P13303" s="3"/>
      <c r="Q13303" s="3"/>
    </row>
    <row r="13304" spans="1:17" ht="15" x14ac:dyDescent="0.25">
      <c r="A13304" s="3">
        <f>13297</f>
        <v>13297</v>
      </c>
      <c r="B13304" s="3" t="s">
        <v>13306</v>
      </c>
      <c r="C13304" s="3" t="s">
        <v>10</v>
      </c>
      <c r="D13304" s="3" t="s">
        <v>9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s="3"/>
      <c r="P13304" s="3"/>
      <c r="Q13304" s="3"/>
    </row>
    <row r="13305" spans="1:17" ht="15" x14ac:dyDescent="0.25">
      <c r="A13305" s="3">
        <f>13298</f>
        <v>13298</v>
      </c>
      <c r="B13305" s="3" t="s">
        <v>13307</v>
      </c>
      <c r="C13305" s="3" t="s">
        <v>10</v>
      </c>
      <c r="D13305" s="3" t="s">
        <v>9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/>
      <c r="P13305" s="3"/>
      <c r="Q13305" s="3"/>
    </row>
    <row r="13306" spans="1:17" ht="15" x14ac:dyDescent="0.25">
      <c r="A13306" s="3">
        <f>13299</f>
        <v>13299</v>
      </c>
      <c r="B13306" s="3" t="s">
        <v>13308</v>
      </c>
      <c r="C13306" s="3" t="s">
        <v>10</v>
      </c>
      <c r="D13306" s="3" t="s">
        <v>9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/>
      <c r="P13306" s="3"/>
      <c r="Q13306" s="3"/>
    </row>
    <row r="13307" spans="1:17" ht="15" x14ac:dyDescent="0.25">
      <c r="A13307" s="3">
        <f>13300</f>
        <v>13300</v>
      </c>
      <c r="B13307" s="3" t="s">
        <v>13309</v>
      </c>
      <c r="C13307" s="3" t="s">
        <v>10</v>
      </c>
      <c r="D13307" s="3" t="s">
        <v>9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s="3"/>
      <c r="P13307" s="3"/>
      <c r="Q13307" s="3"/>
    </row>
    <row r="13308" spans="1:17" ht="15" x14ac:dyDescent="0.25">
      <c r="A13308" s="3">
        <f>13301</f>
        <v>13301</v>
      </c>
      <c r="B13308" s="3" t="s">
        <v>13310</v>
      </c>
      <c r="C13308" s="3" t="s">
        <v>10</v>
      </c>
      <c r="D13308" s="3" t="s">
        <v>9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  <c r="O13308" s="3"/>
      <c r="P13308" s="3"/>
      <c r="Q13308" s="3"/>
    </row>
    <row r="13309" spans="1:17" ht="15" x14ac:dyDescent="0.25">
      <c r="A13309" s="3">
        <f>13302</f>
        <v>13302</v>
      </c>
      <c r="B13309" s="3" t="s">
        <v>13311</v>
      </c>
      <c r="C13309" s="3" t="s">
        <v>10</v>
      </c>
      <c r="D13309" s="3" t="s">
        <v>9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/>
      <c r="P13309" s="3"/>
      <c r="Q13309" s="3"/>
    </row>
    <row r="13310" spans="1:17" ht="15" x14ac:dyDescent="0.25">
      <c r="A13310" s="3">
        <f>13303</f>
        <v>13303</v>
      </c>
      <c r="B13310" s="3" t="s">
        <v>13312</v>
      </c>
      <c r="C13310" s="3" t="s">
        <v>10</v>
      </c>
      <c r="D13310" s="3" t="s">
        <v>9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s="3"/>
      <c r="P13310" s="3"/>
      <c r="Q13310" s="3"/>
    </row>
    <row r="13311" spans="1:17" ht="15" x14ac:dyDescent="0.25">
      <c r="A13311" s="3">
        <f>13304</f>
        <v>13304</v>
      </c>
      <c r="B13311" s="3" t="s">
        <v>13313</v>
      </c>
      <c r="C13311" s="3" t="s">
        <v>10</v>
      </c>
      <c r="D13311" s="3" t="s">
        <v>9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/>
      <c r="P13311" s="3"/>
      <c r="Q13311" s="3"/>
    </row>
    <row r="13312" spans="1:17" ht="15" x14ac:dyDescent="0.25">
      <c r="A13312" s="3">
        <f>13305</f>
        <v>13305</v>
      </c>
      <c r="B13312" s="3" t="s">
        <v>13314</v>
      </c>
      <c r="C13312" s="3" t="s">
        <v>10</v>
      </c>
      <c r="D13312" s="3" t="s">
        <v>9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/>
      <c r="P13312" s="3"/>
      <c r="Q13312" s="3"/>
    </row>
    <row r="13313" spans="1:17" ht="15" x14ac:dyDescent="0.25">
      <c r="A13313" s="3">
        <f>13306</f>
        <v>13306</v>
      </c>
      <c r="B13313" s="3" t="s">
        <v>13315</v>
      </c>
      <c r="C13313" s="3" t="s">
        <v>10</v>
      </c>
      <c r="D13313" s="3" t="s">
        <v>9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/>
      <c r="P13313" s="3"/>
      <c r="Q13313" s="3"/>
    </row>
    <row r="13314" spans="1:17" ht="15" x14ac:dyDescent="0.25">
      <c r="A13314" s="3">
        <f>13307</f>
        <v>13307</v>
      </c>
      <c r="B13314" s="3" t="s">
        <v>13316</v>
      </c>
      <c r="C13314" s="3" t="s">
        <v>10</v>
      </c>
      <c r="D13314" s="3" t="s">
        <v>9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/>
      <c r="P13314" s="3"/>
      <c r="Q13314" s="3"/>
    </row>
    <row r="13315" spans="1:17" ht="15" x14ac:dyDescent="0.25">
      <c r="A13315" s="3">
        <f>13308</f>
        <v>13308</v>
      </c>
      <c r="B13315" s="3" t="s">
        <v>13317</v>
      </c>
      <c r="C13315" s="3" t="s">
        <v>10</v>
      </c>
      <c r="D13315" s="3" t="s">
        <v>9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  <c r="O13315" s="3"/>
      <c r="P13315" s="3"/>
      <c r="Q13315" s="3"/>
    </row>
    <row r="13316" spans="1:17" ht="15" x14ac:dyDescent="0.25">
      <c r="A13316" s="3">
        <f>13309</f>
        <v>13309</v>
      </c>
      <c r="B13316" s="3" t="s">
        <v>13318</v>
      </c>
      <c r="C13316" s="3" t="s">
        <v>10</v>
      </c>
      <c r="D13316" s="3" t="s">
        <v>9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s="3"/>
      <c r="P13316" s="3"/>
      <c r="Q13316" s="3"/>
    </row>
    <row r="13317" spans="1:17" ht="15" x14ac:dyDescent="0.25">
      <c r="A13317" s="3">
        <f>13310</f>
        <v>13310</v>
      </c>
      <c r="B13317" s="3" t="s">
        <v>13319</v>
      </c>
      <c r="C13317" s="3" t="s">
        <v>10</v>
      </c>
      <c r="D13317" s="3" t="s">
        <v>9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/>
      <c r="P13317" s="3"/>
      <c r="Q13317" s="3"/>
    </row>
    <row r="13318" spans="1:17" ht="15" x14ac:dyDescent="0.25">
      <c r="A13318" s="3">
        <f>13311</f>
        <v>13311</v>
      </c>
      <c r="B13318" s="3" t="s">
        <v>13320</v>
      </c>
      <c r="C13318" s="3" t="s">
        <v>10</v>
      </c>
      <c r="D13318" s="3" t="s">
        <v>9</v>
      </c>
      <c r="E13318" s="3">
        <v>0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/>
      <c r="P13318" s="3"/>
      <c r="Q13318" s="3"/>
    </row>
    <row r="13319" spans="1:17" ht="15" x14ac:dyDescent="0.25">
      <c r="A13319" s="3">
        <f>13312</f>
        <v>13312</v>
      </c>
      <c r="B13319" s="3" t="s">
        <v>13321</v>
      </c>
      <c r="C13319" s="3" t="s">
        <v>10</v>
      </c>
      <c r="D13319" s="3" t="s">
        <v>9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s="3"/>
      <c r="P13319" s="3"/>
      <c r="Q13319" s="3"/>
    </row>
    <row r="13320" spans="1:17" ht="15" x14ac:dyDescent="0.25">
      <c r="A13320" s="3">
        <f>13313</f>
        <v>13313</v>
      </c>
      <c r="B13320" s="3" t="s">
        <v>13322</v>
      </c>
      <c r="C13320" s="3" t="s">
        <v>10</v>
      </c>
      <c r="D13320" s="3" t="s">
        <v>9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/>
      <c r="P13320" s="3"/>
      <c r="Q13320" s="3"/>
    </row>
    <row r="13321" spans="1:17" ht="15" x14ac:dyDescent="0.25">
      <c r="A13321" s="3">
        <f>13314</f>
        <v>13314</v>
      </c>
      <c r="B13321" s="3" t="s">
        <v>13323</v>
      </c>
      <c r="C13321" s="3" t="s">
        <v>10</v>
      </c>
      <c r="D13321" s="3" t="s">
        <v>9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/>
      <c r="P13321" s="3"/>
      <c r="Q13321" s="3"/>
    </row>
    <row r="13322" spans="1:17" ht="15" x14ac:dyDescent="0.25">
      <c r="A13322" s="3">
        <f>13315</f>
        <v>13315</v>
      </c>
      <c r="B13322" s="3" t="s">
        <v>13324</v>
      </c>
      <c r="C13322" s="3" t="s">
        <v>10</v>
      </c>
      <c r="D13322" s="3" t="s">
        <v>9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s="3"/>
      <c r="P13322" s="3"/>
      <c r="Q13322" s="3"/>
    </row>
    <row r="13323" spans="1:17" ht="15" x14ac:dyDescent="0.25">
      <c r="A13323" s="3">
        <f>13316</f>
        <v>13316</v>
      </c>
      <c r="B13323" s="3" t="s">
        <v>13325</v>
      </c>
      <c r="C13323" s="3" t="s">
        <v>10</v>
      </c>
      <c r="D13323" s="3" t="s">
        <v>9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s="3"/>
      <c r="P13323" s="3"/>
      <c r="Q13323" s="3"/>
    </row>
    <row r="13324" spans="1:17" ht="15" x14ac:dyDescent="0.25">
      <c r="A13324" s="3">
        <f>13317</f>
        <v>13317</v>
      </c>
      <c r="B13324" s="3" t="s">
        <v>13326</v>
      </c>
      <c r="C13324" s="3" t="s">
        <v>10</v>
      </c>
      <c r="D13324" s="3" t="s">
        <v>9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/>
      <c r="P13324" s="3"/>
      <c r="Q13324" s="3"/>
    </row>
    <row r="13325" spans="1:17" ht="15" x14ac:dyDescent="0.25">
      <c r="A13325" s="3">
        <f>13318</f>
        <v>13318</v>
      </c>
      <c r="B13325" s="3" t="s">
        <v>13327</v>
      </c>
      <c r="C13325" s="3" t="s">
        <v>10</v>
      </c>
      <c r="D13325" s="3" t="s">
        <v>9</v>
      </c>
      <c r="E13325" s="3">
        <v>0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/>
      <c r="P13325" s="3"/>
      <c r="Q13325" s="3"/>
    </row>
    <row r="13326" spans="1:17" ht="15" x14ac:dyDescent="0.25">
      <c r="A13326" s="3">
        <f>13319</f>
        <v>13319</v>
      </c>
      <c r="B13326" s="3" t="s">
        <v>13328</v>
      </c>
      <c r="C13326" s="3" t="s">
        <v>10</v>
      </c>
      <c r="D13326" s="3" t="s">
        <v>9</v>
      </c>
      <c r="E13326" s="3">
        <v>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  <c r="O13326" s="3"/>
      <c r="P13326" s="3"/>
      <c r="Q13326" s="3"/>
    </row>
    <row r="13327" spans="1:17" ht="15" x14ac:dyDescent="0.25">
      <c r="A13327" s="3">
        <f>13320</f>
        <v>13320</v>
      </c>
      <c r="B13327" s="3" t="s">
        <v>13329</v>
      </c>
      <c r="C13327" s="3" t="s">
        <v>10</v>
      </c>
      <c r="D13327" s="3" t="s">
        <v>9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/>
      <c r="P13327" s="3"/>
      <c r="Q13327" s="3"/>
    </row>
    <row r="13328" spans="1:17" ht="15" x14ac:dyDescent="0.25">
      <c r="A13328" s="3">
        <f>13321</f>
        <v>13321</v>
      </c>
      <c r="B13328" s="3" t="s">
        <v>13330</v>
      </c>
      <c r="C13328" s="3" t="s">
        <v>10</v>
      </c>
      <c r="D13328" s="3" t="s">
        <v>9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/>
      <c r="P13328" s="3"/>
      <c r="Q13328" s="3"/>
    </row>
    <row r="13329" spans="1:17" ht="15" x14ac:dyDescent="0.25">
      <c r="A13329" s="3">
        <f>13322</f>
        <v>13322</v>
      </c>
      <c r="B13329" s="3" t="s">
        <v>13331</v>
      </c>
      <c r="C13329" s="3" t="s">
        <v>10</v>
      </c>
      <c r="D13329" s="3" t="s">
        <v>9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/>
      <c r="P13329" s="3"/>
      <c r="Q13329" s="3"/>
    </row>
    <row r="13330" spans="1:17" ht="15" x14ac:dyDescent="0.25">
      <c r="A13330" s="3">
        <f>13323</f>
        <v>13323</v>
      </c>
      <c r="B13330" s="3" t="s">
        <v>13332</v>
      </c>
      <c r="C13330" s="3" t="s">
        <v>10</v>
      </c>
      <c r="D13330" s="3" t="s">
        <v>9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/>
      <c r="P13330" s="3"/>
      <c r="Q13330" s="3"/>
    </row>
    <row r="13331" spans="1:17" ht="15" x14ac:dyDescent="0.25">
      <c r="A13331" s="3">
        <f>13324</f>
        <v>13324</v>
      </c>
      <c r="B13331" s="3" t="s">
        <v>13333</v>
      </c>
      <c r="C13331" s="3" t="s">
        <v>10</v>
      </c>
      <c r="D13331" s="3" t="s">
        <v>9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/>
      <c r="P13331" s="3"/>
      <c r="Q13331" s="3"/>
    </row>
    <row r="13332" spans="1:17" ht="15" x14ac:dyDescent="0.25">
      <c r="A13332" s="3">
        <f>13325</f>
        <v>13325</v>
      </c>
      <c r="B13332" s="3" t="s">
        <v>13334</v>
      </c>
      <c r="C13332" s="3" t="s">
        <v>10</v>
      </c>
      <c r="D13332" s="3" t="s">
        <v>9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/>
      <c r="P13332" s="3"/>
      <c r="Q13332" s="3"/>
    </row>
    <row r="13333" spans="1:17" ht="15" x14ac:dyDescent="0.25">
      <c r="A13333" s="3">
        <f>13326</f>
        <v>13326</v>
      </c>
      <c r="B13333" s="3" t="s">
        <v>13335</v>
      </c>
      <c r="C13333" s="3" t="s">
        <v>10</v>
      </c>
      <c r="D13333" s="3" t="s">
        <v>9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/>
      <c r="P13333" s="3"/>
      <c r="Q13333" s="3"/>
    </row>
    <row r="13334" spans="1:17" ht="15" x14ac:dyDescent="0.25">
      <c r="A13334" s="3">
        <f>13327</f>
        <v>13327</v>
      </c>
      <c r="B13334" s="3" t="s">
        <v>13336</v>
      </c>
      <c r="C13334" s="3" t="s">
        <v>10</v>
      </c>
      <c r="D13334" s="3" t="s">
        <v>9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/>
      <c r="P13334" s="3"/>
      <c r="Q13334" s="3"/>
    </row>
    <row r="13335" spans="1:17" ht="15" x14ac:dyDescent="0.25">
      <c r="A13335" s="3">
        <f>13328</f>
        <v>13328</v>
      </c>
      <c r="B13335" s="3" t="s">
        <v>13337</v>
      </c>
      <c r="C13335" s="3" t="s">
        <v>10</v>
      </c>
      <c r="D13335" s="3" t="s">
        <v>9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/>
      <c r="P13335" s="3"/>
      <c r="Q13335" s="3"/>
    </row>
    <row r="13336" spans="1:17" ht="15" x14ac:dyDescent="0.25">
      <c r="A13336" s="3">
        <f>13329</f>
        <v>13329</v>
      </c>
      <c r="B13336" s="3" t="s">
        <v>13338</v>
      </c>
      <c r="C13336" s="3" t="s">
        <v>10</v>
      </c>
      <c r="D13336" s="3" t="s">
        <v>9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s="3"/>
      <c r="P13336" s="3"/>
      <c r="Q13336" s="3"/>
    </row>
    <row r="13337" spans="1:17" ht="15" x14ac:dyDescent="0.25">
      <c r="A13337" s="3">
        <f>13330</f>
        <v>13330</v>
      </c>
      <c r="B13337" s="3" t="s">
        <v>13339</v>
      </c>
      <c r="C13337" s="3" t="s">
        <v>10</v>
      </c>
      <c r="D13337" s="3" t="s">
        <v>9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/>
      <c r="P13337" s="3"/>
      <c r="Q13337" s="3"/>
    </row>
    <row r="13338" spans="1:17" ht="15" x14ac:dyDescent="0.25">
      <c r="A13338" s="3">
        <f>13331</f>
        <v>13331</v>
      </c>
      <c r="B13338" s="3" t="s">
        <v>13340</v>
      </c>
      <c r="C13338" s="3" t="s">
        <v>10</v>
      </c>
      <c r="D13338" s="3" t="s">
        <v>9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/>
      <c r="P13338" s="3"/>
      <c r="Q13338" s="3"/>
    </row>
    <row r="13339" spans="1:17" ht="15" x14ac:dyDescent="0.25">
      <c r="A13339" s="3">
        <f>13332</f>
        <v>13332</v>
      </c>
      <c r="B13339" s="3" t="s">
        <v>13341</v>
      </c>
      <c r="C13339" s="3" t="s">
        <v>10</v>
      </c>
      <c r="D13339" s="3" t="s">
        <v>9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/>
      <c r="P13339" s="3"/>
      <c r="Q13339" s="3"/>
    </row>
    <row r="13340" spans="1:17" ht="15" x14ac:dyDescent="0.25">
      <c r="A13340" s="3">
        <f>13333</f>
        <v>13333</v>
      </c>
      <c r="B13340" s="3" t="s">
        <v>13342</v>
      </c>
      <c r="C13340" s="3" t="s">
        <v>10</v>
      </c>
      <c r="D13340" s="3" t="s">
        <v>9</v>
      </c>
      <c r="E13340" s="3">
        <v>0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/>
      <c r="P13340" s="3"/>
      <c r="Q13340" s="3"/>
    </row>
    <row r="13341" spans="1:17" ht="15" x14ac:dyDescent="0.25">
      <c r="A13341" s="3">
        <f>13334</f>
        <v>13334</v>
      </c>
      <c r="B13341" s="3" t="s">
        <v>13343</v>
      </c>
      <c r="C13341" s="3" t="s">
        <v>10</v>
      </c>
      <c r="D13341" s="3" t="s">
        <v>9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/>
      <c r="P13341" s="3"/>
      <c r="Q13341" s="3"/>
    </row>
    <row r="13342" spans="1:17" ht="15" x14ac:dyDescent="0.25">
      <c r="A13342" s="3">
        <f>13335</f>
        <v>13335</v>
      </c>
      <c r="B13342" s="3" t="s">
        <v>13344</v>
      </c>
      <c r="C13342" s="3" t="s">
        <v>10</v>
      </c>
      <c r="D13342" s="3" t="s">
        <v>9</v>
      </c>
      <c r="E13342" s="3">
        <v>0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/>
      <c r="P13342" s="3"/>
      <c r="Q13342" s="3"/>
    </row>
    <row r="13343" spans="1:17" ht="15" x14ac:dyDescent="0.25">
      <c r="A13343" s="3">
        <f>13336</f>
        <v>13336</v>
      </c>
      <c r="B13343" s="3" t="s">
        <v>13345</v>
      </c>
      <c r="C13343" s="3" t="s">
        <v>10</v>
      </c>
      <c r="D13343" s="3" t="s">
        <v>9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/>
      <c r="P13343" s="3"/>
      <c r="Q13343" s="3"/>
    </row>
    <row r="13344" spans="1:17" ht="15" x14ac:dyDescent="0.25">
      <c r="A13344" s="3">
        <f>13337</f>
        <v>13337</v>
      </c>
      <c r="B13344" s="3" t="s">
        <v>13346</v>
      </c>
      <c r="C13344" s="3" t="s">
        <v>10</v>
      </c>
      <c r="D13344" s="3" t="s">
        <v>9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/>
      <c r="P13344" s="3"/>
      <c r="Q13344" s="3"/>
    </row>
    <row r="13345" spans="1:17" ht="15" x14ac:dyDescent="0.25">
      <c r="A13345" s="3">
        <f>13338</f>
        <v>13338</v>
      </c>
      <c r="B13345" s="3" t="s">
        <v>13347</v>
      </c>
      <c r="C13345" s="3" t="s">
        <v>10</v>
      </c>
      <c r="D13345" s="3" t="s">
        <v>9</v>
      </c>
      <c r="E13345" s="3">
        <v>0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/>
      <c r="P13345" s="3"/>
      <c r="Q13345" s="3"/>
    </row>
    <row r="13346" spans="1:17" ht="15" x14ac:dyDescent="0.25">
      <c r="A13346" s="3">
        <f>13339</f>
        <v>13339</v>
      </c>
      <c r="B13346" s="3" t="s">
        <v>13348</v>
      </c>
      <c r="C13346" s="3" t="s">
        <v>10</v>
      </c>
      <c r="D13346" s="3" t="s">
        <v>9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/>
      <c r="P13346" s="3"/>
      <c r="Q13346" s="3"/>
    </row>
    <row r="13347" spans="1:17" ht="15" x14ac:dyDescent="0.25">
      <c r="A13347" s="3">
        <f>13340</f>
        <v>13340</v>
      </c>
      <c r="B13347" s="3" t="s">
        <v>13349</v>
      </c>
      <c r="C13347" s="3" t="s">
        <v>10</v>
      </c>
      <c r="D13347" s="3" t="s">
        <v>9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s="3"/>
      <c r="P13347" s="3"/>
      <c r="Q13347" s="3"/>
    </row>
    <row r="13348" spans="1:17" ht="15" x14ac:dyDescent="0.25">
      <c r="A13348" s="3">
        <f>13341</f>
        <v>13341</v>
      </c>
      <c r="B13348" s="3" t="s">
        <v>13350</v>
      </c>
      <c r="C13348" s="3" t="s">
        <v>10</v>
      </c>
      <c r="D13348" s="3" t="s">
        <v>9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/>
      <c r="P13348" s="3"/>
      <c r="Q13348" s="3"/>
    </row>
    <row r="13349" spans="1:17" ht="15" x14ac:dyDescent="0.25">
      <c r="A13349" s="3">
        <f>13342</f>
        <v>13342</v>
      </c>
      <c r="B13349" s="3" t="s">
        <v>13351</v>
      </c>
      <c r="C13349" s="3" t="s">
        <v>10</v>
      </c>
      <c r="D13349" s="3" t="s">
        <v>9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/>
      <c r="P13349" s="3"/>
      <c r="Q13349" s="3"/>
    </row>
    <row r="13350" spans="1:17" ht="15" x14ac:dyDescent="0.25">
      <c r="A13350" s="3">
        <f>13343</f>
        <v>13343</v>
      </c>
      <c r="B13350" s="3" t="s">
        <v>13352</v>
      </c>
      <c r="C13350" s="3" t="s">
        <v>10</v>
      </c>
      <c r="D13350" s="3" t="s">
        <v>9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/>
      <c r="P13350" s="3"/>
      <c r="Q13350" s="3"/>
    </row>
    <row r="13351" spans="1:17" ht="15" x14ac:dyDescent="0.25">
      <c r="A13351" s="3">
        <f>13344</f>
        <v>13344</v>
      </c>
      <c r="B13351" s="3" t="s">
        <v>13353</v>
      </c>
      <c r="C13351" s="3" t="s">
        <v>10</v>
      </c>
      <c r="D13351" s="3" t="s">
        <v>9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/>
      <c r="P13351" s="3"/>
      <c r="Q13351" s="3"/>
    </row>
    <row r="13352" spans="1:17" ht="15" x14ac:dyDescent="0.25">
      <c r="A13352" s="3">
        <f>13345</f>
        <v>13345</v>
      </c>
      <c r="B13352" s="3" t="s">
        <v>13354</v>
      </c>
      <c r="C13352" s="3" t="s">
        <v>10</v>
      </c>
      <c r="D13352" s="3" t="s">
        <v>9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/>
      <c r="P13352" s="3"/>
      <c r="Q13352" s="3"/>
    </row>
    <row r="13353" spans="1:17" ht="15" x14ac:dyDescent="0.25">
      <c r="A13353" s="3">
        <f>13346</f>
        <v>13346</v>
      </c>
      <c r="B13353" s="3" t="s">
        <v>13355</v>
      </c>
      <c r="C13353" s="3" t="s">
        <v>10</v>
      </c>
      <c r="D13353" s="3" t="s">
        <v>9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/>
      <c r="P13353" s="3"/>
      <c r="Q13353" s="3"/>
    </row>
    <row r="13354" spans="1:17" ht="15" x14ac:dyDescent="0.25">
      <c r="A13354" s="3">
        <f>13347</f>
        <v>13347</v>
      </c>
      <c r="B13354" s="3" t="s">
        <v>13356</v>
      </c>
      <c r="C13354" s="3" t="s">
        <v>10</v>
      </c>
      <c r="D13354" s="3" t="s">
        <v>9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/>
      <c r="P13354" s="3"/>
      <c r="Q13354" s="3"/>
    </row>
    <row r="13355" spans="1:17" ht="15" x14ac:dyDescent="0.25">
      <c r="A13355" s="3">
        <f>13348</f>
        <v>13348</v>
      </c>
      <c r="B13355" s="3" t="s">
        <v>13357</v>
      </c>
      <c r="C13355" s="3" t="s">
        <v>10</v>
      </c>
      <c r="D13355" s="3" t="s">
        <v>9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/>
      <c r="P13355" s="3"/>
      <c r="Q13355" s="3"/>
    </row>
    <row r="13356" spans="1:17" ht="15" x14ac:dyDescent="0.25">
      <c r="A13356" s="3">
        <f>13349</f>
        <v>13349</v>
      </c>
      <c r="B13356" s="3" t="s">
        <v>13358</v>
      </c>
      <c r="C13356" s="3" t="s">
        <v>10</v>
      </c>
      <c r="D13356" s="3" t="s">
        <v>9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s="3"/>
      <c r="P13356" s="3"/>
      <c r="Q13356" s="3"/>
    </row>
    <row r="13357" spans="1:17" ht="15" x14ac:dyDescent="0.25">
      <c r="A13357" s="3">
        <f>13350</f>
        <v>13350</v>
      </c>
      <c r="B13357" s="3" t="s">
        <v>13359</v>
      </c>
      <c r="C13357" s="3" t="s">
        <v>10</v>
      </c>
      <c r="D13357" s="3" t="s">
        <v>9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/>
      <c r="P13357" s="3"/>
      <c r="Q13357" s="3"/>
    </row>
    <row r="13358" spans="1:17" ht="15" x14ac:dyDescent="0.25">
      <c r="A13358" s="3">
        <f>13351</f>
        <v>13351</v>
      </c>
      <c r="B13358" s="3" t="s">
        <v>13360</v>
      </c>
      <c r="C13358" s="3" t="s">
        <v>10</v>
      </c>
      <c r="D13358" s="3" t="s">
        <v>9</v>
      </c>
      <c r="E13358" s="3">
        <v>0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/>
      <c r="P13358" s="3"/>
      <c r="Q13358" s="3"/>
    </row>
    <row r="13359" spans="1:17" ht="15" x14ac:dyDescent="0.25">
      <c r="A13359" s="3">
        <f>13352</f>
        <v>13352</v>
      </c>
      <c r="B13359" s="3" t="s">
        <v>13361</v>
      </c>
      <c r="C13359" s="3" t="s">
        <v>10</v>
      </c>
      <c r="D13359" s="3" t="s">
        <v>9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s="3"/>
      <c r="P13359" s="3"/>
      <c r="Q13359" s="3"/>
    </row>
    <row r="13360" spans="1:17" ht="15" x14ac:dyDescent="0.25">
      <c r="A13360" s="3">
        <f>13353</f>
        <v>13353</v>
      </c>
      <c r="B13360" s="3" t="s">
        <v>13362</v>
      </c>
      <c r="C13360" s="3" t="s">
        <v>10</v>
      </c>
      <c r="D13360" s="3" t="s">
        <v>9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s="3"/>
      <c r="P13360" s="3"/>
      <c r="Q13360" s="3"/>
    </row>
    <row r="13361" spans="1:17" ht="15" x14ac:dyDescent="0.25">
      <c r="A13361" s="3">
        <f>13354</f>
        <v>13354</v>
      </c>
      <c r="B13361" s="3" t="s">
        <v>13363</v>
      </c>
      <c r="C13361" s="3" t="s">
        <v>10</v>
      </c>
      <c r="D13361" s="3" t="s">
        <v>9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0</v>
      </c>
      <c r="O13361" s="3"/>
      <c r="P13361" s="3"/>
      <c r="Q13361" s="3"/>
    </row>
    <row r="13362" spans="1:17" ht="15" x14ac:dyDescent="0.25">
      <c r="A13362" s="3">
        <f>13355</f>
        <v>13355</v>
      </c>
      <c r="B13362" s="3" t="s">
        <v>13364</v>
      </c>
      <c r="C13362" s="3" t="s">
        <v>10</v>
      </c>
      <c r="D13362" s="3" t="s">
        <v>9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/>
      <c r="P13362" s="3"/>
      <c r="Q13362" s="3"/>
    </row>
    <row r="13363" spans="1:17" ht="15" x14ac:dyDescent="0.25">
      <c r="A13363" s="3">
        <f>13356</f>
        <v>13356</v>
      </c>
      <c r="B13363" s="3" t="s">
        <v>13365</v>
      </c>
      <c r="C13363" s="3" t="s">
        <v>10</v>
      </c>
      <c r="D13363" s="3" t="s">
        <v>9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s="3"/>
      <c r="P13363" s="3"/>
      <c r="Q13363" s="3"/>
    </row>
    <row r="13364" spans="1:17" ht="15" x14ac:dyDescent="0.25">
      <c r="A13364" s="3">
        <f>13357</f>
        <v>13357</v>
      </c>
      <c r="B13364" s="3" t="s">
        <v>13366</v>
      </c>
      <c r="C13364" s="3" t="s">
        <v>10</v>
      </c>
      <c r="D13364" s="3" t="s">
        <v>9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/>
      <c r="P13364" s="3"/>
      <c r="Q13364" s="3"/>
    </row>
    <row r="13365" spans="1:17" ht="15" x14ac:dyDescent="0.25">
      <c r="A13365" s="3">
        <f>13358</f>
        <v>13358</v>
      </c>
      <c r="B13365" s="3" t="s">
        <v>13367</v>
      </c>
      <c r="C13365" s="3" t="s">
        <v>10</v>
      </c>
      <c r="D13365" s="3" t="s">
        <v>9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/>
      <c r="P13365" s="3"/>
      <c r="Q13365" s="3"/>
    </row>
    <row r="13366" spans="1:17" ht="15" x14ac:dyDescent="0.25">
      <c r="A13366" s="3">
        <f>13359</f>
        <v>13359</v>
      </c>
      <c r="B13366" s="3" t="s">
        <v>13368</v>
      </c>
      <c r="C13366" s="3" t="s">
        <v>10</v>
      </c>
      <c r="D13366" s="3" t="s">
        <v>9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/>
      <c r="P13366" s="3"/>
      <c r="Q13366" s="3"/>
    </row>
    <row r="13367" spans="1:17" ht="15" x14ac:dyDescent="0.25">
      <c r="A13367" s="3">
        <f>13360</f>
        <v>13360</v>
      </c>
      <c r="B13367" s="3" t="s">
        <v>13369</v>
      </c>
      <c r="C13367" s="3" t="s">
        <v>10</v>
      </c>
      <c r="D13367" s="3" t="s">
        <v>9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/>
      <c r="P13367" s="3"/>
      <c r="Q13367" s="3"/>
    </row>
    <row r="13368" spans="1:17" ht="15" x14ac:dyDescent="0.25">
      <c r="A13368" s="3">
        <f>13361</f>
        <v>13361</v>
      </c>
      <c r="B13368" s="3" t="s">
        <v>13370</v>
      </c>
      <c r="C13368" s="3" t="s">
        <v>10</v>
      </c>
      <c r="D13368" s="3" t="s">
        <v>9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/>
      <c r="P13368" s="3"/>
      <c r="Q13368" s="3"/>
    </row>
    <row r="13369" spans="1:17" ht="15" x14ac:dyDescent="0.25">
      <c r="A13369" s="3">
        <f>13362</f>
        <v>13362</v>
      </c>
      <c r="B13369" s="3" t="s">
        <v>13371</v>
      </c>
      <c r="C13369" s="3" t="s">
        <v>10</v>
      </c>
      <c r="D13369" s="3" t="s">
        <v>9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/>
      <c r="P13369" s="3"/>
      <c r="Q13369" s="3"/>
    </row>
    <row r="13370" spans="1:17" ht="15" x14ac:dyDescent="0.25">
      <c r="A13370" s="3">
        <f>13363</f>
        <v>13363</v>
      </c>
      <c r="B13370" s="3" t="s">
        <v>13372</v>
      </c>
      <c r="C13370" s="3" t="s">
        <v>10</v>
      </c>
      <c r="D13370" s="3" t="s">
        <v>9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/>
      <c r="P13370" s="3"/>
      <c r="Q13370" s="3"/>
    </row>
    <row r="13371" spans="1:17" ht="15" x14ac:dyDescent="0.25">
      <c r="A13371" s="3">
        <f>13364</f>
        <v>13364</v>
      </c>
      <c r="B13371" s="3" t="s">
        <v>13373</v>
      </c>
      <c r="C13371" s="3" t="s">
        <v>10</v>
      </c>
      <c r="D13371" s="3" t="s">
        <v>9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/>
      <c r="P13371" s="3"/>
      <c r="Q13371" s="3"/>
    </row>
    <row r="13372" spans="1:17" ht="15" x14ac:dyDescent="0.25">
      <c r="A13372" s="3">
        <f>13365</f>
        <v>13365</v>
      </c>
      <c r="B13372" s="3" t="s">
        <v>13374</v>
      </c>
      <c r="C13372" s="3" t="s">
        <v>10</v>
      </c>
      <c r="D13372" s="3" t="s">
        <v>9</v>
      </c>
      <c r="E13372" s="3">
        <v>0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/>
      <c r="P13372" s="3"/>
      <c r="Q13372" s="3"/>
    </row>
    <row r="13373" spans="1:17" ht="15" x14ac:dyDescent="0.25">
      <c r="A13373" s="3">
        <f>13366</f>
        <v>13366</v>
      </c>
      <c r="B13373" s="3" t="s">
        <v>13375</v>
      </c>
      <c r="C13373" s="3" t="s">
        <v>10</v>
      </c>
      <c r="D13373" s="3" t="s">
        <v>9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/>
      <c r="P13373" s="3"/>
      <c r="Q13373" s="3"/>
    </row>
    <row r="13374" spans="1:17" ht="15" x14ac:dyDescent="0.25">
      <c r="A13374" s="3">
        <f>13367</f>
        <v>13367</v>
      </c>
      <c r="B13374" s="3" t="s">
        <v>13376</v>
      </c>
      <c r="C13374" s="3" t="s">
        <v>10</v>
      </c>
      <c r="D13374" s="3" t="s">
        <v>9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/>
      <c r="P13374" s="3"/>
      <c r="Q13374" s="3"/>
    </row>
    <row r="13375" spans="1:17" ht="15" x14ac:dyDescent="0.25">
      <c r="A13375" s="3">
        <f>13368</f>
        <v>13368</v>
      </c>
      <c r="B13375" s="3" t="s">
        <v>13377</v>
      </c>
      <c r="C13375" s="3" t="s">
        <v>10</v>
      </c>
      <c r="D13375" s="3" t="s">
        <v>9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/>
      <c r="P13375" s="3"/>
      <c r="Q13375" s="3"/>
    </row>
    <row r="13376" spans="1:17" ht="15" x14ac:dyDescent="0.25">
      <c r="A13376" s="3">
        <f>13369</f>
        <v>13369</v>
      </c>
      <c r="B13376" s="3" t="s">
        <v>13378</v>
      </c>
      <c r="C13376" s="3" t="s">
        <v>10</v>
      </c>
      <c r="D13376" s="3" t="s">
        <v>9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/>
      <c r="P13376" s="3"/>
      <c r="Q13376" s="3"/>
    </row>
    <row r="13377" spans="1:17" ht="15" x14ac:dyDescent="0.25">
      <c r="A13377" s="3">
        <f>13370</f>
        <v>13370</v>
      </c>
      <c r="B13377" s="3" t="s">
        <v>13379</v>
      </c>
      <c r="C13377" s="3" t="s">
        <v>10</v>
      </c>
      <c r="D13377" s="3" t="s">
        <v>9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/>
      <c r="P13377" s="3"/>
      <c r="Q13377" s="3"/>
    </row>
    <row r="13378" spans="1:17" ht="15" x14ac:dyDescent="0.25">
      <c r="A13378" s="3">
        <f>13371</f>
        <v>13371</v>
      </c>
      <c r="B13378" s="3" t="s">
        <v>13380</v>
      </c>
      <c r="C13378" s="3" t="s">
        <v>10</v>
      </c>
      <c r="D13378" s="3" t="s">
        <v>9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/>
      <c r="P13378" s="3"/>
      <c r="Q13378" s="3"/>
    </row>
    <row r="13379" spans="1:17" ht="15" x14ac:dyDescent="0.25">
      <c r="A13379" s="3">
        <f>13372</f>
        <v>13372</v>
      </c>
      <c r="B13379" s="3" t="s">
        <v>13381</v>
      </c>
      <c r="C13379" s="3" t="s">
        <v>10</v>
      </c>
      <c r="D13379" s="3" t="s">
        <v>9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/>
      <c r="P13379" s="3"/>
      <c r="Q13379" s="3"/>
    </row>
    <row r="13380" spans="1:17" ht="15" x14ac:dyDescent="0.25">
      <c r="A13380" s="3">
        <f>13373</f>
        <v>13373</v>
      </c>
      <c r="B13380" s="3" t="s">
        <v>13382</v>
      </c>
      <c r="C13380" s="3" t="s">
        <v>10</v>
      </c>
      <c r="D13380" s="3" t="s">
        <v>9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/>
      <c r="P13380" s="3"/>
      <c r="Q13380" s="3"/>
    </row>
    <row r="13381" spans="1:17" ht="15" x14ac:dyDescent="0.25">
      <c r="A13381" s="3">
        <f>13374</f>
        <v>13374</v>
      </c>
      <c r="B13381" s="3" t="s">
        <v>13383</v>
      </c>
      <c r="C13381" s="3" t="s">
        <v>10</v>
      </c>
      <c r="D13381" s="3" t="s">
        <v>9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s="3"/>
      <c r="P13381" s="3"/>
      <c r="Q13381" s="3"/>
    </row>
    <row r="13382" spans="1:17" ht="15" x14ac:dyDescent="0.25">
      <c r="A13382" s="3">
        <f>13375</f>
        <v>13375</v>
      </c>
      <c r="B13382" s="3" t="s">
        <v>13384</v>
      </c>
      <c r="C13382" s="3" t="s">
        <v>10</v>
      </c>
      <c r="D13382" s="3" t="s">
        <v>9</v>
      </c>
      <c r="E13382" s="3">
        <v>0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/>
      <c r="P13382" s="3"/>
      <c r="Q13382" s="3"/>
    </row>
    <row r="13383" spans="1:17" ht="15" x14ac:dyDescent="0.25">
      <c r="A13383" s="3">
        <f>13376</f>
        <v>13376</v>
      </c>
      <c r="B13383" s="3" t="s">
        <v>13385</v>
      </c>
      <c r="C13383" s="3" t="s">
        <v>10</v>
      </c>
      <c r="D13383" s="3" t="s">
        <v>9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/>
      <c r="P13383" s="3"/>
      <c r="Q13383" s="3"/>
    </row>
    <row r="13384" spans="1:17" ht="15" x14ac:dyDescent="0.25">
      <c r="A13384" s="3">
        <f>13377</f>
        <v>13377</v>
      </c>
      <c r="B13384" s="3" t="s">
        <v>13386</v>
      </c>
      <c r="C13384" s="3" t="s">
        <v>10</v>
      </c>
      <c r="D13384" s="3" t="s">
        <v>9</v>
      </c>
      <c r="E13384" s="3">
        <v>0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/>
      <c r="P13384" s="3"/>
      <c r="Q13384" s="3"/>
    </row>
    <row r="13385" spans="1:17" ht="15" x14ac:dyDescent="0.25">
      <c r="A13385" s="3">
        <f>13378</f>
        <v>13378</v>
      </c>
      <c r="B13385" s="3" t="s">
        <v>13387</v>
      </c>
      <c r="C13385" s="3" t="s">
        <v>10</v>
      </c>
      <c r="D13385" s="3" t="s">
        <v>9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/>
      <c r="P13385" s="3"/>
      <c r="Q13385" s="3"/>
    </row>
    <row r="13386" spans="1:17" ht="15" x14ac:dyDescent="0.25">
      <c r="A13386" s="3">
        <f>13379</f>
        <v>13379</v>
      </c>
      <c r="B13386" s="3" t="s">
        <v>13388</v>
      </c>
      <c r="C13386" s="3" t="s">
        <v>10</v>
      </c>
      <c r="D13386" s="3" t="s">
        <v>9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/>
      <c r="P13386" s="3"/>
      <c r="Q13386" s="3"/>
    </row>
    <row r="13387" spans="1:17" ht="15" x14ac:dyDescent="0.25">
      <c r="A13387" s="3">
        <f>13380</f>
        <v>13380</v>
      </c>
      <c r="B13387" s="3" t="s">
        <v>13389</v>
      </c>
      <c r="C13387" s="3" t="s">
        <v>10</v>
      </c>
      <c r="D13387" s="3" t="s">
        <v>9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/>
      <c r="P13387" s="3"/>
      <c r="Q13387" s="3"/>
    </row>
    <row r="13388" spans="1:17" ht="15" x14ac:dyDescent="0.25">
      <c r="A13388" s="3">
        <f>13381</f>
        <v>13381</v>
      </c>
      <c r="B13388" s="3" t="s">
        <v>13390</v>
      </c>
      <c r="C13388" s="3" t="s">
        <v>10</v>
      </c>
      <c r="D13388" s="3" t="s">
        <v>9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/>
      <c r="P13388" s="3"/>
      <c r="Q13388" s="3"/>
    </row>
    <row r="13389" spans="1:17" ht="15" x14ac:dyDescent="0.25">
      <c r="A13389" s="3">
        <f>13382</f>
        <v>13382</v>
      </c>
      <c r="B13389" s="3" t="s">
        <v>13391</v>
      </c>
      <c r="C13389" s="3" t="s">
        <v>10</v>
      </c>
      <c r="D13389" s="3" t="s">
        <v>9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/>
      <c r="P13389" s="3"/>
      <c r="Q13389" s="3"/>
    </row>
    <row r="13390" spans="1:17" ht="15" x14ac:dyDescent="0.25">
      <c r="A13390" s="3">
        <f>13383</f>
        <v>13383</v>
      </c>
      <c r="B13390" s="3" t="s">
        <v>13392</v>
      </c>
      <c r="C13390" s="3" t="s">
        <v>10</v>
      </c>
      <c r="D13390" s="3" t="s">
        <v>9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/>
      <c r="P13390" s="3"/>
      <c r="Q13390" s="3"/>
    </row>
    <row r="13391" spans="1:17" ht="15" x14ac:dyDescent="0.25">
      <c r="A13391" s="3">
        <f>13384</f>
        <v>13384</v>
      </c>
      <c r="B13391" s="3" t="s">
        <v>13393</v>
      </c>
      <c r="C13391" s="3" t="s">
        <v>10</v>
      </c>
      <c r="D13391" s="3" t="s">
        <v>9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/>
      <c r="P13391" s="3"/>
      <c r="Q13391" s="3"/>
    </row>
    <row r="13392" spans="1:17" ht="15" x14ac:dyDescent="0.25">
      <c r="A13392" s="3">
        <f>13385</f>
        <v>13385</v>
      </c>
      <c r="B13392" s="3" t="s">
        <v>13394</v>
      </c>
      <c r="C13392" s="3" t="s">
        <v>10</v>
      </c>
      <c r="D13392" s="3" t="s">
        <v>9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/>
      <c r="P13392" s="3"/>
      <c r="Q13392" s="3"/>
    </row>
    <row r="13393" spans="1:17" ht="15" x14ac:dyDescent="0.25">
      <c r="A13393" s="3">
        <f>13386</f>
        <v>13386</v>
      </c>
      <c r="B13393" s="3" t="s">
        <v>13395</v>
      </c>
      <c r="C13393" s="3" t="s">
        <v>10</v>
      </c>
      <c r="D13393" s="3" t="s">
        <v>9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/>
      <c r="P13393" s="3"/>
      <c r="Q13393" s="3"/>
    </row>
    <row r="13394" spans="1:17" ht="15" x14ac:dyDescent="0.25">
      <c r="A13394" s="3">
        <f>13387</f>
        <v>13387</v>
      </c>
      <c r="B13394" s="3" t="s">
        <v>13396</v>
      </c>
      <c r="C13394" s="3" t="s">
        <v>10</v>
      </c>
      <c r="D13394" s="3" t="s">
        <v>9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/>
      <c r="P13394" s="3"/>
      <c r="Q13394" s="3"/>
    </row>
    <row r="13395" spans="1:17" ht="15" x14ac:dyDescent="0.25">
      <c r="A13395" s="3">
        <f>13388</f>
        <v>13388</v>
      </c>
      <c r="B13395" s="3" t="s">
        <v>13397</v>
      </c>
      <c r="C13395" s="3" t="s">
        <v>10</v>
      </c>
      <c r="D13395" s="3" t="s">
        <v>9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/>
      <c r="P13395" s="3"/>
      <c r="Q13395" s="3"/>
    </row>
    <row r="13396" spans="1:17" ht="15" x14ac:dyDescent="0.25">
      <c r="A13396" s="3">
        <f>13389</f>
        <v>13389</v>
      </c>
      <c r="B13396" s="3" t="s">
        <v>13398</v>
      </c>
      <c r="C13396" s="3" t="s">
        <v>10</v>
      </c>
      <c r="D13396" s="3" t="s">
        <v>9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/>
      <c r="P13396" s="3"/>
      <c r="Q13396" s="3"/>
    </row>
    <row r="13397" spans="1:17" ht="15" x14ac:dyDescent="0.25">
      <c r="A13397" s="3">
        <f>13390</f>
        <v>13390</v>
      </c>
      <c r="B13397" s="3" t="s">
        <v>13399</v>
      </c>
      <c r="C13397" s="3" t="s">
        <v>10</v>
      </c>
      <c r="D13397" s="3" t="s">
        <v>9</v>
      </c>
      <c r="E13397" s="3">
        <v>0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/>
      <c r="P13397" s="3"/>
      <c r="Q13397" s="3"/>
    </row>
    <row r="13398" spans="1:17" ht="15" x14ac:dyDescent="0.25">
      <c r="A13398" s="3">
        <f>13391</f>
        <v>13391</v>
      </c>
      <c r="B13398" s="3" t="s">
        <v>13400</v>
      </c>
      <c r="C13398" s="3" t="s">
        <v>10</v>
      </c>
      <c r="D13398" s="3" t="s">
        <v>9</v>
      </c>
      <c r="E13398" s="3">
        <v>0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/>
      <c r="P13398" s="3"/>
      <c r="Q13398" s="3"/>
    </row>
    <row r="13399" spans="1:17" ht="15" x14ac:dyDescent="0.25">
      <c r="A13399" s="3">
        <f>13392</f>
        <v>13392</v>
      </c>
      <c r="B13399" s="3" t="s">
        <v>13401</v>
      </c>
      <c r="C13399" s="3" t="s">
        <v>10</v>
      </c>
      <c r="D13399" s="3" t="s">
        <v>9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/>
      <c r="P13399" s="3"/>
      <c r="Q13399" s="3"/>
    </row>
    <row r="13400" spans="1:17" ht="15" x14ac:dyDescent="0.25">
      <c r="A13400" s="3">
        <f>13393</f>
        <v>13393</v>
      </c>
      <c r="B13400" s="3" t="s">
        <v>13402</v>
      </c>
      <c r="C13400" s="3" t="s">
        <v>10</v>
      </c>
      <c r="D13400" s="3" t="s">
        <v>9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/>
      <c r="P13400" s="3"/>
      <c r="Q13400" s="3"/>
    </row>
    <row r="13401" spans="1:17" ht="15" x14ac:dyDescent="0.25">
      <c r="A13401" s="3">
        <f>13394</f>
        <v>13394</v>
      </c>
      <c r="B13401" s="3" t="s">
        <v>13403</v>
      </c>
      <c r="C13401" s="3" t="s">
        <v>10</v>
      </c>
      <c r="D13401" s="3" t="s">
        <v>9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/>
      <c r="P13401" s="3"/>
      <c r="Q13401" s="3"/>
    </row>
    <row r="13402" spans="1:17" ht="15" x14ac:dyDescent="0.25">
      <c r="A13402" s="3">
        <f>13395</f>
        <v>13395</v>
      </c>
      <c r="B13402" s="3" t="s">
        <v>13404</v>
      </c>
      <c r="C13402" s="3" t="s">
        <v>10</v>
      </c>
      <c r="D13402" s="3" t="s">
        <v>9</v>
      </c>
      <c r="E13402" s="3">
        <v>0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s="3"/>
      <c r="P13402" s="3"/>
      <c r="Q13402" s="3"/>
    </row>
    <row r="13403" spans="1:17" ht="15" x14ac:dyDescent="0.25">
      <c r="A13403" s="3">
        <f>13396</f>
        <v>13396</v>
      </c>
      <c r="B13403" s="3" t="s">
        <v>13405</v>
      </c>
      <c r="C13403" s="3" t="s">
        <v>10</v>
      </c>
      <c r="D13403" s="3" t="s">
        <v>9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/>
      <c r="P13403" s="3"/>
      <c r="Q13403" s="3"/>
    </row>
    <row r="13404" spans="1:17" ht="15" x14ac:dyDescent="0.25">
      <c r="A13404" s="3">
        <f>13397</f>
        <v>13397</v>
      </c>
      <c r="B13404" s="3" t="s">
        <v>13406</v>
      </c>
      <c r="C13404" s="3" t="s">
        <v>10</v>
      </c>
      <c r="D13404" s="3" t="s">
        <v>9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3"/>
      <c r="P13404" s="3"/>
      <c r="Q13404" s="3"/>
    </row>
    <row r="13405" spans="1:17" ht="15" x14ac:dyDescent="0.25">
      <c r="A13405" s="3">
        <f>13398</f>
        <v>13398</v>
      </c>
      <c r="B13405" s="3" t="s">
        <v>13407</v>
      </c>
      <c r="C13405" s="3" t="s">
        <v>10</v>
      </c>
      <c r="D13405" s="3" t="s">
        <v>9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/>
      <c r="P13405" s="3"/>
      <c r="Q13405" s="3"/>
    </row>
    <row r="13406" spans="1:17" ht="15" x14ac:dyDescent="0.25">
      <c r="A13406" s="3">
        <f>13399</f>
        <v>13399</v>
      </c>
      <c r="B13406" s="3" t="s">
        <v>13408</v>
      </c>
      <c r="C13406" s="3" t="s">
        <v>10</v>
      </c>
      <c r="D13406" s="3" t="s">
        <v>9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/>
      <c r="P13406" s="3"/>
      <c r="Q13406" s="3"/>
    </row>
    <row r="13407" spans="1:17" ht="15" x14ac:dyDescent="0.25">
      <c r="A13407" s="3">
        <f>13400</f>
        <v>13400</v>
      </c>
      <c r="B13407" s="3" t="s">
        <v>13409</v>
      </c>
      <c r="C13407" s="3" t="s">
        <v>10</v>
      </c>
      <c r="D13407" s="3" t="s">
        <v>9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/>
      <c r="P13407" s="3"/>
      <c r="Q13407" s="3"/>
    </row>
    <row r="13408" spans="1:17" ht="15" x14ac:dyDescent="0.25">
      <c r="A13408" s="3">
        <f>13401</f>
        <v>13401</v>
      </c>
      <c r="B13408" s="3" t="s">
        <v>13410</v>
      </c>
      <c r="C13408" s="3" t="s">
        <v>10</v>
      </c>
      <c r="D13408" s="3" t="s">
        <v>9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/>
      <c r="P13408" s="3"/>
      <c r="Q13408" s="3"/>
    </row>
    <row r="13409" spans="1:17" ht="15" x14ac:dyDescent="0.25">
      <c r="A13409" s="3">
        <f>13402</f>
        <v>13402</v>
      </c>
      <c r="B13409" s="3" t="s">
        <v>13411</v>
      </c>
      <c r="C13409" s="3" t="s">
        <v>10</v>
      </c>
      <c r="D13409" s="3" t="s">
        <v>9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/>
      <c r="P13409" s="3"/>
      <c r="Q13409" s="3"/>
    </row>
    <row r="13410" spans="1:17" ht="15" x14ac:dyDescent="0.25">
      <c r="A13410" s="3">
        <f>13403</f>
        <v>13403</v>
      </c>
      <c r="B13410" s="3" t="s">
        <v>13412</v>
      </c>
      <c r="C13410" s="3" t="s">
        <v>10</v>
      </c>
      <c r="D13410" s="3" t="s">
        <v>9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s="3"/>
      <c r="P13410" s="3"/>
      <c r="Q13410" s="3"/>
    </row>
    <row r="13411" spans="1:17" ht="15" x14ac:dyDescent="0.25">
      <c r="A13411" s="3">
        <f>13404</f>
        <v>13404</v>
      </c>
      <c r="B13411" s="3" t="s">
        <v>13413</v>
      </c>
      <c r="C13411" s="3" t="s">
        <v>10</v>
      </c>
      <c r="D13411" s="3" t="s">
        <v>9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/>
      <c r="P13411" s="3"/>
      <c r="Q13411" s="3"/>
    </row>
    <row r="13412" spans="1:17" ht="15" x14ac:dyDescent="0.25">
      <c r="A13412" s="3">
        <f>13405</f>
        <v>13405</v>
      </c>
      <c r="B13412" s="3" t="s">
        <v>13414</v>
      </c>
      <c r="C13412" s="3" t="s">
        <v>10</v>
      </c>
      <c r="D13412" s="3" t="s">
        <v>9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s="3"/>
      <c r="P13412" s="3"/>
      <c r="Q13412" s="3"/>
    </row>
    <row r="13413" spans="1:17" ht="15" x14ac:dyDescent="0.25">
      <c r="A13413" s="3">
        <f>13406</f>
        <v>13406</v>
      </c>
      <c r="B13413" s="3" t="s">
        <v>13415</v>
      </c>
      <c r="C13413" s="3" t="s">
        <v>10</v>
      </c>
      <c r="D13413" s="3" t="s">
        <v>9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/>
      <c r="P13413" s="3"/>
      <c r="Q13413" s="3"/>
    </row>
    <row r="13414" spans="1:17" ht="15" x14ac:dyDescent="0.25">
      <c r="A13414" s="3">
        <f>13407</f>
        <v>13407</v>
      </c>
      <c r="B13414" s="3" t="s">
        <v>13416</v>
      </c>
      <c r="C13414" s="3" t="s">
        <v>10</v>
      </c>
      <c r="D13414" s="3" t="s">
        <v>9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/>
      <c r="P13414" s="3"/>
      <c r="Q13414" s="3"/>
    </row>
    <row r="13415" spans="1:17" ht="15" x14ac:dyDescent="0.25">
      <c r="A13415" s="3">
        <f>13408</f>
        <v>13408</v>
      </c>
      <c r="B13415" s="3" t="s">
        <v>13417</v>
      </c>
      <c r="C13415" s="3" t="s">
        <v>10</v>
      </c>
      <c r="D13415" s="3" t="s">
        <v>9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/>
      <c r="P13415" s="3"/>
      <c r="Q13415" s="3"/>
    </row>
    <row r="13416" spans="1:17" ht="15" x14ac:dyDescent="0.25">
      <c r="A13416" s="3">
        <f>13409</f>
        <v>13409</v>
      </c>
      <c r="B13416" s="3" t="s">
        <v>13418</v>
      </c>
      <c r="C13416" s="3" t="s">
        <v>10</v>
      </c>
      <c r="D13416" s="3" t="s">
        <v>9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/>
      <c r="P13416" s="3"/>
      <c r="Q13416" s="3"/>
    </row>
    <row r="13417" spans="1:17" ht="15" x14ac:dyDescent="0.25">
      <c r="A13417" s="3">
        <f>13410</f>
        <v>13410</v>
      </c>
      <c r="B13417" s="3" t="s">
        <v>13419</v>
      </c>
      <c r="C13417" s="3" t="s">
        <v>10</v>
      </c>
      <c r="D13417" s="3" t="s">
        <v>9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s="3"/>
      <c r="P13417" s="3"/>
      <c r="Q13417" s="3"/>
    </row>
    <row r="13418" spans="1:17" ht="15" x14ac:dyDescent="0.25">
      <c r="A13418" s="3">
        <f>13411</f>
        <v>13411</v>
      </c>
      <c r="B13418" s="3" t="s">
        <v>13420</v>
      </c>
      <c r="C13418" s="3" t="s">
        <v>10</v>
      </c>
      <c r="D13418" s="3" t="s">
        <v>9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/>
      <c r="P13418" s="3"/>
      <c r="Q13418" s="3"/>
    </row>
    <row r="13419" spans="1:17" ht="15" x14ac:dyDescent="0.25">
      <c r="A13419" s="3">
        <f>13412</f>
        <v>13412</v>
      </c>
      <c r="B13419" s="3" t="s">
        <v>13421</v>
      </c>
      <c r="C13419" s="3" t="s">
        <v>10</v>
      </c>
      <c r="D13419" s="3" t="s">
        <v>9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/>
      <c r="P13419" s="3"/>
      <c r="Q13419" s="3"/>
    </row>
    <row r="13420" spans="1:17" ht="15" x14ac:dyDescent="0.25">
      <c r="A13420" s="3">
        <f>13413</f>
        <v>13413</v>
      </c>
      <c r="B13420" s="3" t="s">
        <v>13422</v>
      </c>
      <c r="C13420" s="3" t="s">
        <v>10</v>
      </c>
      <c r="D13420" s="3" t="s">
        <v>9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s="3"/>
      <c r="P13420" s="3"/>
      <c r="Q13420" s="3"/>
    </row>
    <row r="13421" spans="1:17" ht="15" x14ac:dyDescent="0.25">
      <c r="A13421" s="3">
        <f>13414</f>
        <v>13414</v>
      </c>
      <c r="B13421" s="3" t="s">
        <v>13423</v>
      </c>
      <c r="C13421" s="3" t="s">
        <v>10</v>
      </c>
      <c r="D13421" s="3" t="s">
        <v>9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/>
      <c r="P13421" s="3"/>
      <c r="Q13421" s="3"/>
    </row>
    <row r="13422" spans="1:17" ht="15" x14ac:dyDescent="0.25">
      <c r="A13422" s="3">
        <f>13415</f>
        <v>13415</v>
      </c>
      <c r="B13422" s="3" t="s">
        <v>13424</v>
      </c>
      <c r="C13422" s="3" t="s">
        <v>10</v>
      </c>
      <c r="D13422" s="3" t="s">
        <v>9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/>
      <c r="P13422" s="3"/>
      <c r="Q13422" s="3"/>
    </row>
    <row r="13423" spans="1:17" ht="15" x14ac:dyDescent="0.25">
      <c r="A13423" s="3">
        <f>13416</f>
        <v>13416</v>
      </c>
      <c r="B13423" s="3" t="s">
        <v>13425</v>
      </c>
      <c r="C13423" s="3" t="s">
        <v>10</v>
      </c>
      <c r="D13423" s="3" t="s">
        <v>9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/>
      <c r="P13423" s="3"/>
      <c r="Q13423" s="3"/>
    </row>
    <row r="13424" spans="1:17" ht="15" x14ac:dyDescent="0.25">
      <c r="A13424" s="3">
        <f>13417</f>
        <v>13417</v>
      </c>
      <c r="B13424" s="3" t="s">
        <v>13426</v>
      </c>
      <c r="C13424" s="3" t="s">
        <v>10</v>
      </c>
      <c r="D13424" s="3" t="s">
        <v>9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s="3"/>
      <c r="P13424" s="3"/>
      <c r="Q13424" s="3"/>
    </row>
    <row r="13425" spans="1:17" ht="15" x14ac:dyDescent="0.25">
      <c r="A13425" s="3">
        <f>13418</f>
        <v>13418</v>
      </c>
      <c r="B13425" s="3" t="s">
        <v>13427</v>
      </c>
      <c r="C13425" s="3" t="s">
        <v>10</v>
      </c>
      <c r="D13425" s="3" t="s">
        <v>9</v>
      </c>
      <c r="E13425" s="3">
        <v>0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/>
      <c r="P13425" s="3"/>
      <c r="Q13425" s="3"/>
    </row>
    <row r="13426" spans="1:17" ht="15" x14ac:dyDescent="0.25">
      <c r="A13426" s="3">
        <f>13419</f>
        <v>13419</v>
      </c>
      <c r="B13426" s="3" t="s">
        <v>13428</v>
      </c>
      <c r="C13426" s="3" t="s">
        <v>10</v>
      </c>
      <c r="D13426" s="3" t="s">
        <v>9</v>
      </c>
      <c r="E13426" s="3">
        <v>0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s="3"/>
      <c r="P13426" s="3"/>
      <c r="Q13426" s="3"/>
    </row>
    <row r="13427" spans="1:17" ht="15" x14ac:dyDescent="0.25">
      <c r="A13427" s="3">
        <f>13420</f>
        <v>13420</v>
      </c>
      <c r="B13427" s="3" t="s">
        <v>13429</v>
      </c>
      <c r="C13427" s="3" t="s">
        <v>10</v>
      </c>
      <c r="D13427" s="3" t="s">
        <v>9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s="3"/>
      <c r="P13427" s="3"/>
      <c r="Q13427" s="3"/>
    </row>
    <row r="13428" spans="1:17" ht="15" x14ac:dyDescent="0.25">
      <c r="A13428" s="3">
        <f>13421</f>
        <v>13421</v>
      </c>
      <c r="B13428" s="3" t="s">
        <v>13430</v>
      </c>
      <c r="C13428" s="3" t="s">
        <v>10</v>
      </c>
      <c r="D13428" s="3" t="s">
        <v>9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/>
      <c r="P13428" s="3"/>
      <c r="Q13428" s="3"/>
    </row>
    <row r="13429" spans="1:17" ht="15" x14ac:dyDescent="0.25">
      <c r="A13429" s="3">
        <f>13422</f>
        <v>13422</v>
      </c>
      <c r="B13429" s="3" t="s">
        <v>13431</v>
      </c>
      <c r="C13429" s="3" t="s">
        <v>10</v>
      </c>
      <c r="D13429" s="3" t="s">
        <v>9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/>
      <c r="P13429" s="3"/>
      <c r="Q13429" s="3"/>
    </row>
    <row r="13430" spans="1:17" ht="15" x14ac:dyDescent="0.25">
      <c r="A13430" s="3">
        <f>13423</f>
        <v>13423</v>
      </c>
      <c r="B13430" s="3" t="s">
        <v>13432</v>
      </c>
      <c r="C13430" s="3" t="s">
        <v>10</v>
      </c>
      <c r="D13430" s="3" t="s">
        <v>9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/>
      <c r="P13430" s="3"/>
      <c r="Q13430" s="3"/>
    </row>
    <row r="13431" spans="1:17" ht="15" x14ac:dyDescent="0.25">
      <c r="A13431" s="3">
        <f>13424</f>
        <v>13424</v>
      </c>
      <c r="B13431" s="3" t="s">
        <v>13433</v>
      </c>
      <c r="C13431" s="3" t="s">
        <v>10</v>
      </c>
      <c r="D13431" s="3" t="s">
        <v>9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/>
      <c r="P13431" s="3"/>
      <c r="Q13431" s="3"/>
    </row>
    <row r="13432" spans="1:17" ht="15" x14ac:dyDescent="0.25">
      <c r="A13432" s="3">
        <f>13425</f>
        <v>13425</v>
      </c>
      <c r="B13432" s="3" t="s">
        <v>13434</v>
      </c>
      <c r="C13432" s="3" t="s">
        <v>10</v>
      </c>
      <c r="D13432" s="3" t="s">
        <v>9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/>
      <c r="P13432" s="3"/>
      <c r="Q13432" s="3"/>
    </row>
    <row r="13433" spans="1:17" ht="15" x14ac:dyDescent="0.25">
      <c r="A13433" s="3">
        <f>13426</f>
        <v>13426</v>
      </c>
      <c r="B13433" s="3" t="s">
        <v>13435</v>
      </c>
      <c r="C13433" s="3" t="s">
        <v>10</v>
      </c>
      <c r="D13433" s="3" t="s">
        <v>9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/>
      <c r="P13433" s="3"/>
      <c r="Q13433" s="3"/>
    </row>
    <row r="13434" spans="1:17" ht="15" x14ac:dyDescent="0.25">
      <c r="A13434" s="3">
        <f>13427</f>
        <v>13427</v>
      </c>
      <c r="B13434" s="3" t="s">
        <v>13436</v>
      </c>
      <c r="C13434" s="3" t="s">
        <v>10</v>
      </c>
      <c r="D13434" s="3" t="s">
        <v>9</v>
      </c>
      <c r="E13434" s="3">
        <v>0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/>
      <c r="P13434" s="3"/>
      <c r="Q13434" s="3"/>
    </row>
    <row r="13435" spans="1:17" ht="15" x14ac:dyDescent="0.25">
      <c r="A13435" s="3">
        <f>13428</f>
        <v>13428</v>
      </c>
      <c r="B13435" s="3" t="s">
        <v>13437</v>
      </c>
      <c r="C13435" s="3" t="s">
        <v>10</v>
      </c>
      <c r="D13435" s="3" t="s">
        <v>9</v>
      </c>
      <c r="E13435" s="3">
        <v>0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/>
      <c r="P13435" s="3"/>
      <c r="Q13435" s="3"/>
    </row>
    <row r="13436" spans="1:17" ht="15" x14ac:dyDescent="0.25">
      <c r="A13436" s="3">
        <f>13429</f>
        <v>13429</v>
      </c>
      <c r="B13436" s="3" t="s">
        <v>13438</v>
      </c>
      <c r="C13436" s="3" t="s">
        <v>10</v>
      </c>
      <c r="D13436" s="3" t="s">
        <v>9</v>
      </c>
      <c r="E13436" s="3">
        <v>0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/>
      <c r="P13436" s="3"/>
      <c r="Q13436" s="3"/>
    </row>
    <row r="13437" spans="1:17" ht="15" x14ac:dyDescent="0.25">
      <c r="A13437" s="3">
        <f>13430</f>
        <v>13430</v>
      </c>
      <c r="B13437" s="3" t="s">
        <v>13439</v>
      </c>
      <c r="C13437" s="3" t="s">
        <v>10</v>
      </c>
      <c r="D13437" s="3" t="s">
        <v>9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/>
      <c r="P13437" s="3"/>
      <c r="Q13437" s="3"/>
    </row>
    <row r="13438" spans="1:17" ht="15" x14ac:dyDescent="0.25">
      <c r="A13438" s="3">
        <f>13431</f>
        <v>13431</v>
      </c>
      <c r="B13438" s="3" t="s">
        <v>13440</v>
      </c>
      <c r="C13438" s="3" t="s">
        <v>10</v>
      </c>
      <c r="D13438" s="3" t="s">
        <v>9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s="3"/>
      <c r="P13438" s="3"/>
      <c r="Q13438" s="3"/>
    </row>
    <row r="13439" spans="1:17" ht="15" x14ac:dyDescent="0.25">
      <c r="A13439" s="3">
        <f>13432</f>
        <v>13432</v>
      </c>
      <c r="B13439" s="3" t="s">
        <v>13441</v>
      </c>
      <c r="C13439" s="3" t="s">
        <v>10</v>
      </c>
      <c r="D13439" s="3" t="s">
        <v>9</v>
      </c>
      <c r="E13439" s="3">
        <v>0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/>
      <c r="P13439" s="3"/>
      <c r="Q13439" s="3"/>
    </row>
    <row r="13440" spans="1:17" ht="15" x14ac:dyDescent="0.25">
      <c r="A13440" s="3">
        <f>13433</f>
        <v>13433</v>
      </c>
      <c r="B13440" s="3" t="s">
        <v>13442</v>
      </c>
      <c r="C13440" s="3" t="s">
        <v>10</v>
      </c>
      <c r="D13440" s="3" t="s">
        <v>9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/>
      <c r="P13440" s="3"/>
      <c r="Q13440" s="3"/>
    </row>
    <row r="13441" spans="1:17" ht="15" x14ac:dyDescent="0.25">
      <c r="A13441" s="3">
        <f>13434</f>
        <v>13434</v>
      </c>
      <c r="B13441" s="3" t="s">
        <v>13443</v>
      </c>
      <c r="C13441" s="3" t="s">
        <v>10</v>
      </c>
      <c r="D13441" s="3" t="s">
        <v>9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s="3"/>
      <c r="P13441" s="3"/>
      <c r="Q13441" s="3"/>
    </row>
    <row r="13442" spans="1:17" ht="15" x14ac:dyDescent="0.25">
      <c r="A13442" s="3">
        <f>13435</f>
        <v>13435</v>
      </c>
      <c r="B13442" s="3" t="s">
        <v>13444</v>
      </c>
      <c r="C13442" s="3" t="s">
        <v>10</v>
      </c>
      <c r="D13442" s="3" t="s">
        <v>9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/>
      <c r="P13442" s="3"/>
      <c r="Q13442" s="3"/>
    </row>
    <row r="13443" spans="1:17" ht="15" x14ac:dyDescent="0.25">
      <c r="A13443" s="3">
        <f>13436</f>
        <v>13436</v>
      </c>
      <c r="B13443" s="3" t="s">
        <v>13445</v>
      </c>
      <c r="C13443" s="3" t="s">
        <v>10</v>
      </c>
      <c r="D13443" s="3" t="s">
        <v>9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s="3"/>
      <c r="P13443" s="3"/>
      <c r="Q13443" s="3"/>
    </row>
    <row r="13444" spans="1:17" ht="15" x14ac:dyDescent="0.25">
      <c r="A13444" s="3">
        <f>13437</f>
        <v>13437</v>
      </c>
      <c r="B13444" s="3" t="s">
        <v>13446</v>
      </c>
      <c r="C13444" s="3" t="s">
        <v>10</v>
      </c>
      <c r="D13444" s="3" t="s">
        <v>9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/>
      <c r="P13444" s="3"/>
      <c r="Q13444" s="3"/>
    </row>
    <row r="13445" spans="1:17" ht="15" x14ac:dyDescent="0.25">
      <c r="A13445" s="3">
        <f>13438</f>
        <v>13438</v>
      </c>
      <c r="B13445" s="3" t="s">
        <v>13447</v>
      </c>
      <c r="C13445" s="3" t="s">
        <v>10</v>
      </c>
      <c r="D13445" s="3" t="s">
        <v>9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/>
      <c r="P13445" s="3"/>
      <c r="Q13445" s="3"/>
    </row>
    <row r="13446" spans="1:17" ht="15" x14ac:dyDescent="0.25">
      <c r="A13446" s="3">
        <f>13439</f>
        <v>13439</v>
      </c>
      <c r="B13446" s="3" t="s">
        <v>13448</v>
      </c>
      <c r="C13446" s="3" t="s">
        <v>10</v>
      </c>
      <c r="D13446" s="3" t="s">
        <v>9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/>
      <c r="P13446" s="3"/>
      <c r="Q13446" s="3"/>
    </row>
    <row r="13447" spans="1:17" ht="15" x14ac:dyDescent="0.25">
      <c r="A13447" s="3">
        <f>13440</f>
        <v>13440</v>
      </c>
      <c r="B13447" s="3" t="s">
        <v>13449</v>
      </c>
      <c r="C13447" s="3" t="s">
        <v>10</v>
      </c>
      <c r="D13447" s="3" t="s">
        <v>9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/>
      <c r="P13447" s="3"/>
      <c r="Q13447" s="3"/>
    </row>
    <row r="13448" spans="1:17" ht="15" x14ac:dyDescent="0.25">
      <c r="A13448" s="3">
        <f>13441</f>
        <v>13441</v>
      </c>
      <c r="B13448" s="3" t="s">
        <v>13450</v>
      </c>
      <c r="C13448" s="3" t="s">
        <v>10</v>
      </c>
      <c r="D13448" s="3" t="s">
        <v>9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/>
      <c r="P13448" s="3"/>
      <c r="Q13448" s="3"/>
    </row>
    <row r="13449" spans="1:17" ht="15" x14ac:dyDescent="0.25">
      <c r="A13449" s="3">
        <f>13442</f>
        <v>13442</v>
      </c>
      <c r="B13449" s="3" t="s">
        <v>13451</v>
      </c>
      <c r="C13449" s="3" t="s">
        <v>10</v>
      </c>
      <c r="D13449" s="3" t="s">
        <v>9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/>
      <c r="P13449" s="3"/>
      <c r="Q13449" s="3"/>
    </row>
    <row r="13450" spans="1:17" ht="15" x14ac:dyDescent="0.25">
      <c r="A13450" s="3">
        <f>13443</f>
        <v>13443</v>
      </c>
      <c r="B13450" s="3" t="s">
        <v>13452</v>
      </c>
      <c r="C13450" s="3" t="s">
        <v>10</v>
      </c>
      <c r="D13450" s="3" t="s">
        <v>9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/>
      <c r="P13450" s="3"/>
      <c r="Q13450" s="3"/>
    </row>
    <row r="13451" spans="1:17" ht="15" x14ac:dyDescent="0.25">
      <c r="A13451" s="3">
        <f>13444</f>
        <v>13444</v>
      </c>
      <c r="B13451" s="3" t="s">
        <v>13453</v>
      </c>
      <c r="C13451" s="3" t="s">
        <v>10</v>
      </c>
      <c r="D13451" s="3" t="s">
        <v>9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/>
      <c r="P13451" s="3"/>
      <c r="Q13451" s="3"/>
    </row>
    <row r="13452" spans="1:17" ht="15" x14ac:dyDescent="0.25">
      <c r="A13452" s="3">
        <f>13445</f>
        <v>13445</v>
      </c>
      <c r="B13452" s="3" t="s">
        <v>13454</v>
      </c>
      <c r="C13452" s="3" t="s">
        <v>10</v>
      </c>
      <c r="D13452" s="3" t="s">
        <v>9</v>
      </c>
      <c r="E13452" s="3">
        <v>0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s="3"/>
      <c r="P13452" s="3"/>
      <c r="Q13452" s="3"/>
    </row>
    <row r="13453" spans="1:17" ht="15" x14ac:dyDescent="0.25">
      <c r="A13453" s="3">
        <f>13446</f>
        <v>13446</v>
      </c>
      <c r="B13453" s="3" t="s">
        <v>13455</v>
      </c>
      <c r="C13453" s="3" t="s">
        <v>10</v>
      </c>
      <c r="D13453" s="3" t="s">
        <v>9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/>
      <c r="P13453" s="3"/>
      <c r="Q13453" s="3"/>
    </row>
    <row r="13454" spans="1:17" ht="15" x14ac:dyDescent="0.25">
      <c r="A13454" s="3">
        <f>13447</f>
        <v>13447</v>
      </c>
      <c r="B13454" s="3" t="s">
        <v>13456</v>
      </c>
      <c r="C13454" s="3" t="s">
        <v>10</v>
      </c>
      <c r="D13454" s="3" t="s">
        <v>9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/>
      <c r="P13454" s="3"/>
      <c r="Q13454" s="3"/>
    </row>
    <row r="13455" spans="1:17" ht="15" x14ac:dyDescent="0.25">
      <c r="A13455" s="3">
        <f>13448</f>
        <v>13448</v>
      </c>
      <c r="B13455" s="3" t="s">
        <v>13457</v>
      </c>
      <c r="C13455" s="3" t="s">
        <v>10</v>
      </c>
      <c r="D13455" s="3" t="s">
        <v>9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/>
      <c r="P13455" s="3"/>
      <c r="Q13455" s="3"/>
    </row>
    <row r="13456" spans="1:17" ht="15" x14ac:dyDescent="0.25">
      <c r="A13456" s="3">
        <f>13449</f>
        <v>13449</v>
      </c>
      <c r="B13456" s="3" t="s">
        <v>13458</v>
      </c>
      <c r="C13456" s="3" t="s">
        <v>10</v>
      </c>
      <c r="D13456" s="3" t="s">
        <v>9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/>
      <c r="P13456" s="3"/>
      <c r="Q13456" s="3"/>
    </row>
    <row r="13457" spans="1:17" ht="15" x14ac:dyDescent="0.25">
      <c r="A13457" s="3">
        <f>13450</f>
        <v>13450</v>
      </c>
      <c r="B13457" s="3" t="s">
        <v>13459</v>
      </c>
      <c r="C13457" s="3" t="s">
        <v>10</v>
      </c>
      <c r="D13457" s="3" t="s">
        <v>9</v>
      </c>
      <c r="E13457" s="3">
        <v>0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/>
      <c r="P13457" s="3"/>
      <c r="Q13457" s="3"/>
    </row>
    <row r="13458" spans="1:17" ht="15" x14ac:dyDescent="0.25">
      <c r="A13458" s="3">
        <f>13451</f>
        <v>13451</v>
      </c>
      <c r="B13458" s="3" t="s">
        <v>13460</v>
      </c>
      <c r="C13458" s="3" t="s">
        <v>10</v>
      </c>
      <c r="D13458" s="3" t="s">
        <v>9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/>
      <c r="P13458" s="3"/>
      <c r="Q13458" s="3"/>
    </row>
    <row r="13459" spans="1:17" ht="15" x14ac:dyDescent="0.25">
      <c r="A13459" s="3">
        <f>13452</f>
        <v>13452</v>
      </c>
      <c r="B13459" s="3" t="s">
        <v>13461</v>
      </c>
      <c r="C13459" s="3" t="s">
        <v>10</v>
      </c>
      <c r="D13459" s="3" t="s">
        <v>9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s="3"/>
      <c r="P13459" s="3"/>
      <c r="Q13459" s="3"/>
    </row>
    <row r="13460" spans="1:17" ht="15" x14ac:dyDescent="0.25">
      <c r="A13460" s="3">
        <f>13453</f>
        <v>13453</v>
      </c>
      <c r="B13460" s="3" t="s">
        <v>13462</v>
      </c>
      <c r="C13460" s="3" t="s">
        <v>10</v>
      </c>
      <c r="D13460" s="3" t="s">
        <v>9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s="3"/>
      <c r="P13460" s="3"/>
      <c r="Q13460" s="3"/>
    </row>
    <row r="13461" spans="1:17" ht="15" x14ac:dyDescent="0.25">
      <c r="A13461" s="3">
        <f>13454</f>
        <v>13454</v>
      </c>
      <c r="B13461" s="3" t="s">
        <v>13463</v>
      </c>
      <c r="C13461" s="3" t="s">
        <v>10</v>
      </c>
      <c r="D13461" s="3" t="s">
        <v>9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s="3"/>
      <c r="P13461" s="3"/>
      <c r="Q13461" s="3"/>
    </row>
    <row r="13462" spans="1:17" ht="15" x14ac:dyDescent="0.25">
      <c r="A13462" s="3">
        <f>13455</f>
        <v>13455</v>
      </c>
      <c r="B13462" s="3" t="s">
        <v>13464</v>
      </c>
      <c r="C13462" s="3" t="s">
        <v>10</v>
      </c>
      <c r="D13462" s="3" t="s">
        <v>9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/>
      <c r="P13462" s="3"/>
      <c r="Q13462" s="3"/>
    </row>
    <row r="13463" spans="1:17" ht="15" x14ac:dyDescent="0.25">
      <c r="A13463" s="3">
        <f>13456</f>
        <v>13456</v>
      </c>
      <c r="B13463" s="3" t="s">
        <v>13465</v>
      </c>
      <c r="C13463" s="3" t="s">
        <v>10</v>
      </c>
      <c r="D13463" s="3" t="s">
        <v>9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/>
      <c r="P13463" s="3"/>
      <c r="Q13463" s="3"/>
    </row>
    <row r="13464" spans="1:17" ht="15" x14ac:dyDescent="0.25">
      <c r="A13464" s="3">
        <f>13457</f>
        <v>13457</v>
      </c>
      <c r="B13464" s="3" t="s">
        <v>13466</v>
      </c>
      <c r="C13464" s="3" t="s">
        <v>10</v>
      </c>
      <c r="D13464" s="3" t="s">
        <v>9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/>
      <c r="P13464" s="3"/>
      <c r="Q13464" s="3"/>
    </row>
    <row r="13465" spans="1:17" ht="15" x14ac:dyDescent="0.25">
      <c r="A13465" s="3">
        <f>13458</f>
        <v>13458</v>
      </c>
      <c r="B13465" s="3" t="s">
        <v>13467</v>
      </c>
      <c r="C13465" s="3" t="s">
        <v>10</v>
      </c>
      <c r="D13465" s="3" t="s">
        <v>9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  <c r="O13465" s="3"/>
      <c r="P13465" s="3"/>
      <c r="Q13465" s="3"/>
    </row>
    <row r="13466" spans="1:17" ht="15" x14ac:dyDescent="0.25">
      <c r="A13466" s="3">
        <f>13459</f>
        <v>13459</v>
      </c>
      <c r="B13466" s="3" t="s">
        <v>13468</v>
      </c>
      <c r="C13466" s="3" t="s">
        <v>10</v>
      </c>
      <c r="D13466" s="3" t="s">
        <v>9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/>
      <c r="P13466" s="3"/>
      <c r="Q13466" s="3"/>
    </row>
    <row r="13467" spans="1:17" ht="15" x14ac:dyDescent="0.25">
      <c r="A13467" s="3">
        <f>13460</f>
        <v>13460</v>
      </c>
      <c r="B13467" s="3" t="s">
        <v>13469</v>
      </c>
      <c r="C13467" s="3" t="s">
        <v>10</v>
      </c>
      <c r="D13467" s="3" t="s">
        <v>9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/>
      <c r="P13467" s="3"/>
      <c r="Q13467" s="3"/>
    </row>
    <row r="13468" spans="1:17" ht="15" x14ac:dyDescent="0.25">
      <c r="A13468" s="3">
        <f>13461</f>
        <v>13461</v>
      </c>
      <c r="B13468" s="3" t="s">
        <v>13470</v>
      </c>
      <c r="C13468" s="3" t="s">
        <v>10</v>
      </c>
      <c r="D13468" s="3" t="s">
        <v>9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s="3"/>
      <c r="P13468" s="3"/>
      <c r="Q13468" s="3"/>
    </row>
    <row r="13469" spans="1:17" ht="15" x14ac:dyDescent="0.25">
      <c r="A13469" s="3">
        <f>13462</f>
        <v>13462</v>
      </c>
      <c r="B13469" s="3" t="s">
        <v>13471</v>
      </c>
      <c r="C13469" s="3" t="s">
        <v>10</v>
      </c>
      <c r="D13469" s="3" t="s">
        <v>9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/>
      <c r="P13469" s="3"/>
      <c r="Q13469" s="3"/>
    </row>
    <row r="13470" spans="1:17" ht="15" x14ac:dyDescent="0.25">
      <c r="A13470" s="3">
        <f>13463</f>
        <v>13463</v>
      </c>
      <c r="B13470" s="3" t="s">
        <v>13472</v>
      </c>
      <c r="C13470" s="3" t="s">
        <v>10</v>
      </c>
      <c r="D13470" s="3" t="s">
        <v>9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/>
      <c r="P13470" s="3"/>
      <c r="Q13470" s="3"/>
    </row>
    <row r="13471" spans="1:17" ht="15" x14ac:dyDescent="0.25">
      <c r="A13471" s="3">
        <f>13464</f>
        <v>13464</v>
      </c>
      <c r="B13471" s="3" t="s">
        <v>13473</v>
      </c>
      <c r="C13471" s="3" t="s">
        <v>10</v>
      </c>
      <c r="D13471" s="3" t="s">
        <v>9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/>
      <c r="P13471" s="3"/>
      <c r="Q13471" s="3"/>
    </row>
    <row r="13472" spans="1:17" ht="15" x14ac:dyDescent="0.25">
      <c r="A13472" s="3">
        <f>13465</f>
        <v>13465</v>
      </c>
      <c r="B13472" s="3" t="s">
        <v>13474</v>
      </c>
      <c r="C13472" s="3" t="s">
        <v>10</v>
      </c>
      <c r="D13472" s="3" t="s">
        <v>9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s="3"/>
      <c r="P13472" s="3"/>
      <c r="Q13472" s="3"/>
    </row>
    <row r="13473" spans="1:17" ht="15" x14ac:dyDescent="0.25">
      <c r="A13473" s="3">
        <f>13466</f>
        <v>13466</v>
      </c>
      <c r="B13473" s="3" t="s">
        <v>13475</v>
      </c>
      <c r="C13473" s="3" t="s">
        <v>10</v>
      </c>
      <c r="D13473" s="3" t="s">
        <v>9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  <c r="O13473" s="3"/>
      <c r="P13473" s="3"/>
      <c r="Q13473" s="3"/>
    </row>
    <row r="13474" spans="1:17" ht="15" x14ac:dyDescent="0.25">
      <c r="A13474" s="3">
        <f>13467</f>
        <v>13467</v>
      </c>
      <c r="B13474" s="3" t="s">
        <v>13476</v>
      </c>
      <c r="C13474" s="3" t="s">
        <v>10</v>
      </c>
      <c r="D13474" s="3" t="s">
        <v>9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/>
      <c r="P13474" s="3"/>
      <c r="Q13474" s="3"/>
    </row>
    <row r="13475" spans="1:17" ht="15" x14ac:dyDescent="0.25">
      <c r="A13475" s="3">
        <f>13468</f>
        <v>13468</v>
      </c>
      <c r="B13475" s="3" t="s">
        <v>13477</v>
      </c>
      <c r="C13475" s="3" t="s">
        <v>10</v>
      </c>
      <c r="D13475" s="3" t="s">
        <v>9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0</v>
      </c>
      <c r="O13475" s="3"/>
      <c r="P13475" s="3"/>
      <c r="Q13475" s="3"/>
    </row>
    <row r="13476" spans="1:17" ht="15" x14ac:dyDescent="0.25">
      <c r="A13476" s="3">
        <f>13469</f>
        <v>13469</v>
      </c>
      <c r="B13476" s="3" t="s">
        <v>13478</v>
      </c>
      <c r="C13476" s="3" t="s">
        <v>10</v>
      </c>
      <c r="D13476" s="3" t="s">
        <v>9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/>
      <c r="P13476" s="3"/>
      <c r="Q13476" s="3"/>
    </row>
    <row r="13477" spans="1:17" ht="15" x14ac:dyDescent="0.25">
      <c r="A13477" s="3">
        <f>13470</f>
        <v>13470</v>
      </c>
      <c r="B13477" s="3" t="s">
        <v>13479</v>
      </c>
      <c r="C13477" s="3" t="s">
        <v>10</v>
      </c>
      <c r="D13477" s="3" t="s">
        <v>9</v>
      </c>
      <c r="E13477" s="3">
        <v>0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/>
      <c r="P13477" s="3"/>
      <c r="Q13477" s="3"/>
    </row>
    <row r="13478" spans="1:17" ht="15" x14ac:dyDescent="0.25">
      <c r="A13478" s="3">
        <f>13471</f>
        <v>13471</v>
      </c>
      <c r="B13478" s="3" t="s">
        <v>13480</v>
      </c>
      <c r="C13478" s="3" t="s">
        <v>10</v>
      </c>
      <c r="D13478" s="3" t="s">
        <v>9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/>
      <c r="P13478" s="3"/>
      <c r="Q13478" s="3"/>
    </row>
    <row r="13479" spans="1:17" ht="15" x14ac:dyDescent="0.25">
      <c r="A13479" s="3">
        <f>13472</f>
        <v>13472</v>
      </c>
      <c r="B13479" s="3" t="s">
        <v>13481</v>
      </c>
      <c r="C13479" s="3" t="s">
        <v>10</v>
      </c>
      <c r="D13479" s="3" t="s">
        <v>9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/>
      <c r="P13479" s="3"/>
      <c r="Q13479" s="3"/>
    </row>
    <row r="13480" spans="1:17" ht="15" x14ac:dyDescent="0.25">
      <c r="A13480" s="3">
        <f>13473</f>
        <v>13473</v>
      </c>
      <c r="B13480" s="3" t="s">
        <v>13482</v>
      </c>
      <c r="C13480" s="3" t="s">
        <v>10</v>
      </c>
      <c r="D13480" s="3" t="s">
        <v>9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/>
      <c r="P13480" s="3"/>
      <c r="Q13480" s="3"/>
    </row>
    <row r="13481" spans="1:17" ht="15" x14ac:dyDescent="0.25">
      <c r="A13481" s="3">
        <f>13474</f>
        <v>13474</v>
      </c>
      <c r="B13481" s="3" t="s">
        <v>13483</v>
      </c>
      <c r="C13481" s="3" t="s">
        <v>10</v>
      </c>
      <c r="D13481" s="3" t="s">
        <v>9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/>
      <c r="P13481" s="3"/>
      <c r="Q13481" s="3"/>
    </row>
    <row r="13482" spans="1:17" ht="15" x14ac:dyDescent="0.25">
      <c r="A13482" s="3">
        <f>13475</f>
        <v>13475</v>
      </c>
      <c r="B13482" s="3" t="s">
        <v>13484</v>
      </c>
      <c r="C13482" s="3" t="s">
        <v>10</v>
      </c>
      <c r="D13482" s="3" t="s">
        <v>9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s="3"/>
      <c r="P13482" s="3"/>
      <c r="Q13482" s="3"/>
    </row>
    <row r="13483" spans="1:17" ht="15" x14ac:dyDescent="0.25">
      <c r="A13483" s="3">
        <f>13476</f>
        <v>13476</v>
      </c>
      <c r="B13483" s="3" t="s">
        <v>13485</v>
      </c>
      <c r="C13483" s="3" t="s">
        <v>10</v>
      </c>
      <c r="D13483" s="3" t="s">
        <v>9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/>
      <c r="P13483" s="3"/>
      <c r="Q13483" s="3"/>
    </row>
    <row r="13484" spans="1:17" ht="15" x14ac:dyDescent="0.25">
      <c r="A13484" s="3">
        <f>13477</f>
        <v>13477</v>
      </c>
      <c r="B13484" s="3" t="s">
        <v>13486</v>
      </c>
      <c r="C13484" s="3" t="s">
        <v>10</v>
      </c>
      <c r="D13484" s="3" t="s">
        <v>9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s="3"/>
      <c r="P13484" s="3"/>
      <c r="Q13484" s="3"/>
    </row>
    <row r="13485" spans="1:17" ht="15" x14ac:dyDescent="0.25">
      <c r="A13485" s="3">
        <f>13478</f>
        <v>13478</v>
      </c>
      <c r="B13485" s="3" t="s">
        <v>13487</v>
      </c>
      <c r="C13485" s="3" t="s">
        <v>10</v>
      </c>
      <c r="D13485" s="3" t="s">
        <v>9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/>
      <c r="P13485" s="3"/>
      <c r="Q13485" s="3"/>
    </row>
    <row r="13486" spans="1:17" ht="15" x14ac:dyDescent="0.25">
      <c r="A13486" s="3">
        <f>13479</f>
        <v>13479</v>
      </c>
      <c r="B13486" s="3" t="s">
        <v>13488</v>
      </c>
      <c r="C13486" s="3" t="s">
        <v>10</v>
      </c>
      <c r="D13486" s="3" t="s">
        <v>9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/>
      <c r="P13486" s="3"/>
      <c r="Q13486" s="3"/>
    </row>
    <row r="13487" spans="1:17" ht="15" x14ac:dyDescent="0.25">
      <c r="A13487" s="3">
        <f>13480</f>
        <v>13480</v>
      </c>
      <c r="B13487" s="3" t="s">
        <v>13489</v>
      </c>
      <c r="C13487" s="3" t="s">
        <v>10</v>
      </c>
      <c r="D13487" s="3" t="s">
        <v>9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/>
      <c r="P13487" s="3"/>
      <c r="Q13487" s="3"/>
    </row>
    <row r="13488" spans="1:17" ht="15" x14ac:dyDescent="0.25">
      <c r="A13488" s="3">
        <f>13481</f>
        <v>13481</v>
      </c>
      <c r="B13488" s="3" t="s">
        <v>13490</v>
      </c>
      <c r="C13488" s="3" t="s">
        <v>10</v>
      </c>
      <c r="D13488" s="3" t="s">
        <v>9</v>
      </c>
      <c r="E13488" s="3">
        <v>0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/>
      <c r="P13488" s="3"/>
      <c r="Q13488" s="3"/>
    </row>
    <row r="13489" spans="1:17" ht="15" x14ac:dyDescent="0.25">
      <c r="A13489" s="3">
        <f>13482</f>
        <v>13482</v>
      </c>
      <c r="B13489" s="3" t="s">
        <v>13491</v>
      </c>
      <c r="C13489" s="3" t="s">
        <v>10</v>
      </c>
      <c r="D13489" s="3" t="s">
        <v>9</v>
      </c>
      <c r="E13489" s="3">
        <v>0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/>
      <c r="P13489" s="3"/>
      <c r="Q13489" s="3"/>
    </row>
    <row r="13490" spans="1:17" ht="15" x14ac:dyDescent="0.25">
      <c r="A13490" s="3">
        <f>13483</f>
        <v>13483</v>
      </c>
      <c r="B13490" s="3" t="s">
        <v>13492</v>
      </c>
      <c r="C13490" s="3" t="s">
        <v>10</v>
      </c>
      <c r="D13490" s="3" t="s">
        <v>9</v>
      </c>
      <c r="E13490" s="3">
        <v>0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/>
      <c r="P13490" s="3"/>
      <c r="Q13490" s="3"/>
    </row>
    <row r="13491" spans="1:17" ht="15" x14ac:dyDescent="0.25">
      <c r="A13491" s="3">
        <f>13484</f>
        <v>13484</v>
      </c>
      <c r="B13491" s="3" t="s">
        <v>13493</v>
      </c>
      <c r="C13491" s="3" t="s">
        <v>10</v>
      </c>
      <c r="D13491" s="3" t="s">
        <v>9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/>
      <c r="P13491" s="3"/>
      <c r="Q13491" s="3"/>
    </row>
    <row r="13492" spans="1:17" ht="15" x14ac:dyDescent="0.25">
      <c r="A13492" s="3">
        <f>13485</f>
        <v>13485</v>
      </c>
      <c r="B13492" s="3" t="s">
        <v>13494</v>
      </c>
      <c r="C13492" s="3" t="s">
        <v>10</v>
      </c>
      <c r="D13492" s="3" t="s">
        <v>9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/>
      <c r="P13492" s="3"/>
      <c r="Q13492" s="3"/>
    </row>
    <row r="13493" spans="1:17" ht="15" x14ac:dyDescent="0.25">
      <c r="A13493" s="3">
        <f>13486</f>
        <v>13486</v>
      </c>
      <c r="B13493" s="3" t="s">
        <v>13495</v>
      </c>
      <c r="C13493" s="3" t="s">
        <v>10</v>
      </c>
      <c r="D13493" s="3" t="s">
        <v>9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/>
      <c r="P13493" s="3"/>
      <c r="Q13493" s="3"/>
    </row>
    <row r="13494" spans="1:17" ht="15" x14ac:dyDescent="0.25">
      <c r="A13494" s="3">
        <f>13487</f>
        <v>13487</v>
      </c>
      <c r="B13494" s="3" t="s">
        <v>13496</v>
      </c>
      <c r="C13494" s="3" t="s">
        <v>10</v>
      </c>
      <c r="D13494" s="3" t="s">
        <v>9</v>
      </c>
      <c r="E13494" s="3">
        <v>0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s="3"/>
      <c r="P13494" s="3"/>
      <c r="Q13494" s="3"/>
    </row>
    <row r="13495" spans="1:17" ht="15" x14ac:dyDescent="0.25">
      <c r="A13495" s="3">
        <f>13488</f>
        <v>13488</v>
      </c>
      <c r="B13495" s="3" t="s">
        <v>13497</v>
      </c>
      <c r="C13495" s="3" t="s">
        <v>10</v>
      </c>
      <c r="D13495" s="3" t="s">
        <v>9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/>
      <c r="P13495" s="3"/>
      <c r="Q13495" s="3"/>
    </row>
    <row r="13496" spans="1:17" ht="15" x14ac:dyDescent="0.25">
      <c r="A13496" s="3">
        <f>13489</f>
        <v>13489</v>
      </c>
      <c r="B13496" s="3" t="s">
        <v>13498</v>
      </c>
      <c r="C13496" s="3" t="s">
        <v>10</v>
      </c>
      <c r="D13496" s="3" t="s">
        <v>9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/>
      <c r="P13496" s="3"/>
      <c r="Q13496" s="3"/>
    </row>
    <row r="13497" spans="1:17" ht="15" x14ac:dyDescent="0.25">
      <c r="A13497" s="3">
        <f>13490</f>
        <v>13490</v>
      </c>
      <c r="B13497" s="3" t="s">
        <v>13499</v>
      </c>
      <c r="C13497" s="3" t="s">
        <v>10</v>
      </c>
      <c r="D13497" s="3" t="s">
        <v>9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/>
      <c r="P13497" s="3"/>
      <c r="Q13497" s="3"/>
    </row>
    <row r="13498" spans="1:17" ht="15" x14ac:dyDescent="0.25">
      <c r="A13498" s="3">
        <f>13491</f>
        <v>13491</v>
      </c>
      <c r="B13498" s="3" t="s">
        <v>13500</v>
      </c>
      <c r="C13498" s="3" t="s">
        <v>10</v>
      </c>
      <c r="D13498" s="3" t="s">
        <v>9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s="3"/>
      <c r="P13498" s="3"/>
      <c r="Q13498" s="3"/>
    </row>
    <row r="13499" spans="1:17" ht="15" x14ac:dyDescent="0.25">
      <c r="A13499" s="3">
        <f>13492</f>
        <v>13492</v>
      </c>
      <c r="B13499" s="3" t="s">
        <v>13501</v>
      </c>
      <c r="C13499" s="3" t="s">
        <v>10</v>
      </c>
      <c r="D13499" s="3" t="s">
        <v>9</v>
      </c>
      <c r="E13499" s="3">
        <v>0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/>
      <c r="P13499" s="3"/>
      <c r="Q13499" s="3"/>
    </row>
    <row r="13500" spans="1:17" ht="15" x14ac:dyDescent="0.25">
      <c r="A13500" s="3">
        <f>13493</f>
        <v>13493</v>
      </c>
      <c r="B13500" s="3" t="s">
        <v>13502</v>
      </c>
      <c r="C13500" s="3" t="s">
        <v>10</v>
      </c>
      <c r="D13500" s="3" t="s">
        <v>9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s="3"/>
      <c r="P13500" s="3"/>
      <c r="Q13500" s="3"/>
    </row>
    <row r="13501" spans="1:17" ht="15" x14ac:dyDescent="0.25">
      <c r="A13501" s="3">
        <f>13494</f>
        <v>13494</v>
      </c>
      <c r="B13501" s="3" t="s">
        <v>13503</v>
      </c>
      <c r="C13501" s="3" t="s">
        <v>10</v>
      </c>
      <c r="D13501" s="3" t="s">
        <v>9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/>
      <c r="P13501" s="3"/>
      <c r="Q13501" s="3"/>
    </row>
    <row r="13502" spans="1:17" ht="15" x14ac:dyDescent="0.25">
      <c r="A13502" s="3">
        <f>13495</f>
        <v>13495</v>
      </c>
      <c r="B13502" s="3" t="s">
        <v>13504</v>
      </c>
      <c r="C13502" s="3" t="s">
        <v>10</v>
      </c>
      <c r="D13502" s="3" t="s">
        <v>9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  <c r="O13502" s="3"/>
      <c r="P13502" s="3"/>
      <c r="Q13502" s="3"/>
    </row>
    <row r="13503" spans="1:17" ht="15" x14ac:dyDescent="0.25">
      <c r="A13503" s="3">
        <f>13496</f>
        <v>13496</v>
      </c>
      <c r="B13503" s="3" t="s">
        <v>13505</v>
      </c>
      <c r="C13503" s="3" t="s">
        <v>10</v>
      </c>
      <c r="D13503" s="3" t="s">
        <v>9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/>
      <c r="P13503" s="3"/>
      <c r="Q13503" s="3"/>
    </row>
    <row r="13504" spans="1:17" ht="15" x14ac:dyDescent="0.25">
      <c r="A13504" s="3">
        <f>13497</f>
        <v>13497</v>
      </c>
      <c r="B13504" s="3" t="s">
        <v>13506</v>
      </c>
      <c r="C13504" s="3" t="s">
        <v>10</v>
      </c>
      <c r="D13504" s="3" t="s">
        <v>9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s="3"/>
      <c r="P13504" s="3"/>
      <c r="Q13504" s="3"/>
    </row>
    <row r="13505" spans="1:17" ht="15" x14ac:dyDescent="0.25">
      <c r="A13505" s="3">
        <f>13498</f>
        <v>13498</v>
      </c>
      <c r="B13505" s="3" t="s">
        <v>13507</v>
      </c>
      <c r="C13505" s="3" t="s">
        <v>10</v>
      </c>
      <c r="D13505" s="3" t="s">
        <v>9</v>
      </c>
      <c r="E13505" s="3">
        <v>0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s="3"/>
      <c r="P13505" s="3"/>
      <c r="Q13505" s="3"/>
    </row>
    <row r="13506" spans="1:17" ht="15" x14ac:dyDescent="0.25">
      <c r="A13506" s="3">
        <f>13499</f>
        <v>13499</v>
      </c>
      <c r="B13506" s="3" t="s">
        <v>13508</v>
      </c>
      <c r="C13506" s="3" t="s">
        <v>10</v>
      </c>
      <c r="D13506" s="3" t="s">
        <v>9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/>
      <c r="P13506" s="3"/>
      <c r="Q13506" s="3"/>
    </row>
    <row r="13507" spans="1:17" ht="15" x14ac:dyDescent="0.25">
      <c r="A13507" s="3">
        <f>13500</f>
        <v>13500</v>
      </c>
      <c r="B13507" s="3" t="s">
        <v>13509</v>
      </c>
      <c r="C13507" s="3" t="s">
        <v>10</v>
      </c>
      <c r="D13507" s="3" t="s">
        <v>9</v>
      </c>
      <c r="E13507" s="3">
        <v>0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s="3"/>
      <c r="P13507" s="3"/>
      <c r="Q13507" s="3"/>
    </row>
    <row r="13508" spans="1:17" ht="15" x14ac:dyDescent="0.25">
      <c r="A13508" s="3">
        <f>13501</f>
        <v>13501</v>
      </c>
      <c r="B13508" s="3" t="s">
        <v>13510</v>
      </c>
      <c r="C13508" s="3" t="s">
        <v>10</v>
      </c>
      <c r="D13508" s="3" t="s">
        <v>9</v>
      </c>
      <c r="E13508" s="3">
        <v>0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/>
      <c r="P13508" s="3"/>
      <c r="Q13508" s="3"/>
    </row>
    <row r="13509" spans="1:17" ht="15" x14ac:dyDescent="0.25">
      <c r="A13509" s="3">
        <f>13502</f>
        <v>13502</v>
      </c>
      <c r="B13509" s="3" t="s">
        <v>13511</v>
      </c>
      <c r="C13509" s="3" t="s">
        <v>10</v>
      </c>
      <c r="D13509" s="3" t="s">
        <v>9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/>
      <c r="P13509" s="3"/>
      <c r="Q13509" s="3"/>
    </row>
    <row r="13510" spans="1:17" ht="15" x14ac:dyDescent="0.25">
      <c r="A13510" s="3">
        <f>13503</f>
        <v>13503</v>
      </c>
      <c r="B13510" s="3" t="s">
        <v>13512</v>
      </c>
      <c r="C13510" s="3" t="s">
        <v>10</v>
      </c>
      <c r="D13510" s="3" t="s">
        <v>9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s="3"/>
      <c r="P13510" s="3"/>
      <c r="Q13510" s="3"/>
    </row>
    <row r="13511" spans="1:17" ht="15" x14ac:dyDescent="0.25">
      <c r="A13511" s="3">
        <f>13504</f>
        <v>13504</v>
      </c>
      <c r="B13511" s="3" t="s">
        <v>13513</v>
      </c>
      <c r="C13511" s="3" t="s">
        <v>10</v>
      </c>
      <c r="D13511" s="3" t="s">
        <v>9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s="3"/>
      <c r="P13511" s="3"/>
      <c r="Q13511" s="3"/>
    </row>
    <row r="13512" spans="1:17" ht="15" x14ac:dyDescent="0.25">
      <c r="A13512" s="3">
        <f>13505</f>
        <v>13505</v>
      </c>
      <c r="B13512" s="3" t="s">
        <v>13514</v>
      </c>
      <c r="C13512" s="3" t="s">
        <v>10</v>
      </c>
      <c r="D13512" s="3" t="s">
        <v>9</v>
      </c>
      <c r="E13512" s="3">
        <v>0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/>
      <c r="P13512" s="3"/>
      <c r="Q13512" s="3"/>
    </row>
    <row r="13513" spans="1:17" ht="15" x14ac:dyDescent="0.25">
      <c r="A13513" s="3">
        <f>13506</f>
        <v>13506</v>
      </c>
      <c r="B13513" s="3" t="s">
        <v>13515</v>
      </c>
      <c r="C13513" s="3" t="s">
        <v>10</v>
      </c>
      <c r="D13513" s="3" t="s">
        <v>9</v>
      </c>
      <c r="E13513" s="3">
        <v>0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s="3"/>
      <c r="P13513" s="3"/>
      <c r="Q13513" s="3"/>
    </row>
    <row r="13514" spans="1:17" ht="15" x14ac:dyDescent="0.25">
      <c r="A13514" s="3">
        <f>13507</f>
        <v>13507</v>
      </c>
      <c r="B13514" s="3" t="s">
        <v>13516</v>
      </c>
      <c r="C13514" s="3" t="s">
        <v>10</v>
      </c>
      <c r="D13514" s="3" t="s">
        <v>9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  <c r="O13514" s="3"/>
      <c r="P13514" s="3"/>
      <c r="Q13514" s="3"/>
    </row>
    <row r="13515" spans="1:17" ht="15" x14ac:dyDescent="0.25">
      <c r="A13515" s="3">
        <f>13508</f>
        <v>13508</v>
      </c>
      <c r="B13515" s="3" t="s">
        <v>13517</v>
      </c>
      <c r="C13515" s="3" t="s">
        <v>10</v>
      </c>
      <c r="D13515" s="3" t="s">
        <v>9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/>
      <c r="P13515" s="3"/>
      <c r="Q13515" s="3"/>
    </row>
    <row r="13516" spans="1:17" ht="15" x14ac:dyDescent="0.25">
      <c r="A13516" s="3">
        <f>13509</f>
        <v>13509</v>
      </c>
      <c r="B13516" s="3" t="s">
        <v>13518</v>
      </c>
      <c r="C13516" s="3" t="s">
        <v>10</v>
      </c>
      <c r="D13516" s="3" t="s">
        <v>9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s="3"/>
      <c r="P13516" s="3"/>
      <c r="Q13516" s="3"/>
    </row>
    <row r="13517" spans="1:17" ht="15" x14ac:dyDescent="0.25">
      <c r="A13517" s="3">
        <f>13510</f>
        <v>13510</v>
      </c>
      <c r="B13517" s="3" t="s">
        <v>13519</v>
      </c>
      <c r="C13517" s="3" t="s">
        <v>10</v>
      </c>
      <c r="D13517" s="3" t="s">
        <v>9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/>
      <c r="P13517" s="3"/>
      <c r="Q13517" s="3"/>
    </row>
    <row r="13518" spans="1:17" ht="15" x14ac:dyDescent="0.25">
      <c r="A13518" s="3">
        <f>13511</f>
        <v>13511</v>
      </c>
      <c r="B13518" s="3" t="s">
        <v>13520</v>
      </c>
      <c r="C13518" s="3" t="s">
        <v>10</v>
      </c>
      <c r="D13518" s="3" t="s">
        <v>9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/>
      <c r="P13518" s="3"/>
      <c r="Q13518" s="3"/>
    </row>
    <row r="13519" spans="1:17" ht="15" x14ac:dyDescent="0.25">
      <c r="A13519" s="3">
        <f>13512</f>
        <v>13512</v>
      </c>
      <c r="B13519" s="3" t="s">
        <v>13521</v>
      </c>
      <c r="C13519" s="3" t="s">
        <v>10</v>
      </c>
      <c r="D13519" s="3" t="s">
        <v>9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s="3"/>
      <c r="P13519" s="3"/>
      <c r="Q13519" s="3"/>
    </row>
    <row r="13520" spans="1:17" ht="15" x14ac:dyDescent="0.25">
      <c r="A13520" s="3">
        <f>13513</f>
        <v>13513</v>
      </c>
      <c r="B13520" s="3" t="s">
        <v>13522</v>
      </c>
      <c r="C13520" s="3" t="s">
        <v>10</v>
      </c>
      <c r="D13520" s="3" t="s">
        <v>9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/>
      <c r="P13520" s="3"/>
      <c r="Q13520" s="3"/>
    </row>
    <row r="13521" spans="1:17" ht="15" x14ac:dyDescent="0.25">
      <c r="A13521" s="3">
        <f>13514</f>
        <v>13514</v>
      </c>
      <c r="B13521" s="3" t="s">
        <v>13523</v>
      </c>
      <c r="C13521" s="3" t="s">
        <v>10</v>
      </c>
      <c r="D13521" s="3" t="s">
        <v>9</v>
      </c>
      <c r="E13521" s="3">
        <v>0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s="3"/>
      <c r="P13521" s="3"/>
      <c r="Q13521" s="3"/>
    </row>
    <row r="13522" spans="1:17" ht="15" x14ac:dyDescent="0.25">
      <c r="A13522" s="3">
        <f>13515</f>
        <v>13515</v>
      </c>
      <c r="B13522" s="3" t="s">
        <v>13524</v>
      </c>
      <c r="C13522" s="3" t="s">
        <v>10</v>
      </c>
      <c r="D13522" s="3" t="s">
        <v>9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/>
      <c r="P13522" s="3"/>
      <c r="Q13522" s="3"/>
    </row>
    <row r="13523" spans="1:17" ht="15" x14ac:dyDescent="0.25">
      <c r="A13523" s="3">
        <f>13516</f>
        <v>13516</v>
      </c>
      <c r="B13523" s="3" t="s">
        <v>13525</v>
      </c>
      <c r="C13523" s="3" t="s">
        <v>10</v>
      </c>
      <c r="D13523" s="3" t="s">
        <v>9</v>
      </c>
      <c r="E13523" s="3">
        <v>0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s="3"/>
      <c r="P13523" s="3"/>
      <c r="Q13523" s="3"/>
    </row>
    <row r="13524" spans="1:17" ht="15" x14ac:dyDescent="0.25">
      <c r="A13524" s="3">
        <f>13517</f>
        <v>13517</v>
      </c>
      <c r="B13524" s="3" t="s">
        <v>13526</v>
      </c>
      <c r="C13524" s="3" t="s">
        <v>10</v>
      </c>
      <c r="D13524" s="3" t="s">
        <v>9</v>
      </c>
      <c r="E13524" s="3">
        <v>0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s="3"/>
      <c r="P13524" s="3"/>
      <c r="Q13524" s="3"/>
    </row>
    <row r="13525" spans="1:17" ht="15" x14ac:dyDescent="0.25">
      <c r="A13525" s="3">
        <f>13518</f>
        <v>13518</v>
      </c>
      <c r="B13525" s="3" t="s">
        <v>13527</v>
      </c>
      <c r="C13525" s="3" t="s">
        <v>10</v>
      </c>
      <c r="D13525" s="3" t="s">
        <v>9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/>
      <c r="P13525" s="3"/>
      <c r="Q13525" s="3"/>
    </row>
    <row r="13526" spans="1:17" ht="15" x14ac:dyDescent="0.25">
      <c r="A13526" s="3">
        <f>13519</f>
        <v>13519</v>
      </c>
      <c r="B13526" s="3" t="s">
        <v>13528</v>
      </c>
      <c r="C13526" s="3" t="s">
        <v>10</v>
      </c>
      <c r="D13526" s="3" t="s">
        <v>9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s="3"/>
      <c r="P13526" s="3"/>
      <c r="Q13526" s="3"/>
    </row>
    <row r="13527" spans="1:17" ht="15" x14ac:dyDescent="0.25">
      <c r="A13527" s="3">
        <f>13520</f>
        <v>13520</v>
      </c>
      <c r="B13527" s="3" t="s">
        <v>13529</v>
      </c>
      <c r="C13527" s="3" t="s">
        <v>10</v>
      </c>
      <c r="D13527" s="3" t="s">
        <v>9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/>
      <c r="P13527" s="3"/>
      <c r="Q13527" s="3"/>
    </row>
    <row r="13528" spans="1:17" ht="15" x14ac:dyDescent="0.25">
      <c r="A13528" s="3">
        <f>13521</f>
        <v>13521</v>
      </c>
      <c r="B13528" s="3" t="s">
        <v>13530</v>
      </c>
      <c r="C13528" s="3" t="s">
        <v>10</v>
      </c>
      <c r="D13528" s="3" t="s">
        <v>9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s="3"/>
      <c r="P13528" s="3"/>
      <c r="Q13528" s="3"/>
    </row>
    <row r="13529" spans="1:17" ht="15" x14ac:dyDescent="0.25">
      <c r="A13529" s="3">
        <f>13522</f>
        <v>13522</v>
      </c>
      <c r="B13529" s="3" t="s">
        <v>13531</v>
      </c>
      <c r="C13529" s="3" t="s">
        <v>10</v>
      </c>
      <c r="D13529" s="3" t="s">
        <v>9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s="3"/>
      <c r="P13529" s="3"/>
      <c r="Q13529" s="3"/>
    </row>
    <row r="13530" spans="1:17" ht="15" x14ac:dyDescent="0.25">
      <c r="A13530" s="3">
        <f>13523</f>
        <v>13523</v>
      </c>
      <c r="B13530" s="3" t="s">
        <v>13532</v>
      </c>
      <c r="C13530" s="3" t="s">
        <v>10</v>
      </c>
      <c r="D13530" s="3" t="s">
        <v>9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s="3"/>
      <c r="P13530" s="3"/>
      <c r="Q13530" s="3"/>
    </row>
    <row r="13531" spans="1:17" ht="15" x14ac:dyDescent="0.25">
      <c r="A13531" s="3">
        <f>13524</f>
        <v>13524</v>
      </c>
      <c r="B13531" s="3" t="s">
        <v>13533</v>
      </c>
      <c r="C13531" s="3" t="s">
        <v>10</v>
      </c>
      <c r="D13531" s="3" t="s">
        <v>9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/>
      <c r="P13531" s="3"/>
      <c r="Q13531" s="3"/>
    </row>
    <row r="13532" spans="1:17" ht="15" x14ac:dyDescent="0.25">
      <c r="A13532" s="3">
        <f>13525</f>
        <v>13525</v>
      </c>
      <c r="B13532" s="3" t="s">
        <v>13534</v>
      </c>
      <c r="C13532" s="3" t="s">
        <v>10</v>
      </c>
      <c r="D13532" s="3" t="s">
        <v>9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  <c r="O13532" s="3"/>
      <c r="P13532" s="3"/>
      <c r="Q13532" s="3"/>
    </row>
    <row r="13533" spans="1:17" ht="15" x14ac:dyDescent="0.25">
      <c r="A13533" s="3">
        <f>13526</f>
        <v>13526</v>
      </c>
      <c r="B13533" s="3" t="s">
        <v>13535</v>
      </c>
      <c r="C13533" s="3" t="s">
        <v>10</v>
      </c>
      <c r="D13533" s="3" t="s">
        <v>9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/>
      <c r="P13533" s="3"/>
      <c r="Q13533" s="3"/>
    </row>
    <row r="13534" spans="1:17" ht="15" x14ac:dyDescent="0.25">
      <c r="A13534" s="3">
        <f>13527</f>
        <v>13527</v>
      </c>
      <c r="B13534" s="3" t="s">
        <v>13536</v>
      </c>
      <c r="C13534" s="3" t="s">
        <v>10</v>
      </c>
      <c r="D13534" s="3" t="s">
        <v>9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/>
      <c r="P13534" s="3"/>
      <c r="Q13534" s="3"/>
    </row>
    <row r="13535" spans="1:17" ht="15" x14ac:dyDescent="0.25">
      <c r="A13535" s="3">
        <f>13528</f>
        <v>13528</v>
      </c>
      <c r="B13535" s="3" t="s">
        <v>13537</v>
      </c>
      <c r="C13535" s="3" t="s">
        <v>10</v>
      </c>
      <c r="D13535" s="3" t="s">
        <v>9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/>
      <c r="P13535" s="3"/>
      <c r="Q13535" s="3"/>
    </row>
    <row r="13536" spans="1:17" ht="15" x14ac:dyDescent="0.25">
      <c r="A13536" s="3">
        <f>13529</f>
        <v>13529</v>
      </c>
      <c r="B13536" s="3" t="s">
        <v>13538</v>
      </c>
      <c r="C13536" s="3" t="s">
        <v>10</v>
      </c>
      <c r="D13536" s="3" t="s">
        <v>9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/>
      <c r="P13536" s="3"/>
      <c r="Q13536" s="3"/>
    </row>
    <row r="13537" spans="1:17" ht="15" x14ac:dyDescent="0.25">
      <c r="A13537" s="3">
        <f>13530</f>
        <v>13530</v>
      </c>
      <c r="B13537" s="3" t="s">
        <v>13539</v>
      </c>
      <c r="C13537" s="3" t="s">
        <v>10</v>
      </c>
      <c r="D13537" s="3" t="s">
        <v>9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/>
      <c r="P13537" s="3"/>
      <c r="Q13537" s="3"/>
    </row>
    <row r="13538" spans="1:17" ht="15" x14ac:dyDescent="0.25">
      <c r="A13538" s="3">
        <f>13531</f>
        <v>13531</v>
      </c>
      <c r="B13538" s="3" t="s">
        <v>13540</v>
      </c>
      <c r="C13538" s="3" t="s">
        <v>10</v>
      </c>
      <c r="D13538" s="3" t="s">
        <v>9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/>
      <c r="P13538" s="3"/>
      <c r="Q13538" s="3"/>
    </row>
    <row r="13539" spans="1:17" ht="15" x14ac:dyDescent="0.25">
      <c r="A13539" s="3">
        <f>13532</f>
        <v>13532</v>
      </c>
      <c r="B13539" s="3" t="s">
        <v>13541</v>
      </c>
      <c r="C13539" s="3" t="s">
        <v>10</v>
      </c>
      <c r="D13539" s="3" t="s">
        <v>9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/>
      <c r="P13539" s="3"/>
      <c r="Q13539" s="3"/>
    </row>
    <row r="13540" spans="1:17" ht="15" x14ac:dyDescent="0.25">
      <c r="A13540" s="3">
        <f>13533</f>
        <v>13533</v>
      </c>
      <c r="B13540" s="3" t="s">
        <v>13542</v>
      </c>
      <c r="C13540" s="3" t="s">
        <v>10</v>
      </c>
      <c r="D13540" s="3" t="s">
        <v>9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/>
      <c r="P13540" s="3"/>
      <c r="Q13540" s="3"/>
    </row>
    <row r="13541" spans="1:17" ht="15" x14ac:dyDescent="0.25">
      <c r="A13541" s="3">
        <f>13534</f>
        <v>13534</v>
      </c>
      <c r="B13541" s="3" t="s">
        <v>13543</v>
      </c>
      <c r="C13541" s="3" t="s">
        <v>10</v>
      </c>
      <c r="D13541" s="3" t="s">
        <v>9</v>
      </c>
      <c r="E13541" s="3">
        <v>0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/>
      <c r="P13541" s="3"/>
      <c r="Q13541" s="3"/>
    </row>
    <row r="13542" spans="1:17" ht="15" x14ac:dyDescent="0.25">
      <c r="A13542" s="3">
        <f>13535</f>
        <v>13535</v>
      </c>
      <c r="B13542" s="3" t="s">
        <v>13544</v>
      </c>
      <c r="C13542" s="3" t="s">
        <v>10</v>
      </c>
      <c r="D13542" s="3" t="s">
        <v>9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/>
      <c r="P13542" s="3"/>
      <c r="Q13542" s="3"/>
    </row>
    <row r="13543" spans="1:17" ht="15" x14ac:dyDescent="0.25">
      <c r="A13543" s="3">
        <f>13536</f>
        <v>13536</v>
      </c>
      <c r="B13543" s="3" t="s">
        <v>13545</v>
      </c>
      <c r="C13543" s="3" t="s">
        <v>10</v>
      </c>
      <c r="D13543" s="3" t="s">
        <v>9</v>
      </c>
      <c r="E13543" s="3">
        <v>0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/>
      <c r="P13543" s="3"/>
      <c r="Q13543" s="3"/>
    </row>
    <row r="13544" spans="1:17" ht="15" x14ac:dyDescent="0.25">
      <c r="A13544" s="3">
        <f>13537</f>
        <v>13537</v>
      </c>
      <c r="B13544" s="3" t="s">
        <v>13546</v>
      </c>
      <c r="C13544" s="3" t="s">
        <v>10</v>
      </c>
      <c r="D13544" s="3" t="s">
        <v>9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/>
      <c r="P13544" s="3"/>
      <c r="Q13544" s="3"/>
    </row>
    <row r="13545" spans="1:17" ht="15" x14ac:dyDescent="0.25">
      <c r="A13545" s="3">
        <f>13538</f>
        <v>13538</v>
      </c>
      <c r="B13545" s="3" t="s">
        <v>13547</v>
      </c>
      <c r="C13545" s="3" t="s">
        <v>10</v>
      </c>
      <c r="D13545" s="3" t="s">
        <v>9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/>
      <c r="P13545" s="3"/>
      <c r="Q13545" s="3"/>
    </row>
    <row r="13546" spans="1:17" ht="15" x14ac:dyDescent="0.25">
      <c r="A13546" s="3">
        <f>13539</f>
        <v>13539</v>
      </c>
      <c r="B13546" s="3" t="s">
        <v>13548</v>
      </c>
      <c r="C13546" s="3" t="s">
        <v>10</v>
      </c>
      <c r="D13546" s="3" t="s">
        <v>9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  <c r="O13546" s="3"/>
      <c r="P13546" s="3"/>
      <c r="Q13546" s="3"/>
    </row>
    <row r="13547" spans="1:17" ht="15" x14ac:dyDescent="0.25">
      <c r="A13547" s="3">
        <f>13540</f>
        <v>13540</v>
      </c>
      <c r="B13547" s="3" t="s">
        <v>13549</v>
      </c>
      <c r="C13547" s="3" t="s">
        <v>10</v>
      </c>
      <c r="D13547" s="3" t="s">
        <v>9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/>
      <c r="P13547" s="3"/>
      <c r="Q13547" s="3"/>
    </row>
    <row r="13548" spans="1:17" ht="15" x14ac:dyDescent="0.25">
      <c r="A13548" s="3">
        <f>13541</f>
        <v>13541</v>
      </c>
      <c r="B13548" s="3" t="s">
        <v>13550</v>
      </c>
      <c r="C13548" s="3" t="s">
        <v>10</v>
      </c>
      <c r="D13548" s="3" t="s">
        <v>9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/>
      <c r="P13548" s="3"/>
      <c r="Q13548" s="3"/>
    </row>
    <row r="13549" spans="1:17" ht="15" x14ac:dyDescent="0.25">
      <c r="A13549" s="3">
        <f>13542</f>
        <v>13542</v>
      </c>
      <c r="B13549" s="3" t="s">
        <v>13551</v>
      </c>
      <c r="C13549" s="3" t="s">
        <v>10</v>
      </c>
      <c r="D13549" s="3" t="s">
        <v>9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/>
      <c r="P13549" s="3"/>
      <c r="Q13549" s="3"/>
    </row>
    <row r="13550" spans="1:17" ht="15" x14ac:dyDescent="0.25">
      <c r="A13550" s="3">
        <f>13543</f>
        <v>13543</v>
      </c>
      <c r="B13550" s="3" t="s">
        <v>13552</v>
      </c>
      <c r="C13550" s="3" t="s">
        <v>10</v>
      </c>
      <c r="D13550" s="3" t="s">
        <v>9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/>
      <c r="P13550" s="3"/>
      <c r="Q13550" s="3"/>
    </row>
    <row r="13551" spans="1:17" ht="15" x14ac:dyDescent="0.25">
      <c r="A13551" s="3">
        <f>13544</f>
        <v>13544</v>
      </c>
      <c r="B13551" s="3" t="s">
        <v>13553</v>
      </c>
      <c r="C13551" s="3" t="s">
        <v>10</v>
      </c>
      <c r="D13551" s="3" t="s">
        <v>9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/>
      <c r="P13551" s="3"/>
      <c r="Q13551" s="3"/>
    </row>
    <row r="13552" spans="1:17" ht="15" x14ac:dyDescent="0.25">
      <c r="A13552" s="3">
        <f>13545</f>
        <v>13545</v>
      </c>
      <c r="B13552" s="3" t="s">
        <v>13554</v>
      </c>
      <c r="C13552" s="3" t="s">
        <v>10</v>
      </c>
      <c r="D13552" s="3" t="s">
        <v>9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/>
      <c r="P13552" s="3"/>
      <c r="Q13552" s="3"/>
    </row>
    <row r="13553" spans="1:17" ht="15" x14ac:dyDescent="0.25">
      <c r="A13553" s="3">
        <f>13546</f>
        <v>13546</v>
      </c>
      <c r="B13553" s="3" t="s">
        <v>13555</v>
      </c>
      <c r="C13553" s="3" t="s">
        <v>10</v>
      </c>
      <c r="D13553" s="3" t="s">
        <v>9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/>
      <c r="P13553" s="3"/>
      <c r="Q13553" s="3"/>
    </row>
    <row r="13554" spans="1:17" ht="15" x14ac:dyDescent="0.25">
      <c r="A13554" s="3">
        <f>13547</f>
        <v>13547</v>
      </c>
      <c r="B13554" s="3" t="s">
        <v>13556</v>
      </c>
      <c r="C13554" s="3" t="s">
        <v>10</v>
      </c>
      <c r="D13554" s="3" t="s">
        <v>9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/>
      <c r="P13554" s="3"/>
      <c r="Q13554" s="3"/>
    </row>
    <row r="13555" spans="1:17" ht="15" x14ac:dyDescent="0.25">
      <c r="A13555" s="3">
        <f>13548</f>
        <v>13548</v>
      </c>
      <c r="B13555" s="3" t="s">
        <v>13557</v>
      </c>
      <c r="C13555" s="3" t="s">
        <v>10</v>
      </c>
      <c r="D13555" s="3" t="s">
        <v>9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/>
      <c r="P13555" s="3"/>
      <c r="Q13555" s="3"/>
    </row>
    <row r="13556" spans="1:17" ht="15" x14ac:dyDescent="0.25">
      <c r="A13556" s="3">
        <f>13549</f>
        <v>13549</v>
      </c>
      <c r="B13556" s="3" t="s">
        <v>13558</v>
      </c>
      <c r="C13556" s="3" t="s">
        <v>10</v>
      </c>
      <c r="D13556" s="3" t="s">
        <v>9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/>
      <c r="P13556" s="3"/>
      <c r="Q13556" s="3"/>
    </row>
    <row r="13557" spans="1:17" ht="15" x14ac:dyDescent="0.25">
      <c r="A13557" s="3">
        <f>13550</f>
        <v>13550</v>
      </c>
      <c r="B13557" s="3" t="s">
        <v>13559</v>
      </c>
      <c r="C13557" s="3" t="s">
        <v>10</v>
      </c>
      <c r="D13557" s="3" t="s">
        <v>9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/>
      <c r="P13557" s="3"/>
      <c r="Q13557" s="3"/>
    </row>
    <row r="13558" spans="1:17" ht="15" x14ac:dyDescent="0.25">
      <c r="A13558" s="3">
        <f>13551</f>
        <v>13551</v>
      </c>
      <c r="B13558" s="3" t="s">
        <v>13560</v>
      </c>
      <c r="C13558" s="3" t="s">
        <v>10</v>
      </c>
      <c r="D13558" s="3" t="s">
        <v>9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/>
      <c r="P13558" s="3"/>
      <c r="Q13558" s="3"/>
    </row>
    <row r="13559" spans="1:17" ht="15" x14ac:dyDescent="0.25">
      <c r="A13559" s="3">
        <f>13552</f>
        <v>13552</v>
      </c>
      <c r="B13559" s="3" t="s">
        <v>13561</v>
      </c>
      <c r="C13559" s="3" t="s">
        <v>10</v>
      </c>
      <c r="D13559" s="3" t="s">
        <v>9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/>
      <c r="P13559" s="3"/>
      <c r="Q13559" s="3"/>
    </row>
    <row r="13560" spans="1:17" ht="15" x14ac:dyDescent="0.25">
      <c r="A13560" s="3">
        <f>13553</f>
        <v>13553</v>
      </c>
      <c r="B13560" s="3" t="s">
        <v>13562</v>
      </c>
      <c r="C13560" s="3" t="s">
        <v>10</v>
      </c>
      <c r="D13560" s="3" t="s">
        <v>9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/>
      <c r="P13560" s="3"/>
      <c r="Q13560" s="3"/>
    </row>
    <row r="13561" spans="1:17" ht="15" x14ac:dyDescent="0.25">
      <c r="A13561" s="3">
        <f>13554</f>
        <v>13554</v>
      </c>
      <c r="B13561" s="3" t="s">
        <v>13563</v>
      </c>
      <c r="C13561" s="3" t="s">
        <v>10</v>
      </c>
      <c r="D13561" s="3" t="s">
        <v>9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/>
      <c r="P13561" s="3"/>
      <c r="Q13561" s="3"/>
    </row>
    <row r="13562" spans="1:17" ht="15" x14ac:dyDescent="0.25">
      <c r="A13562" s="3">
        <f>13555</f>
        <v>13555</v>
      </c>
      <c r="B13562" s="3" t="s">
        <v>13564</v>
      </c>
      <c r="C13562" s="3" t="s">
        <v>10</v>
      </c>
      <c r="D13562" s="3" t="s">
        <v>9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/>
      <c r="P13562" s="3"/>
      <c r="Q13562" s="3"/>
    </row>
    <row r="13563" spans="1:17" ht="15" x14ac:dyDescent="0.25">
      <c r="A13563" s="3">
        <f>13556</f>
        <v>13556</v>
      </c>
      <c r="B13563" s="3" t="s">
        <v>13565</v>
      </c>
      <c r="C13563" s="3" t="s">
        <v>10</v>
      </c>
      <c r="D13563" s="3" t="s">
        <v>9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/>
      <c r="P13563" s="3"/>
      <c r="Q13563" s="3"/>
    </row>
    <row r="13564" spans="1:17" ht="15" x14ac:dyDescent="0.25">
      <c r="A13564" s="3">
        <f>13557</f>
        <v>13557</v>
      </c>
      <c r="B13564" s="3" t="s">
        <v>13566</v>
      </c>
      <c r="C13564" s="3" t="s">
        <v>10</v>
      </c>
      <c r="D13564" s="3" t="s">
        <v>9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/>
      <c r="P13564" s="3"/>
      <c r="Q13564" s="3"/>
    </row>
    <row r="13565" spans="1:17" ht="15" x14ac:dyDescent="0.25">
      <c r="A13565" s="3">
        <f>13558</f>
        <v>13558</v>
      </c>
      <c r="B13565" s="3" t="s">
        <v>13567</v>
      </c>
      <c r="C13565" s="3" t="s">
        <v>10</v>
      </c>
      <c r="D13565" s="3" t="s">
        <v>9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/>
      <c r="P13565" s="3"/>
      <c r="Q13565" s="3"/>
    </row>
    <row r="13566" spans="1:17" ht="15" x14ac:dyDescent="0.25">
      <c r="A13566" s="3">
        <f>13559</f>
        <v>13559</v>
      </c>
      <c r="B13566" s="3" t="s">
        <v>13568</v>
      </c>
      <c r="C13566" s="3" t="s">
        <v>10</v>
      </c>
      <c r="D13566" s="3" t="s">
        <v>9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/>
      <c r="P13566" s="3"/>
      <c r="Q13566" s="3"/>
    </row>
    <row r="13567" spans="1:17" ht="15" x14ac:dyDescent="0.25">
      <c r="A13567" s="3">
        <f>13560</f>
        <v>13560</v>
      </c>
      <c r="B13567" s="3" t="s">
        <v>13569</v>
      </c>
      <c r="C13567" s="3" t="s">
        <v>10</v>
      </c>
      <c r="D13567" s="3" t="s">
        <v>9</v>
      </c>
      <c r="E13567" s="3">
        <v>0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/>
      <c r="P13567" s="3"/>
      <c r="Q13567" s="3"/>
    </row>
    <row r="13568" spans="1:17" ht="15" x14ac:dyDescent="0.25">
      <c r="A13568" s="3">
        <f>13561</f>
        <v>13561</v>
      </c>
      <c r="B13568" s="3" t="s">
        <v>13570</v>
      </c>
      <c r="C13568" s="3" t="s">
        <v>10</v>
      </c>
      <c r="D13568" s="3" t="s">
        <v>9</v>
      </c>
      <c r="E13568" s="3">
        <v>0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/>
      <c r="P13568" s="3"/>
      <c r="Q13568" s="3"/>
    </row>
    <row r="13569" spans="1:17" ht="15" x14ac:dyDescent="0.25">
      <c r="A13569" s="3">
        <f>13562</f>
        <v>13562</v>
      </c>
      <c r="B13569" s="3" t="s">
        <v>13571</v>
      </c>
      <c r="C13569" s="3" t="s">
        <v>10</v>
      </c>
      <c r="D13569" s="3" t="s">
        <v>9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/>
      <c r="P13569" s="3"/>
      <c r="Q13569" s="3"/>
    </row>
    <row r="13570" spans="1:17" ht="15" x14ac:dyDescent="0.25">
      <c r="A13570" s="3">
        <f>13563</f>
        <v>13563</v>
      </c>
      <c r="B13570" s="3" t="s">
        <v>13572</v>
      </c>
      <c r="C13570" s="3" t="s">
        <v>10</v>
      </c>
      <c r="D13570" s="3" t="s">
        <v>9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/>
      <c r="P13570" s="3"/>
      <c r="Q13570" s="3"/>
    </row>
    <row r="13571" spans="1:17" ht="15" x14ac:dyDescent="0.25">
      <c r="A13571" s="3">
        <f>13564</f>
        <v>13564</v>
      </c>
      <c r="B13571" s="3" t="s">
        <v>13573</v>
      </c>
      <c r="C13571" s="3" t="s">
        <v>10</v>
      </c>
      <c r="D13571" s="3" t="s">
        <v>9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/>
      <c r="P13571" s="3"/>
      <c r="Q13571" s="3"/>
    </row>
    <row r="13572" spans="1:17" ht="15" x14ac:dyDescent="0.25">
      <c r="A13572" s="3">
        <f>13565</f>
        <v>13565</v>
      </c>
      <c r="B13572" s="3" t="s">
        <v>13574</v>
      </c>
      <c r="C13572" s="3" t="s">
        <v>10</v>
      </c>
      <c r="D13572" s="3" t="s">
        <v>9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s="3"/>
      <c r="P13572" s="3"/>
      <c r="Q13572" s="3"/>
    </row>
    <row r="13573" spans="1:17" ht="15" x14ac:dyDescent="0.25">
      <c r="A13573" s="3">
        <f>13566</f>
        <v>13566</v>
      </c>
      <c r="B13573" s="3" t="s">
        <v>13575</v>
      </c>
      <c r="C13573" s="3" t="s">
        <v>10</v>
      </c>
      <c r="D13573" s="3" t="s">
        <v>9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/>
      <c r="P13573" s="3"/>
      <c r="Q13573" s="3"/>
    </row>
    <row r="13574" spans="1:17" ht="15" x14ac:dyDescent="0.25">
      <c r="A13574" s="3">
        <f>13567</f>
        <v>13567</v>
      </c>
      <c r="B13574" s="3" t="s">
        <v>13576</v>
      </c>
      <c r="C13574" s="3" t="s">
        <v>10</v>
      </c>
      <c r="D13574" s="3" t="s">
        <v>9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/>
      <c r="P13574" s="3"/>
      <c r="Q13574" s="3"/>
    </row>
    <row r="13575" spans="1:17" ht="15" x14ac:dyDescent="0.25">
      <c r="A13575" s="3">
        <f>13568</f>
        <v>13568</v>
      </c>
      <c r="B13575" s="3" t="s">
        <v>13577</v>
      </c>
      <c r="C13575" s="3" t="s">
        <v>10</v>
      </c>
      <c r="D13575" s="3" t="s">
        <v>9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/>
      <c r="P13575" s="3"/>
      <c r="Q13575" s="3"/>
    </row>
    <row r="13576" spans="1:17" ht="15" x14ac:dyDescent="0.25">
      <c r="A13576" s="3">
        <f>13569</f>
        <v>13569</v>
      </c>
      <c r="B13576" s="3" t="s">
        <v>13578</v>
      </c>
      <c r="C13576" s="3" t="s">
        <v>10</v>
      </c>
      <c r="D13576" s="3" t="s">
        <v>9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s="3"/>
      <c r="P13576" s="3"/>
      <c r="Q13576" s="3"/>
    </row>
    <row r="13577" spans="1:17" ht="15" x14ac:dyDescent="0.25">
      <c r="A13577" s="3">
        <f>13570</f>
        <v>13570</v>
      </c>
      <c r="B13577" s="3" t="s">
        <v>13579</v>
      </c>
      <c r="C13577" s="3" t="s">
        <v>10</v>
      </c>
      <c r="D13577" s="3" t="s">
        <v>9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/>
      <c r="P13577" s="3"/>
      <c r="Q13577" s="3"/>
    </row>
    <row r="13578" spans="1:17" ht="15" x14ac:dyDescent="0.25">
      <c r="A13578" s="3">
        <f>13571</f>
        <v>13571</v>
      </c>
      <c r="B13578" s="3" t="s">
        <v>13580</v>
      </c>
      <c r="C13578" s="3" t="s">
        <v>10</v>
      </c>
      <c r="D13578" s="3" t="s">
        <v>9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s="3"/>
      <c r="P13578" s="3"/>
      <c r="Q13578" s="3"/>
    </row>
    <row r="13579" spans="1:17" ht="15" x14ac:dyDescent="0.25">
      <c r="A13579" s="3">
        <f>13572</f>
        <v>13572</v>
      </c>
      <c r="B13579" s="3" t="s">
        <v>13581</v>
      </c>
      <c r="C13579" s="3" t="s">
        <v>10</v>
      </c>
      <c r="D13579" s="3" t="s">
        <v>9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/>
      <c r="P13579" s="3"/>
      <c r="Q13579" s="3"/>
    </row>
    <row r="13580" spans="1:17" ht="15" x14ac:dyDescent="0.25">
      <c r="A13580" s="3">
        <f>13573</f>
        <v>13573</v>
      </c>
      <c r="B13580" s="3" t="s">
        <v>13582</v>
      </c>
      <c r="C13580" s="3" t="s">
        <v>10</v>
      </c>
      <c r="D13580" s="3" t="s">
        <v>9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/>
      <c r="P13580" s="3"/>
      <c r="Q13580" s="3"/>
    </row>
    <row r="13581" spans="1:17" ht="15" x14ac:dyDescent="0.25">
      <c r="A13581" s="3">
        <f>13574</f>
        <v>13574</v>
      </c>
      <c r="B13581" s="3" t="s">
        <v>13583</v>
      </c>
      <c r="C13581" s="3" t="s">
        <v>10</v>
      </c>
      <c r="D13581" s="3" t="s">
        <v>9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/>
      <c r="P13581" s="3"/>
      <c r="Q13581" s="3"/>
    </row>
    <row r="13582" spans="1:17" ht="15" x14ac:dyDescent="0.25">
      <c r="A13582" s="3">
        <f>13575</f>
        <v>13575</v>
      </c>
      <c r="B13582" s="3" t="s">
        <v>13584</v>
      </c>
      <c r="C13582" s="3" t="s">
        <v>10</v>
      </c>
      <c r="D13582" s="3" t="s">
        <v>9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/>
      <c r="P13582" s="3"/>
      <c r="Q13582" s="3"/>
    </row>
    <row r="13583" spans="1:17" ht="15" x14ac:dyDescent="0.25">
      <c r="A13583" s="3">
        <f>13576</f>
        <v>13576</v>
      </c>
      <c r="B13583" s="3" t="s">
        <v>13585</v>
      </c>
      <c r="C13583" s="3" t="s">
        <v>10</v>
      </c>
      <c r="D13583" s="3" t="s">
        <v>9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/>
      <c r="P13583" s="3"/>
      <c r="Q13583" s="3"/>
    </row>
    <row r="13584" spans="1:17" ht="15" x14ac:dyDescent="0.25">
      <c r="A13584" s="3">
        <f>13577</f>
        <v>13577</v>
      </c>
      <c r="B13584" s="3" t="s">
        <v>13586</v>
      </c>
      <c r="C13584" s="3" t="s">
        <v>10</v>
      </c>
      <c r="D13584" s="3" t="s">
        <v>9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/>
      <c r="P13584" s="3"/>
      <c r="Q13584" s="3"/>
    </row>
    <row r="13585" spans="1:17" ht="15" x14ac:dyDescent="0.25">
      <c r="A13585" s="3">
        <f>13578</f>
        <v>13578</v>
      </c>
      <c r="B13585" s="3" t="s">
        <v>13587</v>
      </c>
      <c r="C13585" s="3" t="s">
        <v>10</v>
      </c>
      <c r="D13585" s="3" t="s">
        <v>9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/>
      <c r="P13585" s="3"/>
      <c r="Q13585" s="3"/>
    </row>
    <row r="13586" spans="1:17" ht="15" x14ac:dyDescent="0.25">
      <c r="A13586" s="3">
        <f>13579</f>
        <v>13579</v>
      </c>
      <c r="B13586" s="3" t="s">
        <v>13588</v>
      </c>
      <c r="C13586" s="3" t="s">
        <v>10</v>
      </c>
      <c r="D13586" s="3" t="s">
        <v>9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/>
      <c r="P13586" s="3"/>
      <c r="Q13586" s="3"/>
    </row>
    <row r="13587" spans="1:17" ht="15" x14ac:dyDescent="0.25">
      <c r="A13587" s="3">
        <f>13580</f>
        <v>13580</v>
      </c>
      <c r="B13587" s="3" t="s">
        <v>13589</v>
      </c>
      <c r="C13587" s="3" t="s">
        <v>10</v>
      </c>
      <c r="D13587" s="3" t="s">
        <v>9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/>
      <c r="P13587" s="3"/>
      <c r="Q13587" s="3"/>
    </row>
    <row r="13588" spans="1:17" ht="15" x14ac:dyDescent="0.25">
      <c r="A13588" s="3">
        <f>13581</f>
        <v>13581</v>
      </c>
      <c r="B13588" s="3" t="s">
        <v>13590</v>
      </c>
      <c r="C13588" s="3" t="s">
        <v>10</v>
      </c>
      <c r="D13588" s="3" t="s">
        <v>9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s="3"/>
      <c r="P13588" s="3"/>
      <c r="Q13588" s="3"/>
    </row>
    <row r="13589" spans="1:17" ht="15" x14ac:dyDescent="0.25">
      <c r="A13589" s="3">
        <f>13582</f>
        <v>13582</v>
      </c>
      <c r="B13589" s="3" t="s">
        <v>13591</v>
      </c>
      <c r="C13589" s="3" t="s">
        <v>10</v>
      </c>
      <c r="D13589" s="3" t="s">
        <v>9</v>
      </c>
      <c r="E13589" s="3">
        <v>0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/>
      <c r="P13589" s="3"/>
      <c r="Q13589" s="3"/>
    </row>
    <row r="13590" spans="1:17" ht="15" x14ac:dyDescent="0.25">
      <c r="A13590" s="3">
        <f>13583</f>
        <v>13583</v>
      </c>
      <c r="B13590" s="3" t="s">
        <v>13592</v>
      </c>
      <c r="C13590" s="3" t="s">
        <v>10</v>
      </c>
      <c r="D13590" s="3" t="s">
        <v>9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/>
      <c r="P13590" s="3"/>
      <c r="Q13590" s="3"/>
    </row>
    <row r="13591" spans="1:17" ht="15" x14ac:dyDescent="0.25">
      <c r="A13591" s="3">
        <f>13584</f>
        <v>13584</v>
      </c>
      <c r="B13591" s="3" t="s">
        <v>13593</v>
      </c>
      <c r="C13591" s="3" t="s">
        <v>10</v>
      </c>
      <c r="D13591" s="3" t="s">
        <v>9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/>
      <c r="P13591" s="3"/>
      <c r="Q13591" s="3"/>
    </row>
    <row r="13592" spans="1:17" ht="15" x14ac:dyDescent="0.25">
      <c r="A13592" s="3">
        <f>13585</f>
        <v>13585</v>
      </c>
      <c r="B13592" s="3" t="s">
        <v>13594</v>
      </c>
      <c r="C13592" s="3" t="s">
        <v>10</v>
      </c>
      <c r="D13592" s="3" t="s">
        <v>9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/>
      <c r="P13592" s="3"/>
      <c r="Q13592" s="3"/>
    </row>
    <row r="13593" spans="1:17" ht="15" x14ac:dyDescent="0.25">
      <c r="A13593" s="3">
        <f>13586</f>
        <v>13586</v>
      </c>
      <c r="B13593" s="3" t="s">
        <v>13595</v>
      </c>
      <c r="C13593" s="3" t="s">
        <v>10</v>
      </c>
      <c r="D13593" s="3" t="s">
        <v>9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s="3"/>
      <c r="P13593" s="3"/>
      <c r="Q13593" s="3"/>
    </row>
    <row r="13594" spans="1:17" ht="15" x14ac:dyDescent="0.25">
      <c r="A13594" s="3">
        <f>13587</f>
        <v>13587</v>
      </c>
      <c r="B13594" s="3" t="s">
        <v>13596</v>
      </c>
      <c r="C13594" s="3" t="s">
        <v>10</v>
      </c>
      <c r="D13594" s="3" t="s">
        <v>9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/>
      <c r="P13594" s="3"/>
      <c r="Q13594" s="3"/>
    </row>
    <row r="13595" spans="1:17" ht="15" x14ac:dyDescent="0.25">
      <c r="A13595" s="3">
        <f>13588</f>
        <v>13588</v>
      </c>
      <c r="B13595" s="3" t="s">
        <v>13597</v>
      </c>
      <c r="C13595" s="3" t="s">
        <v>10</v>
      </c>
      <c r="D13595" s="3" t="s">
        <v>9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/>
      <c r="P13595" s="3"/>
      <c r="Q13595" s="3"/>
    </row>
    <row r="13596" spans="1:17" ht="15" x14ac:dyDescent="0.25">
      <c r="A13596" s="3">
        <f>13589</f>
        <v>13589</v>
      </c>
      <c r="B13596" s="3" t="s">
        <v>13598</v>
      </c>
      <c r="C13596" s="3" t="s">
        <v>10</v>
      </c>
      <c r="D13596" s="3" t="s">
        <v>9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  <c r="O13596" s="3"/>
      <c r="P13596" s="3"/>
      <c r="Q13596" s="3"/>
    </row>
    <row r="13597" spans="1:17" ht="15" x14ac:dyDescent="0.25">
      <c r="A13597" s="3">
        <f>13590</f>
        <v>13590</v>
      </c>
      <c r="B13597" s="3" t="s">
        <v>13599</v>
      </c>
      <c r="C13597" s="3" t="s">
        <v>10</v>
      </c>
      <c r="D13597" s="3" t="s">
        <v>9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/>
      <c r="P13597" s="3"/>
      <c r="Q13597" s="3"/>
    </row>
    <row r="13598" spans="1:17" ht="15" x14ac:dyDescent="0.25">
      <c r="A13598" s="3">
        <f>13591</f>
        <v>13591</v>
      </c>
      <c r="B13598" s="3" t="s">
        <v>13600</v>
      </c>
      <c r="C13598" s="3" t="s">
        <v>10</v>
      </c>
      <c r="D13598" s="3" t="s">
        <v>9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s="3"/>
      <c r="P13598" s="3"/>
      <c r="Q13598" s="3"/>
    </row>
    <row r="13599" spans="1:17" ht="15" x14ac:dyDescent="0.25">
      <c r="A13599" s="3">
        <f>13592</f>
        <v>13592</v>
      </c>
      <c r="B13599" s="3" t="s">
        <v>13601</v>
      </c>
      <c r="C13599" s="3" t="s">
        <v>10</v>
      </c>
      <c r="D13599" s="3" t="s">
        <v>9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s="3"/>
      <c r="P13599" s="3"/>
      <c r="Q13599" s="3"/>
    </row>
    <row r="13600" spans="1:17" ht="15" x14ac:dyDescent="0.25">
      <c r="A13600" s="3">
        <f>13593</f>
        <v>13593</v>
      </c>
      <c r="B13600" s="3" t="s">
        <v>13602</v>
      </c>
      <c r="C13600" s="3" t="s">
        <v>10</v>
      </c>
      <c r="D13600" s="3" t="s">
        <v>9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/>
      <c r="P13600" s="3"/>
      <c r="Q13600" s="3"/>
    </row>
    <row r="13601" spans="1:17" ht="15" x14ac:dyDescent="0.25">
      <c r="A13601" s="3">
        <f>13594</f>
        <v>13594</v>
      </c>
      <c r="B13601" s="3" t="s">
        <v>13603</v>
      </c>
      <c r="C13601" s="3" t="s">
        <v>10</v>
      </c>
      <c r="D13601" s="3" t="s">
        <v>9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/>
      <c r="P13601" s="3"/>
      <c r="Q13601" s="3"/>
    </row>
    <row r="13602" spans="1:17" ht="15" x14ac:dyDescent="0.25">
      <c r="A13602" s="3">
        <f>13595</f>
        <v>13595</v>
      </c>
      <c r="B13602" s="3" t="s">
        <v>13604</v>
      </c>
      <c r="C13602" s="3" t="s">
        <v>10</v>
      </c>
      <c r="D13602" s="3" t="s">
        <v>9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/>
      <c r="P13602" s="3"/>
      <c r="Q13602" s="3"/>
    </row>
    <row r="13603" spans="1:17" ht="15" x14ac:dyDescent="0.25">
      <c r="A13603" s="3">
        <f>13596</f>
        <v>13596</v>
      </c>
      <c r="B13603" s="3" t="s">
        <v>13605</v>
      </c>
      <c r="C13603" s="3" t="s">
        <v>10</v>
      </c>
      <c r="D13603" s="3" t="s">
        <v>9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/>
      <c r="P13603" s="3"/>
      <c r="Q13603" s="3"/>
    </row>
    <row r="13604" spans="1:17" ht="15" x14ac:dyDescent="0.25">
      <c r="A13604" s="3">
        <f>13597</f>
        <v>13597</v>
      </c>
      <c r="B13604" s="3" t="s">
        <v>13606</v>
      </c>
      <c r="C13604" s="3" t="s">
        <v>10</v>
      </c>
      <c r="D13604" s="3" t="s">
        <v>9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/>
      <c r="P13604" s="3"/>
      <c r="Q13604" s="3"/>
    </row>
    <row r="13605" spans="1:17" ht="15" x14ac:dyDescent="0.25">
      <c r="A13605" s="3">
        <f>13598</f>
        <v>13598</v>
      </c>
      <c r="B13605" s="3" t="s">
        <v>13607</v>
      </c>
      <c r="C13605" s="3" t="s">
        <v>10</v>
      </c>
      <c r="D13605" s="3" t="s">
        <v>9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/>
      <c r="P13605" s="3"/>
      <c r="Q13605" s="3"/>
    </row>
    <row r="13606" spans="1:17" ht="15" x14ac:dyDescent="0.25">
      <c r="A13606" s="3">
        <f>13599</f>
        <v>13599</v>
      </c>
      <c r="B13606" s="3" t="s">
        <v>13608</v>
      </c>
      <c r="C13606" s="3" t="s">
        <v>10</v>
      </c>
      <c r="D13606" s="3" t="s">
        <v>9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/>
      <c r="P13606" s="3"/>
      <c r="Q13606" s="3"/>
    </row>
    <row r="13607" spans="1:17" ht="15" x14ac:dyDescent="0.25">
      <c r="A13607" s="3">
        <f>13600</f>
        <v>13600</v>
      </c>
      <c r="B13607" s="3" t="s">
        <v>13609</v>
      </c>
      <c r="C13607" s="3" t="s">
        <v>10</v>
      </c>
      <c r="D13607" s="3" t="s">
        <v>9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s="3"/>
      <c r="P13607" s="3"/>
      <c r="Q13607" s="3"/>
    </row>
    <row r="13608" spans="1:17" ht="15" x14ac:dyDescent="0.25">
      <c r="A13608" s="3">
        <f>13601</f>
        <v>13601</v>
      </c>
      <c r="B13608" s="3" t="s">
        <v>13610</v>
      </c>
      <c r="C13608" s="3" t="s">
        <v>10</v>
      </c>
      <c r="D13608" s="3" t="s">
        <v>9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s="3"/>
      <c r="P13608" s="3"/>
      <c r="Q13608" s="3"/>
    </row>
    <row r="13609" spans="1:17" ht="15" x14ac:dyDescent="0.25">
      <c r="A13609" s="3">
        <f>13602</f>
        <v>13602</v>
      </c>
      <c r="B13609" s="3" t="s">
        <v>13611</v>
      </c>
      <c r="C13609" s="3" t="s">
        <v>10</v>
      </c>
      <c r="D13609" s="3" t="s">
        <v>9</v>
      </c>
      <c r="E13609" s="3">
        <v>0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/>
      <c r="P13609" s="3"/>
      <c r="Q13609" s="3"/>
    </row>
    <row r="13610" spans="1:17" ht="15" x14ac:dyDescent="0.25">
      <c r="A13610" s="3">
        <f>13603</f>
        <v>13603</v>
      </c>
      <c r="B13610" s="3" t="s">
        <v>13612</v>
      </c>
      <c r="C13610" s="3" t="s">
        <v>10</v>
      </c>
      <c r="D13610" s="3" t="s">
        <v>9</v>
      </c>
      <c r="E13610" s="3">
        <v>0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/>
      <c r="P13610" s="3"/>
      <c r="Q13610" s="3"/>
    </row>
    <row r="13611" spans="1:17" ht="15" x14ac:dyDescent="0.25">
      <c r="A13611" s="3">
        <f>13604</f>
        <v>13604</v>
      </c>
      <c r="B13611" s="3" t="s">
        <v>13613</v>
      </c>
      <c r="C13611" s="3" t="s">
        <v>10</v>
      </c>
      <c r="D13611" s="3" t="s">
        <v>9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/>
      <c r="P13611" s="3"/>
      <c r="Q13611" s="3"/>
    </row>
    <row r="13612" spans="1:17" ht="15" x14ac:dyDescent="0.25">
      <c r="A13612" s="3">
        <f>13605</f>
        <v>13605</v>
      </c>
      <c r="B13612" s="3" t="s">
        <v>13614</v>
      </c>
      <c r="C13612" s="3" t="s">
        <v>10</v>
      </c>
      <c r="D13612" s="3" t="s">
        <v>9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/>
      <c r="P13612" s="3"/>
      <c r="Q13612" s="3"/>
    </row>
    <row r="13613" spans="1:17" ht="15" x14ac:dyDescent="0.25">
      <c r="A13613" s="3">
        <f>13606</f>
        <v>13606</v>
      </c>
      <c r="B13613" s="3" t="s">
        <v>13615</v>
      </c>
      <c r="C13613" s="3" t="s">
        <v>10</v>
      </c>
      <c r="D13613" s="3" t="s">
        <v>9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/>
      <c r="P13613" s="3"/>
      <c r="Q13613" s="3"/>
    </row>
    <row r="13614" spans="1:17" ht="15" x14ac:dyDescent="0.25">
      <c r="A13614" s="3">
        <f>13607</f>
        <v>13607</v>
      </c>
      <c r="B13614" s="3" t="s">
        <v>13616</v>
      </c>
      <c r="C13614" s="3" t="s">
        <v>10</v>
      </c>
      <c r="D13614" s="3" t="s">
        <v>9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s="3"/>
      <c r="P13614" s="3"/>
      <c r="Q13614" s="3"/>
    </row>
    <row r="13615" spans="1:17" ht="15" x14ac:dyDescent="0.25">
      <c r="A13615" s="3">
        <f>13608</f>
        <v>13608</v>
      </c>
      <c r="B13615" s="3" t="s">
        <v>13617</v>
      </c>
      <c r="C13615" s="3" t="s">
        <v>10</v>
      </c>
      <c r="D13615" s="3" t="s">
        <v>9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s="3"/>
      <c r="P13615" s="3"/>
      <c r="Q13615" s="3"/>
    </row>
    <row r="13616" spans="1:17" ht="15" x14ac:dyDescent="0.25">
      <c r="A13616" s="3">
        <f>13609</f>
        <v>13609</v>
      </c>
      <c r="B13616" s="3" t="s">
        <v>13618</v>
      </c>
      <c r="C13616" s="3" t="s">
        <v>10</v>
      </c>
      <c r="D13616" s="3" t="s">
        <v>9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s="3"/>
      <c r="P13616" s="3"/>
      <c r="Q13616" s="3"/>
    </row>
    <row r="13617" spans="1:17" ht="15" x14ac:dyDescent="0.25">
      <c r="A13617" s="3">
        <f>13610</f>
        <v>13610</v>
      </c>
      <c r="B13617" s="3" t="s">
        <v>13619</v>
      </c>
      <c r="C13617" s="3" t="s">
        <v>10</v>
      </c>
      <c r="D13617" s="3" t="s">
        <v>9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/>
      <c r="P13617" s="3"/>
      <c r="Q13617" s="3"/>
    </row>
    <row r="13618" spans="1:17" ht="15" x14ac:dyDescent="0.25">
      <c r="A13618" s="3">
        <f>13611</f>
        <v>13611</v>
      </c>
      <c r="B13618" s="3" t="s">
        <v>13620</v>
      </c>
      <c r="C13618" s="3" t="s">
        <v>10</v>
      </c>
      <c r="D13618" s="3" t="s">
        <v>9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s="3"/>
      <c r="P13618" s="3"/>
      <c r="Q13618" s="3"/>
    </row>
    <row r="13619" spans="1:17" ht="15" x14ac:dyDescent="0.25">
      <c r="A13619" s="3">
        <f>13612</f>
        <v>13612</v>
      </c>
      <c r="B13619" s="3" t="s">
        <v>13621</v>
      </c>
      <c r="C13619" s="3" t="s">
        <v>10</v>
      </c>
      <c r="D13619" s="3" t="s">
        <v>9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/>
      <c r="P13619" s="3"/>
      <c r="Q13619" s="3"/>
    </row>
    <row r="13620" spans="1:17" ht="15" x14ac:dyDescent="0.25">
      <c r="A13620" s="3">
        <f>13613</f>
        <v>13613</v>
      </c>
      <c r="B13620" s="3" t="s">
        <v>13622</v>
      </c>
      <c r="C13620" s="3" t="s">
        <v>10</v>
      </c>
      <c r="D13620" s="3" t="s">
        <v>9</v>
      </c>
      <c r="E13620" s="3">
        <v>0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/>
      <c r="P13620" s="3"/>
      <c r="Q13620" s="3"/>
    </row>
    <row r="13621" spans="1:17" ht="15" x14ac:dyDescent="0.25">
      <c r="A13621" s="3">
        <f>13614</f>
        <v>13614</v>
      </c>
      <c r="B13621" s="3" t="s">
        <v>13623</v>
      </c>
      <c r="C13621" s="3" t="s">
        <v>10</v>
      </c>
      <c r="D13621" s="3" t="s">
        <v>9</v>
      </c>
      <c r="E13621" s="3">
        <v>0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/>
      <c r="P13621" s="3"/>
      <c r="Q13621" s="3"/>
    </row>
    <row r="13622" spans="1:17" ht="15" x14ac:dyDescent="0.25">
      <c r="A13622" s="3">
        <f>13615</f>
        <v>13615</v>
      </c>
      <c r="B13622" s="3" t="s">
        <v>13624</v>
      </c>
      <c r="C13622" s="3" t="s">
        <v>10</v>
      </c>
      <c r="D13622" s="3" t="s">
        <v>9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/>
      <c r="P13622" s="3"/>
      <c r="Q13622" s="3"/>
    </row>
    <row r="13623" spans="1:17" ht="15" x14ac:dyDescent="0.25">
      <c r="A13623" s="3">
        <f>13616</f>
        <v>13616</v>
      </c>
      <c r="B13623" s="3" t="s">
        <v>13625</v>
      </c>
      <c r="C13623" s="3" t="s">
        <v>10</v>
      </c>
      <c r="D13623" s="3" t="s">
        <v>9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/>
      <c r="P13623" s="3"/>
      <c r="Q13623" s="3"/>
    </row>
    <row r="13624" spans="1:17" ht="15" x14ac:dyDescent="0.25">
      <c r="A13624" s="3">
        <f>13617</f>
        <v>13617</v>
      </c>
      <c r="B13624" s="3" t="s">
        <v>13626</v>
      </c>
      <c r="C13624" s="3" t="s">
        <v>10</v>
      </c>
      <c r="D13624" s="3" t="s">
        <v>9</v>
      </c>
      <c r="E13624" s="3">
        <v>0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/>
      <c r="P13624" s="3"/>
      <c r="Q13624" s="3"/>
    </row>
    <row r="13625" spans="1:17" ht="15" x14ac:dyDescent="0.25">
      <c r="A13625" s="3">
        <f>13618</f>
        <v>13618</v>
      </c>
      <c r="B13625" s="3" t="s">
        <v>13627</v>
      </c>
      <c r="C13625" s="3" t="s">
        <v>10</v>
      </c>
      <c r="D13625" s="3" t="s">
        <v>9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/>
      <c r="P13625" s="3"/>
      <c r="Q13625" s="3"/>
    </row>
    <row r="13626" spans="1:17" ht="15" x14ac:dyDescent="0.25">
      <c r="A13626" s="3">
        <f>13619</f>
        <v>13619</v>
      </c>
      <c r="B13626" s="3" t="s">
        <v>13628</v>
      </c>
      <c r="C13626" s="3" t="s">
        <v>10</v>
      </c>
      <c r="D13626" s="3" t="s">
        <v>9</v>
      </c>
      <c r="E13626" s="3">
        <v>0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/>
      <c r="P13626" s="3"/>
      <c r="Q13626" s="3"/>
    </row>
    <row r="13627" spans="1:17" ht="15" x14ac:dyDescent="0.25">
      <c r="A13627" s="3">
        <f>13620</f>
        <v>13620</v>
      </c>
      <c r="B13627" s="3" t="s">
        <v>13629</v>
      </c>
      <c r="C13627" s="3" t="s">
        <v>10</v>
      </c>
      <c r="D13627" s="3" t="s">
        <v>9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/>
      <c r="P13627" s="3"/>
      <c r="Q13627" s="3"/>
    </row>
    <row r="13628" spans="1:17" ht="15" x14ac:dyDescent="0.25">
      <c r="A13628" s="3">
        <f>13621</f>
        <v>13621</v>
      </c>
      <c r="B13628" s="3" t="s">
        <v>13630</v>
      </c>
      <c r="C13628" s="3" t="s">
        <v>10</v>
      </c>
      <c r="D13628" s="3" t="s">
        <v>9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/>
      <c r="P13628" s="3"/>
      <c r="Q13628" s="3"/>
    </row>
    <row r="13629" spans="1:17" ht="15" x14ac:dyDescent="0.25">
      <c r="A13629" s="3">
        <f>13622</f>
        <v>13622</v>
      </c>
      <c r="B13629" s="3" t="s">
        <v>13631</v>
      </c>
      <c r="C13629" s="3" t="s">
        <v>10</v>
      </c>
      <c r="D13629" s="3" t="s">
        <v>9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/>
      <c r="P13629" s="3"/>
      <c r="Q13629" s="3"/>
    </row>
    <row r="13630" spans="1:17" ht="15" x14ac:dyDescent="0.25">
      <c r="A13630" s="3">
        <f>13623</f>
        <v>13623</v>
      </c>
      <c r="B13630" s="3" t="s">
        <v>13632</v>
      </c>
      <c r="C13630" s="3" t="s">
        <v>10</v>
      </c>
      <c r="D13630" s="3" t="s">
        <v>9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s="3"/>
      <c r="P13630" s="3"/>
      <c r="Q13630" s="3"/>
    </row>
    <row r="13631" spans="1:17" ht="15" x14ac:dyDescent="0.25">
      <c r="A13631" s="3">
        <f>13624</f>
        <v>13624</v>
      </c>
      <c r="B13631" s="3" t="s">
        <v>13633</v>
      </c>
      <c r="C13631" s="3" t="s">
        <v>10</v>
      </c>
      <c r="D13631" s="3" t="s">
        <v>9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/>
      <c r="P13631" s="3"/>
      <c r="Q13631" s="3"/>
    </row>
    <row r="13632" spans="1:17" ht="15" x14ac:dyDescent="0.25">
      <c r="A13632" s="3">
        <f>13625</f>
        <v>13625</v>
      </c>
      <c r="B13632" s="3" t="s">
        <v>13634</v>
      </c>
      <c r="C13632" s="3" t="s">
        <v>10</v>
      </c>
      <c r="D13632" s="3" t="s">
        <v>9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/>
      <c r="P13632" s="3"/>
      <c r="Q13632" s="3"/>
    </row>
    <row r="13633" spans="1:17" ht="15" x14ac:dyDescent="0.25">
      <c r="A13633" s="3">
        <f>13626</f>
        <v>13626</v>
      </c>
      <c r="B13633" s="3" t="s">
        <v>13635</v>
      </c>
      <c r="C13633" s="3" t="s">
        <v>10</v>
      </c>
      <c r="D13633" s="3" t="s">
        <v>9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/>
      <c r="P13633" s="3"/>
      <c r="Q13633" s="3"/>
    </row>
    <row r="13634" spans="1:17" ht="15" x14ac:dyDescent="0.25">
      <c r="A13634" s="3">
        <f>13627</f>
        <v>13627</v>
      </c>
      <c r="B13634" s="3" t="s">
        <v>13636</v>
      </c>
      <c r="C13634" s="3" t="s">
        <v>10</v>
      </c>
      <c r="D13634" s="3" t="s">
        <v>9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/>
      <c r="P13634" s="3"/>
      <c r="Q13634" s="3"/>
    </row>
    <row r="13635" spans="1:17" ht="15" x14ac:dyDescent="0.25">
      <c r="A13635" s="3">
        <f>13628</f>
        <v>13628</v>
      </c>
      <c r="B13635" s="3" t="s">
        <v>13637</v>
      </c>
      <c r="C13635" s="3" t="s">
        <v>10</v>
      </c>
      <c r="D13635" s="3" t="s">
        <v>9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/>
      <c r="P13635" s="3"/>
      <c r="Q13635" s="3"/>
    </row>
    <row r="13636" spans="1:17" ht="15" x14ac:dyDescent="0.25">
      <c r="A13636" s="3">
        <f>13629</f>
        <v>13629</v>
      </c>
      <c r="B13636" s="3" t="s">
        <v>13638</v>
      </c>
      <c r="C13636" s="3" t="s">
        <v>10</v>
      </c>
      <c r="D13636" s="3" t="s">
        <v>9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/>
      <c r="P13636" s="3"/>
      <c r="Q13636" s="3"/>
    </row>
    <row r="13637" spans="1:17" ht="15" x14ac:dyDescent="0.25">
      <c r="A13637" s="3">
        <f>13630</f>
        <v>13630</v>
      </c>
      <c r="B13637" s="3" t="s">
        <v>13639</v>
      </c>
      <c r="C13637" s="3" t="s">
        <v>10</v>
      </c>
      <c r="D13637" s="3" t="s">
        <v>9</v>
      </c>
      <c r="E13637" s="3">
        <v>0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/>
      <c r="P13637" s="3"/>
      <c r="Q13637" s="3"/>
    </row>
    <row r="13638" spans="1:17" ht="15" x14ac:dyDescent="0.25">
      <c r="A13638" s="3">
        <f>13631</f>
        <v>13631</v>
      </c>
      <c r="B13638" s="3" t="s">
        <v>13640</v>
      </c>
      <c r="C13638" s="3" t="s">
        <v>10</v>
      </c>
      <c r="D13638" s="3" t="s">
        <v>9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/>
      <c r="P13638" s="3"/>
      <c r="Q13638" s="3"/>
    </row>
    <row r="13639" spans="1:17" ht="15" x14ac:dyDescent="0.25">
      <c r="A13639" s="3">
        <f>13632</f>
        <v>13632</v>
      </c>
      <c r="B13639" s="3" t="s">
        <v>13641</v>
      </c>
      <c r="C13639" s="3" t="s">
        <v>10</v>
      </c>
      <c r="D13639" s="3" t="s">
        <v>9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/>
      <c r="P13639" s="3"/>
      <c r="Q13639" s="3"/>
    </row>
    <row r="13640" spans="1:17" ht="15" x14ac:dyDescent="0.25">
      <c r="A13640" s="3">
        <f>13633</f>
        <v>13633</v>
      </c>
      <c r="B13640" s="3" t="s">
        <v>13642</v>
      </c>
      <c r="C13640" s="3" t="s">
        <v>10</v>
      </c>
      <c r="D13640" s="3" t="s">
        <v>9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/>
      <c r="P13640" s="3"/>
      <c r="Q13640" s="3"/>
    </row>
    <row r="13641" spans="1:17" ht="15" x14ac:dyDescent="0.25">
      <c r="A13641" s="3">
        <f>13634</f>
        <v>13634</v>
      </c>
      <c r="B13641" s="3" t="s">
        <v>13643</v>
      </c>
      <c r="C13641" s="3" t="s">
        <v>10</v>
      </c>
      <c r="D13641" s="3" t="s">
        <v>9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/>
      <c r="P13641" s="3"/>
      <c r="Q13641" s="3"/>
    </row>
    <row r="13642" spans="1:17" ht="15" x14ac:dyDescent="0.25">
      <c r="A13642" s="3">
        <f>13635</f>
        <v>13635</v>
      </c>
      <c r="B13642" s="3" t="s">
        <v>13644</v>
      </c>
      <c r="C13642" s="3" t="s">
        <v>10</v>
      </c>
      <c r="D13642" s="3" t="s">
        <v>9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s="3"/>
      <c r="P13642" s="3"/>
      <c r="Q13642" s="3"/>
    </row>
    <row r="13643" spans="1:17" ht="15" x14ac:dyDescent="0.25">
      <c r="A13643" s="3">
        <f>13636</f>
        <v>13636</v>
      </c>
      <c r="B13643" s="3" t="s">
        <v>13645</v>
      </c>
      <c r="C13643" s="3" t="s">
        <v>10</v>
      </c>
      <c r="D13643" s="3" t="s">
        <v>9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/>
      <c r="P13643" s="3"/>
      <c r="Q13643" s="3"/>
    </row>
    <row r="13644" spans="1:17" ht="15" x14ac:dyDescent="0.25">
      <c r="A13644" s="3">
        <f>13637</f>
        <v>13637</v>
      </c>
      <c r="B13644" s="3" t="s">
        <v>13646</v>
      </c>
      <c r="C13644" s="3" t="s">
        <v>10</v>
      </c>
      <c r="D13644" s="3" t="s">
        <v>9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s="3"/>
      <c r="P13644" s="3"/>
      <c r="Q13644" s="3"/>
    </row>
    <row r="13645" spans="1:17" ht="15" x14ac:dyDescent="0.25">
      <c r="A13645" s="3">
        <f>13638</f>
        <v>13638</v>
      </c>
      <c r="B13645" s="3" t="s">
        <v>13647</v>
      </c>
      <c r="C13645" s="3" t="s">
        <v>10</v>
      </c>
      <c r="D13645" s="3" t="s">
        <v>9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/>
      <c r="P13645" s="3"/>
      <c r="Q13645" s="3"/>
    </row>
    <row r="13646" spans="1:17" ht="15" x14ac:dyDescent="0.25">
      <c r="A13646" s="3">
        <f>13639</f>
        <v>13639</v>
      </c>
      <c r="B13646" s="3" t="s">
        <v>13648</v>
      </c>
      <c r="C13646" s="3" t="s">
        <v>10</v>
      </c>
      <c r="D13646" s="3" t="s">
        <v>9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/>
      <c r="P13646" s="3"/>
      <c r="Q13646" s="3"/>
    </row>
    <row r="13647" spans="1:17" ht="15" x14ac:dyDescent="0.25">
      <c r="A13647" s="3">
        <f>13640</f>
        <v>13640</v>
      </c>
      <c r="B13647" s="3" t="s">
        <v>13649</v>
      </c>
      <c r="C13647" s="3" t="s">
        <v>10</v>
      </c>
      <c r="D13647" s="3" t="s">
        <v>9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/>
      <c r="P13647" s="3"/>
      <c r="Q13647" s="3"/>
    </row>
    <row r="13648" spans="1:17" ht="15" x14ac:dyDescent="0.25">
      <c r="A13648" s="3">
        <f>13641</f>
        <v>13641</v>
      </c>
      <c r="B13648" s="3" t="s">
        <v>13650</v>
      </c>
      <c r="C13648" s="3" t="s">
        <v>10</v>
      </c>
      <c r="D13648" s="3" t="s">
        <v>9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/>
      <c r="P13648" s="3"/>
      <c r="Q13648" s="3"/>
    </row>
    <row r="13649" spans="1:17" ht="15" x14ac:dyDescent="0.25">
      <c r="A13649" s="3">
        <f>13642</f>
        <v>13642</v>
      </c>
      <c r="B13649" s="3" t="s">
        <v>13651</v>
      </c>
      <c r="C13649" s="3" t="s">
        <v>10</v>
      </c>
      <c r="D13649" s="3" t="s">
        <v>9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/>
      <c r="P13649" s="3"/>
      <c r="Q13649" s="3"/>
    </row>
    <row r="13650" spans="1:17" ht="15" x14ac:dyDescent="0.25">
      <c r="A13650" s="3">
        <f>13643</f>
        <v>13643</v>
      </c>
      <c r="B13650" s="3" t="s">
        <v>13652</v>
      </c>
      <c r="C13650" s="3" t="s">
        <v>10</v>
      </c>
      <c r="D13650" s="3" t="s">
        <v>9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/>
      <c r="P13650" s="3"/>
      <c r="Q13650" s="3"/>
    </row>
    <row r="13651" spans="1:17" ht="15" x14ac:dyDescent="0.25">
      <c r="A13651" s="3">
        <f>13644</f>
        <v>13644</v>
      </c>
      <c r="B13651" s="3" t="s">
        <v>13653</v>
      </c>
      <c r="C13651" s="3" t="s">
        <v>10</v>
      </c>
      <c r="D13651" s="3" t="s">
        <v>9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/>
      <c r="P13651" s="3"/>
      <c r="Q13651" s="3"/>
    </row>
    <row r="13652" spans="1:17" ht="15" x14ac:dyDescent="0.25">
      <c r="A13652" s="3">
        <f>13645</f>
        <v>13645</v>
      </c>
      <c r="B13652" s="3" t="s">
        <v>13654</v>
      </c>
      <c r="C13652" s="3" t="s">
        <v>10</v>
      </c>
      <c r="D13652" s="3" t="s">
        <v>9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s="3"/>
      <c r="P13652" s="3"/>
      <c r="Q13652" s="3"/>
    </row>
    <row r="13653" spans="1:17" ht="15" x14ac:dyDescent="0.25">
      <c r="A13653" s="3">
        <f>13646</f>
        <v>13646</v>
      </c>
      <c r="B13653" s="3" t="s">
        <v>13655</v>
      </c>
      <c r="C13653" s="3" t="s">
        <v>10</v>
      </c>
      <c r="D13653" s="3" t="s">
        <v>9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/>
      <c r="P13653" s="3"/>
      <c r="Q13653" s="3"/>
    </row>
    <row r="13654" spans="1:17" ht="15" x14ac:dyDescent="0.25">
      <c r="A13654" s="3">
        <f>13647</f>
        <v>13647</v>
      </c>
      <c r="B13654" s="3" t="s">
        <v>13656</v>
      </c>
      <c r="C13654" s="3" t="s">
        <v>10</v>
      </c>
      <c r="D13654" s="3" t="s">
        <v>9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/>
      <c r="P13654" s="3"/>
      <c r="Q13654" s="3"/>
    </row>
    <row r="13655" spans="1:17" ht="15" x14ac:dyDescent="0.25">
      <c r="A13655" s="3">
        <f>13648</f>
        <v>13648</v>
      </c>
      <c r="B13655" s="3" t="s">
        <v>13657</v>
      </c>
      <c r="C13655" s="3" t="s">
        <v>10</v>
      </c>
      <c r="D13655" s="3" t="s">
        <v>9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/>
      <c r="P13655" s="3"/>
      <c r="Q13655" s="3"/>
    </row>
    <row r="13656" spans="1:17" ht="15" x14ac:dyDescent="0.25">
      <c r="A13656" s="3">
        <f>13649</f>
        <v>13649</v>
      </c>
      <c r="B13656" s="3" t="s">
        <v>13658</v>
      </c>
      <c r="C13656" s="3" t="s">
        <v>10</v>
      </c>
      <c r="D13656" s="3" t="s">
        <v>9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/>
      <c r="P13656" s="3"/>
      <c r="Q13656" s="3"/>
    </row>
    <row r="13657" spans="1:17" ht="15" x14ac:dyDescent="0.25">
      <c r="A13657" s="3">
        <f>13650</f>
        <v>13650</v>
      </c>
      <c r="B13657" s="3" t="s">
        <v>13659</v>
      </c>
      <c r="C13657" s="3" t="s">
        <v>10</v>
      </c>
      <c r="D13657" s="3" t="s">
        <v>9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/>
      <c r="P13657" s="3"/>
      <c r="Q13657" s="3"/>
    </row>
    <row r="13658" spans="1:17" ht="15" x14ac:dyDescent="0.25">
      <c r="A13658" s="3">
        <f>13651</f>
        <v>13651</v>
      </c>
      <c r="B13658" s="3" t="s">
        <v>13660</v>
      </c>
      <c r="C13658" s="3" t="s">
        <v>10</v>
      </c>
      <c r="D13658" s="3" t="s">
        <v>9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/>
      <c r="P13658" s="3"/>
      <c r="Q13658" s="3"/>
    </row>
    <row r="13659" spans="1:17" ht="15" x14ac:dyDescent="0.25">
      <c r="A13659" s="3">
        <f>13652</f>
        <v>13652</v>
      </c>
      <c r="B13659" s="3" t="s">
        <v>13661</v>
      </c>
      <c r="C13659" s="3" t="s">
        <v>10</v>
      </c>
      <c r="D13659" s="3" t="s">
        <v>9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/>
      <c r="P13659" s="3"/>
      <c r="Q13659" s="3"/>
    </row>
    <row r="13660" spans="1:17" ht="15" x14ac:dyDescent="0.25">
      <c r="A13660" s="3">
        <f>13653</f>
        <v>13653</v>
      </c>
      <c r="B13660" s="3" t="s">
        <v>13662</v>
      </c>
      <c r="C13660" s="3" t="s">
        <v>10</v>
      </c>
      <c r="D13660" s="3" t="s">
        <v>9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/>
      <c r="P13660" s="3"/>
      <c r="Q13660" s="3"/>
    </row>
    <row r="13661" spans="1:17" ht="15" x14ac:dyDescent="0.25">
      <c r="A13661" s="3">
        <f>13654</f>
        <v>13654</v>
      </c>
      <c r="B13661" s="3" t="s">
        <v>13663</v>
      </c>
      <c r="C13661" s="3" t="s">
        <v>10</v>
      </c>
      <c r="D13661" s="3" t="s">
        <v>9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/>
      <c r="P13661" s="3"/>
      <c r="Q13661" s="3"/>
    </row>
    <row r="13662" spans="1:17" ht="15" x14ac:dyDescent="0.25">
      <c r="A13662" s="3">
        <f>13655</f>
        <v>13655</v>
      </c>
      <c r="B13662" s="3" t="s">
        <v>13664</v>
      </c>
      <c r="C13662" s="3" t="s">
        <v>10</v>
      </c>
      <c r="D13662" s="3" t="s">
        <v>9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s="3"/>
      <c r="P13662" s="3"/>
      <c r="Q13662" s="3"/>
    </row>
    <row r="13663" spans="1:17" ht="15" x14ac:dyDescent="0.25">
      <c r="A13663" s="3">
        <f>13656</f>
        <v>13656</v>
      </c>
      <c r="B13663" s="3" t="s">
        <v>13665</v>
      </c>
      <c r="C13663" s="3" t="s">
        <v>10</v>
      </c>
      <c r="D13663" s="3" t="s">
        <v>9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/>
      <c r="P13663" s="3"/>
      <c r="Q13663" s="3"/>
    </row>
    <row r="13664" spans="1:17" ht="15" x14ac:dyDescent="0.25">
      <c r="A13664" s="3">
        <f>13657</f>
        <v>13657</v>
      </c>
      <c r="B13664" s="3" t="s">
        <v>13666</v>
      </c>
      <c r="C13664" s="3" t="s">
        <v>10</v>
      </c>
      <c r="D13664" s="3" t="s">
        <v>9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/>
      <c r="P13664" s="3"/>
      <c r="Q13664" s="3"/>
    </row>
    <row r="13665" spans="1:17" ht="15" x14ac:dyDescent="0.25">
      <c r="A13665" s="3">
        <f>13658</f>
        <v>13658</v>
      </c>
      <c r="B13665" s="3" t="s">
        <v>13667</v>
      </c>
      <c r="C13665" s="3" t="s">
        <v>10</v>
      </c>
      <c r="D13665" s="3" t="s">
        <v>9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/>
      <c r="P13665" s="3"/>
      <c r="Q13665" s="3"/>
    </row>
    <row r="13666" spans="1:17" ht="15" x14ac:dyDescent="0.25">
      <c r="A13666" s="3">
        <f>13659</f>
        <v>13659</v>
      </c>
      <c r="B13666" s="3" t="s">
        <v>13668</v>
      </c>
      <c r="C13666" s="3" t="s">
        <v>10</v>
      </c>
      <c r="D13666" s="3" t="s">
        <v>9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/>
      <c r="P13666" s="3"/>
      <c r="Q13666" s="3"/>
    </row>
    <row r="13667" spans="1:17" ht="15" x14ac:dyDescent="0.25">
      <c r="A13667" s="3">
        <f>13660</f>
        <v>13660</v>
      </c>
      <c r="B13667" s="3" t="s">
        <v>13669</v>
      </c>
      <c r="C13667" s="3" t="s">
        <v>10</v>
      </c>
      <c r="D13667" s="3" t="s">
        <v>9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/>
      <c r="P13667" s="3"/>
      <c r="Q13667" s="3"/>
    </row>
    <row r="13668" spans="1:17" ht="15" x14ac:dyDescent="0.25">
      <c r="A13668" s="3">
        <f>13661</f>
        <v>13661</v>
      </c>
      <c r="B13668" s="3" t="s">
        <v>13670</v>
      </c>
      <c r="C13668" s="3" t="s">
        <v>10</v>
      </c>
      <c r="D13668" s="3" t="s">
        <v>9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/>
      <c r="P13668" s="3"/>
      <c r="Q13668" s="3"/>
    </row>
    <row r="13669" spans="1:17" ht="15" x14ac:dyDescent="0.25">
      <c r="A13669" s="3">
        <f>13662</f>
        <v>13662</v>
      </c>
      <c r="B13669" s="3" t="s">
        <v>13671</v>
      </c>
      <c r="C13669" s="3" t="s">
        <v>10</v>
      </c>
      <c r="D13669" s="3" t="s">
        <v>9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/>
      <c r="P13669" s="3"/>
      <c r="Q13669" s="3"/>
    </row>
    <row r="13670" spans="1:17" ht="15" x14ac:dyDescent="0.25">
      <c r="A13670" s="3">
        <f>13663</f>
        <v>13663</v>
      </c>
      <c r="B13670" s="3" t="s">
        <v>13672</v>
      </c>
      <c r="C13670" s="3" t="s">
        <v>10</v>
      </c>
      <c r="D13670" s="3" t="s">
        <v>9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/>
      <c r="P13670" s="3"/>
      <c r="Q13670" s="3"/>
    </row>
    <row r="13671" spans="1:17" ht="15" x14ac:dyDescent="0.25">
      <c r="A13671" s="3">
        <f>13664</f>
        <v>13664</v>
      </c>
      <c r="B13671" s="3" t="s">
        <v>13673</v>
      </c>
      <c r="C13671" s="3" t="s">
        <v>10</v>
      </c>
      <c r="D13671" s="3" t="s">
        <v>9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/>
      <c r="P13671" s="3"/>
      <c r="Q13671" s="3"/>
    </row>
    <row r="13672" spans="1:17" ht="15" x14ac:dyDescent="0.25">
      <c r="A13672" s="3">
        <f>13665</f>
        <v>13665</v>
      </c>
      <c r="B13672" s="3" t="s">
        <v>13674</v>
      </c>
      <c r="C13672" s="3" t="s">
        <v>10</v>
      </c>
      <c r="D13672" s="3" t="s">
        <v>9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  <c r="O13672" s="3"/>
      <c r="P13672" s="3"/>
      <c r="Q13672" s="3"/>
    </row>
    <row r="13673" spans="1:17" ht="15" x14ac:dyDescent="0.25">
      <c r="A13673" s="3">
        <f>13666</f>
        <v>13666</v>
      </c>
      <c r="B13673" s="3" t="s">
        <v>13675</v>
      </c>
      <c r="C13673" s="3" t="s">
        <v>10</v>
      </c>
      <c r="D13673" s="3" t="s">
        <v>9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/>
      <c r="P13673" s="3"/>
      <c r="Q13673" s="3"/>
    </row>
    <row r="13674" spans="1:17" ht="15" x14ac:dyDescent="0.25">
      <c r="A13674" s="3">
        <f>13667</f>
        <v>13667</v>
      </c>
      <c r="B13674" s="3" t="s">
        <v>13676</v>
      </c>
      <c r="C13674" s="3" t="s">
        <v>10</v>
      </c>
      <c r="D13674" s="3" t="s">
        <v>9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s="3"/>
      <c r="P13674" s="3"/>
      <c r="Q13674" s="3"/>
    </row>
    <row r="13675" spans="1:17" ht="15" x14ac:dyDescent="0.25">
      <c r="A13675" s="3">
        <f>13668</f>
        <v>13668</v>
      </c>
      <c r="B13675" s="3" t="s">
        <v>13677</v>
      </c>
      <c r="C13675" s="3" t="s">
        <v>10</v>
      </c>
      <c r="D13675" s="3" t="s">
        <v>9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/>
      <c r="P13675" s="3"/>
      <c r="Q13675" s="3"/>
    </row>
    <row r="13676" spans="1:17" ht="15" x14ac:dyDescent="0.25">
      <c r="A13676" s="3">
        <f>13669</f>
        <v>13669</v>
      </c>
      <c r="B13676" s="3" t="s">
        <v>13678</v>
      </c>
      <c r="C13676" s="3" t="s">
        <v>10</v>
      </c>
      <c r="D13676" s="3" t="s">
        <v>9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/>
      <c r="P13676" s="3"/>
      <c r="Q13676" s="3"/>
    </row>
    <row r="13677" spans="1:17" ht="15" x14ac:dyDescent="0.25">
      <c r="A13677" s="3">
        <f>13670</f>
        <v>13670</v>
      </c>
      <c r="B13677" s="3" t="s">
        <v>13679</v>
      </c>
      <c r="C13677" s="3" t="s">
        <v>10</v>
      </c>
      <c r="D13677" s="3" t="s">
        <v>9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/>
      <c r="P13677" s="3"/>
      <c r="Q13677" s="3"/>
    </row>
    <row r="13678" spans="1:17" ht="15" x14ac:dyDescent="0.25">
      <c r="A13678" s="3">
        <f>13671</f>
        <v>13671</v>
      </c>
      <c r="B13678" s="3" t="s">
        <v>13680</v>
      </c>
      <c r="C13678" s="3" t="s">
        <v>10</v>
      </c>
      <c r="D13678" s="3" t="s">
        <v>9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s="3"/>
      <c r="P13678" s="3"/>
      <c r="Q13678" s="3"/>
    </row>
    <row r="13679" spans="1:17" ht="15" x14ac:dyDescent="0.25">
      <c r="A13679" s="3">
        <f>13672</f>
        <v>13672</v>
      </c>
      <c r="B13679" s="3" t="s">
        <v>13681</v>
      </c>
      <c r="C13679" s="3" t="s">
        <v>10</v>
      </c>
      <c r="D13679" s="3" t="s">
        <v>9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/>
      <c r="P13679" s="3"/>
      <c r="Q13679" s="3"/>
    </row>
    <row r="13680" spans="1:17" ht="15" x14ac:dyDescent="0.25">
      <c r="A13680" s="3">
        <f>13673</f>
        <v>13673</v>
      </c>
      <c r="B13680" s="3" t="s">
        <v>13682</v>
      </c>
      <c r="C13680" s="3" t="s">
        <v>10</v>
      </c>
      <c r="D13680" s="3" t="s">
        <v>9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/>
      <c r="P13680" s="3"/>
      <c r="Q13680" s="3"/>
    </row>
    <row r="13681" spans="1:17" ht="15" x14ac:dyDescent="0.25">
      <c r="A13681" s="3">
        <f>13674</f>
        <v>13674</v>
      </c>
      <c r="B13681" s="3" t="s">
        <v>13683</v>
      </c>
      <c r="C13681" s="3" t="s">
        <v>10</v>
      </c>
      <c r="D13681" s="3" t="s">
        <v>9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/>
      <c r="P13681" s="3"/>
      <c r="Q13681" s="3"/>
    </row>
    <row r="13682" spans="1:17" ht="15" x14ac:dyDescent="0.25">
      <c r="A13682" s="3">
        <f>13675</f>
        <v>13675</v>
      </c>
      <c r="B13682" s="3" t="s">
        <v>13684</v>
      </c>
      <c r="C13682" s="3" t="s">
        <v>10</v>
      </c>
      <c r="D13682" s="3" t="s">
        <v>9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/>
      <c r="P13682" s="3"/>
      <c r="Q13682" s="3"/>
    </row>
    <row r="13683" spans="1:17" ht="15" x14ac:dyDescent="0.25">
      <c r="A13683" s="3">
        <f>13676</f>
        <v>13676</v>
      </c>
      <c r="B13683" s="3" t="s">
        <v>13685</v>
      </c>
      <c r="C13683" s="3" t="s">
        <v>10</v>
      </c>
      <c r="D13683" s="3" t="s">
        <v>9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s="3"/>
      <c r="P13683" s="3"/>
      <c r="Q13683" s="3"/>
    </row>
    <row r="13684" spans="1:17" ht="15" x14ac:dyDescent="0.25">
      <c r="A13684" s="3">
        <f>13677</f>
        <v>13677</v>
      </c>
      <c r="B13684" s="3" t="s">
        <v>13686</v>
      </c>
      <c r="C13684" s="3" t="s">
        <v>10</v>
      </c>
      <c r="D13684" s="3" t="s">
        <v>9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/>
      <c r="P13684" s="3"/>
      <c r="Q13684" s="3"/>
    </row>
    <row r="13685" spans="1:17" ht="15" x14ac:dyDescent="0.25">
      <c r="A13685" s="3">
        <f>13678</f>
        <v>13678</v>
      </c>
      <c r="B13685" s="3" t="s">
        <v>13687</v>
      </c>
      <c r="C13685" s="3" t="s">
        <v>10</v>
      </c>
      <c r="D13685" s="3" t="s">
        <v>9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/>
      <c r="P13685" s="3"/>
      <c r="Q13685" s="3"/>
    </row>
    <row r="13686" spans="1:17" ht="15" x14ac:dyDescent="0.25">
      <c r="A13686" s="3">
        <f>13679</f>
        <v>13679</v>
      </c>
      <c r="B13686" s="3" t="s">
        <v>13688</v>
      </c>
      <c r="C13686" s="3" t="s">
        <v>10</v>
      </c>
      <c r="D13686" s="3" t="s">
        <v>9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/>
      <c r="P13686" s="3"/>
      <c r="Q13686" s="3"/>
    </row>
    <row r="13687" spans="1:17" ht="15" x14ac:dyDescent="0.25">
      <c r="A13687" s="3">
        <f>13680</f>
        <v>13680</v>
      </c>
      <c r="B13687" s="3" t="s">
        <v>13689</v>
      </c>
      <c r="C13687" s="3" t="s">
        <v>10</v>
      </c>
      <c r="D13687" s="3" t="s">
        <v>9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/>
      <c r="P13687" s="3"/>
      <c r="Q13687" s="3"/>
    </row>
    <row r="13688" spans="1:17" ht="15" x14ac:dyDescent="0.25">
      <c r="A13688" s="3">
        <f>13681</f>
        <v>13681</v>
      </c>
      <c r="B13688" s="3" t="s">
        <v>13690</v>
      </c>
      <c r="C13688" s="3" t="s">
        <v>10</v>
      </c>
      <c r="D13688" s="3" t="s">
        <v>9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/>
      <c r="P13688" s="3"/>
      <c r="Q13688" s="3"/>
    </row>
    <row r="13689" spans="1:17" ht="15" x14ac:dyDescent="0.25">
      <c r="A13689" s="3">
        <f>13682</f>
        <v>13682</v>
      </c>
      <c r="B13689" s="3" t="s">
        <v>13691</v>
      </c>
      <c r="C13689" s="3" t="s">
        <v>10</v>
      </c>
      <c r="D13689" s="3" t="s">
        <v>9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/>
      <c r="P13689" s="3"/>
      <c r="Q13689" s="3"/>
    </row>
    <row r="13690" spans="1:17" ht="15" x14ac:dyDescent="0.25">
      <c r="A13690" s="3">
        <f>13683</f>
        <v>13683</v>
      </c>
      <c r="B13690" s="3" t="s">
        <v>13692</v>
      </c>
      <c r="C13690" s="3" t="s">
        <v>10</v>
      </c>
      <c r="D13690" s="3" t="s">
        <v>9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/>
      <c r="P13690" s="3"/>
      <c r="Q13690" s="3"/>
    </row>
    <row r="13691" spans="1:17" ht="15" x14ac:dyDescent="0.25">
      <c r="A13691" s="3">
        <f>13684</f>
        <v>13684</v>
      </c>
      <c r="B13691" s="3" t="s">
        <v>13693</v>
      </c>
      <c r="C13691" s="3" t="s">
        <v>10</v>
      </c>
      <c r="D13691" s="3" t="s">
        <v>9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/>
      <c r="P13691" s="3"/>
      <c r="Q13691" s="3"/>
    </row>
    <row r="13692" spans="1:17" ht="15" x14ac:dyDescent="0.25">
      <c r="A13692" s="3">
        <f>13685</f>
        <v>13685</v>
      </c>
      <c r="B13692" s="3" t="s">
        <v>13694</v>
      </c>
      <c r="C13692" s="3" t="s">
        <v>10</v>
      </c>
      <c r="D13692" s="3" t="s">
        <v>9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s="3"/>
      <c r="P13692" s="3"/>
      <c r="Q13692" s="3"/>
    </row>
    <row r="13693" spans="1:17" ht="15" x14ac:dyDescent="0.25">
      <c r="A13693" s="3">
        <f>13686</f>
        <v>13686</v>
      </c>
      <c r="B13693" s="3" t="s">
        <v>13695</v>
      </c>
      <c r="C13693" s="3" t="s">
        <v>10</v>
      </c>
      <c r="D13693" s="3" t="s">
        <v>9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s="3"/>
      <c r="P13693" s="3"/>
      <c r="Q13693" s="3"/>
    </row>
    <row r="13694" spans="1:17" ht="15" x14ac:dyDescent="0.25">
      <c r="A13694" s="3">
        <f>13687</f>
        <v>13687</v>
      </c>
      <c r="B13694" s="3" t="s">
        <v>13696</v>
      </c>
      <c r="C13694" s="3" t="s">
        <v>10</v>
      </c>
      <c r="D13694" s="3" t="s">
        <v>9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s="3"/>
      <c r="P13694" s="3"/>
      <c r="Q13694" s="3"/>
    </row>
    <row r="13695" spans="1:17" ht="15" x14ac:dyDescent="0.25">
      <c r="A13695" s="3">
        <f>13688</f>
        <v>13688</v>
      </c>
      <c r="B13695" s="3" t="s">
        <v>13697</v>
      </c>
      <c r="C13695" s="3" t="s">
        <v>10</v>
      </c>
      <c r="D13695" s="3" t="s">
        <v>9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s="3"/>
      <c r="P13695" s="3"/>
      <c r="Q13695" s="3"/>
    </row>
    <row r="13696" spans="1:17" ht="15" x14ac:dyDescent="0.25">
      <c r="A13696" s="3">
        <f>13689</f>
        <v>13689</v>
      </c>
      <c r="B13696" s="3" t="s">
        <v>13698</v>
      </c>
      <c r="C13696" s="3" t="s">
        <v>10</v>
      </c>
      <c r="D13696" s="3" t="s">
        <v>9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/>
      <c r="P13696" s="3"/>
      <c r="Q13696" s="3"/>
    </row>
    <row r="13697" spans="1:17" ht="15" x14ac:dyDescent="0.25">
      <c r="A13697" s="3">
        <f>13690</f>
        <v>13690</v>
      </c>
      <c r="B13697" s="3" t="s">
        <v>13699</v>
      </c>
      <c r="C13697" s="3" t="s">
        <v>10</v>
      </c>
      <c r="D13697" s="3" t="s">
        <v>9</v>
      </c>
      <c r="E13697" s="3">
        <v>0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  <c r="O13697" s="3"/>
      <c r="P13697" s="3"/>
      <c r="Q13697" s="3"/>
    </row>
    <row r="13698" spans="1:17" ht="15" x14ac:dyDescent="0.25">
      <c r="A13698" s="3">
        <f>13691</f>
        <v>13691</v>
      </c>
      <c r="B13698" s="3" t="s">
        <v>13700</v>
      </c>
      <c r="C13698" s="3" t="s">
        <v>10</v>
      </c>
      <c r="D13698" s="3" t="s">
        <v>9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s="3"/>
      <c r="P13698" s="3"/>
      <c r="Q13698" s="3"/>
    </row>
    <row r="13699" spans="1:17" ht="15" x14ac:dyDescent="0.25">
      <c r="A13699" s="3">
        <f>13692</f>
        <v>13692</v>
      </c>
      <c r="B13699" s="3" t="s">
        <v>13701</v>
      </c>
      <c r="C13699" s="3" t="s">
        <v>10</v>
      </c>
      <c r="D13699" s="3" t="s">
        <v>9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  <c r="O13699" s="3"/>
      <c r="P13699" s="3"/>
      <c r="Q13699" s="3"/>
    </row>
    <row r="13700" spans="1:17" ht="15" x14ac:dyDescent="0.25">
      <c r="A13700" s="3">
        <f>13693</f>
        <v>13693</v>
      </c>
      <c r="B13700" s="3" t="s">
        <v>13702</v>
      </c>
      <c r="C13700" s="3" t="s">
        <v>10</v>
      </c>
      <c r="D13700" s="3" t="s">
        <v>9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  <c r="O13700" s="3"/>
      <c r="P13700" s="3"/>
      <c r="Q13700" s="3"/>
    </row>
    <row r="13701" spans="1:17" ht="15" x14ac:dyDescent="0.25">
      <c r="A13701" s="3">
        <f>13694</f>
        <v>13694</v>
      </c>
      <c r="B13701" s="3" t="s">
        <v>13703</v>
      </c>
      <c r="C13701" s="3" t="s">
        <v>10</v>
      </c>
      <c r="D13701" s="3" t="s">
        <v>9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/>
      <c r="P13701" s="3"/>
      <c r="Q13701" s="3"/>
    </row>
    <row r="13702" spans="1:17" ht="15" x14ac:dyDescent="0.25">
      <c r="A13702" s="3">
        <f>13695</f>
        <v>13695</v>
      </c>
      <c r="B13702" s="3" t="s">
        <v>13704</v>
      </c>
      <c r="C13702" s="3" t="s">
        <v>10</v>
      </c>
      <c r="D13702" s="3" t="s">
        <v>9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/>
      <c r="P13702" s="3"/>
      <c r="Q13702" s="3"/>
    </row>
    <row r="13703" spans="1:17" ht="15" x14ac:dyDescent="0.25">
      <c r="A13703" s="3">
        <f>13696</f>
        <v>13696</v>
      </c>
      <c r="B13703" s="3" t="s">
        <v>13705</v>
      </c>
      <c r="C13703" s="3" t="s">
        <v>10</v>
      </c>
      <c r="D13703" s="3" t="s">
        <v>9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/>
      <c r="P13703" s="3"/>
      <c r="Q13703" s="3"/>
    </row>
    <row r="13704" spans="1:17" ht="15" x14ac:dyDescent="0.25">
      <c r="A13704" s="3">
        <f>13697</f>
        <v>13697</v>
      </c>
      <c r="B13704" s="3" t="s">
        <v>13706</v>
      </c>
      <c r="C13704" s="3" t="s">
        <v>10</v>
      </c>
      <c r="D13704" s="3" t="s">
        <v>9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/>
      <c r="P13704" s="3"/>
      <c r="Q13704" s="3"/>
    </row>
    <row r="13705" spans="1:17" ht="15" x14ac:dyDescent="0.25">
      <c r="A13705" s="3">
        <f>13698</f>
        <v>13698</v>
      </c>
      <c r="B13705" s="3" t="s">
        <v>13707</v>
      </c>
      <c r="C13705" s="3" t="s">
        <v>10</v>
      </c>
      <c r="D13705" s="3" t="s">
        <v>9</v>
      </c>
      <c r="E13705" s="3">
        <v>0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/>
      <c r="P13705" s="3"/>
      <c r="Q13705" s="3"/>
    </row>
    <row r="13706" spans="1:17" ht="15" x14ac:dyDescent="0.25">
      <c r="A13706" s="3">
        <f>13699</f>
        <v>13699</v>
      </c>
      <c r="B13706" s="3" t="s">
        <v>13708</v>
      </c>
      <c r="C13706" s="3" t="s">
        <v>10</v>
      </c>
      <c r="D13706" s="3" t="s">
        <v>9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/>
      <c r="P13706" s="3"/>
      <c r="Q13706" s="3"/>
    </row>
    <row r="13707" spans="1:17" ht="15" x14ac:dyDescent="0.25">
      <c r="A13707" s="3">
        <f>13700</f>
        <v>13700</v>
      </c>
      <c r="B13707" s="3" t="s">
        <v>13709</v>
      </c>
      <c r="C13707" s="3" t="s">
        <v>10</v>
      </c>
      <c r="D13707" s="3" t="s">
        <v>9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/>
      <c r="P13707" s="3"/>
      <c r="Q13707" s="3"/>
    </row>
    <row r="13708" spans="1:17" ht="15" x14ac:dyDescent="0.25">
      <c r="A13708" s="3">
        <f>13701</f>
        <v>13701</v>
      </c>
      <c r="B13708" s="3" t="s">
        <v>13710</v>
      </c>
      <c r="C13708" s="3" t="s">
        <v>10</v>
      </c>
      <c r="D13708" s="3" t="s">
        <v>9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/>
      <c r="P13708" s="3"/>
      <c r="Q13708" s="3"/>
    </row>
    <row r="13709" spans="1:17" ht="15" x14ac:dyDescent="0.25">
      <c r="A13709" s="3">
        <f>13702</f>
        <v>13702</v>
      </c>
      <c r="B13709" s="3" t="s">
        <v>13711</v>
      </c>
      <c r="C13709" s="3" t="s">
        <v>10</v>
      </c>
      <c r="D13709" s="3" t="s">
        <v>9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/>
      <c r="P13709" s="3"/>
      <c r="Q13709" s="3"/>
    </row>
    <row r="13710" spans="1:17" ht="15" x14ac:dyDescent="0.25">
      <c r="A13710" s="3">
        <f>13703</f>
        <v>13703</v>
      </c>
      <c r="B13710" s="3" t="s">
        <v>13712</v>
      </c>
      <c r="C13710" s="3" t="s">
        <v>10</v>
      </c>
      <c r="D13710" s="3" t="s">
        <v>9</v>
      </c>
      <c r="E13710" s="3">
        <v>0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/>
      <c r="P13710" s="3"/>
      <c r="Q13710" s="3"/>
    </row>
    <row r="13711" spans="1:17" ht="15" x14ac:dyDescent="0.25">
      <c r="A13711" s="3">
        <f>13704</f>
        <v>13704</v>
      </c>
      <c r="B13711" s="3" t="s">
        <v>13713</v>
      </c>
      <c r="C13711" s="3" t="s">
        <v>10</v>
      </c>
      <c r="D13711" s="3" t="s">
        <v>9</v>
      </c>
      <c r="E13711" s="3">
        <v>0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/>
      <c r="P13711" s="3"/>
      <c r="Q13711" s="3"/>
    </row>
    <row r="13712" spans="1:17" ht="15" x14ac:dyDescent="0.25">
      <c r="A13712" s="3">
        <f>13705</f>
        <v>13705</v>
      </c>
      <c r="B13712" s="3" t="s">
        <v>13714</v>
      </c>
      <c r="C13712" s="3" t="s">
        <v>10</v>
      </c>
      <c r="D13712" s="3" t="s">
        <v>9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s="3"/>
      <c r="P13712" s="3"/>
      <c r="Q13712" s="3"/>
    </row>
    <row r="13713" spans="1:17" ht="15" x14ac:dyDescent="0.25">
      <c r="A13713" s="3">
        <f>13706</f>
        <v>13706</v>
      </c>
      <c r="B13713" s="3" t="s">
        <v>13715</v>
      </c>
      <c r="C13713" s="3" t="s">
        <v>10</v>
      </c>
      <c r="D13713" s="3" t="s">
        <v>9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/>
      <c r="P13713" s="3"/>
      <c r="Q13713" s="3"/>
    </row>
    <row r="13714" spans="1:17" ht="15" x14ac:dyDescent="0.25">
      <c r="A13714" s="3">
        <f>13707</f>
        <v>13707</v>
      </c>
      <c r="B13714" s="3" t="s">
        <v>13716</v>
      </c>
      <c r="C13714" s="3" t="s">
        <v>10</v>
      </c>
      <c r="D13714" s="3" t="s">
        <v>9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/>
      <c r="P13714" s="3"/>
      <c r="Q13714" s="3"/>
    </row>
    <row r="13715" spans="1:17" ht="15" x14ac:dyDescent="0.25">
      <c r="A13715" s="3">
        <f>13708</f>
        <v>13708</v>
      </c>
      <c r="B13715" s="3" t="s">
        <v>13717</v>
      </c>
      <c r="C13715" s="3" t="s">
        <v>10</v>
      </c>
      <c r="D13715" s="3" t="s">
        <v>9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s="3"/>
      <c r="P13715" s="3"/>
      <c r="Q13715" s="3"/>
    </row>
    <row r="13716" spans="1:17" ht="15" x14ac:dyDescent="0.25">
      <c r="A13716" s="3">
        <f>13709</f>
        <v>13709</v>
      </c>
      <c r="B13716" s="3" t="s">
        <v>13718</v>
      </c>
      <c r="C13716" s="3" t="s">
        <v>10</v>
      </c>
      <c r="D13716" s="3" t="s">
        <v>9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/>
      <c r="P13716" s="3"/>
      <c r="Q13716" s="3"/>
    </row>
    <row r="13717" spans="1:17" ht="15" x14ac:dyDescent="0.25">
      <c r="A13717" s="3">
        <f>13710</f>
        <v>13710</v>
      </c>
      <c r="B13717" s="3" t="s">
        <v>13719</v>
      </c>
      <c r="C13717" s="3" t="s">
        <v>10</v>
      </c>
      <c r="D13717" s="3" t="s">
        <v>9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s="3"/>
      <c r="P13717" s="3"/>
      <c r="Q13717" s="3"/>
    </row>
    <row r="13718" spans="1:17" ht="15" x14ac:dyDescent="0.25">
      <c r="A13718" s="3">
        <f>13711</f>
        <v>13711</v>
      </c>
      <c r="B13718" s="3" t="s">
        <v>13720</v>
      </c>
      <c r="C13718" s="3" t="s">
        <v>10</v>
      </c>
      <c r="D13718" s="3" t="s">
        <v>9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/>
      <c r="P13718" s="3"/>
      <c r="Q13718" s="3"/>
    </row>
    <row r="13719" spans="1:17" ht="15" x14ac:dyDescent="0.25">
      <c r="A13719" s="3">
        <f>13712</f>
        <v>13712</v>
      </c>
      <c r="B13719" s="3" t="s">
        <v>13721</v>
      </c>
      <c r="C13719" s="3" t="s">
        <v>10</v>
      </c>
      <c r="D13719" s="3" t="s">
        <v>9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s="3"/>
      <c r="P13719" s="3"/>
      <c r="Q13719" s="3"/>
    </row>
    <row r="13720" spans="1:17" ht="15" x14ac:dyDescent="0.25">
      <c r="A13720" s="3">
        <f>13713</f>
        <v>13713</v>
      </c>
      <c r="B13720" s="3" t="s">
        <v>13722</v>
      </c>
      <c r="C13720" s="3" t="s">
        <v>10</v>
      </c>
      <c r="D13720" s="3" t="s">
        <v>9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  <c r="O13720" s="3"/>
      <c r="P13720" s="3"/>
      <c r="Q13720" s="3"/>
    </row>
    <row r="13721" spans="1:17" ht="15" x14ac:dyDescent="0.25">
      <c r="A13721" s="3">
        <f>13714</f>
        <v>13714</v>
      </c>
      <c r="B13721" s="3" t="s">
        <v>13723</v>
      </c>
      <c r="C13721" s="3" t="s">
        <v>10</v>
      </c>
      <c r="D13721" s="3" t="s">
        <v>9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/>
      <c r="P13721" s="3"/>
      <c r="Q13721" s="3"/>
    </row>
    <row r="13722" spans="1:17" ht="15" x14ac:dyDescent="0.25">
      <c r="A13722" s="3">
        <f>13715</f>
        <v>13715</v>
      </c>
      <c r="B13722" s="3" t="s">
        <v>13724</v>
      </c>
      <c r="C13722" s="3" t="s">
        <v>10</v>
      </c>
      <c r="D13722" s="3" t="s">
        <v>9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/>
      <c r="P13722" s="3"/>
      <c r="Q13722" s="3"/>
    </row>
    <row r="13723" spans="1:17" ht="15" x14ac:dyDescent="0.25">
      <c r="A13723" s="3">
        <f>13716</f>
        <v>13716</v>
      </c>
      <c r="B13723" s="3" t="s">
        <v>13725</v>
      </c>
      <c r="C13723" s="3" t="s">
        <v>10</v>
      </c>
      <c r="D13723" s="3" t="s">
        <v>9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s="3"/>
      <c r="P13723" s="3"/>
      <c r="Q13723" s="3"/>
    </row>
    <row r="13724" spans="1:17" ht="15" x14ac:dyDescent="0.25">
      <c r="A13724" s="3">
        <f>13717</f>
        <v>13717</v>
      </c>
      <c r="B13724" s="3" t="s">
        <v>13726</v>
      </c>
      <c r="C13724" s="3" t="s">
        <v>10</v>
      </c>
      <c r="D13724" s="3" t="s">
        <v>9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/>
      <c r="P13724" s="3"/>
      <c r="Q13724" s="3"/>
    </row>
    <row r="13725" spans="1:17" ht="15" x14ac:dyDescent="0.25">
      <c r="A13725" s="3">
        <f>13718</f>
        <v>13718</v>
      </c>
      <c r="B13725" s="3" t="s">
        <v>13727</v>
      </c>
      <c r="C13725" s="3" t="s">
        <v>10</v>
      </c>
      <c r="D13725" s="3" t="s">
        <v>9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/>
      <c r="P13725" s="3"/>
      <c r="Q13725" s="3"/>
    </row>
    <row r="13726" spans="1:17" ht="15" x14ac:dyDescent="0.25">
      <c r="A13726" s="3">
        <f>13719</f>
        <v>13719</v>
      </c>
      <c r="B13726" s="3" t="s">
        <v>13728</v>
      </c>
      <c r="C13726" s="3" t="s">
        <v>10</v>
      </c>
      <c r="D13726" s="3" t="s">
        <v>9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/>
      <c r="P13726" s="3"/>
      <c r="Q13726" s="3"/>
    </row>
    <row r="13727" spans="1:17" ht="15" x14ac:dyDescent="0.25">
      <c r="A13727" s="3">
        <f>13720</f>
        <v>13720</v>
      </c>
      <c r="B13727" s="3" t="s">
        <v>13729</v>
      </c>
      <c r="C13727" s="3" t="s">
        <v>10</v>
      </c>
      <c r="D13727" s="3" t="s">
        <v>9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/>
      <c r="P13727" s="3"/>
      <c r="Q13727" s="3"/>
    </row>
    <row r="13728" spans="1:17" ht="15" x14ac:dyDescent="0.25">
      <c r="A13728" s="3">
        <f>13721</f>
        <v>13721</v>
      </c>
      <c r="B13728" s="3" t="s">
        <v>13730</v>
      </c>
      <c r="C13728" s="3" t="s">
        <v>10</v>
      </c>
      <c r="D13728" s="3" t="s">
        <v>9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/>
      <c r="P13728" s="3"/>
      <c r="Q13728" s="3"/>
    </row>
    <row r="13729" spans="1:17" ht="15" x14ac:dyDescent="0.25">
      <c r="A13729" s="3">
        <f>13722</f>
        <v>13722</v>
      </c>
      <c r="B13729" s="3" t="s">
        <v>13731</v>
      </c>
      <c r="C13729" s="3" t="s">
        <v>10</v>
      </c>
      <c r="D13729" s="3" t="s">
        <v>9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/>
      <c r="P13729" s="3"/>
      <c r="Q13729" s="3"/>
    </row>
    <row r="13730" spans="1:17" ht="15" x14ac:dyDescent="0.25">
      <c r="A13730" s="3">
        <f>13723</f>
        <v>13723</v>
      </c>
      <c r="B13730" s="3" t="s">
        <v>13732</v>
      </c>
      <c r="C13730" s="3" t="s">
        <v>10</v>
      </c>
      <c r="D13730" s="3" t="s">
        <v>9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/>
      <c r="P13730" s="3"/>
      <c r="Q13730" s="3"/>
    </row>
    <row r="13731" spans="1:17" ht="15" x14ac:dyDescent="0.25">
      <c r="A13731" s="3">
        <f>13724</f>
        <v>13724</v>
      </c>
      <c r="B13731" s="3" t="s">
        <v>13733</v>
      </c>
      <c r="C13731" s="3" t="s">
        <v>10</v>
      </c>
      <c r="D13731" s="3" t="s">
        <v>9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/>
      <c r="P13731" s="3"/>
      <c r="Q13731" s="3"/>
    </row>
    <row r="13732" spans="1:17" ht="15" x14ac:dyDescent="0.25">
      <c r="A13732" s="3">
        <f>13725</f>
        <v>13725</v>
      </c>
      <c r="B13732" s="3" t="s">
        <v>13734</v>
      </c>
      <c r="C13732" s="3" t="s">
        <v>10</v>
      </c>
      <c r="D13732" s="3" t="s">
        <v>9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/>
      <c r="P13732" s="3"/>
      <c r="Q13732" s="3"/>
    </row>
    <row r="13733" spans="1:17" ht="15" x14ac:dyDescent="0.25">
      <c r="A13733" s="3">
        <f>13726</f>
        <v>13726</v>
      </c>
      <c r="B13733" s="3" t="s">
        <v>13735</v>
      </c>
      <c r="C13733" s="3" t="s">
        <v>10</v>
      </c>
      <c r="D13733" s="3" t="s">
        <v>9</v>
      </c>
      <c r="E13733" s="3">
        <v>0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/>
      <c r="P13733" s="3"/>
      <c r="Q13733" s="3"/>
    </row>
    <row r="13734" spans="1:17" ht="15" x14ac:dyDescent="0.25">
      <c r="A13734" s="3">
        <f>13727</f>
        <v>13727</v>
      </c>
      <c r="B13734" s="3" t="s">
        <v>13736</v>
      </c>
      <c r="C13734" s="3" t="s">
        <v>10</v>
      </c>
      <c r="D13734" s="3" t="s">
        <v>9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s="3"/>
      <c r="P13734" s="3"/>
      <c r="Q13734" s="3"/>
    </row>
    <row r="13735" spans="1:17" ht="15" x14ac:dyDescent="0.25">
      <c r="A13735" s="3">
        <f>13728</f>
        <v>13728</v>
      </c>
      <c r="B13735" s="3" t="s">
        <v>13737</v>
      </c>
      <c r="C13735" s="3" t="s">
        <v>10</v>
      </c>
      <c r="D13735" s="3" t="s">
        <v>9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/>
      <c r="P13735" s="3"/>
      <c r="Q13735" s="3"/>
    </row>
    <row r="13736" spans="1:17" ht="15" x14ac:dyDescent="0.25">
      <c r="A13736" s="3">
        <f>13729</f>
        <v>13729</v>
      </c>
      <c r="B13736" s="3" t="s">
        <v>13738</v>
      </c>
      <c r="C13736" s="3" t="s">
        <v>10</v>
      </c>
      <c r="D13736" s="3" t="s">
        <v>9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s="3"/>
      <c r="P13736" s="3"/>
      <c r="Q13736" s="3"/>
    </row>
    <row r="13737" spans="1:17" ht="15" x14ac:dyDescent="0.25">
      <c r="A13737" s="3">
        <f>13730</f>
        <v>13730</v>
      </c>
      <c r="B13737" s="3" t="s">
        <v>13739</v>
      </c>
      <c r="C13737" s="3" t="s">
        <v>10</v>
      </c>
      <c r="D13737" s="3" t="s">
        <v>9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/>
      <c r="P13737" s="3"/>
      <c r="Q13737" s="3"/>
    </row>
    <row r="13738" spans="1:17" ht="15" x14ac:dyDescent="0.25">
      <c r="A13738" s="3">
        <f>13731</f>
        <v>13731</v>
      </c>
      <c r="B13738" s="3" t="s">
        <v>13740</v>
      </c>
      <c r="C13738" s="3" t="s">
        <v>10</v>
      </c>
      <c r="D13738" s="3" t="s">
        <v>9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/>
      <c r="P13738" s="3"/>
      <c r="Q13738" s="3"/>
    </row>
    <row r="13739" spans="1:17" ht="15" x14ac:dyDescent="0.25">
      <c r="A13739" s="3">
        <f>13732</f>
        <v>13732</v>
      </c>
      <c r="B13739" s="3" t="s">
        <v>13741</v>
      </c>
      <c r="C13739" s="3" t="s">
        <v>10</v>
      </c>
      <c r="D13739" s="3" t="s">
        <v>9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/>
      <c r="P13739" s="3"/>
      <c r="Q13739" s="3"/>
    </row>
    <row r="13740" spans="1:17" ht="15" x14ac:dyDescent="0.25">
      <c r="A13740" s="3">
        <f>13733</f>
        <v>13733</v>
      </c>
      <c r="B13740" s="3" t="s">
        <v>13742</v>
      </c>
      <c r="C13740" s="3" t="s">
        <v>10</v>
      </c>
      <c r="D13740" s="3" t="s">
        <v>9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/>
      <c r="P13740" s="3"/>
      <c r="Q13740" s="3"/>
    </row>
    <row r="13741" spans="1:17" ht="15" x14ac:dyDescent="0.25">
      <c r="A13741" s="3">
        <f>13734</f>
        <v>13734</v>
      </c>
      <c r="B13741" s="3" t="s">
        <v>13743</v>
      </c>
      <c r="C13741" s="3" t="s">
        <v>10</v>
      </c>
      <c r="D13741" s="3" t="s">
        <v>9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s="3"/>
      <c r="P13741" s="3"/>
      <c r="Q13741" s="3"/>
    </row>
    <row r="13742" spans="1:17" ht="15" x14ac:dyDescent="0.25">
      <c r="A13742" s="3">
        <f>13735</f>
        <v>13735</v>
      </c>
      <c r="B13742" s="3" t="s">
        <v>13744</v>
      </c>
      <c r="C13742" s="3" t="s">
        <v>10</v>
      </c>
      <c r="D13742" s="3" t="s">
        <v>9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/>
      <c r="P13742" s="3"/>
      <c r="Q13742" s="3"/>
    </row>
    <row r="13743" spans="1:17" ht="15" x14ac:dyDescent="0.25">
      <c r="A13743" s="3">
        <f>13736</f>
        <v>13736</v>
      </c>
      <c r="B13743" s="3" t="s">
        <v>13745</v>
      </c>
      <c r="C13743" s="3" t="s">
        <v>10</v>
      </c>
      <c r="D13743" s="3" t="s">
        <v>9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/>
      <c r="P13743" s="3"/>
      <c r="Q13743" s="3"/>
    </row>
    <row r="13744" spans="1:17" ht="15" x14ac:dyDescent="0.25">
      <c r="A13744" s="3">
        <f>13737</f>
        <v>13737</v>
      </c>
      <c r="B13744" s="3" t="s">
        <v>13746</v>
      </c>
      <c r="C13744" s="3" t="s">
        <v>10</v>
      </c>
      <c r="D13744" s="3" t="s">
        <v>9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/>
      <c r="P13744" s="3"/>
      <c r="Q13744" s="3"/>
    </row>
    <row r="13745" spans="1:17" ht="15" x14ac:dyDescent="0.25">
      <c r="A13745" s="3">
        <f>13738</f>
        <v>13738</v>
      </c>
      <c r="B13745" s="3" t="s">
        <v>13747</v>
      </c>
      <c r="C13745" s="3" t="s">
        <v>10</v>
      </c>
      <c r="D13745" s="3" t="s">
        <v>9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/>
      <c r="P13745" s="3"/>
      <c r="Q13745" s="3"/>
    </row>
    <row r="13746" spans="1:17" ht="15" x14ac:dyDescent="0.25">
      <c r="A13746" s="3">
        <f>13739</f>
        <v>13739</v>
      </c>
      <c r="B13746" s="3" t="s">
        <v>13748</v>
      </c>
      <c r="C13746" s="3" t="s">
        <v>10</v>
      </c>
      <c r="D13746" s="3" t="s">
        <v>9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/>
      <c r="P13746" s="3"/>
      <c r="Q13746" s="3"/>
    </row>
    <row r="13747" spans="1:17" ht="15" x14ac:dyDescent="0.25">
      <c r="A13747" s="3">
        <f>13740</f>
        <v>13740</v>
      </c>
      <c r="B13747" s="3" t="s">
        <v>13749</v>
      </c>
      <c r="C13747" s="3" t="s">
        <v>10</v>
      </c>
      <c r="D13747" s="3" t="s">
        <v>9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/>
      <c r="P13747" s="3"/>
      <c r="Q13747" s="3"/>
    </row>
    <row r="13748" spans="1:17" ht="15" x14ac:dyDescent="0.25">
      <c r="A13748" s="3">
        <f>13741</f>
        <v>13741</v>
      </c>
      <c r="B13748" s="3" t="s">
        <v>13750</v>
      </c>
      <c r="C13748" s="3" t="s">
        <v>10</v>
      </c>
      <c r="D13748" s="3" t="s">
        <v>9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/>
      <c r="P13748" s="3"/>
      <c r="Q13748" s="3"/>
    </row>
    <row r="13749" spans="1:17" ht="15" x14ac:dyDescent="0.25">
      <c r="A13749" s="3">
        <f>13742</f>
        <v>13742</v>
      </c>
      <c r="B13749" s="3" t="s">
        <v>13751</v>
      </c>
      <c r="C13749" s="3" t="s">
        <v>10</v>
      </c>
      <c r="D13749" s="3" t="s">
        <v>9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/>
      <c r="P13749" s="3"/>
      <c r="Q13749" s="3"/>
    </row>
    <row r="13750" spans="1:17" ht="15" x14ac:dyDescent="0.25">
      <c r="A13750" s="3">
        <f>13743</f>
        <v>13743</v>
      </c>
      <c r="B13750" s="3" t="s">
        <v>13752</v>
      </c>
      <c r="C13750" s="3" t="s">
        <v>10</v>
      </c>
      <c r="D13750" s="3" t="s">
        <v>9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/>
      <c r="P13750" s="3"/>
      <c r="Q13750" s="3"/>
    </row>
    <row r="13751" spans="1:17" ht="15" x14ac:dyDescent="0.25">
      <c r="A13751" s="3">
        <f>13744</f>
        <v>13744</v>
      </c>
      <c r="B13751" s="3" t="s">
        <v>13753</v>
      </c>
      <c r="C13751" s="3" t="s">
        <v>10</v>
      </c>
      <c r="D13751" s="3" t="s">
        <v>9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/>
      <c r="P13751" s="3"/>
      <c r="Q13751" s="3"/>
    </row>
    <row r="13752" spans="1:17" ht="15" x14ac:dyDescent="0.25">
      <c r="A13752" s="3">
        <f>13745</f>
        <v>13745</v>
      </c>
      <c r="B13752" s="3" t="s">
        <v>13754</v>
      </c>
      <c r="C13752" s="3" t="s">
        <v>10</v>
      </c>
      <c r="D13752" s="3" t="s">
        <v>9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/>
      <c r="P13752" s="3"/>
      <c r="Q13752" s="3"/>
    </row>
    <row r="13753" spans="1:17" ht="15" x14ac:dyDescent="0.25">
      <c r="A13753" s="3">
        <f>13746</f>
        <v>13746</v>
      </c>
      <c r="B13753" s="3" t="s">
        <v>13755</v>
      </c>
      <c r="C13753" s="3" t="s">
        <v>10</v>
      </c>
      <c r="D13753" s="3" t="s">
        <v>9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/>
      <c r="P13753" s="3"/>
      <c r="Q13753" s="3"/>
    </row>
    <row r="13754" spans="1:17" ht="15" x14ac:dyDescent="0.25">
      <c r="A13754" s="3">
        <f>13747</f>
        <v>13747</v>
      </c>
      <c r="B13754" s="3" t="s">
        <v>13756</v>
      </c>
      <c r="C13754" s="3" t="s">
        <v>10</v>
      </c>
      <c r="D13754" s="3" t="s">
        <v>9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/>
      <c r="P13754" s="3"/>
      <c r="Q13754" s="3"/>
    </row>
    <row r="13755" spans="1:17" ht="15" x14ac:dyDescent="0.25">
      <c r="A13755" s="3">
        <f>13748</f>
        <v>13748</v>
      </c>
      <c r="B13755" s="3" t="s">
        <v>13757</v>
      </c>
      <c r="C13755" s="3" t="s">
        <v>10</v>
      </c>
      <c r="D13755" s="3" t="s">
        <v>9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0</v>
      </c>
      <c r="O13755" s="3"/>
      <c r="P13755" s="3"/>
      <c r="Q13755" s="3"/>
    </row>
    <row r="13756" spans="1:17" ht="15" x14ac:dyDescent="0.25">
      <c r="A13756" s="3">
        <f>13749</f>
        <v>13749</v>
      </c>
      <c r="B13756" s="3" t="s">
        <v>13758</v>
      </c>
      <c r="C13756" s="3" t="s">
        <v>10</v>
      </c>
      <c r="D13756" s="3" t="s">
        <v>9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/>
      <c r="P13756" s="3"/>
      <c r="Q13756" s="3"/>
    </row>
    <row r="13757" spans="1:17" ht="15" x14ac:dyDescent="0.25">
      <c r="A13757" s="3">
        <f>13750</f>
        <v>13750</v>
      </c>
      <c r="B13757" s="3" t="s">
        <v>13759</v>
      </c>
      <c r="C13757" s="3" t="s">
        <v>10</v>
      </c>
      <c r="D13757" s="3" t="s">
        <v>9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/>
      <c r="P13757" s="3"/>
      <c r="Q13757" s="3"/>
    </row>
    <row r="13758" spans="1:17" ht="15" x14ac:dyDescent="0.25">
      <c r="A13758" s="3">
        <f>13751</f>
        <v>13751</v>
      </c>
      <c r="B13758" s="3" t="s">
        <v>13760</v>
      </c>
      <c r="C13758" s="3" t="s">
        <v>10</v>
      </c>
      <c r="D13758" s="3" t="s">
        <v>9</v>
      </c>
      <c r="E13758" s="3">
        <v>0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/>
      <c r="P13758" s="3"/>
      <c r="Q13758" s="3"/>
    </row>
    <row r="13759" spans="1:17" ht="15" x14ac:dyDescent="0.25">
      <c r="A13759" s="3">
        <f>13752</f>
        <v>13752</v>
      </c>
      <c r="B13759" s="3" t="s">
        <v>13761</v>
      </c>
      <c r="C13759" s="3" t="s">
        <v>10</v>
      </c>
      <c r="D13759" s="3" t="s">
        <v>9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/>
      <c r="P13759" s="3"/>
      <c r="Q13759" s="3"/>
    </row>
    <row r="13760" spans="1:17" ht="15" x14ac:dyDescent="0.25">
      <c r="A13760" s="3">
        <f>13753</f>
        <v>13753</v>
      </c>
      <c r="B13760" s="3" t="s">
        <v>13762</v>
      </c>
      <c r="C13760" s="3" t="s">
        <v>10</v>
      </c>
      <c r="D13760" s="3" t="s">
        <v>9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/>
      <c r="P13760" s="3"/>
      <c r="Q13760" s="3"/>
    </row>
    <row r="13761" spans="1:17" ht="15" x14ac:dyDescent="0.25">
      <c r="A13761" s="3">
        <f>13754</f>
        <v>13754</v>
      </c>
      <c r="B13761" s="3" t="s">
        <v>13763</v>
      </c>
      <c r="C13761" s="3" t="s">
        <v>10</v>
      </c>
      <c r="D13761" s="3" t="s">
        <v>9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/>
      <c r="P13761" s="3"/>
      <c r="Q13761" s="3"/>
    </row>
    <row r="13762" spans="1:17" ht="15" x14ac:dyDescent="0.25">
      <c r="A13762" s="3">
        <f>13755</f>
        <v>13755</v>
      </c>
      <c r="B13762" s="3" t="s">
        <v>13764</v>
      </c>
      <c r="C13762" s="3" t="s">
        <v>10</v>
      </c>
      <c r="D13762" s="3" t="s">
        <v>9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s="3"/>
      <c r="P13762" s="3"/>
      <c r="Q13762" s="3"/>
    </row>
    <row r="13763" spans="1:17" ht="15" x14ac:dyDescent="0.25">
      <c r="A13763" s="3">
        <f>13756</f>
        <v>13756</v>
      </c>
      <c r="B13763" s="3" t="s">
        <v>13765</v>
      </c>
      <c r="C13763" s="3" t="s">
        <v>10</v>
      </c>
      <c r="D13763" s="3" t="s">
        <v>9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/>
      <c r="P13763" s="3"/>
      <c r="Q13763" s="3"/>
    </row>
    <row r="13764" spans="1:17" ht="15" x14ac:dyDescent="0.25">
      <c r="A13764" s="3">
        <f>13757</f>
        <v>13757</v>
      </c>
      <c r="B13764" s="3" t="s">
        <v>13766</v>
      </c>
      <c r="C13764" s="3" t="s">
        <v>10</v>
      </c>
      <c r="D13764" s="3" t="s">
        <v>9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/>
      <c r="P13764" s="3"/>
      <c r="Q13764" s="3"/>
    </row>
    <row r="13765" spans="1:17" ht="15" x14ac:dyDescent="0.25">
      <c r="A13765" s="3">
        <f>13758</f>
        <v>13758</v>
      </c>
      <c r="B13765" s="3" t="s">
        <v>13767</v>
      </c>
      <c r="C13765" s="3" t="s">
        <v>10</v>
      </c>
      <c r="D13765" s="3" t="s">
        <v>9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  <c r="O13765" s="3"/>
      <c r="P13765" s="3"/>
      <c r="Q13765" s="3"/>
    </row>
    <row r="13766" spans="1:17" ht="15" x14ac:dyDescent="0.25">
      <c r="A13766" s="3">
        <f>13759</f>
        <v>13759</v>
      </c>
      <c r="B13766" s="3" t="s">
        <v>13768</v>
      </c>
      <c r="C13766" s="3" t="s">
        <v>10</v>
      </c>
      <c r="D13766" s="3" t="s">
        <v>9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s="3"/>
      <c r="P13766" s="3"/>
      <c r="Q13766" s="3"/>
    </row>
    <row r="13767" spans="1:17" ht="15" x14ac:dyDescent="0.25">
      <c r="A13767" s="3">
        <f>13760</f>
        <v>13760</v>
      </c>
      <c r="B13767" s="3" t="s">
        <v>13769</v>
      </c>
      <c r="C13767" s="3" t="s">
        <v>10</v>
      </c>
      <c r="D13767" s="3" t="s">
        <v>9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  <c r="O13767" s="3"/>
      <c r="P13767" s="3"/>
      <c r="Q13767" s="3"/>
    </row>
    <row r="13768" spans="1:17" ht="15" x14ac:dyDescent="0.25">
      <c r="A13768" s="3">
        <f>13761</f>
        <v>13761</v>
      </c>
      <c r="B13768" s="3" t="s">
        <v>13770</v>
      </c>
      <c r="C13768" s="3" t="s">
        <v>10</v>
      </c>
      <c r="D13768" s="3" t="s">
        <v>9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/>
      <c r="P13768" s="3"/>
      <c r="Q13768" s="3"/>
    </row>
    <row r="13769" spans="1:17" ht="15" x14ac:dyDescent="0.25">
      <c r="A13769" s="3">
        <f>13762</f>
        <v>13762</v>
      </c>
      <c r="B13769" s="3" t="s">
        <v>13771</v>
      </c>
      <c r="C13769" s="3" t="s">
        <v>10</v>
      </c>
      <c r="D13769" s="3" t="s">
        <v>9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/>
      <c r="P13769" s="3"/>
      <c r="Q13769" s="3"/>
    </row>
    <row r="13770" spans="1:17" ht="15" x14ac:dyDescent="0.25">
      <c r="A13770" s="3">
        <f>13763</f>
        <v>13763</v>
      </c>
      <c r="B13770" s="3" t="s">
        <v>13772</v>
      </c>
      <c r="C13770" s="3" t="s">
        <v>10</v>
      </c>
      <c r="D13770" s="3" t="s">
        <v>9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s="3"/>
      <c r="P13770" s="3"/>
      <c r="Q13770" s="3"/>
    </row>
    <row r="13771" spans="1:17" ht="15" x14ac:dyDescent="0.25">
      <c r="A13771" s="3">
        <f>13764</f>
        <v>13764</v>
      </c>
      <c r="B13771" s="3" t="s">
        <v>13773</v>
      </c>
      <c r="C13771" s="3" t="s">
        <v>10</v>
      </c>
      <c r="D13771" s="3" t="s">
        <v>9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  <c r="O13771" s="3"/>
      <c r="P13771" s="3"/>
      <c r="Q13771" s="3"/>
    </row>
    <row r="13772" spans="1:17" ht="15" x14ac:dyDescent="0.25">
      <c r="A13772" s="3">
        <f>13765</f>
        <v>13765</v>
      </c>
      <c r="B13772" s="3" t="s">
        <v>13774</v>
      </c>
      <c r="C13772" s="3" t="s">
        <v>10</v>
      </c>
      <c r="D13772" s="3" t="s">
        <v>9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s="3"/>
      <c r="P13772" s="3"/>
      <c r="Q13772" s="3"/>
    </row>
    <row r="13773" spans="1:17" ht="15" x14ac:dyDescent="0.25">
      <c r="A13773" s="3">
        <f>13766</f>
        <v>13766</v>
      </c>
      <c r="B13773" s="3" t="s">
        <v>13775</v>
      </c>
      <c r="C13773" s="3" t="s">
        <v>10</v>
      </c>
      <c r="D13773" s="3" t="s">
        <v>9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/>
      <c r="P13773" s="3"/>
      <c r="Q13773" s="3"/>
    </row>
    <row r="13774" spans="1:17" ht="15" x14ac:dyDescent="0.25">
      <c r="A13774" s="3">
        <f>13767</f>
        <v>13767</v>
      </c>
      <c r="B13774" s="3" t="s">
        <v>13776</v>
      </c>
      <c r="C13774" s="3" t="s">
        <v>10</v>
      </c>
      <c r="D13774" s="3" t="s">
        <v>9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0</v>
      </c>
      <c r="O13774" s="3"/>
      <c r="P13774" s="3"/>
      <c r="Q13774" s="3"/>
    </row>
    <row r="13775" spans="1:17" ht="15" x14ac:dyDescent="0.25">
      <c r="A13775" s="3">
        <f>13768</f>
        <v>13768</v>
      </c>
      <c r="B13775" s="3" t="s">
        <v>13777</v>
      </c>
      <c r="C13775" s="3" t="s">
        <v>10</v>
      </c>
      <c r="D13775" s="3" t="s">
        <v>9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/>
      <c r="P13775" s="3"/>
      <c r="Q13775" s="3"/>
    </row>
    <row r="13776" spans="1:17" ht="15" x14ac:dyDescent="0.25">
      <c r="A13776" s="3">
        <f>13769</f>
        <v>13769</v>
      </c>
      <c r="B13776" s="3" t="s">
        <v>13778</v>
      </c>
      <c r="C13776" s="3" t="s">
        <v>10</v>
      </c>
      <c r="D13776" s="3" t="s">
        <v>9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/>
      <c r="P13776" s="3"/>
      <c r="Q13776" s="3"/>
    </row>
    <row r="13777" spans="1:17" ht="15" x14ac:dyDescent="0.25">
      <c r="A13777" s="3">
        <f>13770</f>
        <v>13770</v>
      </c>
      <c r="B13777" s="3" t="s">
        <v>13779</v>
      </c>
      <c r="C13777" s="3" t="s">
        <v>10</v>
      </c>
      <c r="D13777" s="3" t="s">
        <v>9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/>
      <c r="P13777" s="3"/>
      <c r="Q13777" s="3"/>
    </row>
    <row r="13778" spans="1:17" ht="15" x14ac:dyDescent="0.25">
      <c r="A13778" s="3">
        <f>13771</f>
        <v>13771</v>
      </c>
      <c r="B13778" s="3" t="s">
        <v>13780</v>
      </c>
      <c r="C13778" s="3" t="s">
        <v>10</v>
      </c>
      <c r="D13778" s="3" t="s">
        <v>9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/>
      <c r="P13778" s="3"/>
      <c r="Q13778" s="3"/>
    </row>
    <row r="13779" spans="1:17" ht="15" x14ac:dyDescent="0.25">
      <c r="A13779" s="3">
        <f>13772</f>
        <v>13772</v>
      </c>
      <c r="B13779" s="3" t="s">
        <v>13781</v>
      </c>
      <c r="C13779" s="3" t="s">
        <v>10</v>
      </c>
      <c r="D13779" s="3" t="s">
        <v>9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s="3"/>
      <c r="P13779" s="3"/>
      <c r="Q13779" s="3"/>
    </row>
    <row r="13780" spans="1:17" ht="15" x14ac:dyDescent="0.25">
      <c r="A13780" s="3">
        <f>13773</f>
        <v>13773</v>
      </c>
      <c r="B13780" s="3" t="s">
        <v>13782</v>
      </c>
      <c r="C13780" s="3" t="s">
        <v>10</v>
      </c>
      <c r="D13780" s="3" t="s">
        <v>9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/>
      <c r="P13780" s="3"/>
      <c r="Q13780" s="3"/>
    </row>
    <row r="13781" spans="1:17" ht="15" x14ac:dyDescent="0.25">
      <c r="A13781" s="3">
        <f>13774</f>
        <v>13774</v>
      </c>
      <c r="B13781" s="3" t="s">
        <v>13783</v>
      </c>
      <c r="C13781" s="3" t="s">
        <v>10</v>
      </c>
      <c r="D13781" s="3" t="s">
        <v>9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s="3"/>
      <c r="P13781" s="3"/>
      <c r="Q13781" s="3"/>
    </row>
    <row r="13782" spans="1:17" ht="15" x14ac:dyDescent="0.25">
      <c r="A13782" s="3">
        <f>13775</f>
        <v>13775</v>
      </c>
      <c r="B13782" s="3" t="s">
        <v>13784</v>
      </c>
      <c r="C13782" s="3" t="s">
        <v>10</v>
      </c>
      <c r="D13782" s="3" t="s">
        <v>9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/>
      <c r="P13782" s="3"/>
      <c r="Q13782" s="3"/>
    </row>
    <row r="13783" spans="1:17" ht="15" x14ac:dyDescent="0.25">
      <c r="A13783" s="3">
        <f>13776</f>
        <v>13776</v>
      </c>
      <c r="B13783" s="3" t="s">
        <v>13785</v>
      </c>
      <c r="C13783" s="3" t="s">
        <v>10</v>
      </c>
      <c r="D13783" s="3" t="s">
        <v>9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/>
      <c r="P13783" s="3"/>
      <c r="Q13783" s="3"/>
    </row>
    <row r="13784" spans="1:17" ht="15" x14ac:dyDescent="0.25">
      <c r="A13784" s="3">
        <f>13777</f>
        <v>13777</v>
      </c>
      <c r="B13784" s="3" t="s">
        <v>13786</v>
      </c>
      <c r="C13784" s="3" t="s">
        <v>10</v>
      </c>
      <c r="D13784" s="3" t="s">
        <v>9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  <c r="O13784" s="3"/>
      <c r="P13784" s="3"/>
      <c r="Q13784" s="3"/>
    </row>
    <row r="13785" spans="1:17" ht="15" x14ac:dyDescent="0.25">
      <c r="A13785" s="3">
        <f>13778</f>
        <v>13778</v>
      </c>
      <c r="B13785" s="3" t="s">
        <v>13787</v>
      </c>
      <c r="C13785" s="3" t="s">
        <v>10</v>
      </c>
      <c r="D13785" s="3" t="s">
        <v>9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  <c r="O13785" s="3"/>
      <c r="P13785" s="3"/>
      <c r="Q13785" s="3"/>
    </row>
    <row r="13786" spans="1:17" ht="15" x14ac:dyDescent="0.25">
      <c r="A13786" s="3">
        <f>13779</f>
        <v>13779</v>
      </c>
      <c r="B13786" s="3" t="s">
        <v>13788</v>
      </c>
      <c r="C13786" s="3" t="s">
        <v>10</v>
      </c>
      <c r="D13786" s="3" t="s">
        <v>9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/>
      <c r="P13786" s="3"/>
      <c r="Q13786" s="3"/>
    </row>
    <row r="13787" spans="1:17" ht="15" x14ac:dyDescent="0.25">
      <c r="A13787" s="3">
        <f>13780</f>
        <v>13780</v>
      </c>
      <c r="B13787" s="3" t="s">
        <v>13789</v>
      </c>
      <c r="C13787" s="3" t="s">
        <v>10</v>
      </c>
      <c r="D13787" s="3" t="s">
        <v>9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/>
      <c r="P13787" s="3"/>
      <c r="Q13787" s="3"/>
    </row>
    <row r="13788" spans="1:17" ht="15" x14ac:dyDescent="0.25">
      <c r="A13788" s="3">
        <f>13781</f>
        <v>13781</v>
      </c>
      <c r="B13788" s="3" t="s">
        <v>13790</v>
      </c>
      <c r="C13788" s="3" t="s">
        <v>10</v>
      </c>
      <c r="D13788" s="3" t="s">
        <v>9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/>
      <c r="P13788" s="3"/>
      <c r="Q13788" s="3"/>
    </row>
    <row r="13789" spans="1:17" ht="15" x14ac:dyDescent="0.25">
      <c r="A13789" s="3">
        <f>13782</f>
        <v>13782</v>
      </c>
      <c r="B13789" s="3" t="s">
        <v>13791</v>
      </c>
      <c r="C13789" s="3" t="s">
        <v>10</v>
      </c>
      <c r="D13789" s="3" t="s">
        <v>9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s="3"/>
      <c r="P13789" s="3"/>
      <c r="Q13789" s="3"/>
    </row>
    <row r="13790" spans="1:17" ht="15" x14ac:dyDescent="0.25">
      <c r="A13790" s="3">
        <f>13783</f>
        <v>13783</v>
      </c>
      <c r="B13790" s="3" t="s">
        <v>13792</v>
      </c>
      <c r="C13790" s="3" t="s">
        <v>10</v>
      </c>
      <c r="D13790" s="3" t="s">
        <v>9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s="3"/>
      <c r="P13790" s="3"/>
      <c r="Q13790" s="3"/>
    </row>
    <row r="13791" spans="1:17" ht="15" x14ac:dyDescent="0.25">
      <c r="A13791" s="3">
        <f>13784</f>
        <v>13784</v>
      </c>
      <c r="B13791" s="3" t="s">
        <v>13793</v>
      </c>
      <c r="C13791" s="3" t="s">
        <v>10</v>
      </c>
      <c r="D13791" s="3" t="s">
        <v>9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/>
      <c r="P13791" s="3"/>
      <c r="Q13791" s="3"/>
    </row>
    <row r="13792" spans="1:17" ht="15" x14ac:dyDescent="0.25">
      <c r="A13792" s="3">
        <f>13785</f>
        <v>13785</v>
      </c>
      <c r="B13792" s="3" t="s">
        <v>13794</v>
      </c>
      <c r="C13792" s="3" t="s">
        <v>10</v>
      </c>
      <c r="D13792" s="3" t="s">
        <v>9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/>
      <c r="P13792" s="3"/>
      <c r="Q13792" s="3"/>
    </row>
    <row r="13793" spans="1:17" ht="15" x14ac:dyDescent="0.25">
      <c r="A13793" s="3">
        <f>13786</f>
        <v>13786</v>
      </c>
      <c r="B13793" s="3" t="s">
        <v>13795</v>
      </c>
      <c r="C13793" s="3" t="s">
        <v>10</v>
      </c>
      <c r="D13793" s="3" t="s">
        <v>9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s="3"/>
      <c r="P13793" s="3"/>
      <c r="Q13793" s="3"/>
    </row>
    <row r="13794" spans="1:17" ht="15" x14ac:dyDescent="0.25">
      <c r="A13794" s="3">
        <f>13787</f>
        <v>13787</v>
      </c>
      <c r="B13794" s="3" t="s">
        <v>13796</v>
      </c>
      <c r="C13794" s="3" t="s">
        <v>10</v>
      </c>
      <c r="D13794" s="3" t="s">
        <v>9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s="3"/>
      <c r="P13794" s="3"/>
      <c r="Q13794" s="3"/>
    </row>
    <row r="13795" spans="1:17" ht="15" x14ac:dyDescent="0.25">
      <c r="A13795" s="3">
        <f>13788</f>
        <v>13788</v>
      </c>
      <c r="B13795" s="3" t="s">
        <v>13797</v>
      </c>
      <c r="C13795" s="3" t="s">
        <v>10</v>
      </c>
      <c r="D13795" s="3" t="s">
        <v>9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s="3"/>
      <c r="P13795" s="3"/>
      <c r="Q13795" s="3"/>
    </row>
    <row r="13796" spans="1:17" ht="15" x14ac:dyDescent="0.25">
      <c r="A13796" s="3">
        <f>13789</f>
        <v>13789</v>
      </c>
      <c r="B13796" s="3" t="s">
        <v>13798</v>
      </c>
      <c r="C13796" s="3" t="s">
        <v>10</v>
      </c>
      <c r="D13796" s="3" t="s">
        <v>9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s="3"/>
      <c r="P13796" s="3"/>
      <c r="Q13796" s="3"/>
    </row>
    <row r="13797" spans="1:17" ht="15" x14ac:dyDescent="0.25">
      <c r="A13797" s="3">
        <f>13790</f>
        <v>13790</v>
      </c>
      <c r="B13797" s="3" t="s">
        <v>13799</v>
      </c>
      <c r="C13797" s="3" t="s">
        <v>10</v>
      </c>
      <c r="D13797" s="3" t="s">
        <v>9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/>
      <c r="P13797" s="3"/>
      <c r="Q13797" s="3"/>
    </row>
    <row r="13798" spans="1:17" ht="15" x14ac:dyDescent="0.25">
      <c r="A13798" s="3">
        <f>13791</f>
        <v>13791</v>
      </c>
      <c r="B13798" s="3" t="s">
        <v>13800</v>
      </c>
      <c r="C13798" s="3" t="s">
        <v>10</v>
      </c>
      <c r="D13798" s="3" t="s">
        <v>9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/>
      <c r="P13798" s="3"/>
      <c r="Q13798" s="3"/>
    </row>
    <row r="13799" spans="1:17" ht="15" x14ac:dyDescent="0.25">
      <c r="A13799" s="3">
        <f>13792</f>
        <v>13792</v>
      </c>
      <c r="B13799" s="3" t="s">
        <v>13801</v>
      </c>
      <c r="C13799" s="3" t="s">
        <v>10</v>
      </c>
      <c r="D13799" s="3" t="s">
        <v>9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/>
      <c r="P13799" s="3"/>
      <c r="Q13799" s="3"/>
    </row>
    <row r="13800" spans="1:17" ht="15" x14ac:dyDescent="0.25">
      <c r="A13800" s="3">
        <f>13793</f>
        <v>13793</v>
      </c>
      <c r="B13800" s="3" t="s">
        <v>13802</v>
      </c>
      <c r="C13800" s="3" t="s">
        <v>10</v>
      </c>
      <c r="D13800" s="3" t="s">
        <v>9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s="3"/>
      <c r="P13800" s="3"/>
      <c r="Q13800" s="3"/>
    </row>
    <row r="13801" spans="1:17" ht="15" x14ac:dyDescent="0.25">
      <c r="A13801" s="3">
        <f>13794</f>
        <v>13794</v>
      </c>
      <c r="B13801" s="3" t="s">
        <v>13803</v>
      </c>
      <c r="C13801" s="3" t="s">
        <v>10</v>
      </c>
      <c r="D13801" s="3" t="s">
        <v>9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/>
      <c r="P13801" s="3"/>
      <c r="Q13801" s="3"/>
    </row>
    <row r="13802" spans="1:17" ht="15" x14ac:dyDescent="0.25">
      <c r="A13802" s="3">
        <f>13795</f>
        <v>13795</v>
      </c>
      <c r="B13802" s="3" t="s">
        <v>13804</v>
      </c>
      <c r="C13802" s="3" t="s">
        <v>10</v>
      </c>
      <c r="D13802" s="3" t="s">
        <v>9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s="3"/>
      <c r="P13802" s="3"/>
      <c r="Q13802" s="3"/>
    </row>
    <row r="13803" spans="1:17" ht="15" x14ac:dyDescent="0.25">
      <c r="A13803" s="3">
        <f>13796</f>
        <v>13796</v>
      </c>
      <c r="B13803" s="3" t="s">
        <v>13805</v>
      </c>
      <c r="C13803" s="3" t="s">
        <v>10</v>
      </c>
      <c r="D13803" s="3" t="s">
        <v>9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s="3"/>
      <c r="P13803" s="3"/>
      <c r="Q13803" s="3"/>
    </row>
    <row r="13804" spans="1:17" ht="15" x14ac:dyDescent="0.25">
      <c r="A13804" s="3">
        <f>13797</f>
        <v>13797</v>
      </c>
      <c r="B13804" s="3" t="s">
        <v>13806</v>
      </c>
      <c r="C13804" s="3" t="s">
        <v>10</v>
      </c>
      <c r="D13804" s="3" t="s">
        <v>9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s="3"/>
      <c r="P13804" s="3"/>
      <c r="Q13804" s="3"/>
    </row>
    <row r="13805" spans="1:17" ht="15" x14ac:dyDescent="0.25">
      <c r="A13805" s="3">
        <f>13798</f>
        <v>13798</v>
      </c>
      <c r="B13805" s="3" t="s">
        <v>13807</v>
      </c>
      <c r="C13805" s="3" t="s">
        <v>10</v>
      </c>
      <c r="D13805" s="3" t="s">
        <v>9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/>
      <c r="P13805" s="3"/>
      <c r="Q13805" s="3"/>
    </row>
    <row r="13806" spans="1:17" ht="15" x14ac:dyDescent="0.25">
      <c r="A13806" s="3">
        <f>13799</f>
        <v>13799</v>
      </c>
      <c r="B13806" s="3" t="s">
        <v>13808</v>
      </c>
      <c r="C13806" s="3" t="s">
        <v>10</v>
      </c>
      <c r="D13806" s="3" t="s">
        <v>9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  <c r="O13806" s="3"/>
      <c r="P13806" s="3"/>
      <c r="Q13806" s="3"/>
    </row>
    <row r="13807" spans="1:17" ht="15" x14ac:dyDescent="0.25">
      <c r="A13807" s="3">
        <f>13800</f>
        <v>13800</v>
      </c>
      <c r="B13807" s="3" t="s">
        <v>13809</v>
      </c>
      <c r="C13807" s="3" t="s">
        <v>10</v>
      </c>
      <c r="D13807" s="3" t="s">
        <v>9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/>
      <c r="P13807" s="3"/>
      <c r="Q13807" s="3"/>
    </row>
    <row r="13808" spans="1:17" ht="15" x14ac:dyDescent="0.25">
      <c r="A13808" s="3">
        <f>13801</f>
        <v>13801</v>
      </c>
      <c r="B13808" s="3" t="s">
        <v>13810</v>
      </c>
      <c r="C13808" s="3" t="s">
        <v>10</v>
      </c>
      <c r="D13808" s="3" t="s">
        <v>9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s="3"/>
      <c r="P13808" s="3"/>
      <c r="Q13808" s="3"/>
    </row>
    <row r="13809" spans="1:17" ht="15" x14ac:dyDescent="0.25">
      <c r="A13809" s="3">
        <f>13802</f>
        <v>13802</v>
      </c>
      <c r="B13809" s="3" t="s">
        <v>13811</v>
      </c>
      <c r="C13809" s="3" t="s">
        <v>10</v>
      </c>
      <c r="D13809" s="3" t="s">
        <v>9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s="3"/>
      <c r="P13809" s="3"/>
      <c r="Q13809" s="3"/>
    </row>
    <row r="13810" spans="1:17" ht="15" x14ac:dyDescent="0.25">
      <c r="A13810" s="3">
        <f>13803</f>
        <v>13803</v>
      </c>
      <c r="B13810" s="3" t="s">
        <v>13812</v>
      </c>
      <c r="C13810" s="3" t="s">
        <v>10</v>
      </c>
      <c r="D13810" s="3" t="s">
        <v>9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0</v>
      </c>
      <c r="O13810" s="3"/>
      <c r="P13810" s="3"/>
      <c r="Q13810" s="3"/>
    </row>
    <row r="13811" spans="1:17" ht="15" x14ac:dyDescent="0.25">
      <c r="A13811" s="3">
        <f>13804</f>
        <v>13804</v>
      </c>
      <c r="B13811" s="3" t="s">
        <v>13813</v>
      </c>
      <c r="C13811" s="3" t="s">
        <v>10</v>
      </c>
      <c r="D13811" s="3" t="s">
        <v>9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s="3"/>
      <c r="P13811" s="3"/>
      <c r="Q13811" s="3"/>
    </row>
    <row r="13812" spans="1:17" ht="15" x14ac:dyDescent="0.25">
      <c r="A13812" s="3">
        <f>13805</f>
        <v>13805</v>
      </c>
      <c r="B13812" s="3" t="s">
        <v>13814</v>
      </c>
      <c r="C13812" s="3" t="s">
        <v>10</v>
      </c>
      <c r="D13812" s="3" t="s">
        <v>9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  <c r="O13812" s="3"/>
      <c r="P13812" s="3"/>
      <c r="Q13812" s="3"/>
    </row>
    <row r="13813" spans="1:17" ht="15" x14ac:dyDescent="0.25">
      <c r="A13813" s="3">
        <f>13806</f>
        <v>13806</v>
      </c>
      <c r="B13813" s="3" t="s">
        <v>13815</v>
      </c>
      <c r="C13813" s="3" t="s">
        <v>10</v>
      </c>
      <c r="D13813" s="3" t="s">
        <v>9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s="3"/>
      <c r="P13813" s="3"/>
      <c r="Q13813" s="3"/>
    </row>
    <row r="13814" spans="1:17" ht="15" x14ac:dyDescent="0.25">
      <c r="A13814" s="3">
        <f>13807</f>
        <v>13807</v>
      </c>
      <c r="B13814" s="3" t="s">
        <v>13816</v>
      </c>
      <c r="C13814" s="3" t="s">
        <v>10</v>
      </c>
      <c r="D13814" s="3" t="s">
        <v>9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  <c r="O13814" s="3"/>
      <c r="P13814" s="3"/>
      <c r="Q13814" s="3"/>
    </row>
    <row r="13815" spans="1:17" ht="15" x14ac:dyDescent="0.25">
      <c r="A13815" s="3">
        <f>13808</f>
        <v>13808</v>
      </c>
      <c r="B13815" s="3" t="s">
        <v>13817</v>
      </c>
      <c r="C13815" s="3" t="s">
        <v>10</v>
      </c>
      <c r="D13815" s="3" t="s">
        <v>9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/>
      <c r="P13815" s="3"/>
      <c r="Q13815" s="3"/>
    </row>
    <row r="13816" spans="1:17" ht="15" x14ac:dyDescent="0.25">
      <c r="A13816" s="3">
        <f>13809</f>
        <v>13809</v>
      </c>
      <c r="B13816" s="3" t="s">
        <v>13818</v>
      </c>
      <c r="C13816" s="3" t="s">
        <v>10</v>
      </c>
      <c r="D13816" s="3" t="s">
        <v>9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/>
      <c r="P13816" s="3"/>
      <c r="Q13816" s="3"/>
    </row>
    <row r="13817" spans="1:17" ht="15" x14ac:dyDescent="0.25">
      <c r="A13817" s="3">
        <f>13810</f>
        <v>13810</v>
      </c>
      <c r="B13817" s="3" t="s">
        <v>13819</v>
      </c>
      <c r="C13817" s="3" t="s">
        <v>10</v>
      </c>
      <c r="D13817" s="3" t="s">
        <v>9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s="3"/>
      <c r="P13817" s="3"/>
      <c r="Q13817" s="3"/>
    </row>
    <row r="13818" spans="1:17" ht="15" x14ac:dyDescent="0.25">
      <c r="A13818" s="3">
        <f>13811</f>
        <v>13811</v>
      </c>
      <c r="B13818" s="3" t="s">
        <v>13820</v>
      </c>
      <c r="C13818" s="3" t="s">
        <v>10</v>
      </c>
      <c r="D13818" s="3" t="s">
        <v>9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/>
      <c r="P13818" s="3"/>
      <c r="Q13818" s="3"/>
    </row>
    <row r="13819" spans="1:17" ht="15" x14ac:dyDescent="0.25">
      <c r="A13819" s="3">
        <f>13812</f>
        <v>13812</v>
      </c>
      <c r="B13819" s="3" t="s">
        <v>13821</v>
      </c>
      <c r="C13819" s="3" t="s">
        <v>10</v>
      </c>
      <c r="D13819" s="3" t="s">
        <v>9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s="3"/>
      <c r="P13819" s="3"/>
      <c r="Q13819" s="3"/>
    </row>
    <row r="13820" spans="1:17" ht="15" x14ac:dyDescent="0.25">
      <c r="A13820" s="3">
        <f>13813</f>
        <v>13813</v>
      </c>
      <c r="B13820" s="3" t="s">
        <v>13822</v>
      </c>
      <c r="C13820" s="3" t="s">
        <v>10</v>
      </c>
      <c r="D13820" s="3" t="s">
        <v>9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s="3"/>
      <c r="P13820" s="3"/>
      <c r="Q13820" s="3"/>
    </row>
    <row r="13821" spans="1:17" ht="15" x14ac:dyDescent="0.25">
      <c r="A13821" s="3">
        <f>13814</f>
        <v>13814</v>
      </c>
      <c r="B13821" s="3" t="s">
        <v>13823</v>
      </c>
      <c r="C13821" s="3" t="s">
        <v>10</v>
      </c>
      <c r="D13821" s="3" t="s">
        <v>9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/>
      <c r="P13821" s="3"/>
      <c r="Q13821" s="3"/>
    </row>
    <row r="13822" spans="1:17" ht="15" x14ac:dyDescent="0.25">
      <c r="A13822" s="3">
        <f>13815</f>
        <v>13815</v>
      </c>
      <c r="B13822" s="3" t="s">
        <v>13824</v>
      </c>
      <c r="C13822" s="3" t="s">
        <v>10</v>
      </c>
      <c r="D13822" s="3" t="s">
        <v>9</v>
      </c>
      <c r="E13822" s="3">
        <v>0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0</v>
      </c>
      <c r="O13822" s="3"/>
      <c r="P13822" s="3"/>
      <c r="Q13822" s="3"/>
    </row>
    <row r="13823" spans="1:17" ht="15" x14ac:dyDescent="0.25">
      <c r="A13823" s="3">
        <f>13816</f>
        <v>13816</v>
      </c>
      <c r="B13823" s="3" t="s">
        <v>13825</v>
      </c>
      <c r="C13823" s="3" t="s">
        <v>10</v>
      </c>
      <c r="D13823" s="3" t="s">
        <v>9</v>
      </c>
      <c r="E13823" s="3">
        <v>0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  <c r="O13823" s="3"/>
      <c r="P13823" s="3"/>
      <c r="Q13823" s="3"/>
    </row>
    <row r="13824" spans="1:17" ht="15" x14ac:dyDescent="0.25">
      <c r="A13824" s="3">
        <f>13817</f>
        <v>13817</v>
      </c>
      <c r="B13824" s="3" t="s">
        <v>13826</v>
      </c>
      <c r="C13824" s="3" t="s">
        <v>10</v>
      </c>
      <c r="D13824" s="3" t="s">
        <v>9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  <c r="O13824" s="3"/>
      <c r="P13824" s="3"/>
      <c r="Q13824" s="3"/>
    </row>
    <row r="13825" spans="1:17" ht="15" x14ac:dyDescent="0.25">
      <c r="A13825" s="3">
        <f>13818</f>
        <v>13818</v>
      </c>
      <c r="B13825" s="3" t="s">
        <v>13827</v>
      </c>
      <c r="C13825" s="3" t="s">
        <v>10</v>
      </c>
      <c r="D13825" s="3" t="s">
        <v>9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s="3"/>
      <c r="P13825" s="3"/>
      <c r="Q13825" s="3"/>
    </row>
    <row r="13826" spans="1:17" ht="15" x14ac:dyDescent="0.25">
      <c r="A13826" s="3">
        <f>13819</f>
        <v>13819</v>
      </c>
      <c r="B13826" s="3" t="s">
        <v>13828</v>
      </c>
      <c r="C13826" s="3" t="s">
        <v>10</v>
      </c>
      <c r="D13826" s="3" t="s">
        <v>9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s="3"/>
      <c r="P13826" s="3"/>
      <c r="Q13826" s="3"/>
    </row>
    <row r="13827" spans="1:17" ht="15" x14ac:dyDescent="0.25">
      <c r="A13827" s="3">
        <f>13820</f>
        <v>13820</v>
      </c>
      <c r="B13827" s="3" t="s">
        <v>13829</v>
      </c>
      <c r="C13827" s="3" t="s">
        <v>10</v>
      </c>
      <c r="D13827" s="3" t="s">
        <v>9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/>
      <c r="P13827" s="3"/>
      <c r="Q13827" s="3"/>
    </row>
    <row r="13828" spans="1:17" ht="15" x14ac:dyDescent="0.25">
      <c r="A13828" s="3">
        <f>13821</f>
        <v>13821</v>
      </c>
      <c r="B13828" s="3" t="s">
        <v>13830</v>
      </c>
      <c r="C13828" s="3" t="s">
        <v>10</v>
      </c>
      <c r="D13828" s="3" t="s">
        <v>9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/>
      <c r="P13828" s="3"/>
      <c r="Q13828" s="3"/>
    </row>
    <row r="13829" spans="1:17" ht="15" x14ac:dyDescent="0.25">
      <c r="A13829" s="3">
        <f>13822</f>
        <v>13822</v>
      </c>
      <c r="B13829" s="3" t="s">
        <v>13831</v>
      </c>
      <c r="C13829" s="3" t="s">
        <v>10</v>
      </c>
      <c r="D13829" s="3" t="s">
        <v>9</v>
      </c>
      <c r="E13829" s="3">
        <v>0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  <c r="O13829" s="3"/>
      <c r="P13829" s="3"/>
      <c r="Q13829" s="3"/>
    </row>
    <row r="13830" spans="1:17" ht="15" x14ac:dyDescent="0.25">
      <c r="A13830" s="3">
        <f>13823</f>
        <v>13823</v>
      </c>
      <c r="B13830" s="3" t="s">
        <v>13832</v>
      </c>
      <c r="C13830" s="3" t="s">
        <v>10</v>
      </c>
      <c r="D13830" s="3" t="s">
        <v>9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0</v>
      </c>
      <c r="O13830" s="3"/>
      <c r="P13830" s="3"/>
      <c r="Q13830" s="3"/>
    </row>
    <row r="13831" spans="1:17" ht="15" x14ac:dyDescent="0.25">
      <c r="A13831" s="3">
        <f>13824</f>
        <v>13824</v>
      </c>
      <c r="B13831" s="3" t="s">
        <v>13833</v>
      </c>
      <c r="C13831" s="3" t="s">
        <v>10</v>
      </c>
      <c r="D13831" s="3" t="s">
        <v>9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s="3"/>
      <c r="P13831" s="3"/>
      <c r="Q13831" s="3"/>
    </row>
    <row r="13832" spans="1:17" ht="15" x14ac:dyDescent="0.25">
      <c r="A13832" s="3">
        <f>13825</f>
        <v>13825</v>
      </c>
      <c r="B13832" s="3" t="s">
        <v>13834</v>
      </c>
      <c r="C13832" s="3" t="s">
        <v>10</v>
      </c>
      <c r="D13832" s="3" t="s">
        <v>9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/>
      <c r="P13832" s="3"/>
      <c r="Q13832" s="3"/>
    </row>
    <row r="13833" spans="1:17" ht="15" x14ac:dyDescent="0.25">
      <c r="A13833" s="3">
        <f>13826</f>
        <v>13826</v>
      </c>
      <c r="B13833" s="3" t="s">
        <v>13835</v>
      </c>
      <c r="C13833" s="3" t="s">
        <v>10</v>
      </c>
      <c r="D13833" s="3" t="s">
        <v>9</v>
      </c>
      <c r="E13833" s="3">
        <v>0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s="3"/>
      <c r="P13833" s="3"/>
      <c r="Q13833" s="3"/>
    </row>
    <row r="13834" spans="1:17" ht="15" x14ac:dyDescent="0.25">
      <c r="A13834" s="3">
        <f>13827</f>
        <v>13827</v>
      </c>
      <c r="B13834" s="3" t="s">
        <v>13836</v>
      </c>
      <c r="C13834" s="3" t="s">
        <v>10</v>
      </c>
      <c r="D13834" s="3" t="s">
        <v>9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/>
      <c r="P13834" s="3"/>
      <c r="Q13834" s="3"/>
    </row>
    <row r="13835" spans="1:17" ht="15" x14ac:dyDescent="0.25">
      <c r="A13835" s="3">
        <f>13828</f>
        <v>13828</v>
      </c>
      <c r="B13835" s="3" t="s">
        <v>13837</v>
      </c>
      <c r="C13835" s="3" t="s">
        <v>10</v>
      </c>
      <c r="D13835" s="3" t="s">
        <v>9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s="3"/>
      <c r="P13835" s="3"/>
      <c r="Q13835" s="3"/>
    </row>
    <row r="13836" spans="1:17" ht="15" x14ac:dyDescent="0.25">
      <c r="A13836" s="3">
        <f>13829</f>
        <v>13829</v>
      </c>
      <c r="B13836" s="3" t="s">
        <v>13838</v>
      </c>
      <c r="C13836" s="3" t="s">
        <v>10</v>
      </c>
      <c r="D13836" s="3" t="s">
        <v>9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/>
      <c r="P13836" s="3"/>
      <c r="Q13836" s="3"/>
    </row>
    <row r="13837" spans="1:17" ht="15" x14ac:dyDescent="0.25">
      <c r="A13837" s="3">
        <f>13830</f>
        <v>13830</v>
      </c>
      <c r="B13837" s="3" t="s">
        <v>13839</v>
      </c>
      <c r="C13837" s="3" t="s">
        <v>10</v>
      </c>
      <c r="D13837" s="3" t="s">
        <v>9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/>
      <c r="P13837" s="3"/>
      <c r="Q13837" s="3"/>
    </row>
    <row r="13838" spans="1:17" ht="15" x14ac:dyDescent="0.25">
      <c r="A13838" s="3">
        <f>13831</f>
        <v>13831</v>
      </c>
      <c r="B13838" s="3" t="s">
        <v>13840</v>
      </c>
      <c r="C13838" s="3" t="s">
        <v>10</v>
      </c>
      <c r="D13838" s="3" t="s">
        <v>9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/>
      <c r="P13838" s="3"/>
      <c r="Q13838" s="3"/>
    </row>
    <row r="13839" spans="1:17" ht="15" x14ac:dyDescent="0.25">
      <c r="A13839" s="3">
        <f>13832</f>
        <v>13832</v>
      </c>
      <c r="B13839" s="3" t="s">
        <v>13841</v>
      </c>
      <c r="C13839" s="3" t="s">
        <v>10</v>
      </c>
      <c r="D13839" s="3" t="s">
        <v>9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s="3"/>
      <c r="P13839" s="3"/>
      <c r="Q13839" s="3"/>
    </row>
    <row r="13840" spans="1:17" ht="15" x14ac:dyDescent="0.25">
      <c r="A13840" s="3">
        <f>13833</f>
        <v>13833</v>
      </c>
      <c r="B13840" s="3" t="s">
        <v>13842</v>
      </c>
      <c r="C13840" s="3" t="s">
        <v>10</v>
      </c>
      <c r="D13840" s="3" t="s">
        <v>9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/>
      <c r="P13840" s="3"/>
      <c r="Q13840" s="3"/>
    </row>
    <row r="13841" spans="1:17" ht="15" x14ac:dyDescent="0.25">
      <c r="A13841" s="3">
        <f>13834</f>
        <v>13834</v>
      </c>
      <c r="B13841" s="3" t="s">
        <v>13843</v>
      </c>
      <c r="C13841" s="3" t="s">
        <v>10</v>
      </c>
      <c r="D13841" s="3" t="s">
        <v>9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/>
      <c r="P13841" s="3"/>
      <c r="Q13841" s="3"/>
    </row>
    <row r="13842" spans="1:17" ht="15" x14ac:dyDescent="0.25">
      <c r="A13842" s="3">
        <f>13835</f>
        <v>13835</v>
      </c>
      <c r="B13842" s="3" t="s">
        <v>13844</v>
      </c>
      <c r="C13842" s="3" t="s">
        <v>10</v>
      </c>
      <c r="D13842" s="3" t="s">
        <v>9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/>
      <c r="P13842" s="3"/>
      <c r="Q13842" s="3"/>
    </row>
    <row r="13843" spans="1:17" ht="15" x14ac:dyDescent="0.25">
      <c r="A13843" s="3">
        <f>13836</f>
        <v>13836</v>
      </c>
      <c r="B13843" s="3" t="s">
        <v>13845</v>
      </c>
      <c r="C13843" s="3" t="s">
        <v>10</v>
      </c>
      <c r="D13843" s="3" t="s">
        <v>9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/>
      <c r="P13843" s="3"/>
      <c r="Q13843" s="3"/>
    </row>
    <row r="13844" spans="1:17" ht="15" x14ac:dyDescent="0.25">
      <c r="A13844" s="3">
        <f>13837</f>
        <v>13837</v>
      </c>
      <c r="B13844" s="3" t="s">
        <v>13846</v>
      </c>
      <c r="C13844" s="3" t="s">
        <v>10</v>
      </c>
      <c r="D13844" s="3" t="s">
        <v>9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/>
      <c r="P13844" s="3"/>
      <c r="Q13844" s="3"/>
    </row>
    <row r="13845" spans="1:17" ht="15" x14ac:dyDescent="0.25">
      <c r="A13845" s="3">
        <f>13838</f>
        <v>13838</v>
      </c>
      <c r="B13845" s="3" t="s">
        <v>13847</v>
      </c>
      <c r="C13845" s="3" t="s">
        <v>10</v>
      </c>
      <c r="D13845" s="3" t="s">
        <v>9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/>
      <c r="P13845" s="3"/>
      <c r="Q13845" s="3"/>
    </row>
    <row r="13846" spans="1:17" ht="15" x14ac:dyDescent="0.25">
      <c r="A13846" s="3">
        <f>13839</f>
        <v>13839</v>
      </c>
      <c r="B13846" s="3" t="s">
        <v>13848</v>
      </c>
      <c r="C13846" s="3" t="s">
        <v>10</v>
      </c>
      <c r="D13846" s="3" t="s">
        <v>9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/>
      <c r="P13846" s="3"/>
      <c r="Q13846" s="3"/>
    </row>
    <row r="13847" spans="1:17" ht="15" x14ac:dyDescent="0.25">
      <c r="A13847" s="3">
        <f>13840</f>
        <v>13840</v>
      </c>
      <c r="B13847" s="3" t="s">
        <v>13849</v>
      </c>
      <c r="C13847" s="3" t="s">
        <v>10</v>
      </c>
      <c r="D13847" s="3" t="s">
        <v>9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  <c r="O13847" s="3"/>
      <c r="P13847" s="3"/>
      <c r="Q13847" s="3"/>
    </row>
    <row r="13848" spans="1:17" ht="15" x14ac:dyDescent="0.25">
      <c r="A13848" s="3">
        <f>13841</f>
        <v>13841</v>
      </c>
      <c r="B13848" s="3" t="s">
        <v>13850</v>
      </c>
      <c r="C13848" s="3" t="s">
        <v>10</v>
      </c>
      <c r="D13848" s="3" t="s">
        <v>9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/>
      <c r="P13848" s="3"/>
      <c r="Q13848" s="3"/>
    </row>
    <row r="13849" spans="1:17" ht="15" x14ac:dyDescent="0.25">
      <c r="A13849" s="3">
        <f>13842</f>
        <v>13842</v>
      </c>
      <c r="B13849" s="3" t="s">
        <v>13851</v>
      </c>
      <c r="C13849" s="3" t="s">
        <v>10</v>
      </c>
      <c r="D13849" s="3" t="s">
        <v>9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/>
      <c r="P13849" s="3"/>
      <c r="Q13849" s="3"/>
    </row>
    <row r="13850" spans="1:17" ht="15" x14ac:dyDescent="0.25">
      <c r="A13850" s="3">
        <f>13843</f>
        <v>13843</v>
      </c>
      <c r="B13850" s="3" t="s">
        <v>13852</v>
      </c>
      <c r="C13850" s="3" t="s">
        <v>10</v>
      </c>
      <c r="D13850" s="3" t="s">
        <v>9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  <c r="O13850" s="3"/>
      <c r="P13850" s="3"/>
      <c r="Q13850" s="3"/>
    </row>
    <row r="13851" spans="1:17" ht="15" x14ac:dyDescent="0.25">
      <c r="A13851" s="3">
        <f>13844</f>
        <v>13844</v>
      </c>
      <c r="B13851" s="3" t="s">
        <v>13853</v>
      </c>
      <c r="C13851" s="3" t="s">
        <v>10</v>
      </c>
      <c r="D13851" s="3" t="s">
        <v>9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s="3"/>
      <c r="P13851" s="3"/>
      <c r="Q13851" s="3"/>
    </row>
    <row r="13852" spans="1:17" ht="15" x14ac:dyDescent="0.25">
      <c r="A13852" s="3">
        <f>13845</f>
        <v>13845</v>
      </c>
      <c r="B13852" s="3" t="s">
        <v>13854</v>
      </c>
      <c r="C13852" s="3" t="s">
        <v>10</v>
      </c>
      <c r="D13852" s="3" t="s">
        <v>9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/>
      <c r="P13852" s="3"/>
      <c r="Q13852" s="3"/>
    </row>
    <row r="13853" spans="1:17" ht="15" x14ac:dyDescent="0.25">
      <c r="A13853" s="3">
        <f>13846</f>
        <v>13846</v>
      </c>
      <c r="B13853" s="3" t="s">
        <v>13855</v>
      </c>
      <c r="C13853" s="3" t="s">
        <v>10</v>
      </c>
      <c r="D13853" s="3" t="s">
        <v>9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/>
      <c r="P13853" s="3"/>
      <c r="Q13853" s="3"/>
    </row>
    <row r="13854" spans="1:17" ht="15" x14ac:dyDescent="0.25">
      <c r="A13854" s="3">
        <f>13847</f>
        <v>13847</v>
      </c>
      <c r="B13854" s="3" t="s">
        <v>13856</v>
      </c>
      <c r="C13854" s="3" t="s">
        <v>10</v>
      </c>
      <c r="D13854" s="3" t="s">
        <v>9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/>
      <c r="P13854" s="3"/>
      <c r="Q13854" s="3"/>
    </row>
    <row r="13855" spans="1:17" ht="15" x14ac:dyDescent="0.25">
      <c r="A13855" s="3">
        <f>13848</f>
        <v>13848</v>
      </c>
      <c r="B13855" s="3" t="s">
        <v>13857</v>
      </c>
      <c r="C13855" s="3" t="s">
        <v>10</v>
      </c>
      <c r="D13855" s="3" t="s">
        <v>9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/>
      <c r="P13855" s="3"/>
      <c r="Q13855" s="3"/>
    </row>
    <row r="13856" spans="1:17" ht="15" x14ac:dyDescent="0.25">
      <c r="A13856" s="3">
        <f>13849</f>
        <v>13849</v>
      </c>
      <c r="B13856" s="3" t="s">
        <v>13858</v>
      </c>
      <c r="C13856" s="3" t="s">
        <v>10</v>
      </c>
      <c r="D13856" s="3" t="s">
        <v>9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/>
      <c r="P13856" s="3"/>
      <c r="Q13856" s="3"/>
    </row>
    <row r="13857" spans="1:17" ht="15" x14ac:dyDescent="0.25">
      <c r="A13857" s="3">
        <f>13850</f>
        <v>13850</v>
      </c>
      <c r="B13857" s="3" t="s">
        <v>13859</v>
      </c>
      <c r="C13857" s="3" t="s">
        <v>10</v>
      </c>
      <c r="D13857" s="3" t="s">
        <v>9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/>
      <c r="P13857" s="3"/>
      <c r="Q13857" s="3"/>
    </row>
    <row r="13858" spans="1:17" ht="15" x14ac:dyDescent="0.25">
      <c r="A13858" s="3">
        <f>13851</f>
        <v>13851</v>
      </c>
      <c r="B13858" s="3" t="s">
        <v>13860</v>
      </c>
      <c r="C13858" s="3" t="s">
        <v>10</v>
      </c>
      <c r="D13858" s="3" t="s">
        <v>9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/>
      <c r="P13858" s="3"/>
      <c r="Q13858" s="3"/>
    </row>
    <row r="13859" spans="1:17" ht="15" x14ac:dyDescent="0.25">
      <c r="A13859" s="3">
        <f>13852</f>
        <v>13852</v>
      </c>
      <c r="B13859" s="3" t="s">
        <v>13861</v>
      </c>
      <c r="C13859" s="3" t="s">
        <v>10</v>
      </c>
      <c r="D13859" s="3" t="s">
        <v>9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  <c r="O13859" s="3"/>
      <c r="P13859" s="3"/>
      <c r="Q13859" s="3"/>
    </row>
    <row r="13860" spans="1:17" ht="15" x14ac:dyDescent="0.25">
      <c r="A13860" s="3">
        <f>13853</f>
        <v>13853</v>
      </c>
      <c r="B13860" s="3" t="s">
        <v>13862</v>
      </c>
      <c r="C13860" s="3" t="s">
        <v>10</v>
      </c>
      <c r="D13860" s="3" t="s">
        <v>9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  <c r="O13860" s="3"/>
      <c r="P13860" s="3"/>
      <c r="Q13860" s="3"/>
    </row>
    <row r="13861" spans="1:17" ht="15" x14ac:dyDescent="0.25">
      <c r="A13861" s="3">
        <f>13854</f>
        <v>13854</v>
      </c>
      <c r="B13861" s="3" t="s">
        <v>13863</v>
      </c>
      <c r="C13861" s="3" t="s">
        <v>10</v>
      </c>
      <c r="D13861" s="3" t="s">
        <v>9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  <c r="O13861" s="3"/>
      <c r="P13861" s="3"/>
      <c r="Q13861" s="3"/>
    </row>
    <row r="13862" spans="1:17" ht="15" x14ac:dyDescent="0.25">
      <c r="A13862" s="3">
        <f>13855</f>
        <v>13855</v>
      </c>
      <c r="B13862" s="3" t="s">
        <v>13864</v>
      </c>
      <c r="C13862" s="3" t="s">
        <v>10</v>
      </c>
      <c r="D13862" s="3" t="s">
        <v>9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s="3"/>
      <c r="P13862" s="3"/>
      <c r="Q13862" s="3"/>
    </row>
    <row r="13863" spans="1:17" ht="15" x14ac:dyDescent="0.25">
      <c r="A13863" s="3">
        <f>13856</f>
        <v>13856</v>
      </c>
      <c r="B13863" s="3" t="s">
        <v>13865</v>
      </c>
      <c r="C13863" s="3" t="s">
        <v>10</v>
      </c>
      <c r="D13863" s="3" t="s">
        <v>9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/>
      <c r="P13863" s="3"/>
      <c r="Q13863" s="3"/>
    </row>
    <row r="13864" spans="1:17" ht="15" x14ac:dyDescent="0.25">
      <c r="A13864" s="3">
        <f>13857</f>
        <v>13857</v>
      </c>
      <c r="B13864" s="3" t="s">
        <v>13866</v>
      </c>
      <c r="C13864" s="3" t="s">
        <v>10</v>
      </c>
      <c r="D13864" s="3" t="s">
        <v>9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s="3"/>
      <c r="P13864" s="3"/>
      <c r="Q13864" s="3"/>
    </row>
    <row r="13865" spans="1:17" ht="15" x14ac:dyDescent="0.25">
      <c r="A13865" s="3">
        <f>13858</f>
        <v>13858</v>
      </c>
      <c r="B13865" s="3" t="s">
        <v>13867</v>
      </c>
      <c r="C13865" s="3" t="s">
        <v>10</v>
      </c>
      <c r="D13865" s="3" t="s">
        <v>9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/>
      <c r="P13865" s="3"/>
      <c r="Q13865" s="3"/>
    </row>
    <row r="13866" spans="1:17" ht="15" x14ac:dyDescent="0.25">
      <c r="A13866" s="3">
        <f>13859</f>
        <v>13859</v>
      </c>
      <c r="B13866" s="3" t="s">
        <v>13868</v>
      </c>
      <c r="C13866" s="3" t="s">
        <v>10</v>
      </c>
      <c r="D13866" s="3" t="s">
        <v>9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s="3"/>
      <c r="P13866" s="3"/>
      <c r="Q13866" s="3"/>
    </row>
    <row r="13867" spans="1:17" ht="15" x14ac:dyDescent="0.25">
      <c r="A13867" s="3">
        <f>13860</f>
        <v>13860</v>
      </c>
      <c r="B13867" s="3" t="s">
        <v>13869</v>
      </c>
      <c r="C13867" s="3" t="s">
        <v>10</v>
      </c>
      <c r="D13867" s="3" t="s">
        <v>9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  <c r="O13867" s="3"/>
      <c r="P13867" s="3"/>
      <c r="Q13867" s="3"/>
    </row>
    <row r="13868" spans="1:17" ht="15" x14ac:dyDescent="0.25">
      <c r="A13868" s="3">
        <f>13861</f>
        <v>13861</v>
      </c>
      <c r="B13868" s="3" t="s">
        <v>13870</v>
      </c>
      <c r="C13868" s="3" t="s">
        <v>10</v>
      </c>
      <c r="D13868" s="3" t="s">
        <v>9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s="3"/>
      <c r="P13868" s="3"/>
      <c r="Q13868" s="3"/>
    </row>
    <row r="13869" spans="1:17" ht="15" x14ac:dyDescent="0.25">
      <c r="A13869" s="3">
        <f>13862</f>
        <v>13862</v>
      </c>
      <c r="B13869" s="3" t="s">
        <v>13871</v>
      </c>
      <c r="C13869" s="3" t="s">
        <v>10</v>
      </c>
      <c r="D13869" s="3" t="s">
        <v>9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  <c r="O13869" s="3"/>
      <c r="P13869" s="3"/>
      <c r="Q13869" s="3"/>
    </row>
    <row r="13870" spans="1:17" ht="15" x14ac:dyDescent="0.25">
      <c r="A13870" s="3">
        <f>13863</f>
        <v>13863</v>
      </c>
      <c r="B13870" s="3" t="s">
        <v>13872</v>
      </c>
      <c r="C13870" s="3" t="s">
        <v>10</v>
      </c>
      <c r="D13870" s="3" t="s">
        <v>9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  <c r="O13870" s="3"/>
      <c r="P13870" s="3"/>
      <c r="Q13870" s="3"/>
    </row>
    <row r="13871" spans="1:17" ht="15" x14ac:dyDescent="0.25">
      <c r="A13871" s="3">
        <f>13864</f>
        <v>13864</v>
      </c>
      <c r="B13871" s="3" t="s">
        <v>13873</v>
      </c>
      <c r="C13871" s="3" t="s">
        <v>10</v>
      </c>
      <c r="D13871" s="3" t="s">
        <v>9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/>
      <c r="P13871" s="3"/>
      <c r="Q13871" s="3"/>
    </row>
    <row r="13872" spans="1:17" ht="15" x14ac:dyDescent="0.25">
      <c r="A13872" s="3">
        <f>13865</f>
        <v>13865</v>
      </c>
      <c r="B13872" s="3" t="s">
        <v>13874</v>
      </c>
      <c r="C13872" s="3" t="s">
        <v>10</v>
      </c>
      <c r="D13872" s="3" t="s">
        <v>9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  <c r="O13872" s="3"/>
      <c r="P13872" s="3"/>
      <c r="Q13872" s="3"/>
    </row>
    <row r="13873" spans="1:17" ht="15" x14ac:dyDescent="0.25">
      <c r="A13873" s="3">
        <f>13866</f>
        <v>13866</v>
      </c>
      <c r="B13873" s="3" t="s">
        <v>13875</v>
      </c>
      <c r="C13873" s="3" t="s">
        <v>10</v>
      </c>
      <c r="D13873" s="3" t="s">
        <v>9</v>
      </c>
      <c r="E13873" s="3">
        <v>0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s="3"/>
      <c r="P13873" s="3"/>
      <c r="Q13873" s="3"/>
    </row>
    <row r="13874" spans="1:17" ht="15" x14ac:dyDescent="0.25">
      <c r="A13874" s="3">
        <f>13867</f>
        <v>13867</v>
      </c>
      <c r="B13874" s="3" t="s">
        <v>13876</v>
      </c>
      <c r="C13874" s="3" t="s">
        <v>10</v>
      </c>
      <c r="D13874" s="3" t="s">
        <v>9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s="3"/>
      <c r="P13874" s="3"/>
      <c r="Q13874" s="3"/>
    </row>
    <row r="13875" spans="1:17" ht="15" x14ac:dyDescent="0.25">
      <c r="A13875" s="3">
        <f>13868</f>
        <v>13868</v>
      </c>
      <c r="B13875" s="3" t="s">
        <v>13877</v>
      </c>
      <c r="C13875" s="3" t="s">
        <v>10</v>
      </c>
      <c r="D13875" s="3" t="s">
        <v>9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s="3"/>
      <c r="P13875" s="3"/>
      <c r="Q13875" s="3"/>
    </row>
    <row r="13876" spans="1:17" ht="15" x14ac:dyDescent="0.25">
      <c r="A13876" s="3">
        <f>13869</f>
        <v>13869</v>
      </c>
      <c r="B13876" s="3" t="s">
        <v>13878</v>
      </c>
      <c r="C13876" s="3" t="s">
        <v>10</v>
      </c>
      <c r="D13876" s="3" t="s">
        <v>9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s="3"/>
      <c r="P13876" s="3"/>
      <c r="Q13876" s="3"/>
    </row>
    <row r="13877" spans="1:17" ht="15" x14ac:dyDescent="0.25">
      <c r="A13877" s="3">
        <f>13870</f>
        <v>13870</v>
      </c>
      <c r="B13877" s="3" t="s">
        <v>13879</v>
      </c>
      <c r="C13877" s="3" t="s">
        <v>10</v>
      </c>
      <c r="D13877" s="3" t="s">
        <v>9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s="3"/>
      <c r="P13877" s="3"/>
      <c r="Q13877" s="3"/>
    </row>
    <row r="13878" spans="1:17" ht="15" x14ac:dyDescent="0.25">
      <c r="A13878" s="3">
        <f>13871</f>
        <v>13871</v>
      </c>
      <c r="B13878" s="3" t="s">
        <v>13880</v>
      </c>
      <c r="C13878" s="3" t="s">
        <v>10</v>
      </c>
      <c r="D13878" s="3" t="s">
        <v>9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/>
      <c r="P13878" s="3"/>
      <c r="Q13878" s="3"/>
    </row>
    <row r="13879" spans="1:17" ht="15" x14ac:dyDescent="0.25">
      <c r="A13879" s="3">
        <f>13872</f>
        <v>13872</v>
      </c>
      <c r="B13879" s="3" t="s">
        <v>13881</v>
      </c>
      <c r="C13879" s="3" t="s">
        <v>10</v>
      </c>
      <c r="D13879" s="3" t="s">
        <v>9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/>
      <c r="P13879" s="3"/>
      <c r="Q13879" s="3"/>
    </row>
    <row r="13880" spans="1:17" ht="15" x14ac:dyDescent="0.25">
      <c r="A13880" s="3">
        <f>13873</f>
        <v>13873</v>
      </c>
      <c r="B13880" s="3" t="s">
        <v>13882</v>
      </c>
      <c r="C13880" s="3" t="s">
        <v>10</v>
      </c>
      <c r="D13880" s="3" t="s">
        <v>9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0</v>
      </c>
      <c r="O13880" s="3"/>
      <c r="P13880" s="3"/>
      <c r="Q13880" s="3"/>
    </row>
    <row r="13881" spans="1:17" ht="15" x14ac:dyDescent="0.25">
      <c r="A13881" s="3">
        <f>13874</f>
        <v>13874</v>
      </c>
      <c r="B13881" s="3" t="s">
        <v>13883</v>
      </c>
      <c r="C13881" s="3" t="s">
        <v>10</v>
      </c>
      <c r="D13881" s="3" t="s">
        <v>9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  <c r="O13881" s="3"/>
      <c r="P13881" s="3"/>
      <c r="Q13881" s="3"/>
    </row>
    <row r="13882" spans="1:17" ht="15" x14ac:dyDescent="0.25">
      <c r="A13882" s="3">
        <f>13875</f>
        <v>13875</v>
      </c>
      <c r="B13882" s="3" t="s">
        <v>13884</v>
      </c>
      <c r="C13882" s="3" t="s">
        <v>10</v>
      </c>
      <c r="D13882" s="3" t="s">
        <v>9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s="3"/>
      <c r="P13882" s="3"/>
      <c r="Q13882" s="3"/>
    </row>
    <row r="13883" spans="1:17" ht="15" x14ac:dyDescent="0.25">
      <c r="A13883" s="3">
        <f>13876</f>
        <v>13876</v>
      </c>
      <c r="B13883" s="3" t="s">
        <v>13885</v>
      </c>
      <c r="C13883" s="3" t="s">
        <v>10</v>
      </c>
      <c r="D13883" s="3" t="s">
        <v>9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/>
      <c r="P13883" s="3"/>
      <c r="Q13883" s="3"/>
    </row>
    <row r="13884" spans="1:17" ht="15" x14ac:dyDescent="0.25">
      <c r="A13884" s="3">
        <f>13877</f>
        <v>13877</v>
      </c>
      <c r="B13884" s="3" t="s">
        <v>13886</v>
      </c>
      <c r="C13884" s="3" t="s">
        <v>10</v>
      </c>
      <c r="D13884" s="3" t="s">
        <v>9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  <c r="O13884" s="3"/>
      <c r="P13884" s="3"/>
      <c r="Q13884" s="3"/>
    </row>
    <row r="13885" spans="1:17" ht="15" x14ac:dyDescent="0.25">
      <c r="A13885" s="3">
        <f>13878</f>
        <v>13878</v>
      </c>
      <c r="B13885" s="3" t="s">
        <v>13887</v>
      </c>
      <c r="C13885" s="3" t="s">
        <v>9</v>
      </c>
      <c r="D13885" s="3" t="s">
        <v>9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s="3"/>
      <c r="P13885" s="3"/>
      <c r="Q13885" s="3"/>
    </row>
    <row r="13886" spans="1:17" ht="15" x14ac:dyDescent="0.25">
      <c r="A13886" s="3">
        <f>13879</f>
        <v>13879</v>
      </c>
      <c r="B13886" s="3" t="s">
        <v>13888</v>
      </c>
      <c r="C13886" s="3" t="s">
        <v>9</v>
      </c>
      <c r="D13886" s="3" t="s">
        <v>9</v>
      </c>
      <c r="E13886" s="3">
        <v>0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s="3"/>
      <c r="P13886" s="3"/>
      <c r="Q13886" s="3"/>
    </row>
    <row r="13887" spans="1:17" ht="15" x14ac:dyDescent="0.25">
      <c r="A13887" s="3">
        <f>13880</f>
        <v>13880</v>
      </c>
      <c r="B13887" s="3" t="s">
        <v>13889</v>
      </c>
      <c r="C13887" s="3" t="s">
        <v>9</v>
      </c>
      <c r="D13887" s="3" t="s">
        <v>9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s="3"/>
      <c r="P13887" s="3"/>
      <c r="Q13887" s="3"/>
    </row>
    <row r="13888" spans="1:17" ht="15" x14ac:dyDescent="0.25">
      <c r="A13888" s="3">
        <f>13881</f>
        <v>13881</v>
      </c>
      <c r="B13888" s="3" t="s">
        <v>13890</v>
      </c>
      <c r="C13888" s="3" t="s">
        <v>9</v>
      </c>
      <c r="D13888" s="3" t="s">
        <v>9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s="3"/>
      <c r="P13888" s="3"/>
      <c r="Q13888" s="3"/>
    </row>
    <row r="13889" spans="1:17" ht="15" x14ac:dyDescent="0.25">
      <c r="A13889" s="3">
        <f>13882</f>
        <v>13882</v>
      </c>
      <c r="B13889" s="3" t="s">
        <v>13891</v>
      </c>
      <c r="C13889" s="3" t="s">
        <v>9</v>
      </c>
      <c r="D13889" s="3" t="s">
        <v>9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  <c r="O13889" s="3"/>
      <c r="P13889" s="3"/>
      <c r="Q13889" s="3"/>
    </row>
    <row r="13890" spans="1:17" ht="15" x14ac:dyDescent="0.25">
      <c r="A13890" s="3">
        <f>13883</f>
        <v>13883</v>
      </c>
      <c r="B13890" s="3" t="s">
        <v>13892</v>
      </c>
      <c r="C13890" s="3" t="s">
        <v>9</v>
      </c>
      <c r="D13890" s="3" t="s">
        <v>9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/>
      <c r="P13890" s="3"/>
      <c r="Q13890" s="3"/>
    </row>
    <row r="13891" spans="1:17" ht="15" x14ac:dyDescent="0.25">
      <c r="A13891" s="3">
        <f>13884</f>
        <v>13884</v>
      </c>
      <c r="B13891" s="3" t="s">
        <v>13893</v>
      </c>
      <c r="C13891" s="3" t="s">
        <v>9</v>
      </c>
      <c r="D13891" s="3" t="s">
        <v>9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s="3"/>
      <c r="P13891" s="3"/>
      <c r="Q13891" s="3"/>
    </row>
    <row r="13892" spans="1:17" ht="15" x14ac:dyDescent="0.25">
      <c r="A13892" s="3">
        <f>13885</f>
        <v>13885</v>
      </c>
      <c r="B13892" s="3" t="s">
        <v>13894</v>
      </c>
      <c r="C13892" s="3" t="s">
        <v>9</v>
      </c>
      <c r="D13892" s="3" t="s">
        <v>9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/>
      <c r="P13892" s="3"/>
      <c r="Q13892" s="3"/>
    </row>
    <row r="13893" spans="1:17" ht="15" x14ac:dyDescent="0.25">
      <c r="A13893" s="3">
        <f>13886</f>
        <v>13886</v>
      </c>
      <c r="B13893" s="3" t="s">
        <v>13895</v>
      </c>
      <c r="C13893" s="3" t="s">
        <v>9</v>
      </c>
      <c r="D13893" s="3" t="s">
        <v>9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0</v>
      </c>
      <c r="O13893" s="3"/>
      <c r="P13893" s="3"/>
      <c r="Q13893" s="3"/>
    </row>
    <row r="13894" spans="1:17" ht="15" x14ac:dyDescent="0.25">
      <c r="A13894" s="3">
        <f>13887</f>
        <v>13887</v>
      </c>
      <c r="B13894" s="3" t="s">
        <v>13896</v>
      </c>
      <c r="C13894" s="3" t="s">
        <v>9</v>
      </c>
      <c r="D13894" s="3" t="s">
        <v>9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/>
      <c r="P13894" s="3"/>
      <c r="Q13894" s="3"/>
    </row>
    <row r="13895" spans="1:17" ht="15" x14ac:dyDescent="0.25">
      <c r="A13895" s="3">
        <f>13888</f>
        <v>13888</v>
      </c>
      <c r="B13895" s="3" t="s">
        <v>13897</v>
      </c>
      <c r="C13895" s="3" t="s">
        <v>9</v>
      </c>
      <c r="D13895" s="3" t="s">
        <v>9</v>
      </c>
      <c r="E13895" s="3">
        <v>0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/>
      <c r="P13895" s="3"/>
      <c r="Q13895" s="3"/>
    </row>
    <row r="13896" spans="1:17" ht="15" x14ac:dyDescent="0.25">
      <c r="A13896" s="3">
        <f>13889</f>
        <v>13889</v>
      </c>
      <c r="B13896" s="3" t="s">
        <v>13898</v>
      </c>
      <c r="C13896" s="3" t="s">
        <v>9</v>
      </c>
      <c r="D13896" s="3" t="s">
        <v>9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/>
      <c r="P13896" s="3"/>
      <c r="Q13896" s="3"/>
    </row>
    <row r="13897" spans="1:17" ht="15" x14ac:dyDescent="0.25">
      <c r="A13897" s="3">
        <f>13890</f>
        <v>13890</v>
      </c>
      <c r="B13897" s="3" t="s">
        <v>13899</v>
      </c>
      <c r="C13897" s="3" t="s">
        <v>9</v>
      </c>
      <c r="D13897" s="3" t="s">
        <v>9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/>
      <c r="P13897" s="3"/>
      <c r="Q13897" s="3"/>
    </row>
    <row r="13898" spans="1:17" ht="15" x14ac:dyDescent="0.25">
      <c r="A13898" s="3">
        <f>13891</f>
        <v>13891</v>
      </c>
      <c r="B13898" s="3" t="s">
        <v>13900</v>
      </c>
      <c r="C13898" s="3" t="s">
        <v>9</v>
      </c>
      <c r="D13898" s="3" t="s">
        <v>9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/>
      <c r="P13898" s="3"/>
      <c r="Q13898" s="3"/>
    </row>
    <row r="13899" spans="1:17" ht="15" x14ac:dyDescent="0.25">
      <c r="A13899" s="3">
        <f>13892</f>
        <v>13892</v>
      </c>
      <c r="B13899" s="3" t="s">
        <v>13901</v>
      </c>
      <c r="C13899" s="3" t="s">
        <v>9</v>
      </c>
      <c r="D13899" s="3" t="s">
        <v>9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s="3"/>
      <c r="P13899" s="3"/>
      <c r="Q13899" s="3"/>
    </row>
    <row r="13900" spans="1:17" ht="15" x14ac:dyDescent="0.25">
      <c r="A13900" s="3">
        <f>13893</f>
        <v>13893</v>
      </c>
      <c r="B13900" s="3" t="s">
        <v>13902</v>
      </c>
      <c r="C13900" s="3" t="s">
        <v>9</v>
      </c>
      <c r="D13900" s="3" t="s">
        <v>9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/>
      <c r="P13900" s="3"/>
      <c r="Q13900" s="3"/>
    </row>
    <row r="13901" spans="1:17" ht="15" x14ac:dyDescent="0.25">
      <c r="A13901" s="3">
        <f>13894</f>
        <v>13894</v>
      </c>
      <c r="B13901" s="3" t="s">
        <v>13903</v>
      </c>
      <c r="C13901" s="3" t="s">
        <v>9</v>
      </c>
      <c r="D13901" s="3" t="s">
        <v>9</v>
      </c>
      <c r="E13901" s="3">
        <v>0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s="3"/>
      <c r="P13901" s="3"/>
      <c r="Q13901" s="3"/>
    </row>
    <row r="13902" spans="1:17" ht="15" x14ac:dyDescent="0.25">
      <c r="A13902" s="3">
        <f>13895</f>
        <v>13895</v>
      </c>
      <c r="B13902" s="3" t="s">
        <v>13904</v>
      </c>
      <c r="C13902" s="3" t="s">
        <v>9</v>
      </c>
      <c r="D13902" s="3" t="s">
        <v>9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s="3"/>
      <c r="P13902" s="3"/>
      <c r="Q13902" s="3"/>
    </row>
    <row r="13903" spans="1:17" ht="15" x14ac:dyDescent="0.25">
      <c r="A13903" s="3">
        <f>13896</f>
        <v>13896</v>
      </c>
      <c r="B13903" s="3" t="s">
        <v>13905</v>
      </c>
      <c r="C13903" s="3" t="s">
        <v>9</v>
      </c>
      <c r="D13903" s="3" t="s">
        <v>9</v>
      </c>
      <c r="E13903" s="3">
        <v>0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/>
      <c r="P13903" s="3"/>
      <c r="Q13903" s="3"/>
    </row>
    <row r="13904" spans="1:17" ht="15" x14ac:dyDescent="0.25">
      <c r="A13904" s="3">
        <f>13897</f>
        <v>13897</v>
      </c>
      <c r="B13904" s="3" t="s">
        <v>13906</v>
      </c>
      <c r="C13904" s="3" t="s">
        <v>9</v>
      </c>
      <c r="D13904" s="3" t="s">
        <v>9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s="3"/>
      <c r="P13904" s="3"/>
      <c r="Q13904" s="3"/>
    </row>
    <row r="13905" spans="1:17" ht="15" x14ac:dyDescent="0.25">
      <c r="A13905" s="3">
        <f>13898</f>
        <v>13898</v>
      </c>
      <c r="B13905" s="3" t="s">
        <v>13907</v>
      </c>
      <c r="C13905" s="3" t="s">
        <v>9</v>
      </c>
      <c r="D13905" s="3" t="s">
        <v>9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/>
      <c r="P13905" s="3"/>
      <c r="Q13905" s="3"/>
    </row>
    <row r="13906" spans="1:17" ht="15" x14ac:dyDescent="0.25">
      <c r="A13906" s="3">
        <f>13899</f>
        <v>13899</v>
      </c>
      <c r="B13906" s="3" t="s">
        <v>13908</v>
      </c>
      <c r="C13906" s="3" t="s">
        <v>9</v>
      </c>
      <c r="D13906" s="3" t="s">
        <v>9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/>
      <c r="P13906" s="3"/>
      <c r="Q13906" s="3"/>
    </row>
    <row r="13907" spans="1:17" ht="15" x14ac:dyDescent="0.25">
      <c r="A13907" s="3">
        <f>13900</f>
        <v>13900</v>
      </c>
      <c r="B13907" s="3" t="s">
        <v>13909</v>
      </c>
      <c r="C13907" s="3" t="s">
        <v>9</v>
      </c>
      <c r="D13907" s="3" t="s">
        <v>9</v>
      </c>
      <c r="E13907" s="3">
        <v>0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  <c r="O13907" s="3"/>
      <c r="P13907" s="3"/>
      <c r="Q13907" s="3"/>
    </row>
    <row r="13908" spans="1:17" ht="15" x14ac:dyDescent="0.25">
      <c r="A13908" s="3">
        <f>13901</f>
        <v>13901</v>
      </c>
      <c r="B13908" s="3" t="s">
        <v>13910</v>
      </c>
      <c r="C13908" s="3" t="s">
        <v>9</v>
      </c>
      <c r="D13908" s="3" t="s">
        <v>9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/>
      <c r="P13908" s="3"/>
      <c r="Q13908" s="3"/>
    </row>
    <row r="13909" spans="1:17" ht="15" x14ac:dyDescent="0.25">
      <c r="A13909" s="3">
        <f>13902</f>
        <v>13902</v>
      </c>
      <c r="B13909" s="3" t="s">
        <v>13911</v>
      </c>
      <c r="C13909" s="3" t="s">
        <v>9</v>
      </c>
      <c r="D13909" s="3" t="s">
        <v>9</v>
      </c>
      <c r="E13909" s="3">
        <v>0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/>
      <c r="P13909" s="3"/>
      <c r="Q13909" s="3"/>
    </row>
    <row r="13910" spans="1:17" ht="15" x14ac:dyDescent="0.25">
      <c r="A13910" s="3">
        <f>13903</f>
        <v>13903</v>
      </c>
      <c r="B13910" s="3" t="s">
        <v>13912</v>
      </c>
      <c r="C13910" s="3" t="s">
        <v>9</v>
      </c>
      <c r="D13910" s="3" t="s">
        <v>9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s="3"/>
      <c r="P13910" s="3"/>
      <c r="Q13910" s="3"/>
    </row>
    <row r="13911" spans="1:17" ht="15" x14ac:dyDescent="0.25">
      <c r="A13911" s="3">
        <f>13904</f>
        <v>13904</v>
      </c>
      <c r="B13911" s="3" t="s">
        <v>13913</v>
      </c>
      <c r="C13911" s="3" t="s">
        <v>9</v>
      </c>
      <c r="D13911" s="3" t="s">
        <v>9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/>
      <c r="P13911" s="3"/>
      <c r="Q13911" s="3"/>
    </row>
    <row r="13912" spans="1:17" ht="15" x14ac:dyDescent="0.25">
      <c r="A13912" s="3">
        <f>13905</f>
        <v>13905</v>
      </c>
      <c r="B13912" s="3" t="s">
        <v>13914</v>
      </c>
      <c r="C13912" s="3" t="s">
        <v>9</v>
      </c>
      <c r="D13912" s="3" t="s">
        <v>9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/>
      <c r="P13912" s="3"/>
      <c r="Q13912" s="3"/>
    </row>
    <row r="13913" spans="1:17" ht="15" x14ac:dyDescent="0.25">
      <c r="A13913" s="3">
        <f>13906</f>
        <v>13906</v>
      </c>
      <c r="B13913" s="3" t="s">
        <v>13915</v>
      </c>
      <c r="C13913" s="3" t="s">
        <v>9</v>
      </c>
      <c r="D13913" s="3" t="s">
        <v>9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/>
      <c r="P13913" s="3"/>
      <c r="Q13913" s="3"/>
    </row>
    <row r="13914" spans="1:17" ht="15" x14ac:dyDescent="0.25">
      <c r="A13914" s="3">
        <f>13907</f>
        <v>13907</v>
      </c>
      <c r="B13914" s="3" t="s">
        <v>13916</v>
      </c>
      <c r="C13914" s="3" t="s">
        <v>9</v>
      </c>
      <c r="D13914" s="3" t="s">
        <v>9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/>
      <c r="P13914" s="3"/>
      <c r="Q13914" s="3"/>
    </row>
    <row r="13915" spans="1:17" ht="15" x14ac:dyDescent="0.25">
      <c r="A13915" s="3">
        <f>13908</f>
        <v>13908</v>
      </c>
      <c r="B13915" s="3" t="s">
        <v>13917</v>
      </c>
      <c r="C13915" s="3" t="s">
        <v>9</v>
      </c>
      <c r="D13915" s="3" t="s">
        <v>9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/>
      <c r="P13915" s="3"/>
      <c r="Q13915" s="3"/>
    </row>
    <row r="13916" spans="1:17" ht="15" x14ac:dyDescent="0.25">
      <c r="A13916" s="3">
        <f>13909</f>
        <v>13909</v>
      </c>
      <c r="B13916" s="3" t="s">
        <v>13918</v>
      </c>
      <c r="C13916" s="3" t="s">
        <v>9</v>
      </c>
      <c r="D13916" s="3" t="s">
        <v>9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/>
      <c r="P13916" s="3"/>
      <c r="Q13916" s="3"/>
    </row>
    <row r="13917" spans="1:17" ht="15" x14ac:dyDescent="0.25">
      <c r="A13917" s="3">
        <f>13910</f>
        <v>13910</v>
      </c>
      <c r="B13917" s="3" t="s">
        <v>13919</v>
      </c>
      <c r="C13917" s="3" t="s">
        <v>9</v>
      </c>
      <c r="D13917" s="3" t="s">
        <v>9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/>
      <c r="P13917" s="3"/>
      <c r="Q13917" s="3"/>
    </row>
    <row r="13918" spans="1:17" ht="15" x14ac:dyDescent="0.25">
      <c r="A13918" s="3">
        <f>13911</f>
        <v>13911</v>
      </c>
      <c r="B13918" s="3" t="s">
        <v>13920</v>
      </c>
      <c r="C13918" s="3" t="s">
        <v>9</v>
      </c>
      <c r="D13918" s="3" t="s">
        <v>9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s="3"/>
      <c r="P13918" s="3"/>
      <c r="Q13918" s="3"/>
    </row>
    <row r="13919" spans="1:17" ht="15" x14ac:dyDescent="0.25">
      <c r="A13919" s="3">
        <f>13912</f>
        <v>13912</v>
      </c>
      <c r="B13919" s="3" t="s">
        <v>13921</v>
      </c>
      <c r="C13919" s="3" t="s">
        <v>9</v>
      </c>
      <c r="D13919" s="3" t="s">
        <v>9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/>
      <c r="P13919" s="3"/>
      <c r="Q13919" s="3"/>
    </row>
    <row r="13920" spans="1:17" ht="15" x14ac:dyDescent="0.25">
      <c r="A13920" s="3">
        <f>13913</f>
        <v>13913</v>
      </c>
      <c r="B13920" s="3" t="s">
        <v>13922</v>
      </c>
      <c r="C13920" s="3" t="s">
        <v>9</v>
      </c>
      <c r="D13920" s="3" t="s">
        <v>9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/>
      <c r="P13920" s="3"/>
      <c r="Q13920" s="3"/>
    </row>
    <row r="13921" spans="1:17" ht="15" x14ac:dyDescent="0.25">
      <c r="A13921" s="3">
        <f>13914</f>
        <v>13914</v>
      </c>
      <c r="B13921" s="3" t="s">
        <v>13923</v>
      </c>
      <c r="C13921" s="3" t="s">
        <v>9</v>
      </c>
      <c r="D13921" s="3" t="s">
        <v>9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/>
      <c r="P13921" s="3"/>
      <c r="Q13921" s="3"/>
    </row>
    <row r="13922" spans="1:17" ht="15" x14ac:dyDescent="0.25">
      <c r="A13922" s="3">
        <f>13915</f>
        <v>13915</v>
      </c>
      <c r="B13922" s="3" t="s">
        <v>13924</v>
      </c>
      <c r="C13922" s="3" t="s">
        <v>9</v>
      </c>
      <c r="D13922" s="3" t="s">
        <v>9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s="3"/>
      <c r="P13922" s="3"/>
      <c r="Q13922" s="3"/>
    </row>
    <row r="13923" spans="1:17" ht="15" x14ac:dyDescent="0.25">
      <c r="A13923" s="3">
        <f>13916</f>
        <v>13916</v>
      </c>
      <c r="B13923" s="3" t="s">
        <v>13925</v>
      </c>
      <c r="C13923" s="3" t="s">
        <v>9</v>
      </c>
      <c r="D13923" s="3" t="s">
        <v>10</v>
      </c>
      <c r="E13923" s="3">
        <v>0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/>
      <c r="P13923" s="3"/>
      <c r="Q13923" s="3"/>
    </row>
    <row r="13924" spans="1:17" ht="15" x14ac:dyDescent="0.25">
      <c r="A13924" s="3">
        <f>13917</f>
        <v>13917</v>
      </c>
      <c r="B13924" s="3" t="s">
        <v>13926</v>
      </c>
      <c r="C13924" s="3" t="s">
        <v>9</v>
      </c>
      <c r="D13924" s="3" t="s">
        <v>10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/>
      <c r="P13924" s="3"/>
      <c r="Q13924" s="3"/>
    </row>
    <row r="13925" spans="1:17" ht="15" x14ac:dyDescent="0.25">
      <c r="A13925" s="3">
        <f>13918</f>
        <v>13918</v>
      </c>
      <c r="B13925" s="3" t="s">
        <v>13927</v>
      </c>
      <c r="C13925" s="3" t="s">
        <v>9</v>
      </c>
      <c r="D13925" s="3" t="s">
        <v>10</v>
      </c>
      <c r="E13925" s="3">
        <v>0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s="3"/>
      <c r="P13925" s="3"/>
      <c r="Q13925" s="3"/>
    </row>
    <row r="13926" spans="1:17" ht="15" x14ac:dyDescent="0.25">
      <c r="A13926" s="3">
        <f>13919</f>
        <v>13919</v>
      </c>
      <c r="B13926" s="3" t="s">
        <v>13928</v>
      </c>
      <c r="C13926" s="3" t="s">
        <v>9</v>
      </c>
      <c r="D13926" s="3" t="s">
        <v>10</v>
      </c>
      <c r="E13926" s="3">
        <v>0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/>
      <c r="P13926" s="3"/>
      <c r="Q13926" s="3"/>
    </row>
    <row r="13927" spans="1:17" ht="15" x14ac:dyDescent="0.25">
      <c r="A13927" s="3">
        <f>13920</f>
        <v>13920</v>
      </c>
      <c r="B13927" s="3" t="s">
        <v>13929</v>
      </c>
      <c r="C13927" s="3" t="s">
        <v>9</v>
      </c>
      <c r="D13927" s="3" t="s">
        <v>10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/>
      <c r="P13927" s="3"/>
      <c r="Q13927" s="3"/>
    </row>
    <row r="13928" spans="1:17" ht="15" x14ac:dyDescent="0.25">
      <c r="A13928" s="3">
        <f>13921</f>
        <v>13921</v>
      </c>
      <c r="B13928" s="3" t="s">
        <v>13930</v>
      </c>
      <c r="C13928" s="3" t="s">
        <v>9</v>
      </c>
      <c r="D13928" s="3" t="s">
        <v>10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/>
      <c r="P13928" s="3"/>
      <c r="Q13928" s="3"/>
    </row>
    <row r="13929" spans="1:17" ht="15" x14ac:dyDescent="0.25">
      <c r="A13929" s="3">
        <f>13922</f>
        <v>13922</v>
      </c>
      <c r="B13929" s="3" t="s">
        <v>13931</v>
      </c>
      <c r="C13929" s="3" t="s">
        <v>9</v>
      </c>
      <c r="D13929" s="3" t="s">
        <v>10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/>
      <c r="P13929" s="3"/>
      <c r="Q13929" s="3"/>
    </row>
    <row r="13930" spans="1:17" ht="15" x14ac:dyDescent="0.25">
      <c r="A13930" s="3">
        <f>13923</f>
        <v>13923</v>
      </c>
      <c r="B13930" s="3" t="s">
        <v>13932</v>
      </c>
      <c r="C13930" s="3" t="s">
        <v>9</v>
      </c>
      <c r="D13930" s="3" t="s">
        <v>10</v>
      </c>
      <c r="E13930" s="3">
        <v>0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s="3"/>
      <c r="P13930" s="3"/>
      <c r="Q13930" s="3"/>
    </row>
    <row r="13931" spans="1:17" ht="15" x14ac:dyDescent="0.25">
      <c r="A13931" s="3">
        <f>13924</f>
        <v>13924</v>
      </c>
      <c r="B13931" s="3" t="s">
        <v>13933</v>
      </c>
      <c r="C13931" s="3" t="s">
        <v>9</v>
      </c>
      <c r="D13931" s="3" t="s">
        <v>10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/>
      <c r="P13931" s="3"/>
      <c r="Q13931" s="3"/>
    </row>
    <row r="13932" spans="1:17" ht="15" x14ac:dyDescent="0.25">
      <c r="A13932" s="3">
        <f>13925</f>
        <v>13925</v>
      </c>
      <c r="B13932" s="3" t="s">
        <v>13934</v>
      </c>
      <c r="C13932" s="3" t="s">
        <v>9</v>
      </c>
      <c r="D13932" s="3" t="s">
        <v>10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/>
      <c r="P13932" s="3"/>
      <c r="Q13932" s="3"/>
    </row>
    <row r="13933" spans="1:17" ht="15" x14ac:dyDescent="0.25">
      <c r="A13933" s="3">
        <f>13926</f>
        <v>13926</v>
      </c>
      <c r="B13933" s="3" t="s">
        <v>13935</v>
      </c>
      <c r="C13933" s="3" t="s">
        <v>9</v>
      </c>
      <c r="D13933" s="3" t="s">
        <v>10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/>
      <c r="P13933" s="3"/>
      <c r="Q13933" s="3"/>
    </row>
    <row r="13934" spans="1:17" ht="15" x14ac:dyDescent="0.25">
      <c r="A13934" s="3">
        <f>13927</f>
        <v>13927</v>
      </c>
      <c r="B13934" s="3" t="s">
        <v>13936</v>
      </c>
      <c r="C13934" s="3" t="s">
        <v>9</v>
      </c>
      <c r="D13934" s="3" t="s">
        <v>10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/>
      <c r="P13934" s="3"/>
      <c r="Q13934" s="3"/>
    </row>
    <row r="13935" spans="1:17" ht="15" x14ac:dyDescent="0.25">
      <c r="A13935" s="3">
        <f>13928</f>
        <v>13928</v>
      </c>
      <c r="B13935" s="3" t="s">
        <v>13937</v>
      </c>
      <c r="C13935" s="3" t="s">
        <v>9</v>
      </c>
      <c r="D13935" s="3" t="s">
        <v>10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s="3"/>
      <c r="P13935" s="3"/>
      <c r="Q13935" s="3"/>
    </row>
    <row r="13936" spans="1:17" ht="15" x14ac:dyDescent="0.25">
      <c r="A13936" s="3">
        <f>13929</f>
        <v>13929</v>
      </c>
      <c r="B13936" s="3" t="s">
        <v>13938</v>
      </c>
      <c r="C13936" s="3" t="s">
        <v>9</v>
      </c>
      <c r="D13936" s="3" t="s">
        <v>10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/>
      <c r="P13936" s="3"/>
      <c r="Q13936" s="3"/>
    </row>
    <row r="13937" spans="1:17" ht="15" x14ac:dyDescent="0.25">
      <c r="A13937" s="3">
        <f>13930</f>
        <v>13930</v>
      </c>
      <c r="B13937" s="3" t="s">
        <v>13939</v>
      </c>
      <c r="C13937" s="3" t="s">
        <v>9</v>
      </c>
      <c r="D13937" s="3" t="s">
        <v>10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/>
      <c r="P13937" s="3"/>
      <c r="Q13937" s="3"/>
    </row>
    <row r="13938" spans="1:17" ht="15" x14ac:dyDescent="0.25">
      <c r="A13938" s="3">
        <f>13931</f>
        <v>13931</v>
      </c>
      <c r="B13938" s="3" t="s">
        <v>13940</v>
      </c>
      <c r="C13938" s="3" t="s">
        <v>9</v>
      </c>
      <c r="D13938" s="3" t="s">
        <v>10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/>
      <c r="P13938" s="3"/>
      <c r="Q13938" s="3"/>
    </row>
    <row r="13939" spans="1:17" ht="15" x14ac:dyDescent="0.25">
      <c r="A13939" s="3">
        <f>13932</f>
        <v>13932</v>
      </c>
      <c r="B13939" s="3" t="s">
        <v>13941</v>
      </c>
      <c r="C13939" s="3" t="s">
        <v>9</v>
      </c>
      <c r="D13939" s="3" t="s">
        <v>10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/>
      <c r="P13939" s="3"/>
      <c r="Q13939" s="3"/>
    </row>
    <row r="13940" spans="1:17" ht="15" x14ac:dyDescent="0.25">
      <c r="A13940" s="3">
        <f>13933</f>
        <v>13933</v>
      </c>
      <c r="B13940" s="3" t="s">
        <v>13942</v>
      </c>
      <c r="C13940" s="3" t="s">
        <v>9</v>
      </c>
      <c r="D13940" s="3" t="s">
        <v>10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/>
      <c r="P13940" s="3"/>
      <c r="Q13940" s="3"/>
    </row>
    <row r="13941" spans="1:17" ht="15" x14ac:dyDescent="0.25">
      <c r="A13941" s="3">
        <f>13934</f>
        <v>13934</v>
      </c>
      <c r="B13941" s="3" t="s">
        <v>13943</v>
      </c>
      <c r="C13941" s="3" t="s">
        <v>9</v>
      </c>
      <c r="D13941" s="3" t="s">
        <v>10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/>
      <c r="P13941" s="3"/>
      <c r="Q13941" s="3"/>
    </row>
    <row r="13942" spans="1:17" ht="15" x14ac:dyDescent="0.25">
      <c r="A13942" s="3">
        <f>13935</f>
        <v>13935</v>
      </c>
      <c r="B13942" s="3" t="s">
        <v>13944</v>
      </c>
      <c r="C13942" s="3" t="s">
        <v>9</v>
      </c>
      <c r="D13942" s="3" t="s">
        <v>10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/>
      <c r="P13942" s="3"/>
      <c r="Q13942" s="3"/>
    </row>
    <row r="13943" spans="1:17" ht="15" x14ac:dyDescent="0.25">
      <c r="A13943" s="3">
        <f>13936</f>
        <v>13936</v>
      </c>
      <c r="B13943" s="3" t="s">
        <v>13945</v>
      </c>
      <c r="C13943" s="3" t="s">
        <v>9</v>
      </c>
      <c r="D13943" s="3" t="s">
        <v>10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/>
      <c r="P13943" s="3"/>
      <c r="Q13943" s="3"/>
    </row>
    <row r="13944" spans="1:17" ht="15" x14ac:dyDescent="0.25">
      <c r="A13944" s="3">
        <f>13937</f>
        <v>13937</v>
      </c>
      <c r="B13944" s="3" t="s">
        <v>13946</v>
      </c>
      <c r="C13944" s="3" t="s">
        <v>9</v>
      </c>
      <c r="D13944" s="3" t="s">
        <v>10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/>
      <c r="P13944" s="3"/>
      <c r="Q13944" s="3"/>
    </row>
    <row r="13945" spans="1:17" ht="15" x14ac:dyDescent="0.25">
      <c r="A13945" s="3">
        <f>13938</f>
        <v>13938</v>
      </c>
      <c r="B13945" s="3" t="s">
        <v>13947</v>
      </c>
      <c r="C13945" s="3" t="s">
        <v>9</v>
      </c>
      <c r="D13945" s="3" t="s">
        <v>10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/>
      <c r="P13945" s="3"/>
      <c r="Q13945" s="3"/>
    </row>
    <row r="13946" spans="1:17" ht="15" x14ac:dyDescent="0.25">
      <c r="A13946" s="3">
        <f>13939</f>
        <v>13939</v>
      </c>
      <c r="B13946" s="3" t="s">
        <v>13948</v>
      </c>
      <c r="C13946" s="3" t="s">
        <v>10</v>
      </c>
      <c r="D13946" s="3" t="s">
        <v>9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/>
      <c r="P13946" s="3"/>
      <c r="Q13946" s="3"/>
    </row>
    <row r="13947" spans="1:17" ht="15" x14ac:dyDescent="0.25">
      <c r="A13947" s="3">
        <f>13940</f>
        <v>13940</v>
      </c>
      <c r="B13947" s="3" t="s">
        <v>13949</v>
      </c>
      <c r="C13947" s="3" t="s">
        <v>9</v>
      </c>
      <c r="D13947" s="3" t="s">
        <v>10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/>
      <c r="P13947" s="3"/>
      <c r="Q13947" s="3"/>
    </row>
    <row r="13948" spans="1:17" ht="15" x14ac:dyDescent="0.25">
      <c r="A13948" s="3">
        <f>13941</f>
        <v>13941</v>
      </c>
      <c r="B13948" s="3" t="s">
        <v>13950</v>
      </c>
      <c r="C13948" s="3" t="s">
        <v>9</v>
      </c>
      <c r="D13948" s="3" t="s">
        <v>10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/>
      <c r="P13948" s="3"/>
      <c r="Q13948" s="3"/>
    </row>
    <row r="13949" spans="1:17" ht="15" x14ac:dyDescent="0.25">
      <c r="A13949" s="3">
        <f>13942</f>
        <v>13942</v>
      </c>
      <c r="B13949" s="3" t="s">
        <v>13951</v>
      </c>
      <c r="C13949" s="3" t="s">
        <v>9</v>
      </c>
      <c r="D13949" s="3" t="s">
        <v>10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/>
      <c r="P13949" s="3"/>
      <c r="Q13949" s="3"/>
    </row>
    <row r="13950" spans="1:17" ht="15" x14ac:dyDescent="0.25">
      <c r="A13950" s="3">
        <f>13943</f>
        <v>13943</v>
      </c>
      <c r="B13950" s="3" t="s">
        <v>13952</v>
      </c>
      <c r="C13950" s="3" t="s">
        <v>9</v>
      </c>
      <c r="D13950" s="3" t="s">
        <v>10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/>
      <c r="P13950" s="3"/>
      <c r="Q13950" s="3"/>
    </row>
    <row r="13951" spans="1:17" ht="15" x14ac:dyDescent="0.25">
      <c r="A13951" s="3">
        <f>13944</f>
        <v>13944</v>
      </c>
      <c r="B13951" s="3" t="s">
        <v>13953</v>
      </c>
      <c r="C13951" s="3" t="s">
        <v>9</v>
      </c>
      <c r="D13951" s="3" t="s">
        <v>10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/>
      <c r="P13951" s="3"/>
      <c r="Q13951" s="3"/>
    </row>
    <row r="13952" spans="1:17" ht="15" x14ac:dyDescent="0.25">
      <c r="A13952" s="3">
        <f>13945</f>
        <v>13945</v>
      </c>
      <c r="B13952" s="3" t="s">
        <v>13954</v>
      </c>
      <c r="C13952" s="3" t="s">
        <v>9</v>
      </c>
      <c r="D13952" s="3" t="s">
        <v>10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/>
      <c r="P13952" s="3"/>
      <c r="Q13952" s="3"/>
    </row>
    <row r="13953" spans="1:17" ht="15" x14ac:dyDescent="0.25">
      <c r="A13953" s="3">
        <f>13946</f>
        <v>13946</v>
      </c>
      <c r="B13953" s="3" t="s">
        <v>13955</v>
      </c>
      <c r="C13953" s="3" t="s">
        <v>9</v>
      </c>
      <c r="D13953" s="3" t="s">
        <v>10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/>
      <c r="P13953" s="3"/>
      <c r="Q13953" s="3"/>
    </row>
    <row r="13954" spans="1:17" ht="15" x14ac:dyDescent="0.25">
      <c r="A13954" s="3">
        <f>13947</f>
        <v>13947</v>
      </c>
      <c r="B13954" s="3" t="s">
        <v>13956</v>
      </c>
      <c r="C13954" s="3" t="s">
        <v>9</v>
      </c>
      <c r="D13954" s="3" t="s">
        <v>10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/>
      <c r="P13954" s="3"/>
      <c r="Q13954" s="3"/>
    </row>
    <row r="13955" spans="1:17" ht="15" x14ac:dyDescent="0.25">
      <c r="A13955" s="3">
        <f>13948</f>
        <v>13948</v>
      </c>
      <c r="B13955" s="3" t="s">
        <v>13957</v>
      </c>
      <c r="C13955" s="3" t="s">
        <v>9</v>
      </c>
      <c r="D13955" s="3" t="s">
        <v>10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/>
      <c r="P13955" s="3"/>
      <c r="Q13955" s="3"/>
    </row>
    <row r="13956" spans="1:17" ht="15" x14ac:dyDescent="0.25">
      <c r="A13956" s="3">
        <f>13949</f>
        <v>13949</v>
      </c>
      <c r="B13956" s="3" t="s">
        <v>13958</v>
      </c>
      <c r="C13956" s="3" t="s">
        <v>9</v>
      </c>
      <c r="D13956" s="3" t="s">
        <v>10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/>
      <c r="P13956" s="3"/>
      <c r="Q13956" s="3"/>
    </row>
    <row r="13957" spans="1:17" ht="15" x14ac:dyDescent="0.25">
      <c r="A13957" s="3">
        <f>13950</f>
        <v>13950</v>
      </c>
      <c r="B13957" s="3" t="s">
        <v>13959</v>
      </c>
      <c r="C13957" s="3" t="s">
        <v>9</v>
      </c>
      <c r="D13957" s="3" t="s">
        <v>10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/>
      <c r="P13957" s="3"/>
      <c r="Q13957" s="3"/>
    </row>
    <row r="13958" spans="1:17" ht="15" x14ac:dyDescent="0.25">
      <c r="A13958" s="3">
        <f>13951</f>
        <v>13951</v>
      </c>
      <c r="B13958" s="3" t="s">
        <v>13960</v>
      </c>
      <c r="C13958" s="3" t="s">
        <v>9</v>
      </c>
      <c r="D13958" s="3" t="s">
        <v>10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/>
      <c r="P13958" s="3"/>
      <c r="Q13958" s="3"/>
    </row>
    <row r="13959" spans="1:17" ht="15" x14ac:dyDescent="0.25">
      <c r="A13959" s="3">
        <f>13952</f>
        <v>13952</v>
      </c>
      <c r="B13959" s="3" t="s">
        <v>13961</v>
      </c>
      <c r="C13959" s="3" t="s">
        <v>9</v>
      </c>
      <c r="D13959" s="3" t="s">
        <v>10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/>
      <c r="P13959" s="3"/>
      <c r="Q13959" s="3"/>
    </row>
    <row r="13960" spans="1:17" ht="15" x14ac:dyDescent="0.25">
      <c r="A13960" s="3">
        <f>13953</f>
        <v>13953</v>
      </c>
      <c r="B13960" s="3" t="s">
        <v>13962</v>
      </c>
      <c r="C13960" s="3" t="s">
        <v>9</v>
      </c>
      <c r="D13960" s="3" t="s">
        <v>10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/>
      <c r="P13960" s="3"/>
      <c r="Q13960" s="3"/>
    </row>
    <row r="13961" spans="1:17" ht="15" x14ac:dyDescent="0.25">
      <c r="A13961" s="3">
        <f>13954</f>
        <v>13954</v>
      </c>
      <c r="B13961" s="3" t="s">
        <v>13963</v>
      </c>
      <c r="C13961" s="3" t="s">
        <v>9</v>
      </c>
      <c r="D13961" s="3" t="s">
        <v>10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/>
      <c r="P13961" s="3"/>
      <c r="Q13961" s="3"/>
    </row>
    <row r="13962" spans="1:17" ht="15" x14ac:dyDescent="0.25">
      <c r="A13962" s="3">
        <f>13955</f>
        <v>13955</v>
      </c>
      <c r="B13962" s="3" t="s">
        <v>13964</v>
      </c>
      <c r="C13962" s="3" t="s">
        <v>9</v>
      </c>
      <c r="D13962" s="3" t="s">
        <v>10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s="3"/>
      <c r="P13962" s="3"/>
      <c r="Q13962" s="3"/>
    </row>
    <row r="13963" spans="1:17" ht="15" x14ac:dyDescent="0.25">
      <c r="A13963" s="3">
        <f>13956</f>
        <v>13956</v>
      </c>
      <c r="B13963" s="3" t="s">
        <v>13965</v>
      </c>
      <c r="C13963" s="3" t="s">
        <v>9</v>
      </c>
      <c r="D13963" s="3" t="s">
        <v>10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/>
      <c r="P13963" s="3"/>
      <c r="Q13963" s="3"/>
    </row>
    <row r="13964" spans="1:17" ht="15" x14ac:dyDescent="0.25">
      <c r="A13964" s="3">
        <f>13957</f>
        <v>13957</v>
      </c>
      <c r="B13964" s="3" t="s">
        <v>13966</v>
      </c>
      <c r="C13964" s="3" t="s">
        <v>9</v>
      </c>
      <c r="D13964" s="3" t="s">
        <v>10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/>
      <c r="P13964" s="3"/>
      <c r="Q13964" s="3"/>
    </row>
    <row r="13965" spans="1:17" ht="15" x14ac:dyDescent="0.25">
      <c r="A13965" s="3">
        <f>13958</f>
        <v>13958</v>
      </c>
      <c r="B13965" s="3" t="s">
        <v>13967</v>
      </c>
      <c r="C13965" s="3" t="s">
        <v>9</v>
      </c>
      <c r="D13965" s="3" t="s">
        <v>10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/>
      <c r="P13965" s="3"/>
      <c r="Q13965" s="3"/>
    </row>
    <row r="13966" spans="1:17" ht="15" x14ac:dyDescent="0.25">
      <c r="A13966" s="3">
        <f>13959</f>
        <v>13959</v>
      </c>
      <c r="B13966" s="3" t="s">
        <v>13968</v>
      </c>
      <c r="C13966" s="3" t="s">
        <v>9</v>
      </c>
      <c r="D13966" s="3" t="s">
        <v>10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s="3"/>
      <c r="P13966" s="3"/>
      <c r="Q13966" s="3"/>
    </row>
    <row r="13967" spans="1:17" ht="15" x14ac:dyDescent="0.25">
      <c r="A13967" s="3">
        <f>13960</f>
        <v>13960</v>
      </c>
      <c r="B13967" s="3" t="s">
        <v>13969</v>
      </c>
      <c r="C13967" s="3" t="s">
        <v>9</v>
      </c>
      <c r="D13967" s="3" t="s">
        <v>10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s="3"/>
      <c r="P13967" s="3"/>
      <c r="Q13967" s="3"/>
    </row>
    <row r="13968" spans="1:17" ht="15" x14ac:dyDescent="0.25">
      <c r="A13968" s="3">
        <f>13961</f>
        <v>13961</v>
      </c>
      <c r="B13968" s="3" t="s">
        <v>13970</v>
      </c>
      <c r="C13968" s="3" t="s">
        <v>10</v>
      </c>
      <c r="D13968" s="3" t="s">
        <v>9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s="3"/>
      <c r="P13968" s="3"/>
      <c r="Q13968" s="3"/>
    </row>
    <row r="13969" spans="1:17" ht="15" x14ac:dyDescent="0.25">
      <c r="A13969" s="3">
        <f>13962</f>
        <v>13962</v>
      </c>
      <c r="B13969" s="3" t="s">
        <v>13971</v>
      </c>
      <c r="C13969" s="3" t="s">
        <v>10</v>
      </c>
      <c r="D13969" s="3" t="s">
        <v>9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/>
      <c r="P13969" s="3"/>
      <c r="Q13969" s="3"/>
    </row>
    <row r="13970" spans="1:17" ht="15" x14ac:dyDescent="0.25">
      <c r="A13970" s="3">
        <f>13963</f>
        <v>13963</v>
      </c>
      <c r="B13970" s="3" t="s">
        <v>13972</v>
      </c>
      <c r="C13970" s="3" t="s">
        <v>10</v>
      </c>
      <c r="D13970" s="3" t="s">
        <v>9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  <c r="O13970" s="3"/>
      <c r="P13970" s="3"/>
      <c r="Q13970" s="3"/>
    </row>
    <row r="13971" spans="1:17" ht="15" x14ac:dyDescent="0.25">
      <c r="A13971" s="3">
        <f>13964</f>
        <v>13964</v>
      </c>
      <c r="B13971" s="3" t="s">
        <v>13973</v>
      </c>
      <c r="C13971" s="3" t="s">
        <v>10</v>
      </c>
      <c r="D13971" s="3" t="s">
        <v>9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  <c r="O13971" s="3"/>
      <c r="P13971" s="3"/>
      <c r="Q13971" s="3"/>
    </row>
    <row r="13972" spans="1:17" ht="15" x14ac:dyDescent="0.25">
      <c r="A13972" s="3">
        <f>13965</f>
        <v>13965</v>
      </c>
      <c r="B13972" s="3" t="s">
        <v>13974</v>
      </c>
      <c r="C13972" s="3" t="s">
        <v>10</v>
      </c>
      <c r="D13972" s="3" t="s">
        <v>9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  <c r="O13972" s="3"/>
      <c r="P13972" s="3"/>
      <c r="Q13972" s="3"/>
    </row>
    <row r="13973" spans="1:17" ht="15" x14ac:dyDescent="0.25">
      <c r="A13973" s="3">
        <f>13966</f>
        <v>13966</v>
      </c>
      <c r="B13973" s="3" t="s">
        <v>13975</v>
      </c>
      <c r="C13973" s="3" t="s">
        <v>10</v>
      </c>
      <c r="D13973" s="3" t="s">
        <v>9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  <c r="O13973" s="3"/>
      <c r="P13973" s="3"/>
      <c r="Q13973" s="3"/>
    </row>
    <row r="13974" spans="1:17" ht="15" x14ac:dyDescent="0.25">
      <c r="A13974" s="3">
        <f>13967</f>
        <v>13967</v>
      </c>
      <c r="B13974" s="3" t="s">
        <v>13976</v>
      </c>
      <c r="C13974" s="3" t="s">
        <v>10</v>
      </c>
      <c r="D13974" s="3" t="s">
        <v>9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/>
      <c r="P13974" s="3"/>
      <c r="Q13974" s="3"/>
    </row>
    <row r="13975" spans="1:17" ht="15" x14ac:dyDescent="0.25">
      <c r="A13975" s="3">
        <f>13968</f>
        <v>13968</v>
      </c>
      <c r="B13975" s="3" t="s">
        <v>13977</v>
      </c>
      <c r="C13975" s="3" t="s">
        <v>10</v>
      </c>
      <c r="D13975" s="3" t="s">
        <v>9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/>
      <c r="P13975" s="3"/>
      <c r="Q13975" s="3"/>
    </row>
    <row r="13976" spans="1:17" ht="15" x14ac:dyDescent="0.25">
      <c r="A13976" s="3">
        <f>13969</f>
        <v>13969</v>
      </c>
      <c r="B13976" s="3" t="s">
        <v>13978</v>
      </c>
      <c r="C13976" s="3" t="s">
        <v>10</v>
      </c>
      <c r="D13976" s="3" t="s">
        <v>9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/>
      <c r="P13976" s="3"/>
      <c r="Q13976" s="3"/>
    </row>
    <row r="13977" spans="1:17" ht="15" x14ac:dyDescent="0.25">
      <c r="A13977" s="3">
        <f>13970</f>
        <v>13970</v>
      </c>
      <c r="B13977" s="3" t="s">
        <v>13979</v>
      </c>
      <c r="C13977" s="3" t="s">
        <v>10</v>
      </c>
      <c r="D13977" s="3" t="s">
        <v>9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/>
      <c r="P13977" s="3"/>
      <c r="Q13977" s="3"/>
    </row>
    <row r="13978" spans="1:17" ht="15" x14ac:dyDescent="0.25">
      <c r="A13978" s="3">
        <f>13971</f>
        <v>13971</v>
      </c>
      <c r="B13978" s="3" t="s">
        <v>13980</v>
      </c>
      <c r="C13978" s="3" t="s">
        <v>10</v>
      </c>
      <c r="D13978" s="3" t="s">
        <v>9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s="3"/>
      <c r="P13978" s="3"/>
      <c r="Q13978" s="3"/>
    </row>
    <row r="13979" spans="1:17" ht="15" x14ac:dyDescent="0.25">
      <c r="A13979" s="3">
        <f>13972</f>
        <v>13972</v>
      </c>
      <c r="B13979" s="3" t="s">
        <v>13981</v>
      </c>
      <c r="C13979" s="3" t="s">
        <v>10</v>
      </c>
      <c r="D13979" s="3" t="s">
        <v>9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s="3"/>
      <c r="P13979" s="3"/>
      <c r="Q13979" s="3"/>
    </row>
    <row r="13980" spans="1:17" ht="15" x14ac:dyDescent="0.25">
      <c r="A13980" s="3">
        <f>13973</f>
        <v>13973</v>
      </c>
      <c r="B13980" s="3" t="s">
        <v>13982</v>
      </c>
      <c r="C13980" s="3" t="s">
        <v>10</v>
      </c>
      <c r="D13980" s="3" t="s">
        <v>9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s="3"/>
      <c r="P13980" s="3"/>
      <c r="Q13980" s="3"/>
    </row>
    <row r="13981" spans="1:17" ht="15" x14ac:dyDescent="0.25">
      <c r="A13981" s="3">
        <f>13974</f>
        <v>13974</v>
      </c>
      <c r="B13981" s="3" t="s">
        <v>13983</v>
      </c>
      <c r="C13981" s="3" t="s">
        <v>10</v>
      </c>
      <c r="D13981" s="3" t="s">
        <v>9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/>
      <c r="P13981" s="3"/>
      <c r="Q13981" s="3"/>
    </row>
    <row r="13982" spans="1:17" ht="15" x14ac:dyDescent="0.25">
      <c r="A13982" s="3">
        <f>13975</f>
        <v>13975</v>
      </c>
      <c r="B13982" s="3" t="s">
        <v>13984</v>
      </c>
      <c r="C13982" s="3" t="s">
        <v>10</v>
      </c>
      <c r="D13982" s="3" t="s">
        <v>9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/>
      <c r="P13982" s="3"/>
      <c r="Q13982" s="3"/>
    </row>
    <row r="13983" spans="1:17" ht="15" x14ac:dyDescent="0.25">
      <c r="A13983" s="3">
        <f>13976</f>
        <v>13976</v>
      </c>
      <c r="B13983" s="3" t="s">
        <v>13985</v>
      </c>
      <c r="C13983" s="3" t="s">
        <v>10</v>
      </c>
      <c r="D13983" s="3" t="s">
        <v>9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  <c r="O13983" s="3"/>
      <c r="P13983" s="3"/>
      <c r="Q13983" s="3"/>
    </row>
    <row r="13984" spans="1:17" ht="15" x14ac:dyDescent="0.25">
      <c r="A13984" s="3">
        <f>13977</f>
        <v>13977</v>
      </c>
      <c r="B13984" s="3" t="s">
        <v>13986</v>
      </c>
      <c r="C13984" s="3" t="s">
        <v>10</v>
      </c>
      <c r="D13984" s="3" t="s">
        <v>9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/>
      <c r="P13984" s="3"/>
      <c r="Q13984" s="3"/>
    </row>
    <row r="13985" spans="1:17" ht="15" x14ac:dyDescent="0.25">
      <c r="A13985" s="3">
        <f>13978</f>
        <v>13978</v>
      </c>
      <c r="B13985" s="3" t="s">
        <v>13987</v>
      </c>
      <c r="C13985" s="3" t="s">
        <v>10</v>
      </c>
      <c r="D13985" s="3" t="s">
        <v>9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/>
      <c r="P13985" s="3"/>
      <c r="Q13985" s="3"/>
    </row>
    <row r="13986" spans="1:17" ht="15" x14ac:dyDescent="0.25">
      <c r="A13986" s="3">
        <f>13979</f>
        <v>13979</v>
      </c>
      <c r="B13986" s="3" t="s">
        <v>13988</v>
      </c>
      <c r="C13986" s="3" t="s">
        <v>10</v>
      </c>
      <c r="D13986" s="3" t="s">
        <v>9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s="3"/>
      <c r="P13986" s="3"/>
      <c r="Q13986" s="3"/>
    </row>
    <row r="13987" spans="1:17" ht="15" x14ac:dyDescent="0.25">
      <c r="A13987" s="3">
        <f>13980</f>
        <v>13980</v>
      </c>
      <c r="B13987" s="3" t="s">
        <v>13989</v>
      </c>
      <c r="C13987" s="3" t="s">
        <v>10</v>
      </c>
      <c r="D13987" s="3" t="s">
        <v>9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s="3"/>
      <c r="P13987" s="3"/>
      <c r="Q13987" s="3"/>
    </row>
    <row r="13988" spans="1:17" ht="15" x14ac:dyDescent="0.25">
      <c r="A13988" s="3">
        <f>13981</f>
        <v>13981</v>
      </c>
      <c r="B13988" s="3" t="s">
        <v>13990</v>
      </c>
      <c r="C13988" s="3" t="s">
        <v>10</v>
      </c>
      <c r="D13988" s="3" t="s">
        <v>9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/>
      <c r="P13988" s="3"/>
      <c r="Q13988" s="3"/>
    </row>
    <row r="13989" spans="1:17" ht="15" x14ac:dyDescent="0.25">
      <c r="A13989" s="3">
        <f>13982</f>
        <v>13982</v>
      </c>
      <c r="B13989" s="3" t="s">
        <v>13991</v>
      </c>
      <c r="C13989" s="3" t="s">
        <v>10</v>
      </c>
      <c r="D13989" s="3" t="s">
        <v>9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/>
      <c r="P13989" s="3"/>
      <c r="Q13989" s="3"/>
    </row>
    <row r="13990" spans="1:17" ht="15" x14ac:dyDescent="0.25">
      <c r="A13990" s="3">
        <f>13983</f>
        <v>13983</v>
      </c>
      <c r="B13990" s="3" t="s">
        <v>13992</v>
      </c>
      <c r="C13990" s="3" t="s">
        <v>10</v>
      </c>
      <c r="D13990" s="3" t="s">
        <v>9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/>
      <c r="P13990" s="3"/>
      <c r="Q13990" s="3"/>
    </row>
    <row r="13991" spans="1:17" ht="15" x14ac:dyDescent="0.25">
      <c r="A13991" s="3">
        <f>13984</f>
        <v>13984</v>
      </c>
      <c r="B13991" s="3" t="s">
        <v>13993</v>
      </c>
      <c r="C13991" s="3" t="s">
        <v>10</v>
      </c>
      <c r="D13991" s="3" t="s">
        <v>9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0</v>
      </c>
      <c r="O13991" s="3"/>
      <c r="P13991" s="3"/>
      <c r="Q13991" s="3"/>
    </row>
    <row r="13992" spans="1:17" ht="15" x14ac:dyDescent="0.25">
      <c r="A13992" s="3">
        <f>13985</f>
        <v>13985</v>
      </c>
      <c r="B13992" s="3" t="s">
        <v>13994</v>
      </c>
      <c r="C13992" s="3" t="s">
        <v>10</v>
      </c>
      <c r="D13992" s="3" t="s">
        <v>9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s="3"/>
      <c r="P13992" s="3"/>
      <c r="Q13992" s="3"/>
    </row>
    <row r="13993" spans="1:17" ht="15" x14ac:dyDescent="0.25">
      <c r="A13993" s="3">
        <f>13986</f>
        <v>13986</v>
      </c>
      <c r="B13993" s="3" t="s">
        <v>13995</v>
      </c>
      <c r="C13993" s="3" t="s">
        <v>9</v>
      </c>
      <c r="D13993" s="3" t="s">
        <v>10</v>
      </c>
      <c r="E13993" s="3">
        <v>0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  <c r="O13993" s="3"/>
      <c r="P13993" s="3"/>
      <c r="Q13993" s="3"/>
    </row>
    <row r="13994" spans="1:17" ht="15" x14ac:dyDescent="0.25">
      <c r="A13994" s="3">
        <f>13987</f>
        <v>13987</v>
      </c>
      <c r="B13994" s="3" t="s">
        <v>13996</v>
      </c>
      <c r="C13994" s="3" t="s">
        <v>9</v>
      </c>
      <c r="D13994" s="3" t="s">
        <v>10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s="3"/>
      <c r="P13994" s="3"/>
      <c r="Q13994" s="3"/>
    </row>
    <row r="13995" spans="1:17" ht="15" x14ac:dyDescent="0.25">
      <c r="A13995" s="3">
        <f>13988</f>
        <v>13988</v>
      </c>
      <c r="B13995" s="3" t="s">
        <v>13997</v>
      </c>
      <c r="C13995" s="3" t="s">
        <v>9</v>
      </c>
      <c r="D13995" s="3" t="s">
        <v>10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  <c r="O13995" s="3"/>
      <c r="P13995" s="3"/>
      <c r="Q13995" s="3"/>
    </row>
    <row r="13996" spans="1:17" ht="15" x14ac:dyDescent="0.25">
      <c r="A13996" s="3">
        <f>13989</f>
        <v>13989</v>
      </c>
      <c r="B13996" s="3" t="s">
        <v>13998</v>
      </c>
      <c r="C13996" s="3" t="s">
        <v>9</v>
      </c>
      <c r="D13996" s="3" t="s">
        <v>10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  <c r="O13996" s="3"/>
      <c r="P13996" s="3"/>
      <c r="Q13996" s="3"/>
    </row>
    <row r="13997" spans="1:17" ht="15" x14ac:dyDescent="0.25">
      <c r="A13997" s="3">
        <f>13990</f>
        <v>13990</v>
      </c>
      <c r="B13997" s="3" t="s">
        <v>13999</v>
      </c>
      <c r="C13997" s="3" t="s">
        <v>9</v>
      </c>
      <c r="D13997" s="3" t="s">
        <v>10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  <c r="O13997" s="3"/>
      <c r="P13997" s="3"/>
      <c r="Q13997" s="3"/>
    </row>
    <row r="13998" spans="1:17" ht="15" x14ac:dyDescent="0.25">
      <c r="A13998" s="3">
        <f>13991</f>
        <v>13991</v>
      </c>
      <c r="B13998" s="3" t="s">
        <v>14000</v>
      </c>
      <c r="C13998" s="3" t="s">
        <v>9</v>
      </c>
      <c r="D13998" s="3" t="s">
        <v>10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s="3"/>
      <c r="P13998" s="3"/>
      <c r="Q13998" s="3"/>
    </row>
    <row r="13999" spans="1:17" ht="15" x14ac:dyDescent="0.25">
      <c r="A13999" s="3">
        <f>13992</f>
        <v>13992</v>
      </c>
      <c r="B13999" s="3" t="s">
        <v>14001</v>
      </c>
      <c r="C13999" s="3" t="s">
        <v>9</v>
      </c>
      <c r="D13999" s="3" t="s">
        <v>10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s="3"/>
      <c r="P13999" s="3"/>
      <c r="Q13999" s="3"/>
    </row>
    <row r="14000" spans="1:17" ht="15" x14ac:dyDescent="0.25">
      <c r="A14000" s="3">
        <f>13993</f>
        <v>13993</v>
      </c>
      <c r="B14000" s="3" t="s">
        <v>14002</v>
      </c>
      <c r="C14000" s="3" t="s">
        <v>9</v>
      </c>
      <c r="D14000" s="3" t="s">
        <v>10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0</v>
      </c>
      <c r="O14000" s="3"/>
      <c r="P14000" s="3"/>
      <c r="Q14000" s="3"/>
    </row>
    <row r="14001" spans="1:17" ht="15" x14ac:dyDescent="0.25">
      <c r="A14001" s="3">
        <f>13994</f>
        <v>13994</v>
      </c>
      <c r="B14001" s="3" t="s">
        <v>14003</v>
      </c>
      <c r="C14001" s="3" t="s">
        <v>9</v>
      </c>
      <c r="D14001" s="3" t="s">
        <v>10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s="3"/>
      <c r="P14001" s="3"/>
      <c r="Q14001" s="3"/>
    </row>
    <row r="14002" spans="1:17" ht="15" x14ac:dyDescent="0.25">
      <c r="A14002" s="3">
        <f>13995</f>
        <v>13995</v>
      </c>
      <c r="B14002" s="3" t="s">
        <v>14004</v>
      </c>
      <c r="C14002" s="3" t="s">
        <v>9</v>
      </c>
      <c r="D14002" s="3" t="s">
        <v>10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s="3"/>
      <c r="P14002" s="3"/>
      <c r="Q14002" s="3"/>
    </row>
    <row r="14003" spans="1:17" ht="15" x14ac:dyDescent="0.25">
      <c r="A14003" s="3">
        <f>13996</f>
        <v>13996</v>
      </c>
      <c r="B14003" s="3" t="s">
        <v>14005</v>
      </c>
      <c r="C14003" s="3" t="s">
        <v>9</v>
      </c>
      <c r="D14003" s="3" t="s">
        <v>10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  <c r="O14003" s="3"/>
      <c r="P14003" s="3"/>
      <c r="Q14003" s="3"/>
    </row>
    <row r="14004" spans="1:17" ht="15" x14ac:dyDescent="0.25">
      <c r="A14004" s="3">
        <f>13997</f>
        <v>13997</v>
      </c>
      <c r="B14004" s="3" t="s">
        <v>14006</v>
      </c>
      <c r="C14004" s="3" t="s">
        <v>9</v>
      </c>
      <c r="D14004" s="3" t="s">
        <v>10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/>
      <c r="P14004" s="3"/>
      <c r="Q14004" s="3"/>
    </row>
    <row r="14005" spans="1:17" ht="15" x14ac:dyDescent="0.25">
      <c r="A14005" s="3">
        <f>13998</f>
        <v>13998</v>
      </c>
      <c r="B14005" s="3" t="s">
        <v>14007</v>
      </c>
      <c r="C14005" s="3" t="s">
        <v>9</v>
      </c>
      <c r="D14005" s="3" t="s">
        <v>10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  <c r="O14005" s="3"/>
      <c r="P14005" s="3"/>
      <c r="Q14005" s="3"/>
    </row>
    <row r="14006" spans="1:17" ht="15" x14ac:dyDescent="0.25">
      <c r="A14006" s="3">
        <f>13999</f>
        <v>13999</v>
      </c>
      <c r="B14006" s="3" t="s">
        <v>14008</v>
      </c>
      <c r="C14006" s="3" t="s">
        <v>9</v>
      </c>
      <c r="D14006" s="3" t="s">
        <v>10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0</v>
      </c>
      <c r="O14006" s="3"/>
      <c r="P14006" s="3"/>
      <c r="Q14006" s="3"/>
    </row>
    <row r="14007" spans="1:17" ht="15" x14ac:dyDescent="0.25">
      <c r="A14007" s="3">
        <f>14000</f>
        <v>14000</v>
      </c>
      <c r="B14007" s="3" t="s">
        <v>14009</v>
      </c>
      <c r="C14007" s="3" t="s">
        <v>9</v>
      </c>
      <c r="D14007" s="3" t="s">
        <v>10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s="3"/>
      <c r="P14007" s="3"/>
      <c r="Q14007" s="3"/>
    </row>
    <row r="14008" spans="1:17" ht="15" x14ac:dyDescent="0.25">
      <c r="A14008" s="3">
        <f>14001</f>
        <v>14001</v>
      </c>
      <c r="B14008" s="3" t="s">
        <v>14010</v>
      </c>
      <c r="C14008" s="3" t="s">
        <v>9</v>
      </c>
      <c r="D14008" s="3" t="s">
        <v>10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0</v>
      </c>
      <c r="O14008" s="3"/>
      <c r="P14008" s="3"/>
      <c r="Q14008" s="3"/>
    </row>
    <row r="14009" spans="1:17" ht="15" x14ac:dyDescent="0.25">
      <c r="A14009" s="3">
        <f>14002</f>
        <v>14002</v>
      </c>
      <c r="B14009" s="3" t="s">
        <v>14011</v>
      </c>
      <c r="C14009" s="3" t="s">
        <v>9</v>
      </c>
      <c r="D14009" s="3" t="s">
        <v>10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s="3"/>
      <c r="P14009" s="3"/>
      <c r="Q14009" s="3"/>
    </row>
    <row r="14010" spans="1:17" ht="15" x14ac:dyDescent="0.25">
      <c r="A14010" s="3">
        <f>14003</f>
        <v>14003</v>
      </c>
      <c r="B14010" s="3" t="s">
        <v>14012</v>
      </c>
      <c r="C14010" s="3" t="s">
        <v>9</v>
      </c>
      <c r="D14010" s="3" t="s">
        <v>10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  <c r="O14010" s="3"/>
      <c r="P14010" s="3"/>
      <c r="Q14010" s="3"/>
    </row>
    <row r="14011" spans="1:17" ht="15" x14ac:dyDescent="0.25">
      <c r="A14011" s="3">
        <f>14004</f>
        <v>14004</v>
      </c>
      <c r="B14011" s="3" t="s">
        <v>14013</v>
      </c>
      <c r="C14011" s="3" t="s">
        <v>9</v>
      </c>
      <c r="D14011" s="3" t="s">
        <v>10</v>
      </c>
      <c r="E14011" s="3">
        <v>0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  <c r="O14011" s="3"/>
      <c r="P14011" s="3"/>
      <c r="Q14011" s="3"/>
    </row>
    <row r="14012" spans="1:17" ht="15" x14ac:dyDescent="0.25">
      <c r="A14012" s="3">
        <f>14005</f>
        <v>14005</v>
      </c>
      <c r="B14012" s="3" t="s">
        <v>14014</v>
      </c>
      <c r="C14012" s="3" t="s">
        <v>9</v>
      </c>
      <c r="D14012" s="3" t="s">
        <v>10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  <c r="O14012" s="3"/>
      <c r="P14012" s="3"/>
      <c r="Q14012" s="3"/>
    </row>
    <row r="14013" spans="1:17" ht="15" x14ac:dyDescent="0.25">
      <c r="A14013" s="3">
        <f>14006</f>
        <v>14006</v>
      </c>
      <c r="B14013" s="3" t="s">
        <v>14015</v>
      </c>
      <c r="C14013" s="3" t="s">
        <v>9</v>
      </c>
      <c r="D14013" s="3" t="s">
        <v>10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0</v>
      </c>
      <c r="O14013" s="3"/>
      <c r="P14013" s="3"/>
      <c r="Q14013" s="3"/>
    </row>
    <row r="14014" spans="1:17" ht="15" x14ac:dyDescent="0.25">
      <c r="A14014" s="3">
        <f>14007</f>
        <v>14007</v>
      </c>
      <c r="B14014" s="3" t="s">
        <v>14016</v>
      </c>
      <c r="C14014" s="3" t="s">
        <v>9</v>
      </c>
      <c r="D14014" s="3" t="s">
        <v>10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  <c r="O14014" s="3"/>
      <c r="P14014" s="3"/>
      <c r="Q14014" s="3"/>
    </row>
    <row r="14015" spans="1:17" ht="15" x14ac:dyDescent="0.25">
      <c r="A14015" s="3">
        <f>14008</f>
        <v>14008</v>
      </c>
      <c r="B14015" s="3" t="s">
        <v>14017</v>
      </c>
      <c r="C14015" s="3" t="s">
        <v>9</v>
      </c>
      <c r="D14015" s="3" t="s">
        <v>10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  <c r="O14015" s="3"/>
      <c r="P14015" s="3"/>
      <c r="Q14015" s="3"/>
    </row>
    <row r="14016" spans="1:17" ht="15" x14ac:dyDescent="0.25">
      <c r="A14016" s="3">
        <f>14009</f>
        <v>14009</v>
      </c>
      <c r="B14016" s="3" t="s">
        <v>14018</v>
      </c>
      <c r="C14016" s="3" t="s">
        <v>9</v>
      </c>
      <c r="D14016" s="3" t="s">
        <v>10</v>
      </c>
      <c r="E14016" s="3">
        <v>0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/>
      <c r="P14016" s="3"/>
      <c r="Q14016" s="3"/>
    </row>
    <row r="14017" spans="1:17" ht="15" x14ac:dyDescent="0.25">
      <c r="A14017" s="3">
        <f>14010</f>
        <v>14010</v>
      </c>
      <c r="B14017" s="3" t="s">
        <v>14019</v>
      </c>
      <c r="C14017" s="3" t="s">
        <v>9</v>
      </c>
      <c r="D14017" s="3" t="s">
        <v>10</v>
      </c>
      <c r="E14017" s="3">
        <v>0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s="3"/>
      <c r="P14017" s="3"/>
      <c r="Q14017" s="3"/>
    </row>
    <row r="14018" spans="1:17" ht="15" x14ac:dyDescent="0.25">
      <c r="A14018" s="3">
        <f>14011</f>
        <v>14011</v>
      </c>
      <c r="B14018" s="3" t="s">
        <v>14020</v>
      </c>
      <c r="C14018" s="3" t="s">
        <v>9</v>
      </c>
      <c r="D14018" s="3" t="s">
        <v>10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/>
      <c r="P14018" s="3"/>
      <c r="Q14018" s="3"/>
    </row>
    <row r="14019" spans="1:17" ht="15" x14ac:dyDescent="0.25">
      <c r="A14019" s="3">
        <f>14012</f>
        <v>14012</v>
      </c>
      <c r="B14019" s="3" t="s">
        <v>14021</v>
      </c>
      <c r="C14019" s="3" t="s">
        <v>9</v>
      </c>
      <c r="D14019" s="3" t="s">
        <v>10</v>
      </c>
      <c r="E14019" s="3">
        <v>0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  <c r="O14019" s="3"/>
      <c r="P14019" s="3"/>
      <c r="Q14019" s="3"/>
    </row>
    <row r="14020" spans="1:17" ht="15" x14ac:dyDescent="0.25">
      <c r="A14020" s="3">
        <f>14013</f>
        <v>14013</v>
      </c>
      <c r="B14020" s="3" t="s">
        <v>14022</v>
      </c>
      <c r="C14020" s="3" t="s">
        <v>9</v>
      </c>
      <c r="D14020" s="3" t="s">
        <v>10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  <c r="O14020" s="3"/>
      <c r="P14020" s="3"/>
      <c r="Q14020" s="3"/>
    </row>
    <row r="14021" spans="1:17" ht="15" x14ac:dyDescent="0.25">
      <c r="A14021" s="3">
        <f>14014</f>
        <v>14014</v>
      </c>
      <c r="B14021" s="3" t="s">
        <v>14023</v>
      </c>
      <c r="C14021" s="3" t="s">
        <v>9</v>
      </c>
      <c r="D14021" s="3" t="s">
        <v>10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  <c r="O14021" s="3"/>
      <c r="P14021" s="3"/>
      <c r="Q14021" s="3"/>
    </row>
    <row r="14022" spans="1:17" ht="15" x14ac:dyDescent="0.25">
      <c r="A14022" s="3">
        <f>14015</f>
        <v>14015</v>
      </c>
      <c r="B14022" s="3" t="s">
        <v>14024</v>
      </c>
      <c r="C14022" s="3" t="s">
        <v>9</v>
      </c>
      <c r="D14022" s="3" t="s">
        <v>10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  <c r="O14022" s="3"/>
      <c r="P14022" s="3"/>
      <c r="Q14022" s="3"/>
    </row>
    <row r="14023" spans="1:17" ht="15" x14ac:dyDescent="0.25">
      <c r="A14023" s="3">
        <f>14016</f>
        <v>14016</v>
      </c>
      <c r="B14023" s="3" t="s">
        <v>14025</v>
      </c>
      <c r="C14023" s="3" t="s">
        <v>9</v>
      </c>
      <c r="D14023" s="3" t="s">
        <v>10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s="3"/>
      <c r="P14023" s="3"/>
      <c r="Q14023" s="3"/>
    </row>
    <row r="14024" spans="1:17" ht="15" x14ac:dyDescent="0.25">
      <c r="A14024" s="3">
        <f>14017</f>
        <v>14017</v>
      </c>
      <c r="B14024" s="3" t="s">
        <v>14026</v>
      </c>
      <c r="C14024" s="3" t="s">
        <v>9</v>
      </c>
      <c r="D14024" s="3" t="s">
        <v>10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/>
      <c r="P14024" s="3"/>
      <c r="Q14024" s="3"/>
    </row>
    <row r="14025" spans="1:17" ht="15" x14ac:dyDescent="0.25">
      <c r="A14025" s="3">
        <f>14018</f>
        <v>14018</v>
      </c>
      <c r="B14025" s="3" t="s">
        <v>14027</v>
      </c>
      <c r="C14025" s="3" t="s">
        <v>9</v>
      </c>
      <c r="D14025" s="3" t="s">
        <v>10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/>
      <c r="P14025" s="3"/>
      <c r="Q14025" s="3"/>
    </row>
    <row r="14026" spans="1:17" ht="15" x14ac:dyDescent="0.25">
      <c r="A14026" s="3">
        <f>14019</f>
        <v>14019</v>
      </c>
      <c r="B14026" s="3" t="s">
        <v>14028</v>
      </c>
      <c r="C14026" s="3" t="s">
        <v>9</v>
      </c>
      <c r="D14026" s="3" t="s">
        <v>10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/>
      <c r="P14026" s="3"/>
      <c r="Q14026" s="3"/>
    </row>
    <row r="14027" spans="1:17" ht="15" x14ac:dyDescent="0.25">
      <c r="A14027" s="3">
        <f>14020</f>
        <v>14020</v>
      </c>
      <c r="B14027" s="3" t="s">
        <v>14029</v>
      </c>
      <c r="C14027" s="3" t="s">
        <v>9</v>
      </c>
      <c r="D14027" s="3" t="s">
        <v>10</v>
      </c>
      <c r="E14027" s="3">
        <v>0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  <c r="O14027" s="3"/>
      <c r="P14027" s="3"/>
      <c r="Q14027" s="3"/>
    </row>
    <row r="14028" spans="1:17" ht="15" x14ac:dyDescent="0.25">
      <c r="A14028" s="3">
        <f>14021</f>
        <v>14021</v>
      </c>
      <c r="B14028" s="3" t="s">
        <v>14030</v>
      </c>
      <c r="C14028" s="3" t="s">
        <v>9</v>
      </c>
      <c r="D14028" s="3" t="s">
        <v>10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s="3"/>
      <c r="P14028" s="3"/>
      <c r="Q14028" s="3"/>
    </row>
    <row r="14029" spans="1:17" ht="15" x14ac:dyDescent="0.25">
      <c r="A14029" s="3">
        <f>14022</f>
        <v>14022</v>
      </c>
      <c r="B14029" s="3" t="s">
        <v>14031</v>
      </c>
      <c r="C14029" s="3" t="s">
        <v>9</v>
      </c>
      <c r="D14029" s="3" t="s">
        <v>10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/>
      <c r="P14029" s="3"/>
      <c r="Q14029" s="3"/>
    </row>
    <row r="14030" spans="1:17" ht="15" x14ac:dyDescent="0.25">
      <c r="A14030" s="3">
        <f>14023</f>
        <v>14023</v>
      </c>
      <c r="B14030" s="3" t="s">
        <v>14032</v>
      </c>
      <c r="C14030" s="3" t="s">
        <v>9</v>
      </c>
      <c r="D14030" s="3" t="s">
        <v>10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/>
      <c r="P14030" s="3"/>
      <c r="Q14030" s="3"/>
    </row>
    <row r="14031" spans="1:17" ht="15" x14ac:dyDescent="0.25">
      <c r="A14031" s="3">
        <f>14024</f>
        <v>14024</v>
      </c>
      <c r="B14031" s="3" t="s">
        <v>14033</v>
      </c>
      <c r="C14031" s="3" t="s">
        <v>9</v>
      </c>
      <c r="D14031" s="3" t="s">
        <v>10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s="3"/>
      <c r="P14031" s="3"/>
      <c r="Q14031" s="3"/>
    </row>
    <row r="14032" spans="1:17" ht="15" x14ac:dyDescent="0.25">
      <c r="A14032" s="3">
        <f>14025</f>
        <v>14025</v>
      </c>
      <c r="B14032" s="3" t="s">
        <v>14034</v>
      </c>
      <c r="C14032" s="3" t="s">
        <v>9</v>
      </c>
      <c r="D14032" s="3" t="s">
        <v>10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/>
      <c r="P14032" s="3"/>
      <c r="Q14032" s="3"/>
    </row>
    <row r="14033" spans="1:17" ht="15" x14ac:dyDescent="0.25">
      <c r="A14033" s="3">
        <f>14026</f>
        <v>14026</v>
      </c>
      <c r="B14033" s="3" t="s">
        <v>14035</v>
      </c>
      <c r="C14033" s="3" t="s">
        <v>9</v>
      </c>
      <c r="D14033" s="3" t="s">
        <v>10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  <c r="O14033" s="3"/>
      <c r="P14033" s="3"/>
      <c r="Q14033" s="3"/>
    </row>
    <row r="14034" spans="1:17" ht="15" x14ac:dyDescent="0.25">
      <c r="A14034" s="3">
        <f>14027</f>
        <v>14027</v>
      </c>
      <c r="B14034" s="3" t="s">
        <v>14036</v>
      </c>
      <c r="C14034" s="3" t="s">
        <v>9</v>
      </c>
      <c r="D14034" s="3" t="s">
        <v>10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/>
      <c r="P14034" s="3"/>
      <c r="Q14034" s="3"/>
    </row>
    <row r="14035" spans="1:17" ht="15" x14ac:dyDescent="0.25">
      <c r="A14035" s="3">
        <f>14028</f>
        <v>14028</v>
      </c>
      <c r="B14035" s="3" t="s">
        <v>14037</v>
      </c>
      <c r="C14035" s="3" t="s">
        <v>9</v>
      </c>
      <c r="D14035" s="3" t="s">
        <v>10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/>
      <c r="P14035" s="3"/>
      <c r="Q14035" s="3"/>
    </row>
    <row r="14036" spans="1:17" ht="15" x14ac:dyDescent="0.25">
      <c r="A14036" s="3">
        <f>14029</f>
        <v>14029</v>
      </c>
      <c r="B14036" s="3" t="s">
        <v>14038</v>
      </c>
      <c r="C14036" s="3" t="s">
        <v>9</v>
      </c>
      <c r="D14036" s="3" t="s">
        <v>10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s="3"/>
      <c r="P14036" s="3"/>
      <c r="Q14036" s="3"/>
    </row>
    <row r="14037" spans="1:17" ht="15" x14ac:dyDescent="0.25">
      <c r="A14037" s="3">
        <f>14030</f>
        <v>14030</v>
      </c>
      <c r="B14037" s="3" t="s">
        <v>14039</v>
      </c>
      <c r="C14037" s="3" t="s">
        <v>9</v>
      </c>
      <c r="D14037" s="3" t="s">
        <v>10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/>
      <c r="P14037" s="3"/>
      <c r="Q14037" s="3"/>
    </row>
    <row r="14038" spans="1:17" ht="15" x14ac:dyDescent="0.25">
      <c r="A14038" s="3">
        <f>14031</f>
        <v>14031</v>
      </c>
      <c r="B14038" s="3" t="s">
        <v>14040</v>
      </c>
      <c r="C14038" s="3" t="s">
        <v>9</v>
      </c>
      <c r="D14038" s="3" t="s">
        <v>10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s="3"/>
      <c r="P14038" s="3"/>
      <c r="Q14038" s="3"/>
    </row>
    <row r="14039" spans="1:17" ht="15" x14ac:dyDescent="0.25">
      <c r="A14039" s="3">
        <f>14032</f>
        <v>14032</v>
      </c>
      <c r="B14039" s="3" t="s">
        <v>14041</v>
      </c>
      <c r="C14039" s="3" t="s">
        <v>9</v>
      </c>
      <c r="D14039" s="3" t="s">
        <v>10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/>
      <c r="P14039" s="3"/>
      <c r="Q14039" s="3"/>
    </row>
    <row r="14040" spans="1:17" ht="15" x14ac:dyDescent="0.25">
      <c r="A14040" s="3">
        <f>14033</f>
        <v>14033</v>
      </c>
      <c r="B14040" s="3" t="s">
        <v>14042</v>
      </c>
      <c r="C14040" s="3" t="s">
        <v>9</v>
      </c>
      <c r="D14040" s="3" t="s">
        <v>10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  <c r="O14040" s="3"/>
      <c r="P14040" s="3"/>
      <c r="Q14040" s="3"/>
    </row>
    <row r="14041" spans="1:17" ht="15" x14ac:dyDescent="0.25">
      <c r="A14041" s="3">
        <f>14034</f>
        <v>14034</v>
      </c>
      <c r="B14041" s="3" t="s">
        <v>14043</v>
      </c>
      <c r="C14041" s="3" t="s">
        <v>9</v>
      </c>
      <c r="D14041" s="3" t="s">
        <v>10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/>
      <c r="P14041" s="3"/>
      <c r="Q14041" s="3"/>
    </row>
    <row r="14042" spans="1:17" ht="15" x14ac:dyDescent="0.25">
      <c r="A14042" s="3">
        <f>14035</f>
        <v>14035</v>
      </c>
      <c r="B14042" s="3" t="s">
        <v>14044</v>
      </c>
      <c r="C14042" s="3" t="s">
        <v>9</v>
      </c>
      <c r="D14042" s="3" t="s">
        <v>10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3"/>
      <c r="P14042" s="3"/>
      <c r="Q14042" s="3"/>
    </row>
    <row r="14043" spans="1:17" ht="15" x14ac:dyDescent="0.25">
      <c r="A14043" s="3">
        <f>14036</f>
        <v>14036</v>
      </c>
      <c r="B14043" s="3" t="s">
        <v>14045</v>
      </c>
      <c r="C14043" s="3" t="s">
        <v>9</v>
      </c>
      <c r="D14043" s="3" t="s">
        <v>10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/>
      <c r="P14043" s="3"/>
      <c r="Q14043" s="3"/>
    </row>
    <row r="14044" spans="1:17" ht="15" x14ac:dyDescent="0.25">
      <c r="A14044" s="3">
        <f>14037</f>
        <v>14037</v>
      </c>
      <c r="B14044" s="3" t="s">
        <v>14046</v>
      </c>
      <c r="C14044" s="3" t="s">
        <v>9</v>
      </c>
      <c r="D14044" s="3" t="s">
        <v>10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s="3"/>
      <c r="P14044" s="3"/>
      <c r="Q14044" s="3"/>
    </row>
    <row r="14045" spans="1:17" ht="15" x14ac:dyDescent="0.25">
      <c r="A14045" s="3">
        <f>14038</f>
        <v>14038</v>
      </c>
      <c r="B14045" s="3" t="s">
        <v>14047</v>
      </c>
      <c r="C14045" s="3" t="s">
        <v>9</v>
      </c>
      <c r="D14045" s="3" t="s">
        <v>10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/>
      <c r="P14045" s="3"/>
      <c r="Q14045" s="3"/>
    </row>
    <row r="14046" spans="1:17" ht="15" x14ac:dyDescent="0.25">
      <c r="A14046" s="3">
        <f>14039</f>
        <v>14039</v>
      </c>
      <c r="B14046" s="3" t="s">
        <v>14048</v>
      </c>
      <c r="C14046" s="3" t="s">
        <v>9</v>
      </c>
      <c r="D14046" s="3" t="s">
        <v>10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  <c r="O14046" s="3"/>
      <c r="P14046" s="3"/>
      <c r="Q14046" s="3"/>
    </row>
    <row r="14047" spans="1:17" ht="15" x14ac:dyDescent="0.25">
      <c r="A14047" s="3">
        <f>14040</f>
        <v>14040</v>
      </c>
      <c r="B14047" s="3" t="s">
        <v>14049</v>
      </c>
      <c r="C14047" s="3" t="s">
        <v>9</v>
      </c>
      <c r="D14047" s="3" t="s">
        <v>10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s="3"/>
      <c r="P14047" s="3"/>
      <c r="Q14047" s="3"/>
    </row>
    <row r="14048" spans="1:17" ht="15" x14ac:dyDescent="0.25">
      <c r="A14048" s="3">
        <f>14041</f>
        <v>14041</v>
      </c>
      <c r="B14048" s="3" t="s">
        <v>14050</v>
      </c>
      <c r="C14048" s="3" t="s">
        <v>9</v>
      </c>
      <c r="D14048" s="3" t="s">
        <v>10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/>
      <c r="P14048" s="3"/>
      <c r="Q14048" s="3"/>
    </row>
    <row r="14049" spans="1:17" ht="15" x14ac:dyDescent="0.25">
      <c r="A14049" s="3">
        <f>14042</f>
        <v>14042</v>
      </c>
      <c r="B14049" s="3" t="s">
        <v>14051</v>
      </c>
      <c r="C14049" s="3" t="s">
        <v>9</v>
      </c>
      <c r="D14049" s="3" t="s">
        <v>10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  <c r="O14049" s="3"/>
      <c r="P14049" s="3"/>
      <c r="Q14049" s="3"/>
    </row>
    <row r="14050" spans="1:17" ht="15" x14ac:dyDescent="0.25">
      <c r="A14050" s="3">
        <f>14043</f>
        <v>14043</v>
      </c>
      <c r="B14050" s="3" t="s">
        <v>14052</v>
      </c>
      <c r="C14050" s="3" t="s">
        <v>9</v>
      </c>
      <c r="D14050" s="3" t="s">
        <v>10</v>
      </c>
      <c r="E14050" s="3">
        <v>0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  <c r="O14050" s="3"/>
      <c r="P14050" s="3"/>
      <c r="Q14050" s="3"/>
    </row>
    <row r="14051" spans="1:17" ht="15" x14ac:dyDescent="0.25">
      <c r="A14051" s="3">
        <f>14044</f>
        <v>14044</v>
      </c>
      <c r="B14051" s="3" t="s">
        <v>14053</v>
      </c>
      <c r="C14051" s="3" t="s">
        <v>9</v>
      </c>
      <c r="D14051" s="3" t="s">
        <v>10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  <c r="O14051" s="3"/>
      <c r="P14051" s="3"/>
      <c r="Q14051" s="3"/>
    </row>
    <row r="14052" spans="1:17" ht="15" x14ac:dyDescent="0.25">
      <c r="A14052" s="3">
        <f>14045</f>
        <v>14045</v>
      </c>
      <c r="B14052" s="3" t="s">
        <v>14054</v>
      </c>
      <c r="C14052" s="3" t="s">
        <v>9</v>
      </c>
      <c r="D14052" s="3" t="s">
        <v>10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/>
      <c r="P14052" s="3"/>
      <c r="Q14052" s="3"/>
    </row>
    <row r="14053" spans="1:17" ht="15" x14ac:dyDescent="0.25">
      <c r="A14053" s="3">
        <f>14046</f>
        <v>14046</v>
      </c>
      <c r="B14053" s="3" t="s">
        <v>14055</v>
      </c>
      <c r="C14053" s="3" t="s">
        <v>9</v>
      </c>
      <c r="D14053" s="3" t="s">
        <v>10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s="3"/>
      <c r="P14053" s="3"/>
      <c r="Q14053" s="3"/>
    </row>
    <row r="14054" spans="1:17" ht="15" x14ac:dyDescent="0.25">
      <c r="A14054" s="3">
        <f>14047</f>
        <v>14047</v>
      </c>
      <c r="B14054" s="3" t="s">
        <v>14056</v>
      </c>
      <c r="C14054" s="3" t="s">
        <v>9</v>
      </c>
      <c r="D14054" s="3" t="s">
        <v>10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s="3"/>
      <c r="P14054" s="3"/>
      <c r="Q14054" s="3"/>
    </row>
    <row r="14055" spans="1:17" ht="15" x14ac:dyDescent="0.25">
      <c r="A14055" s="3">
        <f>14048</f>
        <v>14048</v>
      </c>
      <c r="B14055" s="3" t="s">
        <v>14057</v>
      </c>
      <c r="C14055" s="3" t="s">
        <v>9</v>
      </c>
      <c r="D14055" s="3" t="s">
        <v>10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s="3"/>
      <c r="P14055" s="3"/>
      <c r="Q14055" s="3"/>
    </row>
    <row r="14056" spans="1:17" ht="15" x14ac:dyDescent="0.25">
      <c r="A14056" s="3">
        <f>14049</f>
        <v>14049</v>
      </c>
      <c r="B14056" s="3" t="s">
        <v>14058</v>
      </c>
      <c r="C14056" s="3" t="s">
        <v>9</v>
      </c>
      <c r="D14056" s="3" t="s">
        <v>10</v>
      </c>
      <c r="E14056" s="3">
        <v>0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  <c r="O14056" s="3"/>
      <c r="P14056" s="3"/>
      <c r="Q14056" s="3"/>
    </row>
    <row r="14057" spans="1:17" ht="15" x14ac:dyDescent="0.25">
      <c r="A14057" s="3">
        <f>14050</f>
        <v>14050</v>
      </c>
      <c r="B14057" s="3" t="s">
        <v>14059</v>
      </c>
      <c r="C14057" s="3" t="s">
        <v>9</v>
      </c>
      <c r="D14057" s="3" t="s">
        <v>10</v>
      </c>
      <c r="E14057" s="3">
        <v>0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  <c r="O14057" s="3"/>
      <c r="P14057" s="3"/>
      <c r="Q14057" s="3"/>
    </row>
    <row r="14058" spans="1:17" ht="15" x14ac:dyDescent="0.25">
      <c r="A14058" s="3">
        <f>14051</f>
        <v>14051</v>
      </c>
      <c r="B14058" s="3" t="s">
        <v>14060</v>
      </c>
      <c r="C14058" s="3" t="s">
        <v>9</v>
      </c>
      <c r="D14058" s="3" t="s">
        <v>10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s="3"/>
      <c r="P14058" s="3"/>
      <c r="Q14058" s="3"/>
    </row>
    <row r="14059" spans="1:17" ht="15" x14ac:dyDescent="0.25">
      <c r="A14059" s="3">
        <f>14052</f>
        <v>14052</v>
      </c>
      <c r="B14059" s="3" t="s">
        <v>14061</v>
      </c>
      <c r="C14059" s="3" t="s">
        <v>9</v>
      </c>
      <c r="D14059" s="3" t="s">
        <v>10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  <c r="O14059" s="3"/>
      <c r="P14059" s="3"/>
      <c r="Q14059" s="3"/>
    </row>
    <row r="14060" spans="1:17" ht="15" x14ac:dyDescent="0.25">
      <c r="A14060" s="3">
        <f>14053</f>
        <v>14053</v>
      </c>
      <c r="B14060" s="3" t="s">
        <v>14062</v>
      </c>
      <c r="C14060" s="3" t="s">
        <v>9</v>
      </c>
      <c r="D14060" s="3" t="s">
        <v>10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s="3"/>
      <c r="P14060" s="3"/>
      <c r="Q14060" s="3"/>
    </row>
    <row r="14061" spans="1:17" ht="15" x14ac:dyDescent="0.25">
      <c r="A14061" s="3">
        <f>14054</f>
        <v>14054</v>
      </c>
      <c r="B14061" s="3" t="s">
        <v>14063</v>
      </c>
      <c r="C14061" s="3" t="s">
        <v>9</v>
      </c>
      <c r="D14061" s="3" t="s">
        <v>10</v>
      </c>
      <c r="E14061" s="3">
        <v>0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  <c r="O14061" s="3"/>
      <c r="P14061" s="3"/>
      <c r="Q14061" s="3"/>
    </row>
    <row r="14062" spans="1:17" ht="15" x14ac:dyDescent="0.25">
      <c r="A14062" s="3">
        <f>14055</f>
        <v>14055</v>
      </c>
      <c r="B14062" s="3" t="s">
        <v>14064</v>
      </c>
      <c r="C14062" s="3" t="s">
        <v>9</v>
      </c>
      <c r="D14062" s="3" t="s">
        <v>10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s="3"/>
      <c r="P14062" s="3"/>
      <c r="Q14062" s="3"/>
    </row>
    <row r="14063" spans="1:17" ht="15" x14ac:dyDescent="0.25">
      <c r="A14063" s="3">
        <f>14056</f>
        <v>14056</v>
      </c>
      <c r="B14063" s="3" t="s">
        <v>14065</v>
      </c>
      <c r="C14063" s="3" t="s">
        <v>9</v>
      </c>
      <c r="D14063" s="3" t="s">
        <v>10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  <c r="O14063" s="3"/>
      <c r="P14063" s="3"/>
      <c r="Q14063" s="3"/>
    </row>
    <row r="14064" spans="1:17" ht="15" x14ac:dyDescent="0.25">
      <c r="A14064" s="3">
        <f>14057</f>
        <v>14057</v>
      </c>
      <c r="B14064" s="3" t="s">
        <v>14066</v>
      </c>
      <c r="C14064" s="3" t="s">
        <v>9</v>
      </c>
      <c r="D14064" s="3" t="s">
        <v>10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/>
      <c r="P14064" s="3"/>
      <c r="Q14064" s="3"/>
    </row>
    <row r="14065" spans="1:17" ht="15" x14ac:dyDescent="0.25">
      <c r="A14065" s="3">
        <f>14058</f>
        <v>14058</v>
      </c>
      <c r="B14065" s="3" t="s">
        <v>14067</v>
      </c>
      <c r="C14065" s="3" t="s">
        <v>9</v>
      </c>
      <c r="D14065" s="3" t="s">
        <v>10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  <c r="O14065" s="3"/>
      <c r="P14065" s="3"/>
      <c r="Q14065" s="3"/>
    </row>
    <row r="14066" spans="1:17" ht="15" x14ac:dyDescent="0.25">
      <c r="A14066" s="3">
        <f>14059</f>
        <v>14059</v>
      </c>
      <c r="B14066" s="3" t="s">
        <v>14068</v>
      </c>
      <c r="C14066" s="3" t="s">
        <v>9</v>
      </c>
      <c r="D14066" s="3" t="s">
        <v>10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0</v>
      </c>
      <c r="O14066" s="3"/>
      <c r="P14066" s="3"/>
      <c r="Q14066" s="3"/>
    </row>
    <row r="14067" spans="1:17" ht="15" x14ac:dyDescent="0.25">
      <c r="A14067" s="3">
        <f>14060</f>
        <v>14060</v>
      </c>
      <c r="B14067" s="3" t="s">
        <v>14069</v>
      </c>
      <c r="C14067" s="3" t="s">
        <v>9</v>
      </c>
      <c r="D14067" s="3" t="s">
        <v>10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s="3"/>
      <c r="P14067" s="3"/>
      <c r="Q14067" s="3"/>
    </row>
    <row r="14068" spans="1:17" ht="15" x14ac:dyDescent="0.25">
      <c r="A14068" s="3">
        <f>14061</f>
        <v>14061</v>
      </c>
      <c r="B14068" s="3" t="s">
        <v>14070</v>
      </c>
      <c r="C14068" s="3" t="s">
        <v>9</v>
      </c>
      <c r="D14068" s="3" t="s">
        <v>10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s="3"/>
      <c r="P14068" s="3"/>
      <c r="Q14068" s="3"/>
    </row>
    <row r="14069" spans="1:17" ht="15" x14ac:dyDescent="0.25">
      <c r="A14069" s="3">
        <f>14062</f>
        <v>14062</v>
      </c>
      <c r="B14069" s="3" t="s">
        <v>14071</v>
      </c>
      <c r="C14069" s="3" t="s">
        <v>9</v>
      </c>
      <c r="D14069" s="3" t="s">
        <v>10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  <c r="O14069" s="3"/>
      <c r="P14069" s="3"/>
      <c r="Q14069" s="3"/>
    </row>
    <row r="14070" spans="1:17" ht="15" x14ac:dyDescent="0.25">
      <c r="A14070" s="3">
        <f>14063</f>
        <v>14063</v>
      </c>
      <c r="B14070" s="3" t="s">
        <v>14072</v>
      </c>
      <c r="C14070" s="3" t="s">
        <v>9</v>
      </c>
      <c r="D14070" s="3" t="s">
        <v>10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s="3"/>
      <c r="P14070" s="3"/>
      <c r="Q14070" s="3"/>
    </row>
    <row r="14071" spans="1:17" ht="15" x14ac:dyDescent="0.25">
      <c r="A14071" s="3">
        <f>14064</f>
        <v>14064</v>
      </c>
      <c r="B14071" s="3" t="s">
        <v>14073</v>
      </c>
      <c r="C14071" s="3" t="s">
        <v>9</v>
      </c>
      <c r="D14071" s="3" t="s">
        <v>10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s="3"/>
      <c r="P14071" s="3"/>
      <c r="Q14071" s="3"/>
    </row>
    <row r="14072" spans="1:17" ht="15" x14ac:dyDescent="0.25">
      <c r="A14072" s="3">
        <f>14065</f>
        <v>14065</v>
      </c>
      <c r="B14072" s="3" t="s">
        <v>14074</v>
      </c>
      <c r="C14072" s="3" t="s">
        <v>9</v>
      </c>
      <c r="D14072" s="3" t="s">
        <v>10</v>
      </c>
      <c r="E14072" s="3">
        <v>0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/>
      <c r="P14072" s="3"/>
      <c r="Q14072" s="3"/>
    </row>
    <row r="14073" spans="1:17" ht="15" x14ac:dyDescent="0.25">
      <c r="A14073" s="3">
        <f>14066</f>
        <v>14066</v>
      </c>
      <c r="B14073" s="3" t="s">
        <v>14075</v>
      </c>
      <c r="C14073" s="3" t="s">
        <v>9</v>
      </c>
      <c r="D14073" s="3" t="s">
        <v>10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/>
      <c r="P14073" s="3"/>
      <c r="Q14073" s="3"/>
    </row>
    <row r="14074" spans="1:17" ht="15" x14ac:dyDescent="0.25">
      <c r="A14074" s="3">
        <f>14067</f>
        <v>14067</v>
      </c>
      <c r="B14074" s="3" t="s">
        <v>14076</v>
      </c>
      <c r="C14074" s="3" t="s">
        <v>9</v>
      </c>
      <c r="D14074" s="3" t="s">
        <v>10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0</v>
      </c>
      <c r="O14074" s="3"/>
      <c r="P14074" s="3"/>
      <c r="Q14074" s="3"/>
    </row>
    <row r="14075" spans="1:17" ht="15" x14ac:dyDescent="0.25">
      <c r="A14075" s="3">
        <f>14068</f>
        <v>14068</v>
      </c>
      <c r="B14075" s="3" t="s">
        <v>14077</v>
      </c>
      <c r="C14075" s="3" t="s">
        <v>9</v>
      </c>
      <c r="D14075" s="3" t="s">
        <v>10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  <c r="O14075" s="3"/>
      <c r="P14075" s="3"/>
      <c r="Q14075" s="3"/>
    </row>
    <row r="14076" spans="1:17" ht="15" x14ac:dyDescent="0.25">
      <c r="A14076" s="3">
        <f>14069</f>
        <v>14069</v>
      </c>
      <c r="B14076" s="3" t="s">
        <v>14078</v>
      </c>
      <c r="C14076" s="3" t="s">
        <v>9</v>
      </c>
      <c r="D14076" s="3" t="s">
        <v>10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  <c r="O14076" s="3"/>
      <c r="P14076" s="3"/>
      <c r="Q14076" s="3"/>
    </row>
    <row r="14077" spans="1:17" ht="15" x14ac:dyDescent="0.25">
      <c r="A14077" s="3">
        <f>14070</f>
        <v>14070</v>
      </c>
      <c r="B14077" s="3" t="s">
        <v>14079</v>
      </c>
      <c r="C14077" s="3" t="s">
        <v>9</v>
      </c>
      <c r="D14077" s="3" t="s">
        <v>10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  <c r="O14077" s="3"/>
      <c r="P14077" s="3"/>
      <c r="Q14077" s="3"/>
    </row>
    <row r="14078" spans="1:17" ht="15" x14ac:dyDescent="0.25">
      <c r="A14078" s="3">
        <f>14071</f>
        <v>14071</v>
      </c>
      <c r="B14078" s="3" t="s">
        <v>14080</v>
      </c>
      <c r="C14078" s="3" t="s">
        <v>9</v>
      </c>
      <c r="D14078" s="3" t="s">
        <v>10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  <c r="O14078" s="3"/>
      <c r="P14078" s="3"/>
      <c r="Q14078" s="3"/>
    </row>
    <row r="14079" spans="1:17" ht="15" x14ac:dyDescent="0.25">
      <c r="A14079" s="3">
        <f>14072</f>
        <v>14072</v>
      </c>
      <c r="B14079" s="3" t="s">
        <v>14081</v>
      </c>
      <c r="C14079" s="3" t="s">
        <v>9</v>
      </c>
      <c r="D14079" s="3" t="s">
        <v>10</v>
      </c>
      <c r="E14079" s="3">
        <v>0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  <c r="O14079" s="3"/>
      <c r="P14079" s="3"/>
      <c r="Q14079" s="3"/>
    </row>
    <row r="14080" spans="1:17" ht="15" x14ac:dyDescent="0.25">
      <c r="A14080" s="3">
        <f>14073</f>
        <v>14073</v>
      </c>
      <c r="B14080" s="3" t="s">
        <v>14082</v>
      </c>
      <c r="C14080" s="3" t="s">
        <v>9</v>
      </c>
      <c r="D14080" s="3" t="s">
        <v>10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  <c r="O14080" s="3"/>
      <c r="P14080" s="3"/>
      <c r="Q14080" s="3"/>
    </row>
    <row r="14081" spans="1:17" ht="15" x14ac:dyDescent="0.25">
      <c r="A14081" s="3">
        <f>14074</f>
        <v>14074</v>
      </c>
      <c r="B14081" s="3" t="s">
        <v>14083</v>
      </c>
      <c r="C14081" s="3" t="s">
        <v>9</v>
      </c>
      <c r="D14081" s="3" t="s">
        <v>10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s="3"/>
      <c r="P14081" s="3"/>
      <c r="Q14081" s="3"/>
    </row>
    <row r="14082" spans="1:17" ht="15" x14ac:dyDescent="0.25">
      <c r="A14082" s="3">
        <f>14075</f>
        <v>14075</v>
      </c>
      <c r="B14082" s="3" t="s">
        <v>14084</v>
      </c>
      <c r="C14082" s="3" t="s">
        <v>9</v>
      </c>
      <c r="D14082" s="3" t="s">
        <v>10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s="3"/>
      <c r="P14082" s="3"/>
      <c r="Q14082" s="3"/>
    </row>
    <row r="14083" spans="1:17" ht="15" x14ac:dyDescent="0.25">
      <c r="A14083" s="3">
        <f>14076</f>
        <v>14076</v>
      </c>
      <c r="B14083" s="3" t="s">
        <v>14085</v>
      </c>
      <c r="C14083" s="3" t="s">
        <v>9</v>
      </c>
      <c r="D14083" s="3" t="s">
        <v>10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s="3"/>
      <c r="P14083" s="3"/>
      <c r="Q14083" s="3"/>
    </row>
    <row r="14084" spans="1:17" ht="15" x14ac:dyDescent="0.25">
      <c r="A14084" s="3">
        <f>14077</f>
        <v>14077</v>
      </c>
      <c r="B14084" s="3" t="s">
        <v>14086</v>
      </c>
      <c r="C14084" s="3" t="s">
        <v>9</v>
      </c>
      <c r="D14084" s="3" t="s">
        <v>10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s="3"/>
      <c r="P14084" s="3"/>
      <c r="Q14084" s="3"/>
    </row>
    <row r="14085" spans="1:17" ht="15" x14ac:dyDescent="0.25">
      <c r="A14085" s="3">
        <f>14078</f>
        <v>14078</v>
      </c>
      <c r="B14085" s="3" t="s">
        <v>14087</v>
      </c>
      <c r="C14085" s="3" t="s">
        <v>9</v>
      </c>
      <c r="D14085" s="3" t="s">
        <v>10</v>
      </c>
      <c r="E14085" s="3">
        <v>0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  <c r="O14085" s="3"/>
      <c r="P14085" s="3"/>
      <c r="Q14085" s="3"/>
    </row>
    <row r="14086" spans="1:17" ht="15" x14ac:dyDescent="0.25">
      <c r="A14086" s="3">
        <f>14079</f>
        <v>14079</v>
      </c>
      <c r="B14086" s="3" t="s">
        <v>14088</v>
      </c>
      <c r="C14086" s="3" t="s">
        <v>9</v>
      </c>
      <c r="D14086" s="3" t="s">
        <v>10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/>
      <c r="P14086" s="3"/>
      <c r="Q14086" s="3"/>
    </row>
    <row r="14087" spans="1:17" ht="15" x14ac:dyDescent="0.25">
      <c r="A14087" s="3">
        <f>14080</f>
        <v>14080</v>
      </c>
      <c r="B14087" s="3" t="s">
        <v>14089</v>
      </c>
      <c r="C14087" s="3" t="s">
        <v>9</v>
      </c>
      <c r="D14087" s="3" t="s">
        <v>10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s="3"/>
      <c r="P14087" s="3"/>
      <c r="Q14087" s="3"/>
    </row>
    <row r="14088" spans="1:17" ht="15" x14ac:dyDescent="0.25">
      <c r="A14088" s="3">
        <f>14081</f>
        <v>14081</v>
      </c>
      <c r="B14088" s="3" t="s">
        <v>14090</v>
      </c>
      <c r="C14088" s="3" t="s">
        <v>9</v>
      </c>
      <c r="D14088" s="3" t="s">
        <v>10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s="3"/>
      <c r="P14088" s="3"/>
      <c r="Q14088" s="3"/>
    </row>
    <row r="14089" spans="1:17" ht="15" x14ac:dyDescent="0.25">
      <c r="A14089" s="3">
        <f>14082</f>
        <v>14082</v>
      </c>
      <c r="B14089" s="3" t="s">
        <v>14091</v>
      </c>
      <c r="C14089" s="3" t="s">
        <v>9</v>
      </c>
      <c r="D14089" s="3" t="s">
        <v>10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  <c r="O14089" s="3"/>
      <c r="P14089" s="3"/>
      <c r="Q14089" s="3"/>
    </row>
    <row r="14090" spans="1:17" ht="15" x14ac:dyDescent="0.25">
      <c r="A14090" s="3">
        <f>14083</f>
        <v>14083</v>
      </c>
      <c r="B14090" s="3" t="s">
        <v>14092</v>
      </c>
      <c r="C14090" s="3" t="s">
        <v>9</v>
      </c>
      <c r="D14090" s="3" t="s">
        <v>10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s="3"/>
      <c r="P14090" s="3"/>
      <c r="Q14090" s="3"/>
    </row>
    <row r="14091" spans="1:17" ht="15" x14ac:dyDescent="0.25">
      <c r="A14091" s="3">
        <f>14084</f>
        <v>14084</v>
      </c>
      <c r="B14091" s="3" t="s">
        <v>14093</v>
      </c>
      <c r="C14091" s="3" t="s">
        <v>9</v>
      </c>
      <c r="D14091" s="3" t="s">
        <v>10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0</v>
      </c>
      <c r="O14091" s="3"/>
      <c r="P14091" s="3"/>
      <c r="Q14091" s="3"/>
    </row>
    <row r="14092" spans="1:17" ht="15" x14ac:dyDescent="0.25">
      <c r="A14092" s="3">
        <f>14085</f>
        <v>14085</v>
      </c>
      <c r="B14092" s="3" t="s">
        <v>14094</v>
      </c>
      <c r="C14092" s="3" t="s">
        <v>9</v>
      </c>
      <c r="D14092" s="3" t="s">
        <v>10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s="3"/>
      <c r="P14092" s="3"/>
      <c r="Q14092" s="3"/>
    </row>
    <row r="14093" spans="1:17" ht="15" x14ac:dyDescent="0.25">
      <c r="A14093" s="3">
        <f>14086</f>
        <v>14086</v>
      </c>
      <c r="B14093" s="3" t="s">
        <v>14095</v>
      </c>
      <c r="C14093" s="3" t="s">
        <v>9</v>
      </c>
      <c r="D14093" s="3" t="s">
        <v>10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/>
      <c r="P14093" s="3"/>
      <c r="Q14093" s="3"/>
    </row>
    <row r="14094" spans="1:17" ht="15" x14ac:dyDescent="0.25">
      <c r="A14094" s="3">
        <f>14087</f>
        <v>14087</v>
      </c>
      <c r="B14094" s="3" t="s">
        <v>14096</v>
      </c>
      <c r="C14094" s="3" t="s">
        <v>9</v>
      </c>
      <c r="D14094" s="3" t="s">
        <v>10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  <c r="O14094" s="3"/>
      <c r="P14094" s="3"/>
      <c r="Q14094" s="3"/>
    </row>
    <row r="14095" spans="1:17" ht="15" x14ac:dyDescent="0.25">
      <c r="A14095" s="3">
        <f>14088</f>
        <v>14088</v>
      </c>
      <c r="B14095" s="3" t="s">
        <v>14097</v>
      </c>
      <c r="C14095" s="3" t="s">
        <v>9</v>
      </c>
      <c r="D14095" s="3" t="s">
        <v>10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0</v>
      </c>
      <c r="O14095" s="3"/>
      <c r="P14095" s="3"/>
      <c r="Q14095" s="3"/>
    </row>
    <row r="14096" spans="1:17" ht="15" x14ac:dyDescent="0.25">
      <c r="A14096" s="3">
        <f>14089</f>
        <v>14089</v>
      </c>
      <c r="B14096" s="3" t="s">
        <v>14098</v>
      </c>
      <c r="C14096" s="3" t="s">
        <v>9</v>
      </c>
      <c r="D14096" s="3" t="s">
        <v>10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  <c r="O14096" s="3"/>
      <c r="P14096" s="3"/>
      <c r="Q14096" s="3"/>
    </row>
    <row r="14097" spans="1:17" ht="15" x14ac:dyDescent="0.25">
      <c r="A14097" s="3">
        <f>14090</f>
        <v>14090</v>
      </c>
      <c r="B14097" s="3" t="s">
        <v>14099</v>
      </c>
      <c r="C14097" s="3" t="s">
        <v>9</v>
      </c>
      <c r="D14097" s="3" t="s">
        <v>10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/>
      <c r="P14097" s="3"/>
      <c r="Q14097" s="3"/>
    </row>
    <row r="14098" spans="1:17" ht="15" x14ac:dyDescent="0.25">
      <c r="A14098" s="3">
        <f>14091</f>
        <v>14091</v>
      </c>
      <c r="B14098" s="3" t="s">
        <v>14100</v>
      </c>
      <c r="C14098" s="3" t="s">
        <v>9</v>
      </c>
      <c r="D14098" s="3" t="s">
        <v>10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  <c r="O14098" s="3"/>
      <c r="P14098" s="3"/>
      <c r="Q14098" s="3"/>
    </row>
    <row r="14099" spans="1:17" ht="15" x14ac:dyDescent="0.25">
      <c r="A14099" s="3">
        <f>14092</f>
        <v>14092</v>
      </c>
      <c r="B14099" s="3" t="s">
        <v>14101</v>
      </c>
      <c r="C14099" s="3" t="s">
        <v>9</v>
      </c>
      <c r="D14099" s="3" t="s">
        <v>10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  <c r="O14099" s="3"/>
      <c r="P14099" s="3"/>
      <c r="Q14099" s="3"/>
    </row>
    <row r="14100" spans="1:17" ht="15" x14ac:dyDescent="0.25">
      <c r="A14100" s="3">
        <f>14093</f>
        <v>14093</v>
      </c>
      <c r="B14100" s="3" t="s">
        <v>14102</v>
      </c>
      <c r="C14100" s="3" t="s">
        <v>9</v>
      </c>
      <c r="D14100" s="3" t="s">
        <v>10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s="3"/>
      <c r="P14100" s="3"/>
      <c r="Q14100" s="3"/>
    </row>
    <row r="14101" spans="1:17" ht="15" x14ac:dyDescent="0.25">
      <c r="A14101" s="3">
        <f>14094</f>
        <v>14094</v>
      </c>
      <c r="B14101" s="3" t="s">
        <v>14103</v>
      </c>
      <c r="C14101" s="3" t="s">
        <v>9</v>
      </c>
      <c r="D14101" s="3" t="s">
        <v>10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  <c r="O14101" s="3"/>
      <c r="P14101" s="3"/>
      <c r="Q14101" s="3"/>
    </row>
    <row r="14102" spans="1:17" ht="15" x14ac:dyDescent="0.25">
      <c r="A14102" s="3">
        <f>14095</f>
        <v>14095</v>
      </c>
      <c r="B14102" s="3" t="s">
        <v>14104</v>
      </c>
      <c r="C14102" s="3" t="s">
        <v>9</v>
      </c>
      <c r="D14102" s="3" t="s">
        <v>10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s="3"/>
      <c r="P14102" s="3"/>
      <c r="Q14102" s="3"/>
    </row>
    <row r="14103" spans="1:17" ht="15" x14ac:dyDescent="0.25">
      <c r="A14103" s="3">
        <f>14096</f>
        <v>14096</v>
      </c>
      <c r="B14103" s="3" t="s">
        <v>14105</v>
      </c>
      <c r="C14103" s="3" t="s">
        <v>9</v>
      </c>
      <c r="D14103" s="3" t="s">
        <v>10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s="3"/>
      <c r="P14103" s="3"/>
      <c r="Q14103" s="3"/>
    </row>
    <row r="14104" spans="1:17" ht="15" x14ac:dyDescent="0.25">
      <c r="A14104" s="3">
        <f>14097</f>
        <v>14097</v>
      </c>
      <c r="B14104" s="3" t="s">
        <v>14106</v>
      </c>
      <c r="C14104" s="3" t="s">
        <v>9</v>
      </c>
      <c r="D14104" s="3" t="s">
        <v>10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/>
      <c r="P14104" s="3"/>
      <c r="Q14104" s="3"/>
    </row>
    <row r="14105" spans="1:17" ht="15" x14ac:dyDescent="0.25">
      <c r="A14105" s="3">
        <f>14098</f>
        <v>14098</v>
      </c>
      <c r="B14105" s="3" t="s">
        <v>14107</v>
      </c>
      <c r="C14105" s="3" t="s">
        <v>9</v>
      </c>
      <c r="D14105" s="3" t="s">
        <v>10</v>
      </c>
      <c r="E14105" s="3">
        <v>0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s="3"/>
      <c r="P14105" s="3"/>
      <c r="Q14105" s="3"/>
    </row>
    <row r="14106" spans="1:17" ht="15" x14ac:dyDescent="0.25">
      <c r="A14106" s="3">
        <f>14099</f>
        <v>14099</v>
      </c>
      <c r="B14106" s="3" t="s">
        <v>14108</v>
      </c>
      <c r="C14106" s="3" t="s">
        <v>9</v>
      </c>
      <c r="D14106" s="3" t="s">
        <v>10</v>
      </c>
      <c r="E14106" s="3">
        <v>0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s="3"/>
      <c r="P14106" s="3"/>
      <c r="Q14106" s="3"/>
    </row>
    <row r="14107" spans="1:17" ht="15" x14ac:dyDescent="0.25">
      <c r="A14107" s="3">
        <f>14100</f>
        <v>14100</v>
      </c>
      <c r="B14107" s="3" t="s">
        <v>14109</v>
      </c>
      <c r="C14107" s="3" t="s">
        <v>9</v>
      </c>
      <c r="D14107" s="3" t="s">
        <v>10</v>
      </c>
      <c r="E14107" s="3">
        <v>0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s="3"/>
      <c r="P14107" s="3"/>
      <c r="Q14107" s="3"/>
    </row>
    <row r="14108" spans="1:17" ht="15" x14ac:dyDescent="0.25">
      <c r="A14108" s="3">
        <f>14101</f>
        <v>14101</v>
      </c>
      <c r="B14108" s="3" t="s">
        <v>14110</v>
      </c>
      <c r="C14108" s="3" t="s">
        <v>9</v>
      </c>
      <c r="D14108" s="3" t="s">
        <v>10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  <c r="O14108" s="3"/>
      <c r="P14108" s="3"/>
      <c r="Q14108" s="3"/>
    </row>
    <row r="14109" spans="1:17" ht="15" x14ac:dyDescent="0.25">
      <c r="A14109" s="3">
        <f>14102</f>
        <v>14102</v>
      </c>
      <c r="B14109" s="3" t="s">
        <v>14111</v>
      </c>
      <c r="C14109" s="3" t="s">
        <v>9</v>
      </c>
      <c r="D14109" s="3" t="s">
        <v>10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s="3"/>
      <c r="P14109" s="3"/>
      <c r="Q14109" s="3"/>
    </row>
    <row r="14110" spans="1:17" ht="15" x14ac:dyDescent="0.25">
      <c r="A14110" s="3">
        <f>14103</f>
        <v>14103</v>
      </c>
      <c r="B14110" s="3" t="s">
        <v>14112</v>
      </c>
      <c r="C14110" s="3" t="s">
        <v>9</v>
      </c>
      <c r="D14110" s="3" t="s">
        <v>10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/>
      <c r="P14110" s="3"/>
      <c r="Q14110" s="3"/>
    </row>
    <row r="14111" spans="1:17" ht="15" x14ac:dyDescent="0.25">
      <c r="A14111" s="3">
        <f>14104</f>
        <v>14104</v>
      </c>
      <c r="B14111" s="3" t="s">
        <v>14113</v>
      </c>
      <c r="C14111" s="3" t="s">
        <v>9</v>
      </c>
      <c r="D14111" s="3" t="s">
        <v>10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/>
      <c r="P14111" s="3"/>
      <c r="Q14111" s="3"/>
    </row>
    <row r="14112" spans="1:17" ht="15" x14ac:dyDescent="0.25">
      <c r="A14112" s="3">
        <f>14105</f>
        <v>14105</v>
      </c>
      <c r="B14112" s="3" t="s">
        <v>14114</v>
      </c>
      <c r="C14112" s="3" t="s">
        <v>9</v>
      </c>
      <c r="D14112" s="3" t="s">
        <v>10</v>
      </c>
      <c r="E14112" s="3">
        <v>0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s="3"/>
      <c r="P14112" s="3"/>
      <c r="Q14112" s="3"/>
    </row>
    <row r="14113" spans="1:17" ht="15" x14ac:dyDescent="0.25">
      <c r="A14113" s="3">
        <f>14106</f>
        <v>14106</v>
      </c>
      <c r="B14113" s="3" t="s">
        <v>14115</v>
      </c>
      <c r="C14113" s="3" t="s">
        <v>9</v>
      </c>
      <c r="D14113" s="3" t="s">
        <v>10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s="3"/>
      <c r="P14113" s="3"/>
      <c r="Q14113" s="3"/>
    </row>
    <row r="14114" spans="1:17" ht="15" x14ac:dyDescent="0.25">
      <c r="A14114" s="3">
        <f>14107</f>
        <v>14107</v>
      </c>
      <c r="B14114" s="3" t="s">
        <v>14116</v>
      </c>
      <c r="C14114" s="3" t="s">
        <v>9</v>
      </c>
      <c r="D14114" s="3" t="s">
        <v>10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0</v>
      </c>
      <c r="O14114" s="3"/>
      <c r="P14114" s="3"/>
      <c r="Q14114" s="3"/>
    </row>
    <row r="14115" spans="1:17" ht="15" x14ac:dyDescent="0.25">
      <c r="A14115" s="3">
        <f>14108</f>
        <v>14108</v>
      </c>
      <c r="B14115" s="3" t="s">
        <v>14117</v>
      </c>
      <c r="C14115" s="3" t="s">
        <v>9</v>
      </c>
      <c r="D14115" s="3" t="s">
        <v>10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  <c r="O14115" s="3"/>
      <c r="P14115" s="3"/>
      <c r="Q14115" s="3"/>
    </row>
    <row r="14116" spans="1:17" ht="15" x14ac:dyDescent="0.25">
      <c r="A14116" s="3">
        <f>14109</f>
        <v>14109</v>
      </c>
      <c r="B14116" s="3" t="s">
        <v>14118</v>
      </c>
      <c r="C14116" s="3" t="s">
        <v>9</v>
      </c>
      <c r="D14116" s="3" t="s">
        <v>10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  <c r="O14116" s="3"/>
      <c r="P14116" s="3"/>
      <c r="Q14116" s="3"/>
    </row>
    <row r="14117" spans="1:17" ht="15" x14ac:dyDescent="0.25">
      <c r="A14117" s="3">
        <f>14110</f>
        <v>14110</v>
      </c>
      <c r="B14117" s="3" t="s">
        <v>14119</v>
      </c>
      <c r="C14117" s="3" t="s">
        <v>9</v>
      </c>
      <c r="D14117" s="3" t="s">
        <v>10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/>
      <c r="P14117" s="3"/>
      <c r="Q14117" s="3"/>
    </row>
    <row r="14118" spans="1:17" ht="15" x14ac:dyDescent="0.25">
      <c r="A14118" s="3">
        <f>14111</f>
        <v>14111</v>
      </c>
      <c r="B14118" s="3" t="s">
        <v>14120</v>
      </c>
      <c r="C14118" s="3" t="s">
        <v>9</v>
      </c>
      <c r="D14118" s="3" t="s">
        <v>10</v>
      </c>
      <c r="E14118" s="3">
        <v>0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s="3"/>
      <c r="P14118" s="3"/>
      <c r="Q14118" s="3"/>
    </row>
    <row r="14119" spans="1:17" ht="15" x14ac:dyDescent="0.25">
      <c r="A14119" s="3">
        <f>14112</f>
        <v>14112</v>
      </c>
      <c r="B14119" s="3" t="s">
        <v>14121</v>
      </c>
      <c r="C14119" s="3" t="s">
        <v>9</v>
      </c>
      <c r="D14119" s="3" t="s">
        <v>10</v>
      </c>
      <c r="E14119" s="3">
        <v>0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s="3"/>
      <c r="P14119" s="3"/>
      <c r="Q14119" s="3"/>
    </row>
    <row r="14120" spans="1:17" ht="15" x14ac:dyDescent="0.25">
      <c r="A14120" s="3">
        <f>14113</f>
        <v>14113</v>
      </c>
      <c r="B14120" s="3" t="s">
        <v>14122</v>
      </c>
      <c r="C14120" s="3" t="s">
        <v>9</v>
      </c>
      <c r="D14120" s="3" t="s">
        <v>10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/>
      <c r="P14120" s="3"/>
      <c r="Q14120" s="3"/>
    </row>
    <row r="14121" spans="1:17" ht="15" x14ac:dyDescent="0.25">
      <c r="A14121" s="3">
        <f>14114</f>
        <v>14114</v>
      </c>
      <c r="B14121" s="3" t="s">
        <v>14123</v>
      </c>
      <c r="C14121" s="3" t="s">
        <v>9</v>
      </c>
      <c r="D14121" s="3" t="s">
        <v>10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/>
      <c r="P14121" s="3"/>
      <c r="Q14121" s="3"/>
    </row>
    <row r="14122" spans="1:17" ht="15" x14ac:dyDescent="0.25">
      <c r="A14122" s="3">
        <f>14115</f>
        <v>14115</v>
      </c>
      <c r="B14122" s="3" t="s">
        <v>14124</v>
      </c>
      <c r="C14122" s="3" t="s">
        <v>9</v>
      </c>
      <c r="D14122" s="3" t="s">
        <v>10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s="3"/>
      <c r="P14122" s="3"/>
      <c r="Q14122" s="3"/>
    </row>
    <row r="14123" spans="1:17" ht="15" x14ac:dyDescent="0.25">
      <c r="A14123" s="3">
        <f>14116</f>
        <v>14116</v>
      </c>
      <c r="B14123" s="3" t="s">
        <v>14125</v>
      </c>
      <c r="C14123" s="3" t="s">
        <v>9</v>
      </c>
      <c r="D14123" s="3" t="s">
        <v>10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s="3"/>
      <c r="P14123" s="3"/>
      <c r="Q14123" s="3"/>
    </row>
    <row r="14124" spans="1:17" ht="15" x14ac:dyDescent="0.25">
      <c r="A14124" s="3">
        <f>14117</f>
        <v>14117</v>
      </c>
      <c r="B14124" s="3" t="s">
        <v>14126</v>
      </c>
      <c r="C14124" s="3" t="s">
        <v>9</v>
      </c>
      <c r="D14124" s="3" t="s">
        <v>10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/>
      <c r="P14124" s="3"/>
      <c r="Q14124" s="3"/>
    </row>
    <row r="14125" spans="1:17" ht="15" x14ac:dyDescent="0.25">
      <c r="A14125" s="3">
        <f>14118</f>
        <v>14118</v>
      </c>
      <c r="B14125" s="3" t="s">
        <v>14127</v>
      </c>
      <c r="C14125" s="3" t="s">
        <v>9</v>
      </c>
      <c r="D14125" s="3" t="s">
        <v>10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/>
      <c r="P14125" s="3"/>
      <c r="Q14125" s="3"/>
    </row>
    <row r="14126" spans="1:17" ht="15" x14ac:dyDescent="0.25">
      <c r="A14126" s="3">
        <f>14119</f>
        <v>14119</v>
      </c>
      <c r="B14126" s="3" t="s">
        <v>14128</v>
      </c>
      <c r="C14126" s="3" t="s">
        <v>9</v>
      </c>
      <c r="D14126" s="3" t="s">
        <v>10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s="3"/>
      <c r="P14126" s="3"/>
      <c r="Q14126" s="3"/>
    </row>
    <row r="14127" spans="1:17" ht="15" x14ac:dyDescent="0.25">
      <c r="A14127" s="3">
        <f>14120</f>
        <v>14120</v>
      </c>
      <c r="B14127" s="3" t="s">
        <v>14129</v>
      </c>
      <c r="C14127" s="3" t="s">
        <v>9</v>
      </c>
      <c r="D14127" s="3" t="s">
        <v>10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/>
      <c r="P14127" s="3"/>
      <c r="Q14127" s="3"/>
    </row>
    <row r="14128" spans="1:17" ht="15" x14ac:dyDescent="0.25">
      <c r="A14128" s="3">
        <f>14121</f>
        <v>14121</v>
      </c>
      <c r="B14128" s="3" t="s">
        <v>14130</v>
      </c>
      <c r="C14128" s="3" t="s">
        <v>9</v>
      </c>
      <c r="D14128" s="3" t="s">
        <v>10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s="3"/>
      <c r="P14128" s="3"/>
      <c r="Q14128" s="3"/>
    </row>
    <row r="14129" spans="1:17" ht="15" x14ac:dyDescent="0.25">
      <c r="A14129" s="3">
        <f>14122</f>
        <v>14122</v>
      </c>
      <c r="B14129" s="3" t="s">
        <v>14131</v>
      </c>
      <c r="C14129" s="3" t="s">
        <v>9</v>
      </c>
      <c r="D14129" s="3" t="s">
        <v>10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s="3"/>
      <c r="P14129" s="3"/>
      <c r="Q14129" s="3"/>
    </row>
    <row r="14130" spans="1:17" ht="15" x14ac:dyDescent="0.25">
      <c r="A14130" s="3">
        <f>14123</f>
        <v>14123</v>
      </c>
      <c r="B14130" s="3" t="s">
        <v>14132</v>
      </c>
      <c r="C14130" s="3" t="s">
        <v>9</v>
      </c>
      <c r="D14130" s="3" t="s">
        <v>10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s="3"/>
      <c r="P14130" s="3"/>
      <c r="Q14130" s="3"/>
    </row>
    <row r="14131" spans="1:17" ht="15" x14ac:dyDescent="0.25">
      <c r="A14131" s="3">
        <f>14124</f>
        <v>14124</v>
      </c>
      <c r="B14131" s="3" t="s">
        <v>14133</v>
      </c>
      <c r="C14131" s="3" t="s">
        <v>9</v>
      </c>
      <c r="D14131" s="3" t="s">
        <v>10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s="3"/>
      <c r="P14131" s="3"/>
      <c r="Q14131" s="3"/>
    </row>
    <row r="14132" spans="1:17" ht="15" x14ac:dyDescent="0.25">
      <c r="A14132" s="3">
        <f>14125</f>
        <v>14125</v>
      </c>
      <c r="B14132" s="3" t="s">
        <v>14134</v>
      </c>
      <c r="C14132" s="3" t="s">
        <v>9</v>
      </c>
      <c r="D14132" s="3" t="s">
        <v>10</v>
      </c>
      <c r="E14132" s="3">
        <v>0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s="3"/>
      <c r="P14132" s="3"/>
      <c r="Q14132" s="3"/>
    </row>
    <row r="14133" spans="1:17" ht="15" x14ac:dyDescent="0.25">
      <c r="A14133" s="3">
        <f>14126</f>
        <v>14126</v>
      </c>
      <c r="B14133" s="3" t="s">
        <v>14135</v>
      </c>
      <c r="C14133" s="3" t="s">
        <v>9</v>
      </c>
      <c r="D14133" s="3" t="s">
        <v>10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s="3"/>
      <c r="P14133" s="3"/>
      <c r="Q14133" s="3"/>
    </row>
    <row r="14134" spans="1:17" ht="15" x14ac:dyDescent="0.25">
      <c r="A14134" s="3">
        <f>14127</f>
        <v>14127</v>
      </c>
      <c r="B14134" s="3" t="s">
        <v>14136</v>
      </c>
      <c r="C14134" s="3" t="s">
        <v>9</v>
      </c>
      <c r="D14134" s="3" t="s">
        <v>10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/>
      <c r="P14134" s="3"/>
      <c r="Q14134" s="3"/>
    </row>
    <row r="14135" spans="1:17" ht="15" x14ac:dyDescent="0.25">
      <c r="A14135" s="3">
        <f>14128</f>
        <v>14128</v>
      </c>
      <c r="B14135" s="3" t="s">
        <v>14137</v>
      </c>
      <c r="C14135" s="3" t="s">
        <v>9</v>
      </c>
      <c r="D14135" s="3" t="s">
        <v>10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/>
      <c r="P14135" s="3"/>
      <c r="Q14135" s="3"/>
    </row>
    <row r="14136" spans="1:17" ht="15" x14ac:dyDescent="0.25">
      <c r="A14136" s="3">
        <f>14129</f>
        <v>14129</v>
      </c>
      <c r="B14136" s="3" t="s">
        <v>14138</v>
      </c>
      <c r="C14136" s="3" t="s">
        <v>9</v>
      </c>
      <c r="D14136" s="3" t="s">
        <v>10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/>
      <c r="P14136" s="3"/>
      <c r="Q14136" s="3"/>
    </row>
    <row r="14137" spans="1:17" ht="15" x14ac:dyDescent="0.25">
      <c r="A14137" s="3">
        <f>14130</f>
        <v>14130</v>
      </c>
      <c r="B14137" s="3" t="s">
        <v>14139</v>
      </c>
      <c r="C14137" s="3" t="s">
        <v>9</v>
      </c>
      <c r="D14137" s="3" t="s">
        <v>10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/>
      <c r="P14137" s="3"/>
      <c r="Q14137" s="3"/>
    </row>
    <row r="14138" spans="1:17" ht="15" x14ac:dyDescent="0.25">
      <c r="A14138" s="3">
        <f>14131</f>
        <v>14131</v>
      </c>
      <c r="B14138" s="3" t="s">
        <v>14140</v>
      </c>
      <c r="C14138" s="3" t="s">
        <v>9</v>
      </c>
      <c r="D14138" s="3" t="s">
        <v>10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/>
      <c r="P14138" s="3"/>
      <c r="Q14138" s="3"/>
    </row>
    <row r="14139" spans="1:17" ht="15" x14ac:dyDescent="0.25">
      <c r="A14139" s="3">
        <f>14132</f>
        <v>14132</v>
      </c>
      <c r="B14139" s="3" t="s">
        <v>14141</v>
      </c>
      <c r="C14139" s="3" t="s">
        <v>9</v>
      </c>
      <c r="D14139" s="3" t="s">
        <v>10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s="3"/>
      <c r="P14139" s="3"/>
      <c r="Q14139" s="3"/>
    </row>
    <row r="14140" spans="1:17" ht="15" x14ac:dyDescent="0.25">
      <c r="A14140" s="3">
        <f>14133</f>
        <v>14133</v>
      </c>
      <c r="B14140" s="3" t="s">
        <v>14142</v>
      </c>
      <c r="C14140" s="3" t="s">
        <v>9</v>
      </c>
      <c r="D14140" s="3" t="s">
        <v>10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s="3"/>
      <c r="P14140" s="3"/>
      <c r="Q14140" s="3"/>
    </row>
    <row r="14141" spans="1:17" ht="15" x14ac:dyDescent="0.25">
      <c r="A14141" s="3">
        <f>14134</f>
        <v>14134</v>
      </c>
      <c r="B14141" s="3" t="s">
        <v>14143</v>
      </c>
      <c r="C14141" s="3" t="s">
        <v>9</v>
      </c>
      <c r="D14141" s="3" t="s">
        <v>10</v>
      </c>
      <c r="E14141" s="3">
        <v>0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s="3"/>
      <c r="P14141" s="3"/>
      <c r="Q14141" s="3"/>
    </row>
    <row r="14142" spans="1:17" ht="15" x14ac:dyDescent="0.25">
      <c r="A14142" s="3">
        <f>14135</f>
        <v>14135</v>
      </c>
      <c r="B14142" s="3" t="s">
        <v>14144</v>
      </c>
      <c r="C14142" s="3" t="s">
        <v>9</v>
      </c>
      <c r="D14142" s="3" t="s">
        <v>10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s="3"/>
      <c r="P14142" s="3"/>
      <c r="Q14142" s="3"/>
    </row>
    <row r="14143" spans="1:17" ht="15" x14ac:dyDescent="0.25">
      <c r="A14143" s="3">
        <f>14136</f>
        <v>14136</v>
      </c>
      <c r="B14143" s="3" t="s">
        <v>14145</v>
      </c>
      <c r="C14143" s="3" t="s">
        <v>9</v>
      </c>
      <c r="D14143" s="3" t="s">
        <v>10</v>
      </c>
      <c r="E14143" s="3">
        <v>0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  <c r="O14143" s="3"/>
      <c r="P14143" s="3"/>
      <c r="Q14143" s="3"/>
    </row>
    <row r="14144" spans="1:17" ht="15" x14ac:dyDescent="0.25">
      <c r="A14144" s="3">
        <f>14137</f>
        <v>14137</v>
      </c>
      <c r="B14144" s="3" t="s">
        <v>14146</v>
      </c>
      <c r="C14144" s="3" t="s">
        <v>9</v>
      </c>
      <c r="D14144" s="3" t="s">
        <v>10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s="3"/>
      <c r="P14144" s="3"/>
      <c r="Q14144" s="3"/>
    </row>
    <row r="14145" spans="1:17" ht="15" x14ac:dyDescent="0.25">
      <c r="A14145" s="3">
        <f>14138</f>
        <v>14138</v>
      </c>
      <c r="B14145" s="3" t="s">
        <v>14147</v>
      </c>
      <c r="C14145" s="3" t="s">
        <v>9</v>
      </c>
      <c r="D14145" s="3" t="s">
        <v>10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0</v>
      </c>
      <c r="O14145" s="3"/>
      <c r="P14145" s="3"/>
      <c r="Q14145" s="3"/>
    </row>
    <row r="14146" spans="1:17" ht="15" x14ac:dyDescent="0.25">
      <c r="A14146" s="3">
        <f>14139</f>
        <v>14139</v>
      </c>
      <c r="B14146" s="3" t="s">
        <v>14148</v>
      </c>
      <c r="C14146" s="3" t="s">
        <v>9</v>
      </c>
      <c r="D14146" s="3" t="s">
        <v>10</v>
      </c>
      <c r="E14146" s="3">
        <v>0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s="3"/>
      <c r="P14146" s="3"/>
      <c r="Q14146" s="3"/>
    </row>
    <row r="14147" spans="1:17" ht="15" x14ac:dyDescent="0.25">
      <c r="A14147" s="3">
        <f>14140</f>
        <v>14140</v>
      </c>
      <c r="B14147" s="3" t="s">
        <v>14149</v>
      </c>
      <c r="C14147" s="3" t="s">
        <v>9</v>
      </c>
      <c r="D14147" s="3" t="s">
        <v>10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s="3"/>
      <c r="P14147" s="3"/>
      <c r="Q14147" s="3"/>
    </row>
    <row r="14148" spans="1:17" ht="15" x14ac:dyDescent="0.25">
      <c r="A14148" s="3">
        <f>14141</f>
        <v>14141</v>
      </c>
      <c r="B14148" s="3" t="s">
        <v>14150</v>
      </c>
      <c r="C14148" s="3" t="s">
        <v>9</v>
      </c>
      <c r="D14148" s="3" t="s">
        <v>10</v>
      </c>
      <c r="E14148" s="3">
        <v>0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s="3"/>
      <c r="P14148" s="3"/>
      <c r="Q14148" s="3"/>
    </row>
    <row r="14149" spans="1:17" ht="15" x14ac:dyDescent="0.25">
      <c r="A14149" s="3">
        <f>14142</f>
        <v>14142</v>
      </c>
      <c r="B14149" s="3" t="s">
        <v>14151</v>
      </c>
      <c r="C14149" s="3" t="s">
        <v>9</v>
      </c>
      <c r="D14149" s="3" t="s">
        <v>10</v>
      </c>
      <c r="E14149" s="3">
        <v>0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s="3"/>
      <c r="P14149" s="3"/>
      <c r="Q14149" s="3"/>
    </row>
    <row r="14150" spans="1:17" ht="15" x14ac:dyDescent="0.25">
      <c r="A14150" s="3">
        <f>14143</f>
        <v>14143</v>
      </c>
      <c r="B14150" s="3" t="s">
        <v>14152</v>
      </c>
      <c r="C14150" s="3" t="s">
        <v>9</v>
      </c>
      <c r="D14150" s="3" t="s">
        <v>10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s="3"/>
      <c r="P14150" s="3"/>
      <c r="Q14150" s="3"/>
    </row>
    <row r="14151" spans="1:17" ht="15" x14ac:dyDescent="0.25">
      <c r="A14151" s="3">
        <f>14144</f>
        <v>14144</v>
      </c>
      <c r="B14151" s="3" t="s">
        <v>14153</v>
      </c>
      <c r="C14151" s="3" t="s">
        <v>10</v>
      </c>
      <c r="D14151" s="3" t="s">
        <v>9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/>
      <c r="P14151" s="3"/>
      <c r="Q14151" s="3"/>
    </row>
    <row r="14152" spans="1:17" ht="15" x14ac:dyDescent="0.25">
      <c r="A14152" s="3">
        <f>14145</f>
        <v>14145</v>
      </c>
      <c r="B14152" s="3" t="s">
        <v>14154</v>
      </c>
      <c r="C14152" s="3" t="s">
        <v>9</v>
      </c>
      <c r="D14152" s="3" t="s">
        <v>10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  <c r="O14152" s="3"/>
      <c r="P14152" s="3"/>
      <c r="Q14152" s="3"/>
    </row>
    <row r="14153" spans="1:17" ht="15" x14ac:dyDescent="0.25">
      <c r="A14153" s="3">
        <f>14146</f>
        <v>14146</v>
      </c>
      <c r="B14153" s="3" t="s">
        <v>14155</v>
      </c>
      <c r="C14153" s="3" t="s">
        <v>9</v>
      </c>
      <c r="D14153" s="3" t="s">
        <v>10</v>
      </c>
      <c r="E14153" s="3">
        <v>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/>
      <c r="P14153" s="3"/>
      <c r="Q14153" s="3"/>
    </row>
    <row r="14154" spans="1:17" ht="15" x14ac:dyDescent="0.25">
      <c r="A14154" s="3">
        <f>14147</f>
        <v>14147</v>
      </c>
      <c r="B14154" s="3" t="s">
        <v>14156</v>
      </c>
      <c r="C14154" s="3" t="s">
        <v>9</v>
      </c>
      <c r="D14154" s="3" t="s">
        <v>10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  <c r="O14154" s="3"/>
      <c r="P14154" s="3"/>
      <c r="Q14154" s="3"/>
    </row>
    <row r="14155" spans="1:17" ht="15" x14ac:dyDescent="0.25">
      <c r="A14155" s="3">
        <f>14148</f>
        <v>14148</v>
      </c>
      <c r="B14155" s="3" t="s">
        <v>14157</v>
      </c>
      <c r="C14155" s="3" t="s">
        <v>9</v>
      </c>
      <c r="D14155" s="3" t="s">
        <v>10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s="3"/>
      <c r="P14155" s="3"/>
      <c r="Q14155" s="3"/>
    </row>
    <row r="14156" spans="1:17" ht="15" x14ac:dyDescent="0.25">
      <c r="A14156" s="3">
        <f>14149</f>
        <v>14149</v>
      </c>
      <c r="B14156" s="3" t="s">
        <v>14158</v>
      </c>
      <c r="C14156" s="3" t="s">
        <v>10</v>
      </c>
      <c r="D14156" s="3" t="s">
        <v>9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s="3"/>
      <c r="P14156" s="3"/>
      <c r="Q14156" s="3"/>
    </row>
    <row r="14157" spans="1:17" ht="15" x14ac:dyDescent="0.25">
      <c r="A14157" s="3">
        <f>14150</f>
        <v>14150</v>
      </c>
      <c r="B14157" s="3" t="s">
        <v>14159</v>
      </c>
      <c r="C14157" s="3" t="s">
        <v>10</v>
      </c>
      <c r="D14157" s="3" t="s">
        <v>9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/>
      <c r="P14157" s="3"/>
      <c r="Q14157" s="3"/>
    </row>
    <row r="14158" spans="1:17" ht="15" x14ac:dyDescent="0.25">
      <c r="A14158" s="3">
        <f>14151</f>
        <v>14151</v>
      </c>
      <c r="B14158" s="3" t="s">
        <v>14160</v>
      </c>
      <c r="C14158" s="3" t="s">
        <v>10</v>
      </c>
      <c r="D14158" s="3" t="s">
        <v>9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s="3"/>
      <c r="P14158" s="3"/>
      <c r="Q14158" s="3"/>
    </row>
    <row r="14159" spans="1:17" ht="15" x14ac:dyDescent="0.25">
      <c r="A14159" s="3">
        <f>14152</f>
        <v>14152</v>
      </c>
      <c r="B14159" s="3" t="s">
        <v>14161</v>
      </c>
      <c r="C14159" s="3" t="s">
        <v>10</v>
      </c>
      <c r="D14159" s="3" t="s">
        <v>9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s="3"/>
      <c r="P14159" s="3"/>
      <c r="Q14159" s="3"/>
    </row>
    <row r="14160" spans="1:17" ht="15" x14ac:dyDescent="0.25">
      <c r="A14160" s="3">
        <f>14153</f>
        <v>14153</v>
      </c>
      <c r="B14160" s="3" t="s">
        <v>14162</v>
      </c>
      <c r="C14160" s="3" t="s">
        <v>9</v>
      </c>
      <c r="D14160" s="3" t="s">
        <v>10</v>
      </c>
      <c r="E14160" s="3">
        <v>0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  <c r="O14160" s="3"/>
      <c r="P14160" s="3"/>
      <c r="Q14160" s="3"/>
    </row>
    <row r="14161" spans="1:17" ht="15" x14ac:dyDescent="0.25">
      <c r="A14161" s="3">
        <f>14154</f>
        <v>14154</v>
      </c>
      <c r="B14161" s="3" t="s">
        <v>14163</v>
      </c>
      <c r="C14161" s="3" t="s">
        <v>9</v>
      </c>
      <c r="D14161" s="3" t="s">
        <v>10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s="3"/>
      <c r="P14161" s="3"/>
      <c r="Q14161" s="3"/>
    </row>
    <row r="14162" spans="1:17" ht="15" x14ac:dyDescent="0.25">
      <c r="A14162" s="3">
        <f>14155</f>
        <v>14155</v>
      </c>
      <c r="B14162" s="3" t="s">
        <v>14164</v>
      </c>
      <c r="C14162" s="3" t="s">
        <v>9</v>
      </c>
      <c r="D14162" s="3" t="s">
        <v>10</v>
      </c>
      <c r="E14162" s="3">
        <v>0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  <c r="O14162" s="3"/>
      <c r="P14162" s="3"/>
      <c r="Q14162" s="3"/>
    </row>
    <row r="14163" spans="1:17" ht="15" x14ac:dyDescent="0.25">
      <c r="A14163" s="3">
        <f>14156</f>
        <v>14156</v>
      </c>
      <c r="B14163" s="3" t="s">
        <v>14165</v>
      </c>
      <c r="C14163" s="3" t="s">
        <v>9</v>
      </c>
      <c r="D14163" s="3" t="s">
        <v>10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s="3"/>
      <c r="P14163" s="3"/>
      <c r="Q14163" s="3"/>
    </row>
    <row r="14164" spans="1:17" ht="15" x14ac:dyDescent="0.25">
      <c r="A14164" s="3">
        <f>14157</f>
        <v>14157</v>
      </c>
      <c r="B14164" s="3" t="s">
        <v>14166</v>
      </c>
      <c r="C14164" s="3" t="s">
        <v>9</v>
      </c>
      <c r="D14164" s="3" t="s">
        <v>10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/>
      <c r="P14164" s="3"/>
      <c r="Q14164" s="3"/>
    </row>
    <row r="14165" spans="1:17" ht="15" x14ac:dyDescent="0.25">
      <c r="A14165" s="3">
        <f>14158</f>
        <v>14158</v>
      </c>
      <c r="B14165" s="3" t="s">
        <v>14167</v>
      </c>
      <c r="C14165" s="3" t="s">
        <v>9</v>
      </c>
      <c r="D14165" s="3" t="s">
        <v>10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/>
      <c r="P14165" s="3"/>
      <c r="Q14165" s="3"/>
    </row>
    <row r="14166" spans="1:17" ht="15" x14ac:dyDescent="0.25">
      <c r="A14166" s="3">
        <f>14159</f>
        <v>14159</v>
      </c>
      <c r="B14166" s="3" t="s">
        <v>14168</v>
      </c>
      <c r="C14166" s="3" t="s">
        <v>10</v>
      </c>
      <c r="D14166" s="3" t="s">
        <v>9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s="3"/>
      <c r="P14166" s="3"/>
      <c r="Q14166" s="3"/>
    </row>
    <row r="14167" spans="1:17" ht="15" x14ac:dyDescent="0.25">
      <c r="A14167" s="3">
        <f>14160</f>
        <v>14160</v>
      </c>
      <c r="B14167" s="3" t="s">
        <v>14169</v>
      </c>
      <c r="C14167" s="3" t="s">
        <v>10</v>
      </c>
      <c r="D14167" s="3" t="s">
        <v>9</v>
      </c>
      <c r="E14167" s="3">
        <v>0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/>
      <c r="P14167" s="3"/>
      <c r="Q14167" s="3"/>
    </row>
    <row r="14168" spans="1:17" ht="15" x14ac:dyDescent="0.25">
      <c r="A14168" s="3">
        <f>14161</f>
        <v>14161</v>
      </c>
      <c r="B14168" s="3" t="s">
        <v>14170</v>
      </c>
      <c r="C14168" s="3" t="s">
        <v>10</v>
      </c>
      <c r="D14168" s="3" t="s">
        <v>9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/>
      <c r="P14168" s="3"/>
      <c r="Q14168" s="3"/>
    </row>
    <row r="14169" spans="1:17" ht="15" x14ac:dyDescent="0.25">
      <c r="A14169" s="3">
        <f>14162</f>
        <v>14162</v>
      </c>
      <c r="B14169" s="3" t="s">
        <v>14171</v>
      </c>
      <c r="C14169" s="3" t="s">
        <v>10</v>
      </c>
      <c r="D14169" s="3" t="s">
        <v>9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  <c r="O14169" s="3"/>
      <c r="P14169" s="3"/>
      <c r="Q14169" s="3"/>
    </row>
    <row r="14170" spans="1:17" ht="15" x14ac:dyDescent="0.25">
      <c r="A14170" s="3">
        <f>14163</f>
        <v>14163</v>
      </c>
      <c r="B14170" s="3" t="s">
        <v>14172</v>
      </c>
      <c r="C14170" s="3" t="s">
        <v>10</v>
      </c>
      <c r="D14170" s="3" t="s">
        <v>9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s="3"/>
      <c r="P14170" s="3"/>
      <c r="Q14170" s="3"/>
    </row>
    <row r="14171" spans="1:17" ht="15" x14ac:dyDescent="0.25">
      <c r="A14171" s="3">
        <f>14164</f>
        <v>14164</v>
      </c>
      <c r="B14171" s="3" t="s">
        <v>14173</v>
      </c>
      <c r="C14171" s="3" t="s">
        <v>10</v>
      </c>
      <c r="D14171" s="3" t="s">
        <v>9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/>
      <c r="P14171" s="3"/>
      <c r="Q14171" s="3"/>
    </row>
    <row r="14172" spans="1:17" ht="15" x14ac:dyDescent="0.25">
      <c r="A14172" s="3">
        <f>14165</f>
        <v>14165</v>
      </c>
      <c r="B14172" s="3" t="s">
        <v>14174</v>
      </c>
      <c r="C14172" s="3" t="s">
        <v>10</v>
      </c>
      <c r="D14172" s="3" t="s">
        <v>9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/>
      <c r="P14172" s="3"/>
      <c r="Q14172" s="3"/>
    </row>
    <row r="14173" spans="1:17" ht="15" x14ac:dyDescent="0.25">
      <c r="A14173" s="3">
        <f>14166</f>
        <v>14166</v>
      </c>
      <c r="B14173" s="3" t="s">
        <v>14175</v>
      </c>
      <c r="C14173" s="3" t="s">
        <v>10</v>
      </c>
      <c r="D14173" s="3" t="s">
        <v>9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/>
      <c r="P14173" s="3"/>
      <c r="Q14173" s="3"/>
    </row>
    <row r="14174" spans="1:17" ht="15" x14ac:dyDescent="0.25">
      <c r="A14174" s="3">
        <f>14167</f>
        <v>14167</v>
      </c>
      <c r="B14174" s="3" t="s">
        <v>14176</v>
      </c>
      <c r="C14174" s="3" t="s">
        <v>10</v>
      </c>
      <c r="D14174" s="3" t="s">
        <v>9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/>
      <c r="P14174" s="3"/>
      <c r="Q14174" s="3"/>
    </row>
    <row r="14175" spans="1:17" ht="15" x14ac:dyDescent="0.25">
      <c r="A14175" s="3">
        <f>14168</f>
        <v>14168</v>
      </c>
      <c r="B14175" s="3" t="s">
        <v>14177</v>
      </c>
      <c r="C14175" s="3" t="s">
        <v>10</v>
      </c>
      <c r="D14175" s="3" t="s">
        <v>9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s="3"/>
      <c r="P14175" s="3"/>
      <c r="Q14175" s="3"/>
    </row>
    <row r="14176" spans="1:17" ht="15" x14ac:dyDescent="0.25">
      <c r="A14176" s="3">
        <f>14169</f>
        <v>14169</v>
      </c>
      <c r="B14176" s="3" t="s">
        <v>14178</v>
      </c>
      <c r="C14176" s="3" t="s">
        <v>9</v>
      </c>
      <c r="D14176" s="3" t="s">
        <v>10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/>
      <c r="P14176" s="3"/>
      <c r="Q14176" s="3"/>
    </row>
    <row r="14177" spans="1:17" ht="15" x14ac:dyDescent="0.25">
      <c r="A14177" s="3">
        <f>14170</f>
        <v>14170</v>
      </c>
      <c r="B14177" s="3" t="s">
        <v>14179</v>
      </c>
      <c r="C14177" s="3" t="s">
        <v>9</v>
      </c>
      <c r="D14177" s="3" t="s">
        <v>10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s="3"/>
      <c r="P14177" s="3"/>
      <c r="Q14177" s="3"/>
    </row>
    <row r="14178" spans="1:17" ht="15" x14ac:dyDescent="0.25">
      <c r="A14178" s="3">
        <f>14171</f>
        <v>14171</v>
      </c>
      <c r="B14178" s="3" t="s">
        <v>14180</v>
      </c>
      <c r="C14178" s="3" t="s">
        <v>9</v>
      </c>
      <c r="D14178" s="3" t="s">
        <v>10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/>
      <c r="P14178" s="3"/>
      <c r="Q14178" s="3"/>
    </row>
    <row r="14179" spans="1:17" ht="15" x14ac:dyDescent="0.25">
      <c r="A14179" s="3">
        <f>14172</f>
        <v>14172</v>
      </c>
      <c r="B14179" s="3" t="s">
        <v>14181</v>
      </c>
      <c r="C14179" s="3" t="s">
        <v>9</v>
      </c>
      <c r="D14179" s="3" t="s">
        <v>10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/>
      <c r="P14179" s="3"/>
      <c r="Q14179" s="3"/>
    </row>
    <row r="14180" spans="1:17" ht="15" x14ac:dyDescent="0.25">
      <c r="A14180" s="3">
        <f>14173</f>
        <v>14173</v>
      </c>
      <c r="B14180" s="3" t="s">
        <v>14182</v>
      </c>
      <c r="C14180" s="3" t="s">
        <v>9</v>
      </c>
      <c r="D14180" s="3" t="s">
        <v>10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0</v>
      </c>
      <c r="O14180" s="3"/>
      <c r="P14180" s="3"/>
      <c r="Q14180" s="3"/>
    </row>
    <row r="14181" spans="1:17" ht="15" x14ac:dyDescent="0.25">
      <c r="A14181" s="3">
        <f>14174</f>
        <v>14174</v>
      </c>
      <c r="B14181" s="3" t="s">
        <v>14183</v>
      </c>
      <c r="C14181" s="3" t="s">
        <v>9</v>
      </c>
      <c r="D14181" s="3" t="s">
        <v>10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s="3"/>
      <c r="P14181" s="3"/>
      <c r="Q14181" s="3"/>
    </row>
    <row r="14182" spans="1:17" ht="15" x14ac:dyDescent="0.25">
      <c r="A14182" s="3">
        <f>14175</f>
        <v>14175</v>
      </c>
      <c r="B14182" s="3" t="s">
        <v>14184</v>
      </c>
      <c r="C14182" s="3" t="s">
        <v>9</v>
      </c>
      <c r="D14182" s="3" t="s">
        <v>10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/>
      <c r="P14182" s="3"/>
      <c r="Q14182" s="3"/>
    </row>
    <row r="14183" spans="1:17" ht="15" x14ac:dyDescent="0.25">
      <c r="A14183" s="3">
        <f>14176</f>
        <v>14176</v>
      </c>
      <c r="B14183" s="3" t="s">
        <v>14185</v>
      </c>
      <c r="C14183" s="3" t="s">
        <v>9</v>
      </c>
      <c r="D14183" s="3" t="s">
        <v>10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s="3"/>
      <c r="P14183" s="3"/>
      <c r="Q14183" s="3"/>
    </row>
    <row r="14184" spans="1:17" ht="15" x14ac:dyDescent="0.25">
      <c r="A14184" s="3">
        <f>14177</f>
        <v>14177</v>
      </c>
      <c r="B14184" s="3" t="s">
        <v>14186</v>
      </c>
      <c r="C14184" s="3" t="s">
        <v>9</v>
      </c>
      <c r="D14184" s="3" t="s">
        <v>10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s="3"/>
      <c r="P14184" s="3"/>
      <c r="Q14184" s="3"/>
    </row>
    <row r="14185" spans="1:17" ht="15" x14ac:dyDescent="0.25">
      <c r="A14185" s="3">
        <f>14178</f>
        <v>14178</v>
      </c>
      <c r="B14185" s="3" t="s">
        <v>14187</v>
      </c>
      <c r="C14185" s="3" t="s">
        <v>9</v>
      </c>
      <c r="D14185" s="3" t="s">
        <v>10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s="3"/>
      <c r="P14185" s="3"/>
      <c r="Q14185" s="3"/>
    </row>
    <row r="14186" spans="1:17" ht="15" x14ac:dyDescent="0.25">
      <c r="A14186" s="3">
        <f>14179</f>
        <v>14179</v>
      </c>
      <c r="B14186" s="3" t="s">
        <v>14188</v>
      </c>
      <c r="C14186" s="3" t="s">
        <v>9</v>
      </c>
      <c r="D14186" s="3" t="s">
        <v>10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  <c r="O14186" s="3"/>
      <c r="P14186" s="3"/>
      <c r="Q14186" s="3"/>
    </row>
    <row r="14187" spans="1:17" ht="15" x14ac:dyDescent="0.25">
      <c r="A14187" s="3">
        <f>14180</f>
        <v>14180</v>
      </c>
      <c r="B14187" s="3" t="s">
        <v>14189</v>
      </c>
      <c r="C14187" s="3" t="s">
        <v>10</v>
      </c>
      <c r="D14187" s="3" t="s">
        <v>9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/>
      <c r="P14187" s="3"/>
      <c r="Q14187" s="3"/>
    </row>
    <row r="14188" spans="1:17" ht="15" x14ac:dyDescent="0.25">
      <c r="A14188" s="3">
        <f>14181</f>
        <v>14181</v>
      </c>
      <c r="B14188" s="3" t="s">
        <v>14190</v>
      </c>
      <c r="C14188" s="3" t="s">
        <v>10</v>
      </c>
      <c r="D14188" s="3" t="s">
        <v>9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/>
      <c r="P14188" s="3"/>
      <c r="Q14188" s="3"/>
    </row>
    <row r="14189" spans="1:17" ht="15" x14ac:dyDescent="0.25">
      <c r="A14189" s="3">
        <f>14182</f>
        <v>14182</v>
      </c>
      <c r="B14189" s="3" t="s">
        <v>14191</v>
      </c>
      <c r="C14189" s="3" t="s">
        <v>10</v>
      </c>
      <c r="D14189" s="3" t="s">
        <v>9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/>
      <c r="P14189" s="3"/>
      <c r="Q14189" s="3"/>
    </row>
    <row r="14190" spans="1:17" ht="15" x14ac:dyDescent="0.25">
      <c r="A14190" s="3">
        <f>14183</f>
        <v>14183</v>
      </c>
      <c r="B14190" s="3" t="s">
        <v>14192</v>
      </c>
      <c r="C14190" s="3" t="s">
        <v>10</v>
      </c>
      <c r="D14190" s="3" t="s">
        <v>9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s="3"/>
      <c r="P14190" s="3"/>
      <c r="Q14190" s="3"/>
    </row>
    <row r="14191" spans="1:17" ht="15" x14ac:dyDescent="0.25">
      <c r="A14191" s="3">
        <f>14184</f>
        <v>14184</v>
      </c>
      <c r="B14191" s="3" t="s">
        <v>14193</v>
      </c>
      <c r="C14191" s="3" t="s">
        <v>10</v>
      </c>
      <c r="D14191" s="3" t="s">
        <v>9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  <c r="O14191" s="3"/>
      <c r="P14191" s="3"/>
      <c r="Q14191" s="3"/>
    </row>
    <row r="14192" spans="1:17" ht="15" x14ac:dyDescent="0.25">
      <c r="A14192" s="3">
        <f>14185</f>
        <v>14185</v>
      </c>
      <c r="B14192" s="3" t="s">
        <v>14194</v>
      </c>
      <c r="C14192" s="3" t="s">
        <v>10</v>
      </c>
      <c r="D14192" s="3" t="s">
        <v>9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s="3"/>
      <c r="P14192" s="3"/>
      <c r="Q14192" s="3"/>
    </row>
    <row r="14193" spans="1:17" ht="15" x14ac:dyDescent="0.25">
      <c r="A14193" s="3">
        <f>14186</f>
        <v>14186</v>
      </c>
      <c r="B14193" s="3" t="s">
        <v>14195</v>
      </c>
      <c r="C14193" s="3" t="s">
        <v>10</v>
      </c>
      <c r="D14193" s="3" t="s">
        <v>9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/>
      <c r="P14193" s="3"/>
      <c r="Q14193" s="3"/>
    </row>
    <row r="14194" spans="1:17" ht="15" x14ac:dyDescent="0.25">
      <c r="A14194" s="3">
        <f>14187</f>
        <v>14187</v>
      </c>
      <c r="B14194" s="3" t="s">
        <v>14196</v>
      </c>
      <c r="C14194" s="3" t="s">
        <v>10</v>
      </c>
      <c r="D14194" s="3" t="s">
        <v>9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s="3"/>
      <c r="P14194" s="3"/>
      <c r="Q14194" s="3"/>
    </row>
    <row r="14195" spans="1:17" ht="15" x14ac:dyDescent="0.25">
      <c r="A14195" s="3">
        <f>14188</f>
        <v>14188</v>
      </c>
      <c r="B14195" s="3" t="s">
        <v>14197</v>
      </c>
      <c r="C14195" s="3" t="s">
        <v>10</v>
      </c>
      <c r="D14195" s="3" t="s">
        <v>9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/>
      <c r="P14195" s="3"/>
      <c r="Q14195" s="3"/>
    </row>
    <row r="14196" spans="1:17" ht="15" x14ac:dyDescent="0.25">
      <c r="A14196" s="3">
        <f>14189</f>
        <v>14189</v>
      </c>
      <c r="B14196" s="3" t="s">
        <v>14198</v>
      </c>
      <c r="C14196" s="3" t="s">
        <v>10</v>
      </c>
      <c r="D14196" s="3" t="s">
        <v>9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s="3"/>
      <c r="P14196" s="3"/>
      <c r="Q14196" s="3"/>
    </row>
    <row r="14197" spans="1:17" ht="15" x14ac:dyDescent="0.25">
      <c r="A14197" s="3">
        <f>14190</f>
        <v>14190</v>
      </c>
      <c r="B14197" s="3" t="s">
        <v>14199</v>
      </c>
      <c r="C14197" s="3" t="s">
        <v>10</v>
      </c>
      <c r="D14197" s="3" t="s">
        <v>9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/>
      <c r="P14197" s="3"/>
      <c r="Q14197" s="3"/>
    </row>
    <row r="14198" spans="1:17" ht="15" x14ac:dyDescent="0.25">
      <c r="A14198" s="3">
        <f>14191</f>
        <v>14191</v>
      </c>
      <c r="B14198" s="3" t="s">
        <v>14200</v>
      </c>
      <c r="C14198" s="3" t="s">
        <v>10</v>
      </c>
      <c r="D14198" s="3" t="s">
        <v>9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/>
      <c r="P14198" s="3"/>
      <c r="Q14198" s="3"/>
    </row>
    <row r="14199" spans="1:17" ht="15" x14ac:dyDescent="0.25">
      <c r="A14199" s="3">
        <f>14192</f>
        <v>14192</v>
      </c>
      <c r="B14199" s="3" t="s">
        <v>14201</v>
      </c>
      <c r="C14199" s="3" t="s">
        <v>10</v>
      </c>
      <c r="D14199" s="3" t="s">
        <v>9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/>
      <c r="P14199" s="3"/>
      <c r="Q14199" s="3"/>
    </row>
    <row r="14200" spans="1:17" ht="15" x14ac:dyDescent="0.25">
      <c r="A14200" s="3">
        <f>14193</f>
        <v>14193</v>
      </c>
      <c r="B14200" s="3" t="s">
        <v>14202</v>
      </c>
      <c r="C14200" s="3" t="s">
        <v>10</v>
      </c>
      <c r="D14200" s="3" t="s">
        <v>9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/>
      <c r="P14200" s="3"/>
      <c r="Q14200" s="3"/>
    </row>
    <row r="14201" spans="1:17" ht="15" x14ac:dyDescent="0.25">
      <c r="A14201" s="3">
        <f>14194</f>
        <v>14194</v>
      </c>
      <c r="B14201" s="3" t="s">
        <v>14203</v>
      </c>
      <c r="C14201" s="3" t="s">
        <v>10</v>
      </c>
      <c r="D14201" s="3" t="s">
        <v>9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s="3"/>
      <c r="P14201" s="3"/>
      <c r="Q14201" s="3"/>
    </row>
    <row r="14202" spans="1:17" ht="15" x14ac:dyDescent="0.25">
      <c r="A14202" s="3">
        <f>14195</f>
        <v>14195</v>
      </c>
      <c r="B14202" s="3" t="s">
        <v>14204</v>
      </c>
      <c r="C14202" s="3" t="s">
        <v>10</v>
      </c>
      <c r="D14202" s="3" t="s">
        <v>9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/>
      <c r="P14202" s="3"/>
      <c r="Q14202" s="3"/>
    </row>
    <row r="14203" spans="1:17" ht="15" x14ac:dyDescent="0.25">
      <c r="A14203" s="3">
        <f>14196</f>
        <v>14196</v>
      </c>
      <c r="B14203" s="3" t="s">
        <v>14205</v>
      </c>
      <c r="C14203" s="3" t="s">
        <v>10</v>
      </c>
      <c r="D14203" s="3" t="s">
        <v>9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s="3"/>
      <c r="P14203" s="3"/>
      <c r="Q14203" s="3"/>
    </row>
    <row r="14204" spans="1:17" ht="15" x14ac:dyDescent="0.25">
      <c r="A14204" s="3">
        <f>14197</f>
        <v>14197</v>
      </c>
      <c r="B14204" s="3" t="s">
        <v>14206</v>
      </c>
      <c r="C14204" s="3" t="s">
        <v>10</v>
      </c>
      <c r="D14204" s="3" t="s">
        <v>9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s="3"/>
      <c r="P14204" s="3"/>
      <c r="Q14204" s="3"/>
    </row>
    <row r="14205" spans="1:17" ht="15" x14ac:dyDescent="0.25">
      <c r="A14205" s="3">
        <f>14198</f>
        <v>14198</v>
      </c>
      <c r="B14205" s="3" t="s">
        <v>14207</v>
      </c>
      <c r="C14205" s="3" t="s">
        <v>10</v>
      </c>
      <c r="D14205" s="3" t="s">
        <v>9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/>
      <c r="P14205" s="3"/>
      <c r="Q14205" s="3"/>
    </row>
    <row r="14206" spans="1:17" ht="15" x14ac:dyDescent="0.25">
      <c r="A14206" s="3">
        <f>14199</f>
        <v>14199</v>
      </c>
      <c r="B14206" s="3" t="s">
        <v>14208</v>
      </c>
      <c r="C14206" s="3" t="s">
        <v>10</v>
      </c>
      <c r="D14206" s="3" t="s">
        <v>9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s="3"/>
      <c r="P14206" s="3"/>
      <c r="Q14206" s="3"/>
    </row>
    <row r="14207" spans="1:17" ht="15" x14ac:dyDescent="0.25">
      <c r="A14207" s="3">
        <f>14200</f>
        <v>14200</v>
      </c>
      <c r="B14207" s="3" t="s">
        <v>14209</v>
      </c>
      <c r="C14207" s="3" t="s">
        <v>10</v>
      </c>
      <c r="D14207" s="3" t="s">
        <v>9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s="3"/>
      <c r="P14207" s="3"/>
      <c r="Q14207" s="3"/>
    </row>
    <row r="14208" spans="1:17" ht="15" x14ac:dyDescent="0.25">
      <c r="A14208" s="3">
        <f>14201</f>
        <v>14201</v>
      </c>
      <c r="B14208" s="3" t="s">
        <v>14210</v>
      </c>
      <c r="C14208" s="3" t="s">
        <v>10</v>
      </c>
      <c r="D14208" s="3" t="s">
        <v>9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  <c r="O14208" s="3"/>
      <c r="P14208" s="3"/>
      <c r="Q14208" s="3"/>
    </row>
    <row r="14209" spans="1:17" ht="15" x14ac:dyDescent="0.25">
      <c r="A14209" s="3">
        <f>14202</f>
        <v>14202</v>
      </c>
      <c r="B14209" s="3" t="s">
        <v>14211</v>
      </c>
      <c r="C14209" s="3" t="s">
        <v>10</v>
      </c>
      <c r="D14209" s="3" t="s">
        <v>9</v>
      </c>
      <c r="E14209" s="3">
        <v>0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/>
      <c r="P14209" s="3"/>
      <c r="Q14209" s="3"/>
    </row>
    <row r="14210" spans="1:17" ht="15" x14ac:dyDescent="0.25">
      <c r="A14210" s="3">
        <f>14203</f>
        <v>14203</v>
      </c>
      <c r="B14210" s="3" t="s">
        <v>14212</v>
      </c>
      <c r="C14210" s="3" t="s">
        <v>10</v>
      </c>
      <c r="D14210" s="3" t="s">
        <v>9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/>
      <c r="P14210" s="3"/>
      <c r="Q14210" s="3"/>
    </row>
    <row r="14211" spans="1:17" ht="15" x14ac:dyDescent="0.25">
      <c r="A14211" s="3">
        <f>14204</f>
        <v>14204</v>
      </c>
      <c r="B14211" s="3" t="s">
        <v>14213</v>
      </c>
      <c r="C14211" s="3" t="s">
        <v>10</v>
      </c>
      <c r="D14211" s="3" t="s">
        <v>9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s="3"/>
      <c r="P14211" s="3"/>
      <c r="Q14211" s="3"/>
    </row>
    <row r="14212" spans="1:17" ht="15" x14ac:dyDescent="0.25">
      <c r="A14212" s="3">
        <f>14205</f>
        <v>14205</v>
      </c>
      <c r="B14212" s="3" t="s">
        <v>14214</v>
      </c>
      <c r="C14212" s="3" t="s">
        <v>10</v>
      </c>
      <c r="D14212" s="3" t="s">
        <v>9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/>
      <c r="P14212" s="3"/>
      <c r="Q14212" s="3"/>
    </row>
    <row r="14213" spans="1:17" ht="15" x14ac:dyDescent="0.25">
      <c r="A14213" s="3">
        <f>14206</f>
        <v>14206</v>
      </c>
      <c r="B14213" s="3" t="s">
        <v>14215</v>
      </c>
      <c r="C14213" s="3" t="s">
        <v>10</v>
      </c>
      <c r="D14213" s="3" t="s">
        <v>9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s="3"/>
      <c r="P14213" s="3"/>
      <c r="Q14213" s="3"/>
    </row>
    <row r="14214" spans="1:17" ht="15" x14ac:dyDescent="0.25">
      <c r="A14214" s="3">
        <f>14207</f>
        <v>14207</v>
      </c>
      <c r="B14214" s="3" t="s">
        <v>14216</v>
      </c>
      <c r="C14214" s="3" t="s">
        <v>10</v>
      </c>
      <c r="D14214" s="3" t="s">
        <v>9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s="3"/>
      <c r="P14214" s="3"/>
      <c r="Q14214" s="3"/>
    </row>
    <row r="14215" spans="1:17" ht="15" x14ac:dyDescent="0.25">
      <c r="A14215" s="3">
        <f>14208</f>
        <v>14208</v>
      </c>
      <c r="B14215" s="3" t="s">
        <v>14217</v>
      </c>
      <c r="C14215" s="3" t="s">
        <v>10</v>
      </c>
      <c r="D14215" s="3" t="s">
        <v>9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/>
      <c r="P14215" s="3"/>
      <c r="Q14215" s="3"/>
    </row>
    <row r="14216" spans="1:17" ht="15" x14ac:dyDescent="0.25">
      <c r="A14216" s="3">
        <f>14209</f>
        <v>14209</v>
      </c>
      <c r="B14216" s="3" t="s">
        <v>14218</v>
      </c>
      <c r="C14216" s="3" t="s">
        <v>10</v>
      </c>
      <c r="D14216" s="3" t="s">
        <v>9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s="3"/>
      <c r="P14216" s="3"/>
      <c r="Q14216" s="3"/>
    </row>
    <row r="14217" spans="1:17" ht="15" x14ac:dyDescent="0.25">
      <c r="A14217" s="3">
        <f>14210</f>
        <v>14210</v>
      </c>
      <c r="B14217" s="3" t="s">
        <v>14219</v>
      </c>
      <c r="C14217" s="3" t="s">
        <v>10</v>
      </c>
      <c r="D14217" s="3" t="s">
        <v>9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s="3"/>
      <c r="P14217" s="3"/>
      <c r="Q14217" s="3"/>
    </row>
    <row r="14218" spans="1:17" ht="15" x14ac:dyDescent="0.25">
      <c r="A14218" s="3">
        <f>14211</f>
        <v>14211</v>
      </c>
      <c r="B14218" s="3" t="s">
        <v>14220</v>
      </c>
      <c r="C14218" s="3" t="s">
        <v>10</v>
      </c>
      <c r="D14218" s="3" t="s">
        <v>9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s="3"/>
      <c r="P14218" s="3"/>
      <c r="Q14218" s="3"/>
    </row>
    <row r="14219" spans="1:17" ht="15" x14ac:dyDescent="0.25">
      <c r="A14219" s="3">
        <f>14212</f>
        <v>14212</v>
      </c>
      <c r="B14219" s="3" t="s">
        <v>14221</v>
      </c>
      <c r="C14219" s="3" t="s">
        <v>10</v>
      </c>
      <c r="D14219" s="3" t="s">
        <v>9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s="3"/>
      <c r="P14219" s="3"/>
      <c r="Q14219" s="3"/>
    </row>
    <row r="14220" spans="1:17" ht="15" x14ac:dyDescent="0.25">
      <c r="A14220" s="3">
        <f>14213</f>
        <v>14213</v>
      </c>
      <c r="B14220" s="3" t="s">
        <v>14222</v>
      </c>
      <c r="C14220" s="3" t="s">
        <v>10</v>
      </c>
      <c r="D14220" s="3" t="s">
        <v>9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/>
      <c r="P14220" s="3"/>
      <c r="Q14220" s="3"/>
    </row>
    <row r="14221" spans="1:17" ht="15" x14ac:dyDescent="0.25">
      <c r="A14221" s="3">
        <f>14214</f>
        <v>14214</v>
      </c>
      <c r="B14221" s="3" t="s">
        <v>14223</v>
      </c>
      <c r="C14221" s="3" t="s">
        <v>10</v>
      </c>
      <c r="D14221" s="3" t="s">
        <v>9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s="3"/>
      <c r="P14221" s="3"/>
      <c r="Q14221" s="3"/>
    </row>
    <row r="14222" spans="1:17" ht="15" x14ac:dyDescent="0.25">
      <c r="A14222" s="3">
        <f>14215</f>
        <v>14215</v>
      </c>
      <c r="B14222" s="3" t="s">
        <v>14224</v>
      </c>
      <c r="C14222" s="3" t="s">
        <v>10</v>
      </c>
      <c r="D14222" s="3" t="s">
        <v>9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/>
      <c r="P14222" s="3"/>
      <c r="Q14222" s="3"/>
    </row>
    <row r="14223" spans="1:17" ht="15" x14ac:dyDescent="0.25">
      <c r="A14223" s="3">
        <f>14216</f>
        <v>14216</v>
      </c>
      <c r="B14223" s="3" t="s">
        <v>14225</v>
      </c>
      <c r="C14223" s="3" t="s">
        <v>10</v>
      </c>
      <c r="D14223" s="3" t="s">
        <v>9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/>
      <c r="P14223" s="3"/>
      <c r="Q14223" s="3"/>
    </row>
    <row r="14224" spans="1:17" ht="15" x14ac:dyDescent="0.25">
      <c r="A14224" s="3">
        <f>14217</f>
        <v>14217</v>
      </c>
      <c r="B14224" s="3" t="s">
        <v>14226</v>
      </c>
      <c r="C14224" s="3" t="s">
        <v>10</v>
      </c>
      <c r="D14224" s="3" t="s">
        <v>9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s="3"/>
      <c r="P14224" s="3"/>
      <c r="Q14224" s="3"/>
    </row>
    <row r="14225" spans="1:17" ht="15" x14ac:dyDescent="0.25">
      <c r="A14225" s="3">
        <f>14218</f>
        <v>14218</v>
      </c>
      <c r="B14225" s="3" t="s">
        <v>14227</v>
      </c>
      <c r="C14225" s="3" t="s">
        <v>10</v>
      </c>
      <c r="D14225" s="3" t="s">
        <v>9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s="3"/>
      <c r="P14225" s="3"/>
      <c r="Q14225" s="3"/>
    </row>
    <row r="14226" spans="1:17" ht="15" x14ac:dyDescent="0.25">
      <c r="A14226" s="3">
        <f>14219</f>
        <v>14219</v>
      </c>
      <c r="B14226" s="3" t="s">
        <v>14228</v>
      </c>
      <c r="C14226" s="3" t="s">
        <v>10</v>
      </c>
      <c r="D14226" s="3" t="s">
        <v>9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s="3"/>
      <c r="P14226" s="3"/>
      <c r="Q14226" s="3"/>
    </row>
    <row r="14227" spans="1:17" ht="15" x14ac:dyDescent="0.25">
      <c r="A14227" s="3">
        <f>14220</f>
        <v>14220</v>
      </c>
      <c r="B14227" s="3" t="s">
        <v>14229</v>
      </c>
      <c r="C14227" s="3" t="s">
        <v>10</v>
      </c>
      <c r="D14227" s="3" t="s">
        <v>9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/>
      <c r="P14227" s="3"/>
      <c r="Q14227" s="3"/>
    </row>
    <row r="14228" spans="1:17" ht="15" x14ac:dyDescent="0.25">
      <c r="A14228" s="3">
        <f>14221</f>
        <v>14221</v>
      </c>
      <c r="B14228" s="3" t="s">
        <v>14230</v>
      </c>
      <c r="C14228" s="3" t="s">
        <v>10</v>
      </c>
      <c r="D14228" s="3" t="s">
        <v>9</v>
      </c>
      <c r="E14228" s="3">
        <v>0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s="3"/>
      <c r="P14228" s="3"/>
      <c r="Q14228" s="3"/>
    </row>
    <row r="14229" spans="1:17" ht="15" x14ac:dyDescent="0.25">
      <c r="A14229" s="3">
        <f>14222</f>
        <v>14222</v>
      </c>
      <c r="B14229" s="3" t="s">
        <v>14231</v>
      </c>
      <c r="C14229" s="3" t="s">
        <v>10</v>
      </c>
      <c r="D14229" s="3" t="s">
        <v>9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/>
      <c r="P14229" s="3"/>
      <c r="Q14229" s="3"/>
    </row>
    <row r="14230" spans="1:17" ht="15" x14ac:dyDescent="0.25">
      <c r="A14230" s="3">
        <f>14223</f>
        <v>14223</v>
      </c>
      <c r="B14230" s="3" t="s">
        <v>14232</v>
      </c>
      <c r="C14230" s="3" t="s">
        <v>10</v>
      </c>
      <c r="D14230" s="3" t="s">
        <v>9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/>
      <c r="P14230" s="3"/>
      <c r="Q14230" s="3"/>
    </row>
    <row r="14231" spans="1:17" ht="15" x14ac:dyDescent="0.25">
      <c r="A14231" s="3">
        <f>14224</f>
        <v>14224</v>
      </c>
      <c r="B14231" s="3" t="s">
        <v>14233</v>
      </c>
      <c r="C14231" s="3" t="s">
        <v>10</v>
      </c>
      <c r="D14231" s="3" t="s">
        <v>9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/>
      <c r="P14231" s="3"/>
      <c r="Q14231" s="3"/>
    </row>
    <row r="14232" spans="1:17" ht="15" x14ac:dyDescent="0.25">
      <c r="A14232" s="3">
        <f>14225</f>
        <v>14225</v>
      </c>
      <c r="B14232" s="3" t="s">
        <v>14234</v>
      </c>
      <c r="C14232" s="3" t="s">
        <v>10</v>
      </c>
      <c r="D14232" s="3" t="s">
        <v>9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/>
      <c r="P14232" s="3"/>
      <c r="Q14232" s="3"/>
    </row>
    <row r="14233" spans="1:17" ht="15" x14ac:dyDescent="0.25">
      <c r="A14233" s="3">
        <f>14226</f>
        <v>14226</v>
      </c>
      <c r="B14233" s="3" t="s">
        <v>14235</v>
      </c>
      <c r="C14233" s="3" t="s">
        <v>10</v>
      </c>
      <c r="D14233" s="3" t="s">
        <v>9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/>
      <c r="P14233" s="3"/>
      <c r="Q14233" s="3"/>
    </row>
    <row r="14234" spans="1:17" ht="15" x14ac:dyDescent="0.25">
      <c r="A14234" s="3">
        <f>14227</f>
        <v>14227</v>
      </c>
      <c r="B14234" s="3" t="s">
        <v>14236</v>
      </c>
      <c r="C14234" s="3" t="s">
        <v>10</v>
      </c>
      <c r="D14234" s="3" t="s">
        <v>9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/>
      <c r="P14234" s="3"/>
      <c r="Q14234" s="3"/>
    </row>
    <row r="14235" spans="1:17" ht="15" x14ac:dyDescent="0.25">
      <c r="A14235" s="3">
        <f>14228</f>
        <v>14228</v>
      </c>
      <c r="B14235" s="3" t="s">
        <v>14237</v>
      </c>
      <c r="C14235" s="3" t="s">
        <v>10</v>
      </c>
      <c r="D14235" s="3" t="s">
        <v>9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s="3"/>
      <c r="P14235" s="3"/>
      <c r="Q14235" s="3"/>
    </row>
    <row r="14236" spans="1:17" ht="15" x14ac:dyDescent="0.25">
      <c r="A14236" s="3">
        <f>14229</f>
        <v>14229</v>
      </c>
      <c r="B14236" s="3" t="s">
        <v>14238</v>
      </c>
      <c r="C14236" s="3" t="s">
        <v>10</v>
      </c>
      <c r="D14236" s="3" t="s">
        <v>9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s="3"/>
      <c r="P14236" s="3"/>
      <c r="Q14236" s="3"/>
    </row>
    <row r="14237" spans="1:17" ht="15" x14ac:dyDescent="0.25">
      <c r="A14237" s="3">
        <f>14230</f>
        <v>14230</v>
      </c>
      <c r="B14237" s="3" t="s">
        <v>14239</v>
      </c>
      <c r="C14237" s="3" t="s">
        <v>10</v>
      </c>
      <c r="D14237" s="3" t="s">
        <v>9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/>
      <c r="P14237" s="3"/>
      <c r="Q14237" s="3"/>
    </row>
    <row r="14238" spans="1:17" ht="15" x14ac:dyDescent="0.25">
      <c r="A14238" s="3">
        <f>14231</f>
        <v>14231</v>
      </c>
      <c r="B14238" s="3" t="s">
        <v>14240</v>
      </c>
      <c r="C14238" s="3" t="s">
        <v>10</v>
      </c>
      <c r="D14238" s="3" t="s">
        <v>9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/>
      <c r="P14238" s="3"/>
      <c r="Q14238" s="3"/>
    </row>
    <row r="14239" spans="1:17" ht="15" x14ac:dyDescent="0.25">
      <c r="A14239" s="3">
        <f>14232</f>
        <v>14232</v>
      </c>
      <c r="B14239" s="3" t="s">
        <v>14241</v>
      </c>
      <c r="C14239" s="3" t="s">
        <v>10</v>
      </c>
      <c r="D14239" s="3" t="s">
        <v>9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/>
      <c r="P14239" s="3"/>
      <c r="Q14239" s="3"/>
    </row>
    <row r="14240" spans="1:17" ht="15" x14ac:dyDescent="0.25">
      <c r="A14240" s="3">
        <f>14233</f>
        <v>14233</v>
      </c>
      <c r="B14240" s="3" t="s">
        <v>14242</v>
      </c>
      <c r="C14240" s="3" t="s">
        <v>10</v>
      </c>
      <c r="D14240" s="3" t="s">
        <v>9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s="3"/>
      <c r="P14240" s="3"/>
      <c r="Q14240" s="3"/>
    </row>
    <row r="14241" spans="1:17" ht="15" x14ac:dyDescent="0.25">
      <c r="A14241" s="3">
        <f>14234</f>
        <v>14234</v>
      </c>
      <c r="B14241" s="3" t="s">
        <v>14243</v>
      </c>
      <c r="C14241" s="3" t="s">
        <v>10</v>
      </c>
      <c r="D14241" s="3" t="s">
        <v>9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/>
      <c r="P14241" s="3"/>
      <c r="Q14241" s="3"/>
    </row>
    <row r="14242" spans="1:17" ht="15" x14ac:dyDescent="0.25">
      <c r="A14242" s="3">
        <f>14235</f>
        <v>14235</v>
      </c>
      <c r="B14242" s="3" t="s">
        <v>14244</v>
      </c>
      <c r="C14242" s="3" t="s">
        <v>10</v>
      </c>
      <c r="D14242" s="3" t="s">
        <v>9</v>
      </c>
      <c r="E14242" s="3">
        <v>0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/>
      <c r="P14242" s="3"/>
      <c r="Q14242" s="3"/>
    </row>
    <row r="14243" spans="1:17" ht="15" x14ac:dyDescent="0.25">
      <c r="A14243" s="3">
        <f>14236</f>
        <v>14236</v>
      </c>
      <c r="B14243" s="3" t="s">
        <v>14245</v>
      </c>
      <c r="C14243" s="3" t="s">
        <v>10</v>
      </c>
      <c r="D14243" s="3" t="s">
        <v>9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/>
      <c r="P14243" s="3"/>
      <c r="Q14243" s="3"/>
    </row>
    <row r="14244" spans="1:17" ht="15" x14ac:dyDescent="0.25">
      <c r="A14244" s="3">
        <f>14237</f>
        <v>14237</v>
      </c>
      <c r="B14244" s="3" t="s">
        <v>14246</v>
      </c>
      <c r="C14244" s="3" t="s">
        <v>10</v>
      </c>
      <c r="D14244" s="3" t="s">
        <v>9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s="3"/>
      <c r="P14244" s="3"/>
      <c r="Q14244" s="3"/>
    </row>
    <row r="14245" spans="1:17" ht="15" x14ac:dyDescent="0.25">
      <c r="A14245" s="3">
        <f>14238</f>
        <v>14238</v>
      </c>
      <c r="B14245" s="3" t="s">
        <v>14247</v>
      </c>
      <c r="C14245" s="3" t="s">
        <v>10</v>
      </c>
      <c r="D14245" s="3" t="s">
        <v>9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  <c r="O14245" s="3"/>
      <c r="P14245" s="3"/>
      <c r="Q14245" s="3"/>
    </row>
    <row r="14246" spans="1:17" ht="15" x14ac:dyDescent="0.25">
      <c r="A14246" s="3">
        <f>14239</f>
        <v>14239</v>
      </c>
      <c r="B14246" s="3" t="s">
        <v>14248</v>
      </c>
      <c r="C14246" s="3" t="s">
        <v>10</v>
      </c>
      <c r="D14246" s="3" t="s">
        <v>9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  <c r="O14246" s="3"/>
      <c r="P14246" s="3"/>
      <c r="Q14246" s="3"/>
    </row>
    <row r="14247" spans="1:17" ht="15" x14ac:dyDescent="0.25">
      <c r="A14247" s="3">
        <f>14240</f>
        <v>14240</v>
      </c>
      <c r="B14247" s="3" t="s">
        <v>14249</v>
      </c>
      <c r="C14247" s="3" t="s">
        <v>10</v>
      </c>
      <c r="D14247" s="3" t="s">
        <v>9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/>
      <c r="P14247" s="3"/>
      <c r="Q14247" s="3"/>
    </row>
    <row r="14248" spans="1:17" ht="15" x14ac:dyDescent="0.25">
      <c r="A14248" s="3">
        <f>14241</f>
        <v>14241</v>
      </c>
      <c r="B14248" s="3" t="s">
        <v>14250</v>
      </c>
      <c r="C14248" s="3" t="s">
        <v>9</v>
      </c>
      <c r="D14248" s="3" t="s">
        <v>10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s="3"/>
      <c r="P14248" s="3"/>
      <c r="Q14248" s="3"/>
    </row>
    <row r="14249" spans="1:17" ht="15" x14ac:dyDescent="0.25">
      <c r="A14249" s="3">
        <f>14242</f>
        <v>14242</v>
      </c>
      <c r="B14249" s="3" t="s">
        <v>14251</v>
      </c>
      <c r="C14249" s="3" t="s">
        <v>9</v>
      </c>
      <c r="D14249" s="3" t="s">
        <v>10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s="3"/>
      <c r="P14249" s="3"/>
      <c r="Q14249" s="3"/>
    </row>
    <row r="14250" spans="1:17" ht="15" x14ac:dyDescent="0.25">
      <c r="A14250" s="3">
        <f>14243</f>
        <v>14243</v>
      </c>
      <c r="B14250" s="3" t="s">
        <v>14252</v>
      </c>
      <c r="C14250" s="3" t="s">
        <v>9</v>
      </c>
      <c r="D14250" s="3" t="s">
        <v>10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s="3"/>
      <c r="P14250" s="3"/>
      <c r="Q14250" s="3"/>
    </row>
    <row r="14251" spans="1:17" ht="15" x14ac:dyDescent="0.25">
      <c r="A14251" s="3">
        <f>14244</f>
        <v>14244</v>
      </c>
      <c r="B14251" s="3" t="s">
        <v>14253</v>
      </c>
      <c r="C14251" s="3" t="s">
        <v>9</v>
      </c>
      <c r="D14251" s="3" t="s">
        <v>10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s="3"/>
      <c r="P14251" s="3"/>
      <c r="Q14251" s="3"/>
    </row>
    <row r="14252" spans="1:17" ht="15" x14ac:dyDescent="0.25">
      <c r="A14252" s="3">
        <f>14245</f>
        <v>14245</v>
      </c>
      <c r="B14252" s="3" t="s">
        <v>14254</v>
      </c>
      <c r="C14252" s="3" t="s">
        <v>9</v>
      </c>
      <c r="D14252" s="3" t="s">
        <v>10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s="3"/>
      <c r="P14252" s="3"/>
      <c r="Q14252" s="3"/>
    </row>
    <row r="14253" spans="1:17" ht="15" x14ac:dyDescent="0.25">
      <c r="A14253" s="3">
        <f>14246</f>
        <v>14246</v>
      </c>
      <c r="B14253" s="3" t="s">
        <v>14255</v>
      </c>
      <c r="C14253" s="3" t="s">
        <v>9</v>
      </c>
      <c r="D14253" s="3" t="s">
        <v>10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s="3"/>
      <c r="P14253" s="3"/>
      <c r="Q14253" s="3"/>
    </row>
    <row r="14254" spans="1:17" ht="15" x14ac:dyDescent="0.25">
      <c r="A14254" s="3">
        <f>14247</f>
        <v>14247</v>
      </c>
      <c r="B14254" s="3" t="s">
        <v>14256</v>
      </c>
      <c r="C14254" s="3" t="s">
        <v>9</v>
      </c>
      <c r="D14254" s="3" t="s">
        <v>10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s="3"/>
      <c r="P14254" s="3"/>
      <c r="Q14254" s="3"/>
    </row>
    <row r="14255" spans="1:17" ht="15" x14ac:dyDescent="0.25">
      <c r="A14255" s="3">
        <f>14248</f>
        <v>14248</v>
      </c>
      <c r="B14255" s="3" t="s">
        <v>14257</v>
      </c>
      <c r="C14255" s="3" t="s">
        <v>9</v>
      </c>
      <c r="D14255" s="3" t="s">
        <v>10</v>
      </c>
      <c r="E14255" s="3">
        <v>0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  <c r="O14255" s="3"/>
      <c r="P14255" s="3"/>
      <c r="Q14255" s="3"/>
    </row>
    <row r="14256" spans="1:17" ht="15" x14ac:dyDescent="0.25">
      <c r="A14256" s="3">
        <f>14249</f>
        <v>14249</v>
      </c>
      <c r="B14256" s="3" t="s">
        <v>14258</v>
      </c>
      <c r="C14256" s="3" t="s">
        <v>9</v>
      </c>
      <c r="D14256" s="3" t="s">
        <v>10</v>
      </c>
      <c r="E14256" s="3">
        <v>0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s="3"/>
      <c r="P14256" s="3"/>
      <c r="Q14256" s="3"/>
    </row>
    <row r="14257" spans="1:17" ht="15" x14ac:dyDescent="0.25">
      <c r="A14257" s="3">
        <f>14250</f>
        <v>14250</v>
      </c>
      <c r="B14257" s="3" t="s">
        <v>14259</v>
      </c>
      <c r="C14257" s="3" t="s">
        <v>9</v>
      </c>
      <c r="D14257" s="3" t="s">
        <v>10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s="3"/>
      <c r="P14257" s="3"/>
      <c r="Q14257" s="3"/>
    </row>
    <row r="14258" spans="1:17" ht="15" x14ac:dyDescent="0.25">
      <c r="A14258" s="3">
        <f>14251</f>
        <v>14251</v>
      </c>
      <c r="B14258" s="3" t="s">
        <v>14260</v>
      </c>
      <c r="C14258" s="3" t="s">
        <v>9</v>
      </c>
      <c r="D14258" s="3" t="s">
        <v>10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s="3"/>
      <c r="P14258" s="3"/>
      <c r="Q14258" s="3"/>
    </row>
    <row r="14259" spans="1:17" ht="15" x14ac:dyDescent="0.25">
      <c r="A14259" s="3">
        <f>14252</f>
        <v>14252</v>
      </c>
      <c r="B14259" s="3" t="s">
        <v>14261</v>
      </c>
      <c r="C14259" s="3" t="s">
        <v>9</v>
      </c>
      <c r="D14259" s="3" t="s">
        <v>10</v>
      </c>
      <c r="E14259" s="3">
        <v>0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s="3"/>
      <c r="P14259" s="3"/>
      <c r="Q14259" s="3"/>
    </row>
    <row r="14260" spans="1:17" ht="15" x14ac:dyDescent="0.25">
      <c r="A14260" s="3">
        <f>14253</f>
        <v>14253</v>
      </c>
      <c r="B14260" s="3" t="s">
        <v>14262</v>
      </c>
      <c r="C14260" s="3" t="s">
        <v>9</v>
      </c>
      <c r="D14260" s="3" t="s">
        <v>10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  <c r="O14260" s="3"/>
      <c r="P14260" s="3"/>
      <c r="Q14260" s="3"/>
    </row>
    <row r="14261" spans="1:17" ht="15" x14ac:dyDescent="0.25">
      <c r="A14261" s="3">
        <f>14254</f>
        <v>14254</v>
      </c>
      <c r="B14261" s="3" t="s">
        <v>14263</v>
      </c>
      <c r="C14261" s="3" t="s">
        <v>9</v>
      </c>
      <c r="D14261" s="3" t="s">
        <v>10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s="3"/>
      <c r="P14261" s="3"/>
      <c r="Q14261" s="3"/>
    </row>
    <row r="14262" spans="1:17" ht="15" x14ac:dyDescent="0.25">
      <c r="A14262" s="3">
        <f>14255</f>
        <v>14255</v>
      </c>
      <c r="B14262" s="3" t="s">
        <v>14264</v>
      </c>
      <c r="C14262" s="3" t="s">
        <v>9</v>
      </c>
      <c r="D14262" s="3" t="s">
        <v>10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s="3"/>
      <c r="P14262" s="3"/>
      <c r="Q14262" s="3"/>
    </row>
    <row r="14263" spans="1:17" ht="15" x14ac:dyDescent="0.25">
      <c r="A14263" s="3">
        <f>14256</f>
        <v>14256</v>
      </c>
      <c r="B14263" s="3" t="s">
        <v>14265</v>
      </c>
      <c r="C14263" s="3" t="s">
        <v>9</v>
      </c>
      <c r="D14263" s="3" t="s">
        <v>10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s="3"/>
      <c r="P14263" s="3"/>
      <c r="Q14263" s="3"/>
    </row>
    <row r="14264" spans="1:17" ht="15" x14ac:dyDescent="0.25">
      <c r="A14264" s="3">
        <f>14257</f>
        <v>14257</v>
      </c>
      <c r="B14264" s="3" t="s">
        <v>14266</v>
      </c>
      <c r="C14264" s="3" t="s">
        <v>9</v>
      </c>
      <c r="D14264" s="3" t="s">
        <v>10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/>
      <c r="P14264" s="3"/>
      <c r="Q14264" s="3"/>
    </row>
    <row r="14265" spans="1:17" ht="15" x14ac:dyDescent="0.25">
      <c r="A14265" s="3">
        <f>14258</f>
        <v>14258</v>
      </c>
      <c r="B14265" s="3" t="s">
        <v>14267</v>
      </c>
      <c r="C14265" s="3" t="s">
        <v>9</v>
      </c>
      <c r="D14265" s="3" t="s">
        <v>10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  <c r="O14265" s="3"/>
      <c r="P14265" s="3"/>
      <c r="Q14265" s="3"/>
    </row>
    <row r="14266" spans="1:17" ht="15" x14ac:dyDescent="0.25">
      <c r="A14266" s="3">
        <f>14259</f>
        <v>14259</v>
      </c>
      <c r="B14266" s="3" t="s">
        <v>14268</v>
      </c>
      <c r="C14266" s="3" t="s">
        <v>9</v>
      </c>
      <c r="D14266" s="3" t="s">
        <v>10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  <c r="O14266" s="3"/>
      <c r="P14266" s="3"/>
      <c r="Q14266" s="3"/>
    </row>
    <row r="14267" spans="1:17" ht="15" x14ac:dyDescent="0.25">
      <c r="A14267" s="3">
        <f>14260</f>
        <v>14260</v>
      </c>
      <c r="B14267" s="3" t="s">
        <v>14269</v>
      </c>
      <c r="C14267" s="3" t="s">
        <v>9</v>
      </c>
      <c r="D14267" s="3" t="s">
        <v>10</v>
      </c>
      <c r="E14267" s="3">
        <v>0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s="3"/>
      <c r="P14267" s="3"/>
      <c r="Q14267" s="3"/>
    </row>
    <row r="14268" spans="1:17" ht="15" x14ac:dyDescent="0.25">
      <c r="A14268" s="3">
        <f>14261</f>
        <v>14261</v>
      </c>
      <c r="B14268" s="3" t="s">
        <v>14270</v>
      </c>
      <c r="C14268" s="3" t="s">
        <v>9</v>
      </c>
      <c r="D14268" s="3" t="s">
        <v>10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/>
      <c r="P14268" s="3"/>
      <c r="Q14268" s="3"/>
    </row>
    <row r="14269" spans="1:17" ht="15" x14ac:dyDescent="0.25">
      <c r="A14269" s="3">
        <f>14262</f>
        <v>14262</v>
      </c>
      <c r="B14269" s="3" t="s">
        <v>14271</v>
      </c>
      <c r="C14269" s="3" t="s">
        <v>9</v>
      </c>
      <c r="D14269" s="3" t="s">
        <v>10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/>
      <c r="P14269" s="3"/>
      <c r="Q14269" s="3"/>
    </row>
    <row r="14270" spans="1:17" ht="15" x14ac:dyDescent="0.25">
      <c r="A14270" s="3">
        <f>14263</f>
        <v>14263</v>
      </c>
      <c r="B14270" s="3" t="s">
        <v>14272</v>
      </c>
      <c r="C14270" s="3" t="s">
        <v>9</v>
      </c>
      <c r="D14270" s="3" t="s">
        <v>10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s="3"/>
      <c r="P14270" s="3"/>
      <c r="Q14270" s="3"/>
    </row>
    <row r="14271" spans="1:17" ht="15" x14ac:dyDescent="0.25">
      <c r="A14271" s="3">
        <f>14264</f>
        <v>14264</v>
      </c>
      <c r="B14271" s="3" t="s">
        <v>14273</v>
      </c>
      <c r="C14271" s="3" t="s">
        <v>9</v>
      </c>
      <c r="D14271" s="3" t="s">
        <v>10</v>
      </c>
      <c r="E14271" s="3">
        <v>0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s="3"/>
      <c r="P14271" s="3"/>
      <c r="Q14271" s="3"/>
    </row>
    <row r="14272" spans="1:17" ht="15" x14ac:dyDescent="0.25">
      <c r="A14272" s="3">
        <f>14265</f>
        <v>14265</v>
      </c>
      <c r="B14272" s="3" t="s">
        <v>14274</v>
      </c>
      <c r="C14272" s="3" t="s">
        <v>9</v>
      </c>
      <c r="D14272" s="3" t="s">
        <v>10</v>
      </c>
      <c r="E14272" s="3">
        <v>0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s="3"/>
      <c r="P14272" s="3"/>
      <c r="Q14272" s="3"/>
    </row>
    <row r="14273" spans="1:17" ht="15" x14ac:dyDescent="0.25">
      <c r="A14273" s="3">
        <f>14266</f>
        <v>14266</v>
      </c>
      <c r="B14273" s="3" t="s">
        <v>14275</v>
      </c>
      <c r="C14273" s="3" t="s">
        <v>9</v>
      </c>
      <c r="D14273" s="3" t="s">
        <v>10</v>
      </c>
      <c r="E14273" s="3">
        <v>0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  <c r="O14273" s="3"/>
      <c r="P14273" s="3"/>
      <c r="Q14273" s="3"/>
    </row>
    <row r="14274" spans="1:17" ht="15" x14ac:dyDescent="0.25">
      <c r="A14274" s="3">
        <f>14267</f>
        <v>14267</v>
      </c>
      <c r="B14274" s="3" t="s">
        <v>14276</v>
      </c>
      <c r="C14274" s="3" t="s">
        <v>9</v>
      </c>
      <c r="D14274" s="3" t="s">
        <v>10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  <c r="O14274" s="3"/>
      <c r="P14274" s="3"/>
      <c r="Q14274" s="3"/>
    </row>
    <row r="14275" spans="1:17" ht="15" x14ac:dyDescent="0.25">
      <c r="A14275" s="3">
        <f>14268</f>
        <v>14268</v>
      </c>
      <c r="B14275" s="3" t="s">
        <v>14277</v>
      </c>
      <c r="C14275" s="3" t="s">
        <v>9</v>
      </c>
      <c r="D14275" s="3" t="s">
        <v>10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  <c r="O14275" s="3"/>
      <c r="P14275" s="3"/>
      <c r="Q14275" s="3"/>
    </row>
    <row r="14276" spans="1:17" ht="15" x14ac:dyDescent="0.25">
      <c r="A14276" s="3">
        <f>14269</f>
        <v>14269</v>
      </c>
      <c r="B14276" s="3" t="s">
        <v>14278</v>
      </c>
      <c r="C14276" s="3" t="s">
        <v>9</v>
      </c>
      <c r="D14276" s="3" t="s">
        <v>10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s="3"/>
      <c r="P14276" s="3"/>
      <c r="Q14276" s="3"/>
    </row>
    <row r="14277" spans="1:17" ht="15" x14ac:dyDescent="0.25">
      <c r="A14277" s="3">
        <f>14270</f>
        <v>14270</v>
      </c>
      <c r="B14277" s="3" t="s">
        <v>14279</v>
      </c>
      <c r="C14277" s="3" t="s">
        <v>9</v>
      </c>
      <c r="D14277" s="3" t="s">
        <v>10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/>
      <c r="P14277" s="3"/>
      <c r="Q14277" s="3"/>
    </row>
    <row r="14278" spans="1:17" ht="15" x14ac:dyDescent="0.25">
      <c r="A14278" s="3">
        <f>14271</f>
        <v>14271</v>
      </c>
      <c r="B14278" s="3" t="s">
        <v>14280</v>
      </c>
      <c r="C14278" s="3" t="s">
        <v>9</v>
      </c>
      <c r="D14278" s="3" t="s">
        <v>10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/>
      <c r="P14278" s="3"/>
      <c r="Q14278" s="3"/>
    </row>
    <row r="14279" spans="1:17" ht="15" x14ac:dyDescent="0.25">
      <c r="A14279" s="3">
        <f>14272</f>
        <v>14272</v>
      </c>
      <c r="B14279" s="3" t="s">
        <v>14281</v>
      </c>
      <c r="C14279" s="3" t="s">
        <v>9</v>
      </c>
      <c r="D14279" s="3" t="s">
        <v>10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s="3"/>
      <c r="P14279" s="3"/>
      <c r="Q14279" s="3"/>
    </row>
    <row r="14280" spans="1:17" ht="15" x14ac:dyDescent="0.25">
      <c r="A14280" s="3">
        <f>14273</f>
        <v>14273</v>
      </c>
      <c r="B14280" s="3" t="s">
        <v>14282</v>
      </c>
      <c r="C14280" s="3" t="s">
        <v>9</v>
      </c>
      <c r="D14280" s="3" t="s">
        <v>10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s="3"/>
      <c r="P14280" s="3"/>
      <c r="Q14280" s="3"/>
    </row>
    <row r="14281" spans="1:17" ht="15" x14ac:dyDescent="0.25">
      <c r="A14281" s="3">
        <f>14274</f>
        <v>14274</v>
      </c>
      <c r="B14281" s="3" t="s">
        <v>14283</v>
      </c>
      <c r="C14281" s="3" t="s">
        <v>9</v>
      </c>
      <c r="D14281" s="3" t="s">
        <v>10</v>
      </c>
      <c r="E14281" s="3">
        <v>0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/>
      <c r="P14281" s="3"/>
      <c r="Q14281" s="3"/>
    </row>
    <row r="14282" spans="1:17" ht="15" x14ac:dyDescent="0.25">
      <c r="A14282" s="3">
        <f>14275</f>
        <v>14275</v>
      </c>
      <c r="B14282" s="3" t="s">
        <v>14284</v>
      </c>
      <c r="C14282" s="3" t="s">
        <v>9</v>
      </c>
      <c r="D14282" s="3" t="s">
        <v>10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s="3"/>
      <c r="P14282" s="3"/>
      <c r="Q14282" s="3"/>
    </row>
    <row r="14283" spans="1:17" ht="15" x14ac:dyDescent="0.25">
      <c r="A14283" s="3">
        <f>14276</f>
        <v>14276</v>
      </c>
      <c r="B14283" s="3" t="s">
        <v>14285</v>
      </c>
      <c r="C14283" s="3" t="s">
        <v>9</v>
      </c>
      <c r="D14283" s="3" t="s">
        <v>10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/>
      <c r="P14283" s="3"/>
      <c r="Q14283" s="3"/>
    </row>
    <row r="14284" spans="1:17" ht="15" x14ac:dyDescent="0.25">
      <c r="A14284" s="3">
        <f>14277</f>
        <v>14277</v>
      </c>
      <c r="B14284" s="3" t="s">
        <v>14286</v>
      </c>
      <c r="C14284" s="3" t="s">
        <v>9</v>
      </c>
      <c r="D14284" s="3" t="s">
        <v>10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s="3"/>
      <c r="P14284" s="3"/>
      <c r="Q14284" s="3"/>
    </row>
    <row r="14285" spans="1:17" ht="15" x14ac:dyDescent="0.25">
      <c r="A14285" s="3">
        <f>14278</f>
        <v>14278</v>
      </c>
      <c r="B14285" s="3" t="s">
        <v>14287</v>
      </c>
      <c r="C14285" s="3" t="s">
        <v>10</v>
      </c>
      <c r="D14285" s="3" t="s">
        <v>9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/>
      <c r="P14285" s="3"/>
      <c r="Q14285" s="3"/>
    </row>
    <row r="14286" spans="1:17" ht="15" x14ac:dyDescent="0.25">
      <c r="A14286" s="3">
        <f>14279</f>
        <v>14279</v>
      </c>
      <c r="B14286" s="3" t="s">
        <v>14288</v>
      </c>
      <c r="C14286" s="3" t="s">
        <v>10</v>
      </c>
      <c r="D14286" s="3" t="s">
        <v>9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/>
      <c r="P14286" s="3"/>
      <c r="Q14286" s="3"/>
    </row>
    <row r="14287" spans="1:17" ht="15" x14ac:dyDescent="0.25">
      <c r="A14287" s="3">
        <f>14280</f>
        <v>14280</v>
      </c>
      <c r="B14287" s="3" t="s">
        <v>14289</v>
      </c>
      <c r="C14287" s="3" t="s">
        <v>10</v>
      </c>
      <c r="D14287" s="3" t="s">
        <v>9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s="3"/>
      <c r="P14287" s="3"/>
      <c r="Q14287" s="3"/>
    </row>
    <row r="14288" spans="1:17" ht="15" x14ac:dyDescent="0.25">
      <c r="A14288" s="3">
        <f>14281</f>
        <v>14281</v>
      </c>
      <c r="B14288" s="3" t="s">
        <v>14290</v>
      </c>
      <c r="C14288" s="3" t="s">
        <v>10</v>
      </c>
      <c r="D14288" s="3" t="s">
        <v>9</v>
      </c>
      <c r="E14288" s="3">
        <v>0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/>
      <c r="P14288" s="3"/>
      <c r="Q14288" s="3"/>
    </row>
    <row r="14289" spans="1:17" ht="15" x14ac:dyDescent="0.25">
      <c r="A14289" s="3">
        <f>14282</f>
        <v>14282</v>
      </c>
      <c r="B14289" s="3" t="s">
        <v>14291</v>
      </c>
      <c r="C14289" s="3" t="s">
        <v>10</v>
      </c>
      <c r="D14289" s="3" t="s">
        <v>9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/>
      <c r="P14289" s="3"/>
      <c r="Q14289" s="3"/>
    </row>
    <row r="14290" spans="1:17" ht="15" x14ac:dyDescent="0.25">
      <c r="A14290" s="3">
        <f>14283</f>
        <v>14283</v>
      </c>
      <c r="B14290" s="3" t="s">
        <v>14292</v>
      </c>
      <c r="C14290" s="3" t="s">
        <v>10</v>
      </c>
      <c r="D14290" s="3" t="s">
        <v>9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0</v>
      </c>
      <c r="O14290" s="3"/>
      <c r="P14290" s="3"/>
      <c r="Q14290" s="3"/>
    </row>
    <row r="14291" spans="1:17" ht="15" x14ac:dyDescent="0.25">
      <c r="A14291" s="3">
        <f>14284</f>
        <v>14284</v>
      </c>
      <c r="B14291" s="3" t="s">
        <v>14293</v>
      </c>
      <c r="C14291" s="3" t="s">
        <v>10</v>
      </c>
      <c r="D14291" s="3" t="s">
        <v>9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s="3"/>
      <c r="P14291" s="3"/>
      <c r="Q14291" s="3"/>
    </row>
    <row r="14292" spans="1:17" ht="15" x14ac:dyDescent="0.25">
      <c r="A14292" s="3">
        <f>14285</f>
        <v>14285</v>
      </c>
      <c r="B14292" s="3" t="s">
        <v>14294</v>
      </c>
      <c r="C14292" s="3" t="s">
        <v>10</v>
      </c>
      <c r="D14292" s="3" t="s">
        <v>9</v>
      </c>
      <c r="E14292" s="3">
        <v>0</v>
      </c>
      <c r="F14292" s="3">
        <v>0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3">
        <v>0</v>
      </c>
      <c r="N14292" s="3">
        <v>0</v>
      </c>
      <c r="O14292" s="3"/>
      <c r="P14292" s="3"/>
      <c r="Q14292" s="3"/>
    </row>
    <row r="14293" spans="1:17" ht="15" x14ac:dyDescent="0.25">
      <c r="A14293" s="3">
        <f>14286</f>
        <v>14286</v>
      </c>
      <c r="B14293" s="3" t="s">
        <v>14295</v>
      </c>
      <c r="C14293" s="3" t="s">
        <v>10</v>
      </c>
      <c r="D14293" s="3" t="s">
        <v>9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s="3"/>
      <c r="P14293" s="3"/>
      <c r="Q14293" s="3"/>
    </row>
    <row r="14294" spans="1:17" ht="15" x14ac:dyDescent="0.25">
      <c r="A14294" s="3">
        <f>14287</f>
        <v>14287</v>
      </c>
      <c r="B14294" s="3" t="s">
        <v>14296</v>
      </c>
      <c r="C14294" s="3" t="s">
        <v>10</v>
      </c>
      <c r="D14294" s="3" t="s">
        <v>9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s="3"/>
      <c r="P14294" s="3"/>
      <c r="Q14294" s="3"/>
    </row>
    <row r="14295" spans="1:17" ht="15" x14ac:dyDescent="0.25">
      <c r="A14295" s="3">
        <f>14288</f>
        <v>14288</v>
      </c>
      <c r="B14295" s="3" t="s">
        <v>14297</v>
      </c>
      <c r="C14295" s="3" t="s">
        <v>10</v>
      </c>
      <c r="D14295" s="3" t="s">
        <v>9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/>
      <c r="P14295" s="3"/>
      <c r="Q14295" s="3"/>
    </row>
    <row r="14296" spans="1:17" ht="15" x14ac:dyDescent="0.25">
      <c r="A14296" s="3">
        <f>14289</f>
        <v>14289</v>
      </c>
      <c r="B14296" s="3" t="s">
        <v>14298</v>
      </c>
      <c r="C14296" s="3" t="s">
        <v>10</v>
      </c>
      <c r="D14296" s="3" t="s">
        <v>9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s="3"/>
      <c r="P14296" s="3"/>
      <c r="Q14296" s="3"/>
    </row>
    <row r="14297" spans="1:17" ht="15" x14ac:dyDescent="0.25">
      <c r="A14297" s="3">
        <f>14290</f>
        <v>14290</v>
      </c>
      <c r="B14297" s="3" t="s">
        <v>14299</v>
      </c>
      <c r="C14297" s="3" t="s">
        <v>10</v>
      </c>
      <c r="D14297" s="3" t="s">
        <v>9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/>
      <c r="P14297" s="3"/>
      <c r="Q14297" s="3"/>
    </row>
    <row r="14298" spans="1:17" ht="15" x14ac:dyDescent="0.25">
      <c r="A14298" s="3">
        <f>14291</f>
        <v>14291</v>
      </c>
      <c r="B14298" s="3" t="s">
        <v>14300</v>
      </c>
      <c r="C14298" s="3" t="s">
        <v>10</v>
      </c>
      <c r="D14298" s="3" t="s">
        <v>9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/>
      <c r="P14298" s="3"/>
      <c r="Q14298" s="3"/>
    </row>
    <row r="14299" spans="1:17" ht="15" x14ac:dyDescent="0.25">
      <c r="A14299" s="3">
        <f>14292</f>
        <v>14292</v>
      </c>
      <c r="B14299" s="3" t="s">
        <v>14301</v>
      </c>
      <c r="C14299" s="3" t="s">
        <v>10</v>
      </c>
      <c r="D14299" s="3" t="s">
        <v>9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/>
      <c r="P14299" s="3"/>
      <c r="Q14299" s="3"/>
    </row>
    <row r="14300" spans="1:17" ht="15" x14ac:dyDescent="0.25">
      <c r="A14300" s="3">
        <f>14293</f>
        <v>14293</v>
      </c>
      <c r="B14300" s="3" t="s">
        <v>14302</v>
      </c>
      <c r="C14300" s="3" t="s">
        <v>10</v>
      </c>
      <c r="D14300" s="3" t="s">
        <v>9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s="3"/>
      <c r="P14300" s="3"/>
      <c r="Q14300" s="3"/>
    </row>
    <row r="14301" spans="1:17" ht="15" x14ac:dyDescent="0.25">
      <c r="A14301" s="3">
        <f>14294</f>
        <v>14294</v>
      </c>
      <c r="B14301" s="3" t="s">
        <v>14303</v>
      </c>
      <c r="C14301" s="3" t="s">
        <v>10</v>
      </c>
      <c r="D14301" s="3" t="s">
        <v>9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s="3"/>
      <c r="P14301" s="3"/>
      <c r="Q14301" s="3"/>
    </row>
    <row r="14302" spans="1:17" ht="15" x14ac:dyDescent="0.25">
      <c r="A14302" s="3">
        <f>14295</f>
        <v>14295</v>
      </c>
      <c r="B14302" s="3" t="s">
        <v>14304</v>
      </c>
      <c r="C14302" s="3" t="s">
        <v>10</v>
      </c>
      <c r="D14302" s="3" t="s">
        <v>9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s="3"/>
      <c r="P14302" s="3"/>
      <c r="Q14302" s="3"/>
    </row>
    <row r="14303" spans="1:17" ht="15" x14ac:dyDescent="0.25">
      <c r="A14303" s="3">
        <f>14296</f>
        <v>14296</v>
      </c>
      <c r="B14303" s="3" t="s">
        <v>14305</v>
      </c>
      <c r="C14303" s="3" t="s">
        <v>10</v>
      </c>
      <c r="D14303" s="3" t="s">
        <v>9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s="3"/>
      <c r="P14303" s="3"/>
      <c r="Q14303" s="3"/>
    </row>
    <row r="14304" spans="1:17" ht="15" x14ac:dyDescent="0.25">
      <c r="A14304" s="3">
        <f>14297</f>
        <v>14297</v>
      </c>
      <c r="B14304" s="3" t="s">
        <v>14306</v>
      </c>
      <c r="C14304" s="3" t="s">
        <v>10</v>
      </c>
      <c r="D14304" s="3" t="s">
        <v>9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/>
      <c r="P14304" s="3"/>
      <c r="Q14304" s="3"/>
    </row>
    <row r="14305" spans="1:17" ht="15" x14ac:dyDescent="0.25">
      <c r="A14305" s="3">
        <f>14298</f>
        <v>14298</v>
      </c>
      <c r="B14305" s="3" t="s">
        <v>14307</v>
      </c>
      <c r="C14305" s="3" t="s">
        <v>10</v>
      </c>
      <c r="D14305" s="3" t="s">
        <v>9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s="3"/>
      <c r="P14305" s="3"/>
      <c r="Q14305" s="3"/>
    </row>
    <row r="14306" spans="1:17" ht="15" x14ac:dyDescent="0.25">
      <c r="A14306" s="3">
        <f>14299</f>
        <v>14299</v>
      </c>
      <c r="B14306" s="3" t="s">
        <v>14308</v>
      </c>
      <c r="C14306" s="3" t="s">
        <v>10</v>
      </c>
      <c r="D14306" s="3" t="s">
        <v>9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0</v>
      </c>
      <c r="O14306" s="3"/>
      <c r="P14306" s="3"/>
      <c r="Q14306" s="3"/>
    </row>
    <row r="14307" spans="1:17" ht="15" x14ac:dyDescent="0.25">
      <c r="A14307" s="3">
        <f>14300</f>
        <v>14300</v>
      </c>
      <c r="B14307" s="3" t="s">
        <v>14309</v>
      </c>
      <c r="C14307" s="3" t="s">
        <v>10</v>
      </c>
      <c r="D14307" s="3" t="s">
        <v>9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/>
      <c r="P14307" s="3"/>
      <c r="Q14307" s="3"/>
    </row>
    <row r="14308" spans="1:17" ht="15" x14ac:dyDescent="0.25">
      <c r="A14308" s="3">
        <f>14301</f>
        <v>14301</v>
      </c>
      <c r="B14308" s="3" t="s">
        <v>14310</v>
      </c>
      <c r="C14308" s="3" t="s">
        <v>10</v>
      </c>
      <c r="D14308" s="3" t="s">
        <v>9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/>
      <c r="P14308" s="3"/>
      <c r="Q14308" s="3"/>
    </row>
    <row r="14309" spans="1:17" ht="15" x14ac:dyDescent="0.25">
      <c r="A14309" s="3">
        <f>14302</f>
        <v>14302</v>
      </c>
      <c r="B14309" s="3" t="s">
        <v>14311</v>
      </c>
      <c r="C14309" s="3" t="s">
        <v>10</v>
      </c>
      <c r="D14309" s="3" t="s">
        <v>9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s="3"/>
      <c r="P14309" s="3"/>
      <c r="Q14309" s="3"/>
    </row>
    <row r="14310" spans="1:17" ht="15" x14ac:dyDescent="0.25">
      <c r="A14310" s="3">
        <f>14303</f>
        <v>14303</v>
      </c>
      <c r="B14310" s="3" t="s">
        <v>14312</v>
      </c>
      <c r="C14310" s="3" t="s">
        <v>10</v>
      </c>
      <c r="D14310" s="3" t="s">
        <v>9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s="3"/>
      <c r="P14310" s="3"/>
      <c r="Q14310" s="3"/>
    </row>
    <row r="14311" spans="1:17" ht="15" x14ac:dyDescent="0.25">
      <c r="A14311" s="3">
        <f>14304</f>
        <v>14304</v>
      </c>
      <c r="B14311" s="3" t="s">
        <v>14313</v>
      </c>
      <c r="C14311" s="3" t="s">
        <v>10</v>
      </c>
      <c r="D14311" s="3" t="s">
        <v>9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/>
      <c r="P14311" s="3"/>
      <c r="Q14311" s="3"/>
    </row>
    <row r="14312" spans="1:17" ht="15" x14ac:dyDescent="0.25">
      <c r="A14312" s="3">
        <f>14305</f>
        <v>14305</v>
      </c>
      <c r="B14312" s="3" t="s">
        <v>14314</v>
      </c>
      <c r="C14312" s="3" t="s">
        <v>10</v>
      </c>
      <c r="D14312" s="3" t="s">
        <v>9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s="3"/>
      <c r="P14312" s="3"/>
      <c r="Q14312" s="3"/>
    </row>
    <row r="14313" spans="1:17" ht="15" x14ac:dyDescent="0.25">
      <c r="A14313" s="3">
        <f>14306</f>
        <v>14306</v>
      </c>
      <c r="B14313" s="3" t="s">
        <v>14315</v>
      </c>
      <c r="C14313" s="3" t="s">
        <v>10</v>
      </c>
      <c r="D14313" s="3" t="s">
        <v>9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/>
      <c r="P14313" s="3"/>
      <c r="Q14313" s="3"/>
    </row>
    <row r="14314" spans="1:17" ht="15" x14ac:dyDescent="0.25">
      <c r="A14314" s="3">
        <f>14307</f>
        <v>14307</v>
      </c>
      <c r="B14314" s="3" t="s">
        <v>14316</v>
      </c>
      <c r="C14314" s="3" t="s">
        <v>10</v>
      </c>
      <c r="D14314" s="3" t="s">
        <v>9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/>
      <c r="P14314" s="3"/>
      <c r="Q14314" s="3"/>
    </row>
    <row r="14315" spans="1:17" ht="15" x14ac:dyDescent="0.25">
      <c r="A14315" s="3">
        <f>14308</f>
        <v>14308</v>
      </c>
      <c r="B14315" s="3" t="s">
        <v>14317</v>
      </c>
      <c r="C14315" s="3" t="s">
        <v>10</v>
      </c>
      <c r="D14315" s="3" t="s">
        <v>9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/>
      <c r="P14315" s="3"/>
      <c r="Q14315" s="3"/>
    </row>
    <row r="14316" spans="1:17" ht="15" x14ac:dyDescent="0.25">
      <c r="A14316" s="3">
        <f>14309</f>
        <v>14309</v>
      </c>
      <c r="B14316" s="3" t="s">
        <v>14318</v>
      </c>
      <c r="C14316" s="3" t="s">
        <v>10</v>
      </c>
      <c r="D14316" s="3" t="s">
        <v>9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s="3"/>
      <c r="P14316" s="3"/>
      <c r="Q14316" s="3"/>
    </row>
    <row r="14317" spans="1:17" ht="15" x14ac:dyDescent="0.25">
      <c r="A14317" s="3">
        <f>14310</f>
        <v>14310</v>
      </c>
      <c r="B14317" s="3" t="s">
        <v>14319</v>
      </c>
      <c r="C14317" s="3" t="s">
        <v>10</v>
      </c>
      <c r="D14317" s="3" t="s">
        <v>9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/>
      <c r="P14317" s="3"/>
      <c r="Q14317" s="3"/>
    </row>
    <row r="14318" spans="1:17" ht="15" x14ac:dyDescent="0.25">
      <c r="A14318" s="3">
        <f>14311</f>
        <v>14311</v>
      </c>
      <c r="B14318" s="3" t="s">
        <v>14320</v>
      </c>
      <c r="C14318" s="3" t="s">
        <v>10</v>
      </c>
      <c r="D14318" s="3" t="s">
        <v>9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/>
      <c r="P14318" s="3"/>
      <c r="Q14318" s="3"/>
    </row>
    <row r="14319" spans="1:17" ht="15" x14ac:dyDescent="0.25">
      <c r="A14319" s="3">
        <f>14312</f>
        <v>14312</v>
      </c>
      <c r="B14319" s="3" t="s">
        <v>14321</v>
      </c>
      <c r="C14319" s="3" t="s">
        <v>10</v>
      </c>
      <c r="D14319" s="3" t="s">
        <v>9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0</v>
      </c>
      <c r="O14319" s="3"/>
      <c r="P14319" s="3"/>
      <c r="Q14319" s="3"/>
    </row>
    <row r="14320" spans="1:17" ht="15" x14ac:dyDescent="0.25">
      <c r="A14320" s="3">
        <f>14313</f>
        <v>14313</v>
      </c>
      <c r="B14320" s="3" t="s">
        <v>14322</v>
      </c>
      <c r="C14320" s="3" t="s">
        <v>10</v>
      </c>
      <c r="D14320" s="3" t="s">
        <v>9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/>
      <c r="P14320" s="3"/>
      <c r="Q14320" s="3"/>
    </row>
    <row r="14321" spans="1:17" ht="15" x14ac:dyDescent="0.25">
      <c r="A14321" s="3">
        <f>14314</f>
        <v>14314</v>
      </c>
      <c r="B14321" s="3" t="s">
        <v>14323</v>
      </c>
      <c r="C14321" s="3" t="s">
        <v>10</v>
      </c>
      <c r="D14321" s="3" t="s">
        <v>9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/>
      <c r="P14321" s="3"/>
      <c r="Q14321" s="3"/>
    </row>
    <row r="14322" spans="1:17" ht="15" x14ac:dyDescent="0.25">
      <c r="A14322" s="3">
        <f>14315</f>
        <v>14315</v>
      </c>
      <c r="B14322" s="3" t="s">
        <v>14324</v>
      </c>
      <c r="C14322" s="3" t="s">
        <v>10</v>
      </c>
      <c r="D14322" s="3" t="s">
        <v>9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/>
      <c r="P14322" s="3"/>
      <c r="Q14322" s="3"/>
    </row>
    <row r="14323" spans="1:17" ht="15" x14ac:dyDescent="0.25">
      <c r="A14323" s="3">
        <f>14316</f>
        <v>14316</v>
      </c>
      <c r="B14323" s="3" t="s">
        <v>14325</v>
      </c>
      <c r="C14323" s="3" t="s">
        <v>10</v>
      </c>
      <c r="D14323" s="3" t="s">
        <v>9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/>
      <c r="P14323" s="3"/>
      <c r="Q14323" s="3"/>
    </row>
    <row r="14324" spans="1:17" ht="15" x14ac:dyDescent="0.25">
      <c r="A14324" s="3">
        <f>14317</f>
        <v>14317</v>
      </c>
      <c r="B14324" s="3" t="s">
        <v>14326</v>
      </c>
      <c r="C14324" s="3" t="s">
        <v>10</v>
      </c>
      <c r="D14324" s="3" t="s">
        <v>9</v>
      </c>
      <c r="E14324" s="3">
        <v>0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s="3"/>
      <c r="P14324" s="3"/>
      <c r="Q14324" s="3"/>
    </row>
    <row r="14325" spans="1:17" ht="15" x14ac:dyDescent="0.25">
      <c r="A14325" s="3">
        <f>14318</f>
        <v>14318</v>
      </c>
      <c r="B14325" s="3" t="s">
        <v>14327</v>
      </c>
      <c r="C14325" s="3" t="s">
        <v>10</v>
      </c>
      <c r="D14325" s="3" t="s">
        <v>9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/>
      <c r="P14325" s="3"/>
      <c r="Q14325" s="3"/>
    </row>
    <row r="14326" spans="1:17" ht="15" x14ac:dyDescent="0.25">
      <c r="A14326" s="3">
        <f>14319</f>
        <v>14319</v>
      </c>
      <c r="B14326" s="3" t="s">
        <v>14328</v>
      </c>
      <c r="C14326" s="3" t="s">
        <v>10</v>
      </c>
      <c r="D14326" s="3" t="s">
        <v>9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/>
      <c r="P14326" s="3"/>
      <c r="Q14326" s="3"/>
    </row>
    <row r="14327" spans="1:17" ht="15" x14ac:dyDescent="0.25">
      <c r="A14327" s="3">
        <f>14320</f>
        <v>14320</v>
      </c>
      <c r="B14327" s="3" t="s">
        <v>14329</v>
      </c>
      <c r="C14327" s="3" t="s">
        <v>10</v>
      </c>
      <c r="D14327" s="3" t="s">
        <v>9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s="3"/>
      <c r="P14327" s="3"/>
      <c r="Q14327" s="3"/>
    </row>
    <row r="14328" spans="1:17" ht="15" x14ac:dyDescent="0.25">
      <c r="A14328" s="3">
        <f>14321</f>
        <v>14321</v>
      </c>
      <c r="B14328" s="3" t="s">
        <v>14330</v>
      </c>
      <c r="C14328" s="3" t="s">
        <v>10</v>
      </c>
      <c r="D14328" s="3" t="s">
        <v>9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/>
      <c r="P14328" s="3"/>
      <c r="Q14328" s="3"/>
    </row>
    <row r="14329" spans="1:17" ht="15" x14ac:dyDescent="0.25">
      <c r="A14329" s="3">
        <f>14322</f>
        <v>14322</v>
      </c>
      <c r="B14329" s="3" t="s">
        <v>14331</v>
      </c>
      <c r="C14329" s="3" t="s">
        <v>10</v>
      </c>
      <c r="D14329" s="3" t="s">
        <v>9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/>
      <c r="P14329" s="3"/>
      <c r="Q14329" s="3"/>
    </row>
    <row r="14330" spans="1:17" ht="15" x14ac:dyDescent="0.25">
      <c r="A14330" s="3">
        <f>14323</f>
        <v>14323</v>
      </c>
      <c r="B14330" s="3" t="s">
        <v>14332</v>
      </c>
      <c r="C14330" s="3" t="s">
        <v>10</v>
      </c>
      <c r="D14330" s="3" t="s">
        <v>9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/>
      <c r="P14330" s="3"/>
      <c r="Q14330" s="3"/>
    </row>
    <row r="14331" spans="1:17" ht="15" x14ac:dyDescent="0.25">
      <c r="A14331" s="3">
        <f>14324</f>
        <v>14324</v>
      </c>
      <c r="B14331" s="3" t="s">
        <v>14333</v>
      </c>
      <c r="C14331" s="3" t="s">
        <v>10</v>
      </c>
      <c r="D14331" s="3" t="s">
        <v>9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/>
      <c r="P14331" s="3"/>
      <c r="Q14331" s="3"/>
    </row>
    <row r="14332" spans="1:17" ht="15" x14ac:dyDescent="0.25">
      <c r="A14332" s="3">
        <f>14325</f>
        <v>14325</v>
      </c>
      <c r="B14332" s="3" t="s">
        <v>14334</v>
      </c>
      <c r="C14332" s="3" t="s">
        <v>10</v>
      </c>
      <c r="D14332" s="3" t="s">
        <v>9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/>
      <c r="P14332" s="3"/>
      <c r="Q14332" s="3"/>
    </row>
    <row r="14333" spans="1:17" ht="15" x14ac:dyDescent="0.25">
      <c r="A14333" s="3">
        <f>14326</f>
        <v>14326</v>
      </c>
      <c r="B14333" s="3" t="s">
        <v>14335</v>
      </c>
      <c r="C14333" s="3" t="s">
        <v>10</v>
      </c>
      <c r="D14333" s="3" t="s">
        <v>9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/>
      <c r="P14333" s="3"/>
      <c r="Q14333" s="3"/>
    </row>
    <row r="14334" spans="1:17" ht="15" x14ac:dyDescent="0.25">
      <c r="A14334" s="3">
        <f>14327</f>
        <v>14327</v>
      </c>
      <c r="B14334" s="3" t="s">
        <v>14336</v>
      </c>
      <c r="C14334" s="3" t="s">
        <v>10</v>
      </c>
      <c r="D14334" s="3" t="s">
        <v>9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s="3"/>
      <c r="P14334" s="3"/>
      <c r="Q14334" s="3"/>
    </row>
    <row r="14335" spans="1:17" ht="15" x14ac:dyDescent="0.25">
      <c r="A14335" s="3">
        <f>14328</f>
        <v>14328</v>
      </c>
      <c r="B14335" s="3" t="s">
        <v>14337</v>
      </c>
      <c r="C14335" s="3" t="s">
        <v>10</v>
      </c>
      <c r="D14335" s="3" t="s">
        <v>9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/>
      <c r="P14335" s="3"/>
      <c r="Q14335" s="3"/>
    </row>
    <row r="14336" spans="1:17" ht="15" x14ac:dyDescent="0.25">
      <c r="A14336" s="3">
        <f>14329</f>
        <v>14329</v>
      </c>
      <c r="B14336" s="3" t="s">
        <v>14338</v>
      </c>
      <c r="C14336" s="3" t="s">
        <v>10</v>
      </c>
      <c r="D14336" s="3" t="s">
        <v>9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s="3"/>
      <c r="P14336" s="3"/>
      <c r="Q14336" s="3"/>
    </row>
    <row r="14337" spans="1:17" ht="15" x14ac:dyDescent="0.25">
      <c r="A14337" s="3">
        <f>14330</f>
        <v>14330</v>
      </c>
      <c r="B14337" s="3" t="s">
        <v>14339</v>
      </c>
      <c r="C14337" s="3" t="s">
        <v>10</v>
      </c>
      <c r="D14337" s="3" t="s">
        <v>9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0</v>
      </c>
      <c r="O14337" s="3"/>
      <c r="P14337" s="3"/>
      <c r="Q14337" s="3"/>
    </row>
    <row r="14338" spans="1:17" ht="15" x14ac:dyDescent="0.25">
      <c r="A14338" s="3">
        <f>14331</f>
        <v>14331</v>
      </c>
      <c r="B14338" s="3" t="s">
        <v>14340</v>
      </c>
      <c r="C14338" s="3" t="s">
        <v>10</v>
      </c>
      <c r="D14338" s="3" t="s">
        <v>9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>
        <v>0</v>
      </c>
      <c r="O14338" s="3"/>
      <c r="P14338" s="3"/>
      <c r="Q14338" s="3"/>
    </row>
    <row r="14339" spans="1:17" ht="15" x14ac:dyDescent="0.25">
      <c r="A14339" s="3">
        <f>14332</f>
        <v>14332</v>
      </c>
      <c r="B14339" s="3" t="s">
        <v>14341</v>
      </c>
      <c r="C14339" s="3" t="s">
        <v>10</v>
      </c>
      <c r="D14339" s="3" t="s">
        <v>9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  <c r="O14339" s="3"/>
      <c r="P14339" s="3"/>
      <c r="Q14339" s="3"/>
    </row>
    <row r="14340" spans="1:17" ht="15" x14ac:dyDescent="0.25">
      <c r="A14340" s="3">
        <f>14333</f>
        <v>14333</v>
      </c>
      <c r="B14340" s="3" t="s">
        <v>14342</v>
      </c>
      <c r="C14340" s="3" t="s">
        <v>10</v>
      </c>
      <c r="D14340" s="3" t="s">
        <v>9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0</v>
      </c>
      <c r="O14340" s="3"/>
      <c r="P14340" s="3"/>
      <c r="Q14340" s="3"/>
    </row>
    <row r="14341" spans="1:17" ht="15" x14ac:dyDescent="0.25">
      <c r="A14341" s="3">
        <f>14334</f>
        <v>14334</v>
      </c>
      <c r="B14341" s="3" t="s">
        <v>14343</v>
      </c>
      <c r="C14341" s="3" t="s">
        <v>10</v>
      </c>
      <c r="D14341" s="3" t="s">
        <v>9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0</v>
      </c>
      <c r="O14341" s="3"/>
      <c r="P14341" s="3"/>
      <c r="Q14341" s="3"/>
    </row>
    <row r="14342" spans="1:17" ht="15" x14ac:dyDescent="0.25">
      <c r="A14342" s="3">
        <f>14335</f>
        <v>14335</v>
      </c>
      <c r="B14342" s="3" t="s">
        <v>14344</v>
      </c>
      <c r="C14342" s="3" t="s">
        <v>10</v>
      </c>
      <c r="D14342" s="3" t="s">
        <v>9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  <c r="O14342" s="3"/>
      <c r="P14342" s="3"/>
      <c r="Q14342" s="3"/>
    </row>
    <row r="14343" spans="1:17" ht="15" x14ac:dyDescent="0.25">
      <c r="A14343" s="3">
        <f>14336</f>
        <v>14336</v>
      </c>
      <c r="B14343" s="3" t="s">
        <v>14345</v>
      </c>
      <c r="C14343" s="3" t="s">
        <v>10</v>
      </c>
      <c r="D14343" s="3" t="s">
        <v>9</v>
      </c>
      <c r="E14343" s="3">
        <v>0</v>
      </c>
      <c r="F14343" s="3">
        <v>0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  <c r="O14343" s="3"/>
      <c r="P14343" s="3"/>
      <c r="Q14343" s="3"/>
    </row>
    <row r="14344" spans="1:17" ht="15" x14ac:dyDescent="0.25">
      <c r="A14344" s="3">
        <f>14337</f>
        <v>14337</v>
      </c>
      <c r="B14344" s="3" t="s">
        <v>14346</v>
      </c>
      <c r="C14344" s="3" t="s">
        <v>10</v>
      </c>
      <c r="D14344" s="3" t="s">
        <v>9</v>
      </c>
      <c r="E14344" s="3">
        <v>0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>
        <v>0</v>
      </c>
      <c r="O14344" s="3"/>
      <c r="P14344" s="3"/>
      <c r="Q14344" s="3"/>
    </row>
    <row r="14345" spans="1:17" ht="15" x14ac:dyDescent="0.25">
      <c r="A14345" s="3">
        <f>14338</f>
        <v>14338</v>
      </c>
      <c r="B14345" s="3" t="s">
        <v>14347</v>
      </c>
      <c r="C14345" s="3" t="s">
        <v>10</v>
      </c>
      <c r="D14345" s="3" t="s">
        <v>9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0</v>
      </c>
      <c r="O14345" s="3"/>
      <c r="P14345" s="3"/>
      <c r="Q14345" s="3"/>
    </row>
    <row r="14346" spans="1:17" ht="15" x14ac:dyDescent="0.25">
      <c r="A14346" s="3">
        <f>14339</f>
        <v>14339</v>
      </c>
      <c r="B14346" s="3" t="s">
        <v>14348</v>
      </c>
      <c r="C14346" s="3" t="s">
        <v>10</v>
      </c>
      <c r="D14346" s="3" t="s">
        <v>9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/>
      <c r="P14346" s="3"/>
      <c r="Q14346" s="3"/>
    </row>
    <row r="14347" spans="1:17" ht="15" x14ac:dyDescent="0.25">
      <c r="A14347" s="3">
        <f>14340</f>
        <v>14340</v>
      </c>
      <c r="B14347" s="3" t="s">
        <v>14349</v>
      </c>
      <c r="C14347" s="3" t="s">
        <v>10</v>
      </c>
      <c r="D14347" s="3" t="s">
        <v>9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/>
      <c r="P14347" s="3"/>
      <c r="Q14347" s="3"/>
    </row>
    <row r="14348" spans="1:17" ht="15" x14ac:dyDescent="0.25">
      <c r="A14348" s="3">
        <f>14341</f>
        <v>14341</v>
      </c>
      <c r="B14348" s="3" t="s">
        <v>14350</v>
      </c>
      <c r="C14348" s="3" t="s">
        <v>10</v>
      </c>
      <c r="D14348" s="3" t="s">
        <v>9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s="3"/>
      <c r="P14348" s="3"/>
      <c r="Q14348" s="3"/>
    </row>
    <row r="14349" spans="1:17" ht="15" x14ac:dyDescent="0.25">
      <c r="A14349" s="3">
        <f>14342</f>
        <v>14342</v>
      </c>
      <c r="B14349" s="3" t="s">
        <v>14351</v>
      </c>
      <c r="C14349" s="3" t="s">
        <v>10</v>
      </c>
      <c r="D14349" s="3" t="s">
        <v>9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s="3"/>
      <c r="P14349" s="3"/>
      <c r="Q14349" s="3"/>
    </row>
    <row r="14350" spans="1:17" ht="15" x14ac:dyDescent="0.25">
      <c r="A14350" s="3">
        <f>14343</f>
        <v>14343</v>
      </c>
      <c r="B14350" s="3" t="s">
        <v>14352</v>
      </c>
      <c r="C14350" s="3" t="s">
        <v>10</v>
      </c>
      <c r="D14350" s="3" t="s">
        <v>9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/>
      <c r="P14350" s="3"/>
      <c r="Q14350" s="3"/>
    </row>
    <row r="14351" spans="1:17" ht="15" x14ac:dyDescent="0.25">
      <c r="A14351" s="3">
        <f>14344</f>
        <v>14344</v>
      </c>
      <c r="B14351" s="3" t="s">
        <v>14353</v>
      </c>
      <c r="C14351" s="3" t="s">
        <v>10</v>
      </c>
      <c r="D14351" s="3" t="s">
        <v>9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/>
      <c r="P14351" s="3"/>
      <c r="Q14351" s="3"/>
    </row>
    <row r="14352" spans="1:17" ht="15" x14ac:dyDescent="0.25">
      <c r="A14352" s="3">
        <f>14345</f>
        <v>14345</v>
      </c>
      <c r="B14352" s="3" t="s">
        <v>14354</v>
      </c>
      <c r="C14352" s="3" t="s">
        <v>10</v>
      </c>
      <c r="D14352" s="3" t="s">
        <v>9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/>
      <c r="P14352" s="3"/>
      <c r="Q14352" s="3"/>
    </row>
    <row r="14353" spans="1:17" ht="15" x14ac:dyDescent="0.25">
      <c r="A14353" s="3">
        <f>14346</f>
        <v>14346</v>
      </c>
      <c r="B14353" s="3" t="s">
        <v>14355</v>
      </c>
      <c r="C14353" s="3" t="s">
        <v>10</v>
      </c>
      <c r="D14353" s="3" t="s">
        <v>9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s="3"/>
      <c r="P14353" s="3"/>
      <c r="Q14353" s="3"/>
    </row>
    <row r="14354" spans="1:17" ht="15" x14ac:dyDescent="0.25">
      <c r="A14354" s="3">
        <f>14347</f>
        <v>14347</v>
      </c>
      <c r="B14354" s="3" t="s">
        <v>14356</v>
      </c>
      <c r="C14354" s="3" t="s">
        <v>10</v>
      </c>
      <c r="D14354" s="3" t="s">
        <v>9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s="3"/>
      <c r="P14354" s="3"/>
      <c r="Q14354" s="3"/>
    </row>
    <row r="14355" spans="1:17" ht="15" x14ac:dyDescent="0.25">
      <c r="A14355" s="3">
        <f>14348</f>
        <v>14348</v>
      </c>
      <c r="B14355" s="3" t="s">
        <v>14357</v>
      </c>
      <c r="C14355" s="3" t="s">
        <v>10</v>
      </c>
      <c r="D14355" s="3" t="s">
        <v>9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s="3"/>
      <c r="P14355" s="3"/>
      <c r="Q14355" s="3"/>
    </row>
    <row r="14356" spans="1:17" ht="15" x14ac:dyDescent="0.25">
      <c r="A14356" s="3">
        <f>14349</f>
        <v>14349</v>
      </c>
      <c r="B14356" s="3" t="s">
        <v>14358</v>
      </c>
      <c r="C14356" s="3" t="s">
        <v>10</v>
      </c>
      <c r="D14356" s="3" t="s">
        <v>9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/>
      <c r="P14356" s="3"/>
      <c r="Q14356" s="3"/>
    </row>
    <row r="14357" spans="1:17" ht="15" x14ac:dyDescent="0.25">
      <c r="A14357" s="3">
        <f>14350</f>
        <v>14350</v>
      </c>
      <c r="B14357" s="3" t="s">
        <v>14359</v>
      </c>
      <c r="C14357" s="3" t="s">
        <v>10</v>
      </c>
      <c r="D14357" s="3" t="s">
        <v>9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s="3"/>
      <c r="P14357" s="3"/>
      <c r="Q14357" s="3"/>
    </row>
    <row r="14358" spans="1:17" ht="15" x14ac:dyDescent="0.25">
      <c r="A14358" s="3">
        <f>14351</f>
        <v>14351</v>
      </c>
      <c r="B14358" s="3" t="s">
        <v>14360</v>
      </c>
      <c r="C14358" s="3" t="s">
        <v>10</v>
      </c>
      <c r="D14358" s="3" t="s">
        <v>9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s="3"/>
      <c r="P14358" s="3"/>
      <c r="Q14358" s="3"/>
    </row>
    <row r="14359" spans="1:17" ht="15" x14ac:dyDescent="0.25">
      <c r="A14359" s="3">
        <f>14352</f>
        <v>14352</v>
      </c>
      <c r="B14359" s="3" t="s">
        <v>14361</v>
      </c>
      <c r="C14359" s="3" t="s">
        <v>10</v>
      </c>
      <c r="D14359" s="3" t="s">
        <v>9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/>
      <c r="P14359" s="3"/>
      <c r="Q14359" s="3"/>
    </row>
    <row r="14360" spans="1:17" ht="15" x14ac:dyDescent="0.25">
      <c r="A14360" s="3">
        <f>14353</f>
        <v>14353</v>
      </c>
      <c r="B14360" s="3" t="s">
        <v>14362</v>
      </c>
      <c r="C14360" s="3" t="s">
        <v>10</v>
      </c>
      <c r="D14360" s="3" t="s">
        <v>9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s="3"/>
      <c r="P14360" s="3"/>
      <c r="Q14360" s="3"/>
    </row>
    <row r="14361" spans="1:17" ht="15" x14ac:dyDescent="0.25">
      <c r="A14361" s="3">
        <f>14354</f>
        <v>14354</v>
      </c>
      <c r="B14361" s="3" t="s">
        <v>14363</v>
      </c>
      <c r="C14361" s="3" t="s">
        <v>10</v>
      </c>
      <c r="D14361" s="3" t="s">
        <v>9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s="3"/>
      <c r="P14361" s="3"/>
      <c r="Q14361" s="3"/>
    </row>
    <row r="14362" spans="1:17" ht="15" x14ac:dyDescent="0.25">
      <c r="A14362" s="3">
        <f>14355</f>
        <v>14355</v>
      </c>
      <c r="B14362" s="3" t="s">
        <v>14364</v>
      </c>
      <c r="C14362" s="3" t="s">
        <v>10</v>
      </c>
      <c r="D14362" s="3" t="s">
        <v>9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0</v>
      </c>
      <c r="O14362" s="3"/>
      <c r="P14362" s="3"/>
      <c r="Q14362" s="3"/>
    </row>
    <row r="14363" spans="1:17" ht="15" x14ac:dyDescent="0.25">
      <c r="A14363" s="3">
        <f>14356</f>
        <v>14356</v>
      </c>
      <c r="B14363" s="3" t="s">
        <v>14365</v>
      </c>
      <c r="C14363" s="3" t="s">
        <v>10</v>
      </c>
      <c r="D14363" s="3" t="s">
        <v>9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s="3"/>
      <c r="P14363" s="3"/>
      <c r="Q14363" s="3"/>
    </row>
    <row r="14364" spans="1:17" ht="15" x14ac:dyDescent="0.25">
      <c r="A14364" s="3">
        <f>14357</f>
        <v>14357</v>
      </c>
      <c r="B14364" s="3" t="s">
        <v>14366</v>
      </c>
      <c r="C14364" s="3" t="s">
        <v>10</v>
      </c>
      <c r="D14364" s="3" t="s">
        <v>9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/>
      <c r="P14364" s="3"/>
      <c r="Q14364" s="3"/>
    </row>
    <row r="14365" spans="1:17" ht="15" x14ac:dyDescent="0.25">
      <c r="A14365" s="3">
        <f>14358</f>
        <v>14358</v>
      </c>
      <c r="B14365" s="3" t="s">
        <v>14367</v>
      </c>
      <c r="C14365" s="3" t="s">
        <v>10</v>
      </c>
      <c r="D14365" s="3" t="s">
        <v>9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/>
      <c r="P14365" s="3"/>
      <c r="Q14365" s="3"/>
    </row>
    <row r="14366" spans="1:17" ht="15" x14ac:dyDescent="0.25">
      <c r="A14366" s="3">
        <f>14359</f>
        <v>14359</v>
      </c>
      <c r="B14366" s="3" t="s">
        <v>14368</v>
      </c>
      <c r="C14366" s="3" t="s">
        <v>10</v>
      </c>
      <c r="D14366" s="3" t="s">
        <v>9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s="3"/>
      <c r="P14366" s="3"/>
      <c r="Q14366" s="3"/>
    </row>
    <row r="14367" spans="1:17" ht="15" x14ac:dyDescent="0.25">
      <c r="A14367" s="3">
        <f>14360</f>
        <v>14360</v>
      </c>
      <c r="B14367" s="3" t="s">
        <v>14369</v>
      </c>
      <c r="C14367" s="3" t="s">
        <v>10</v>
      </c>
      <c r="D14367" s="3" t="s">
        <v>9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/>
      <c r="P14367" s="3"/>
      <c r="Q14367" s="3"/>
    </row>
    <row r="14368" spans="1:17" ht="15" x14ac:dyDescent="0.25">
      <c r="A14368" s="3">
        <f>14361</f>
        <v>14361</v>
      </c>
      <c r="B14368" s="3" t="s">
        <v>14370</v>
      </c>
      <c r="C14368" s="3" t="s">
        <v>10</v>
      </c>
      <c r="D14368" s="3" t="s">
        <v>9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/>
      <c r="P14368" s="3"/>
      <c r="Q14368" s="3"/>
    </row>
    <row r="14369" spans="1:17" ht="15" x14ac:dyDescent="0.25">
      <c r="A14369" s="3">
        <f>14362</f>
        <v>14362</v>
      </c>
      <c r="B14369" s="3" t="s">
        <v>14371</v>
      </c>
      <c r="C14369" s="3" t="s">
        <v>10</v>
      </c>
      <c r="D14369" s="3" t="s">
        <v>9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  <c r="O14369" s="3"/>
      <c r="P14369" s="3"/>
      <c r="Q14369" s="3"/>
    </row>
    <row r="14370" spans="1:17" ht="15" x14ac:dyDescent="0.25">
      <c r="A14370" s="3">
        <f>14363</f>
        <v>14363</v>
      </c>
      <c r="B14370" s="3" t="s">
        <v>14372</v>
      </c>
      <c r="C14370" s="3" t="s">
        <v>10</v>
      </c>
      <c r="D14370" s="3" t="s">
        <v>9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s="3"/>
      <c r="P14370" s="3"/>
      <c r="Q14370" s="3"/>
    </row>
    <row r="14371" spans="1:17" ht="15" x14ac:dyDescent="0.25">
      <c r="A14371" s="3">
        <f>14364</f>
        <v>14364</v>
      </c>
      <c r="B14371" s="3" t="s">
        <v>14373</v>
      </c>
      <c r="C14371" s="3" t="s">
        <v>10</v>
      </c>
      <c r="D14371" s="3" t="s">
        <v>9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s="3"/>
      <c r="P14371" s="3"/>
      <c r="Q14371" s="3"/>
    </row>
    <row r="14372" spans="1:17" ht="15" x14ac:dyDescent="0.25">
      <c r="A14372" s="3">
        <f>14365</f>
        <v>14365</v>
      </c>
      <c r="B14372" s="3" t="s">
        <v>14374</v>
      </c>
      <c r="C14372" s="3" t="s">
        <v>10</v>
      </c>
      <c r="D14372" s="3" t="s">
        <v>9</v>
      </c>
      <c r="E14372" s="3">
        <v>0</v>
      </c>
      <c r="F14372" s="3">
        <v>0</v>
      </c>
      <c r="G14372" s="3">
        <v>0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s="3"/>
      <c r="P14372" s="3"/>
      <c r="Q14372" s="3"/>
    </row>
    <row r="14373" spans="1:17" ht="15" x14ac:dyDescent="0.25">
      <c r="A14373" s="3">
        <f>14366</f>
        <v>14366</v>
      </c>
      <c r="B14373" s="3" t="s">
        <v>14375</v>
      </c>
      <c r="C14373" s="3" t="s">
        <v>10</v>
      </c>
      <c r="D14373" s="3" t="s">
        <v>9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s="3"/>
      <c r="P14373" s="3"/>
      <c r="Q14373" s="3"/>
    </row>
    <row r="14374" spans="1:17" ht="15" x14ac:dyDescent="0.25">
      <c r="A14374" s="3">
        <f>14367</f>
        <v>14367</v>
      </c>
      <c r="B14374" s="3" t="s">
        <v>14376</v>
      </c>
      <c r="C14374" s="3" t="s">
        <v>10</v>
      </c>
      <c r="D14374" s="3" t="s">
        <v>9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s="3"/>
      <c r="P14374" s="3"/>
      <c r="Q14374" s="3"/>
    </row>
    <row r="14375" spans="1:17" ht="15" x14ac:dyDescent="0.25">
      <c r="A14375" s="3">
        <f>14368</f>
        <v>14368</v>
      </c>
      <c r="B14375" s="3" t="s">
        <v>14377</v>
      </c>
      <c r="C14375" s="3" t="s">
        <v>10</v>
      </c>
      <c r="D14375" s="3" t="s">
        <v>9</v>
      </c>
      <c r="E14375" s="3">
        <v>0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  <c r="O14375" s="3"/>
      <c r="P14375" s="3"/>
      <c r="Q14375" s="3"/>
    </row>
    <row r="14376" spans="1:17" ht="15" x14ac:dyDescent="0.25">
      <c r="A14376" s="3">
        <f>14369</f>
        <v>14369</v>
      </c>
      <c r="B14376" s="3" t="s">
        <v>14378</v>
      </c>
      <c r="C14376" s="3" t="s">
        <v>10</v>
      </c>
      <c r="D14376" s="3" t="s">
        <v>9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/>
      <c r="P14376" s="3"/>
      <c r="Q14376" s="3"/>
    </row>
    <row r="14377" spans="1:17" ht="15" x14ac:dyDescent="0.25">
      <c r="A14377" s="3">
        <f>14370</f>
        <v>14370</v>
      </c>
      <c r="B14377" s="3" t="s">
        <v>14379</v>
      </c>
      <c r="C14377" s="3" t="s">
        <v>10</v>
      </c>
      <c r="D14377" s="3" t="s">
        <v>9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s="3"/>
      <c r="P14377" s="3"/>
      <c r="Q14377" s="3"/>
    </row>
    <row r="14378" spans="1:17" ht="15" x14ac:dyDescent="0.25">
      <c r="A14378" s="3">
        <f>14371</f>
        <v>14371</v>
      </c>
      <c r="B14378" s="3" t="s">
        <v>14380</v>
      </c>
      <c r="C14378" s="3" t="s">
        <v>10</v>
      </c>
      <c r="D14378" s="3" t="s">
        <v>9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s="3"/>
      <c r="P14378" s="3"/>
      <c r="Q14378" s="3"/>
    </row>
    <row r="14379" spans="1:17" ht="15" x14ac:dyDescent="0.25">
      <c r="A14379" s="3">
        <f>14372</f>
        <v>14372</v>
      </c>
      <c r="B14379" s="3" t="s">
        <v>14381</v>
      </c>
      <c r="C14379" s="3" t="s">
        <v>10</v>
      </c>
      <c r="D14379" s="3" t="s">
        <v>9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/>
      <c r="P14379" s="3"/>
      <c r="Q14379" s="3"/>
    </row>
    <row r="14380" spans="1:17" ht="15" x14ac:dyDescent="0.25">
      <c r="A14380" s="3">
        <f>14373</f>
        <v>14373</v>
      </c>
      <c r="B14380" s="3" t="s">
        <v>14382</v>
      </c>
      <c r="C14380" s="3" t="s">
        <v>10</v>
      </c>
      <c r="D14380" s="3" t="s">
        <v>9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/>
      <c r="P14380" s="3"/>
      <c r="Q14380" s="3"/>
    </row>
    <row r="14381" spans="1:17" ht="15" x14ac:dyDescent="0.25">
      <c r="A14381" s="3">
        <f>14374</f>
        <v>14374</v>
      </c>
      <c r="B14381" s="3" t="s">
        <v>14383</v>
      </c>
      <c r="C14381" s="3" t="s">
        <v>10</v>
      </c>
      <c r="D14381" s="3" t="s">
        <v>9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/>
      <c r="P14381" s="3"/>
      <c r="Q14381" s="3"/>
    </row>
    <row r="14382" spans="1:17" ht="15" x14ac:dyDescent="0.25">
      <c r="A14382" s="3">
        <f>14375</f>
        <v>14375</v>
      </c>
      <c r="B14382" s="3" t="s">
        <v>14384</v>
      </c>
      <c r="C14382" s="3" t="s">
        <v>10</v>
      </c>
      <c r="D14382" s="3" t="s">
        <v>9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s="3"/>
      <c r="P14382" s="3"/>
      <c r="Q14382" s="3"/>
    </row>
    <row r="14383" spans="1:17" ht="15" x14ac:dyDescent="0.25">
      <c r="A14383" s="3">
        <f>14376</f>
        <v>14376</v>
      </c>
      <c r="B14383" s="3" t="s">
        <v>14385</v>
      </c>
      <c r="C14383" s="3" t="s">
        <v>10</v>
      </c>
      <c r="D14383" s="3" t="s">
        <v>9</v>
      </c>
      <c r="E14383" s="3">
        <v>0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s="3"/>
      <c r="P14383" s="3"/>
      <c r="Q14383" s="3"/>
    </row>
    <row r="14384" spans="1:17" ht="15" x14ac:dyDescent="0.25">
      <c r="A14384" s="3">
        <f>14377</f>
        <v>14377</v>
      </c>
      <c r="B14384" s="3" t="s">
        <v>14386</v>
      </c>
      <c r="C14384" s="3" t="s">
        <v>10</v>
      </c>
      <c r="D14384" s="3" t="s">
        <v>9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0</v>
      </c>
      <c r="O14384" s="3"/>
      <c r="P14384" s="3"/>
      <c r="Q14384" s="3"/>
    </row>
    <row r="14385" spans="1:17" ht="15" x14ac:dyDescent="0.25">
      <c r="A14385" s="3">
        <f>14378</f>
        <v>14378</v>
      </c>
      <c r="B14385" s="3" t="s">
        <v>14387</v>
      </c>
      <c r="C14385" s="3" t="s">
        <v>10</v>
      </c>
      <c r="D14385" s="3" t="s">
        <v>9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0</v>
      </c>
      <c r="O14385" s="3"/>
      <c r="P14385" s="3"/>
      <c r="Q14385" s="3"/>
    </row>
    <row r="14386" spans="1:17" ht="15" x14ac:dyDescent="0.25">
      <c r="A14386" s="3">
        <f>14379</f>
        <v>14379</v>
      </c>
      <c r="B14386" s="3" t="s">
        <v>14388</v>
      </c>
      <c r="C14386" s="3" t="s">
        <v>10</v>
      </c>
      <c r="D14386" s="3" t="s">
        <v>9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0</v>
      </c>
      <c r="O14386" s="3"/>
      <c r="P14386" s="3"/>
      <c r="Q14386" s="3"/>
    </row>
    <row r="14387" spans="1:17" ht="15" x14ac:dyDescent="0.25">
      <c r="A14387" s="3">
        <f>14380</f>
        <v>14380</v>
      </c>
      <c r="B14387" s="3" t="s">
        <v>14389</v>
      </c>
      <c r="C14387" s="3" t="s">
        <v>10</v>
      </c>
      <c r="D14387" s="3" t="s">
        <v>9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s="3"/>
      <c r="P14387" s="3"/>
      <c r="Q14387" s="3"/>
    </row>
    <row r="14388" spans="1:17" ht="15" x14ac:dyDescent="0.25">
      <c r="A14388" s="3">
        <f>14381</f>
        <v>14381</v>
      </c>
      <c r="B14388" s="3" t="s">
        <v>14390</v>
      </c>
      <c r="C14388" s="3" t="s">
        <v>10</v>
      </c>
      <c r="D14388" s="3" t="s">
        <v>9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s="3"/>
      <c r="P14388" s="3"/>
      <c r="Q14388" s="3"/>
    </row>
    <row r="14389" spans="1:17" ht="15" x14ac:dyDescent="0.25">
      <c r="A14389" s="3">
        <f>14382</f>
        <v>14382</v>
      </c>
      <c r="B14389" s="3" t="s">
        <v>14391</v>
      </c>
      <c r="C14389" s="3" t="s">
        <v>10</v>
      </c>
      <c r="D14389" s="3" t="s">
        <v>9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/>
      <c r="P14389" s="3"/>
      <c r="Q14389" s="3"/>
    </row>
    <row r="14390" spans="1:17" ht="15" x14ac:dyDescent="0.25">
      <c r="A14390" s="3">
        <f>14383</f>
        <v>14383</v>
      </c>
      <c r="B14390" s="3" t="s">
        <v>14392</v>
      </c>
      <c r="C14390" s="3" t="s">
        <v>10</v>
      </c>
      <c r="D14390" s="3" t="s">
        <v>9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0</v>
      </c>
      <c r="O14390" s="3"/>
      <c r="P14390" s="3"/>
      <c r="Q14390" s="3"/>
    </row>
    <row r="14391" spans="1:17" ht="15" x14ac:dyDescent="0.25">
      <c r="A14391" s="3">
        <f>14384</f>
        <v>14384</v>
      </c>
      <c r="B14391" s="3" t="s">
        <v>14393</v>
      </c>
      <c r="C14391" s="3" t="s">
        <v>10</v>
      </c>
      <c r="D14391" s="3" t="s">
        <v>9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  <c r="O14391" s="3"/>
      <c r="P14391" s="3"/>
      <c r="Q14391" s="3"/>
    </row>
    <row r="14392" spans="1:17" ht="15" x14ac:dyDescent="0.25">
      <c r="A14392" s="3">
        <f>14385</f>
        <v>14385</v>
      </c>
      <c r="B14392" s="3" t="s">
        <v>14394</v>
      </c>
      <c r="C14392" s="3" t="s">
        <v>10</v>
      </c>
      <c r="D14392" s="3" t="s">
        <v>9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s="3"/>
      <c r="P14392" s="3"/>
      <c r="Q14392" s="3"/>
    </row>
    <row r="14393" spans="1:17" ht="15" x14ac:dyDescent="0.25">
      <c r="A14393" s="3">
        <f>14386</f>
        <v>14386</v>
      </c>
      <c r="B14393" s="3" t="s">
        <v>14395</v>
      </c>
      <c r="C14393" s="3" t="s">
        <v>10</v>
      </c>
      <c r="D14393" s="3" t="s">
        <v>9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s="3"/>
      <c r="P14393" s="3"/>
      <c r="Q14393" s="3"/>
    </row>
    <row r="14394" spans="1:17" ht="15" x14ac:dyDescent="0.25">
      <c r="A14394" s="3">
        <f>14387</f>
        <v>14387</v>
      </c>
      <c r="B14394" s="3" t="s">
        <v>14396</v>
      </c>
      <c r="C14394" s="3" t="s">
        <v>10</v>
      </c>
      <c r="D14394" s="3" t="s">
        <v>9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0</v>
      </c>
      <c r="O14394" s="3"/>
      <c r="P14394" s="3"/>
      <c r="Q14394" s="3"/>
    </row>
    <row r="14395" spans="1:17" ht="15" x14ac:dyDescent="0.25">
      <c r="A14395" s="3">
        <f>14388</f>
        <v>14388</v>
      </c>
      <c r="B14395" s="3" t="s">
        <v>14397</v>
      </c>
      <c r="C14395" s="3" t="s">
        <v>10</v>
      </c>
      <c r="D14395" s="3" t="s">
        <v>9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/>
      <c r="P14395" s="3"/>
      <c r="Q14395" s="3"/>
    </row>
    <row r="14396" spans="1:17" ht="15" x14ac:dyDescent="0.25">
      <c r="A14396" s="3">
        <f>14389</f>
        <v>14389</v>
      </c>
      <c r="B14396" s="3" t="s">
        <v>14398</v>
      </c>
      <c r="C14396" s="3" t="s">
        <v>10</v>
      </c>
      <c r="D14396" s="3" t="s">
        <v>9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/>
      <c r="P14396" s="3"/>
      <c r="Q14396" s="3"/>
    </row>
    <row r="14397" spans="1:17" ht="15" x14ac:dyDescent="0.25">
      <c r="A14397" s="3">
        <f>14390</f>
        <v>14390</v>
      </c>
      <c r="B14397" s="3" t="s">
        <v>14399</v>
      </c>
      <c r="C14397" s="3" t="s">
        <v>10</v>
      </c>
      <c r="D14397" s="3" t="s">
        <v>9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s="3"/>
      <c r="P14397" s="3"/>
      <c r="Q14397" s="3"/>
    </row>
    <row r="14398" spans="1:17" ht="15" x14ac:dyDescent="0.25">
      <c r="A14398" s="3">
        <f>14391</f>
        <v>14391</v>
      </c>
      <c r="B14398" s="3" t="s">
        <v>14400</v>
      </c>
      <c r="C14398" s="3" t="s">
        <v>10</v>
      </c>
      <c r="D14398" s="3" t="s">
        <v>9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s="3"/>
      <c r="P14398" s="3"/>
      <c r="Q14398" s="3"/>
    </row>
    <row r="14399" spans="1:17" ht="15" x14ac:dyDescent="0.25">
      <c r="A14399" s="3">
        <f>14392</f>
        <v>14392</v>
      </c>
      <c r="B14399" s="3" t="s">
        <v>14401</v>
      </c>
      <c r="C14399" s="3" t="s">
        <v>10</v>
      </c>
      <c r="D14399" s="3" t="s">
        <v>9</v>
      </c>
      <c r="E14399" s="3">
        <v>0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/>
      <c r="P14399" s="3"/>
      <c r="Q14399" s="3"/>
    </row>
    <row r="14400" spans="1:17" ht="15" x14ac:dyDescent="0.25">
      <c r="A14400" s="3">
        <f>14393</f>
        <v>14393</v>
      </c>
      <c r="B14400" s="3" t="s">
        <v>14402</v>
      </c>
      <c r="C14400" s="3" t="s">
        <v>10</v>
      </c>
      <c r="D14400" s="3" t="s">
        <v>9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s="3"/>
      <c r="P14400" s="3"/>
      <c r="Q14400" s="3"/>
    </row>
    <row r="14401" spans="1:17" ht="15" x14ac:dyDescent="0.25">
      <c r="A14401" s="3">
        <f>14394</f>
        <v>14394</v>
      </c>
      <c r="B14401" s="3" t="s">
        <v>14403</v>
      </c>
      <c r="C14401" s="3" t="s">
        <v>10</v>
      </c>
      <c r="D14401" s="3" t="s">
        <v>9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  <c r="O14401" s="3"/>
      <c r="P14401" s="3"/>
      <c r="Q14401" s="3"/>
    </row>
    <row r="14402" spans="1:17" ht="15" x14ac:dyDescent="0.25">
      <c r="A14402" s="3">
        <f>14395</f>
        <v>14395</v>
      </c>
      <c r="B14402" s="3" t="s">
        <v>14404</v>
      </c>
      <c r="C14402" s="3" t="s">
        <v>10</v>
      </c>
      <c r="D14402" s="3" t="s">
        <v>9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s="3"/>
      <c r="P14402" s="3"/>
      <c r="Q14402" s="3"/>
    </row>
    <row r="14403" spans="1:17" ht="15" x14ac:dyDescent="0.25">
      <c r="A14403" s="3">
        <f>14396</f>
        <v>14396</v>
      </c>
      <c r="B14403" s="3" t="s">
        <v>14405</v>
      </c>
      <c r="C14403" s="3" t="s">
        <v>10</v>
      </c>
      <c r="D14403" s="3" t="s">
        <v>9</v>
      </c>
      <c r="E14403" s="3">
        <v>0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s="3"/>
      <c r="P14403" s="3"/>
      <c r="Q14403" s="3"/>
    </row>
    <row r="14404" spans="1:17" ht="15" x14ac:dyDescent="0.25">
      <c r="A14404" s="3">
        <f>14397</f>
        <v>14397</v>
      </c>
      <c r="B14404" s="3" t="s">
        <v>14406</v>
      </c>
      <c r="C14404" s="3" t="s">
        <v>10</v>
      </c>
      <c r="D14404" s="3" t="s">
        <v>9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s="3"/>
      <c r="P14404" s="3"/>
      <c r="Q14404" s="3"/>
    </row>
    <row r="14405" spans="1:17" ht="15" x14ac:dyDescent="0.25">
      <c r="A14405" s="3">
        <f>14398</f>
        <v>14398</v>
      </c>
      <c r="B14405" s="3" t="s">
        <v>14407</v>
      </c>
      <c r="C14405" s="3" t="s">
        <v>10</v>
      </c>
      <c r="D14405" s="3" t="s">
        <v>9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/>
      <c r="P14405" s="3"/>
      <c r="Q14405" s="3"/>
    </row>
    <row r="14406" spans="1:17" ht="15" x14ac:dyDescent="0.25">
      <c r="A14406" s="3">
        <f>14399</f>
        <v>14399</v>
      </c>
      <c r="B14406" s="3" t="s">
        <v>14408</v>
      </c>
      <c r="C14406" s="3" t="s">
        <v>10</v>
      </c>
      <c r="D14406" s="3" t="s">
        <v>9</v>
      </c>
      <c r="E14406" s="3">
        <v>0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s="3"/>
      <c r="P14406" s="3"/>
      <c r="Q14406" s="3"/>
    </row>
    <row r="14407" spans="1:17" ht="15" x14ac:dyDescent="0.25">
      <c r="A14407" s="3">
        <f>14400</f>
        <v>14400</v>
      </c>
      <c r="B14407" s="3" t="s">
        <v>14409</v>
      </c>
      <c r="C14407" s="3" t="s">
        <v>10</v>
      </c>
      <c r="D14407" s="3" t="s">
        <v>9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s="3"/>
      <c r="P14407" s="3"/>
      <c r="Q14407" s="3"/>
    </row>
    <row r="14408" spans="1:17" ht="15" x14ac:dyDescent="0.25">
      <c r="A14408" s="3">
        <f>14401</f>
        <v>14401</v>
      </c>
      <c r="B14408" s="3" t="s">
        <v>14410</v>
      </c>
      <c r="C14408" s="3" t="s">
        <v>10</v>
      </c>
      <c r="D14408" s="3" t="s">
        <v>9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/>
      <c r="P14408" s="3"/>
      <c r="Q14408" s="3"/>
    </row>
    <row r="14409" spans="1:17" ht="15" x14ac:dyDescent="0.25">
      <c r="A14409" s="3">
        <f>14402</f>
        <v>14402</v>
      </c>
      <c r="B14409" s="3" t="s">
        <v>14411</v>
      </c>
      <c r="C14409" s="3" t="s">
        <v>10</v>
      </c>
      <c r="D14409" s="3" t="s">
        <v>9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/>
      <c r="P14409" s="3"/>
      <c r="Q14409" s="3"/>
    </row>
    <row r="14410" spans="1:17" ht="15" x14ac:dyDescent="0.25">
      <c r="A14410" s="3">
        <f>14403</f>
        <v>14403</v>
      </c>
      <c r="B14410" s="3" t="s">
        <v>14412</v>
      </c>
      <c r="C14410" s="3" t="s">
        <v>10</v>
      </c>
      <c r="D14410" s="3" t="s">
        <v>9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s="3"/>
      <c r="P14410" s="3"/>
      <c r="Q14410" s="3"/>
    </row>
    <row r="14411" spans="1:17" ht="15" x14ac:dyDescent="0.25">
      <c r="A14411" s="3">
        <f>14404</f>
        <v>14404</v>
      </c>
      <c r="B14411" s="3" t="s">
        <v>14413</v>
      </c>
      <c r="C14411" s="3" t="s">
        <v>10</v>
      </c>
      <c r="D14411" s="3" t="s">
        <v>9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s="3"/>
      <c r="P14411" s="3"/>
      <c r="Q14411" s="3"/>
    </row>
    <row r="14412" spans="1:17" ht="15" x14ac:dyDescent="0.25">
      <c r="A14412" s="3">
        <f>14405</f>
        <v>14405</v>
      </c>
      <c r="B14412" s="3" t="s">
        <v>14414</v>
      </c>
      <c r="C14412" s="3" t="s">
        <v>10</v>
      </c>
      <c r="D14412" s="3" t="s">
        <v>9</v>
      </c>
      <c r="E14412" s="3">
        <v>0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  <c r="O14412" s="3"/>
      <c r="P14412" s="3"/>
      <c r="Q14412" s="3"/>
    </row>
    <row r="14413" spans="1:17" ht="15" x14ac:dyDescent="0.25">
      <c r="A14413" s="3">
        <f>14406</f>
        <v>14406</v>
      </c>
      <c r="B14413" s="3" t="s">
        <v>14415</v>
      </c>
      <c r="C14413" s="3" t="s">
        <v>10</v>
      </c>
      <c r="D14413" s="3" t="s">
        <v>9</v>
      </c>
      <c r="E14413" s="3">
        <v>0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s="3"/>
      <c r="P14413" s="3"/>
      <c r="Q14413" s="3"/>
    </row>
    <row r="14414" spans="1:17" ht="15" x14ac:dyDescent="0.25">
      <c r="A14414" s="3">
        <f>14407</f>
        <v>14407</v>
      </c>
      <c r="B14414" s="3" t="s">
        <v>14416</v>
      </c>
      <c r="C14414" s="3" t="s">
        <v>10</v>
      </c>
      <c r="D14414" s="3" t="s">
        <v>9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s="3"/>
      <c r="P14414" s="3"/>
      <c r="Q14414" s="3"/>
    </row>
    <row r="14415" spans="1:17" ht="15" x14ac:dyDescent="0.25">
      <c r="A14415" s="3">
        <f>14408</f>
        <v>14408</v>
      </c>
      <c r="B14415" s="3" t="s">
        <v>14417</v>
      </c>
      <c r="C14415" s="3" t="s">
        <v>10</v>
      </c>
      <c r="D14415" s="3" t="s">
        <v>9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/>
      <c r="P14415" s="3"/>
      <c r="Q14415" s="3"/>
    </row>
    <row r="14416" spans="1:17" ht="15" x14ac:dyDescent="0.25">
      <c r="A14416" s="3">
        <f>14409</f>
        <v>14409</v>
      </c>
      <c r="B14416" s="3" t="s">
        <v>14418</v>
      </c>
      <c r="C14416" s="3" t="s">
        <v>10</v>
      </c>
      <c r="D14416" s="3" t="s">
        <v>9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s="3"/>
      <c r="P14416" s="3"/>
      <c r="Q14416" s="3"/>
    </row>
    <row r="14417" spans="1:17" ht="15" x14ac:dyDescent="0.25">
      <c r="A14417" s="3">
        <f>14410</f>
        <v>14410</v>
      </c>
      <c r="B14417" s="3" t="s">
        <v>14419</v>
      </c>
      <c r="C14417" s="3" t="s">
        <v>10</v>
      </c>
      <c r="D14417" s="3" t="s">
        <v>9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s="3"/>
      <c r="P14417" s="3"/>
      <c r="Q14417" s="3"/>
    </row>
    <row r="14418" spans="1:17" ht="15" x14ac:dyDescent="0.25">
      <c r="A14418" s="3">
        <f>14411</f>
        <v>14411</v>
      </c>
      <c r="B14418" s="3" t="s">
        <v>14420</v>
      </c>
      <c r="C14418" s="3" t="s">
        <v>10</v>
      </c>
      <c r="D14418" s="3" t="s">
        <v>9</v>
      </c>
      <c r="E14418" s="3">
        <v>0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  <c r="O14418" s="3"/>
      <c r="P14418" s="3"/>
      <c r="Q14418" s="3"/>
    </row>
    <row r="14419" spans="1:17" ht="15" x14ac:dyDescent="0.25">
      <c r="A14419" s="3">
        <f>14412</f>
        <v>14412</v>
      </c>
      <c r="B14419" s="3" t="s">
        <v>14421</v>
      </c>
      <c r="C14419" s="3" t="s">
        <v>10</v>
      </c>
      <c r="D14419" s="3" t="s">
        <v>9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/>
      <c r="P14419" s="3"/>
      <c r="Q14419" s="3"/>
    </row>
    <row r="14420" spans="1:17" ht="15" x14ac:dyDescent="0.25">
      <c r="A14420" s="3">
        <f>14413</f>
        <v>14413</v>
      </c>
      <c r="B14420" s="3" t="s">
        <v>14422</v>
      </c>
      <c r="C14420" s="3" t="s">
        <v>10</v>
      </c>
      <c r="D14420" s="3" t="s">
        <v>9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/>
      <c r="P14420" s="3"/>
      <c r="Q14420" s="3"/>
    </row>
    <row r="14421" spans="1:17" ht="15" x14ac:dyDescent="0.25">
      <c r="A14421" s="3">
        <f>14414</f>
        <v>14414</v>
      </c>
      <c r="B14421" s="3" t="s">
        <v>14423</v>
      </c>
      <c r="C14421" s="3" t="s">
        <v>10</v>
      </c>
      <c r="D14421" s="3" t="s">
        <v>9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0</v>
      </c>
      <c r="O14421" s="3"/>
      <c r="P14421" s="3"/>
      <c r="Q14421" s="3"/>
    </row>
    <row r="14422" spans="1:17" ht="15" x14ac:dyDescent="0.25">
      <c r="A14422" s="3">
        <f>14415</f>
        <v>14415</v>
      </c>
      <c r="B14422" s="3" t="s">
        <v>14424</v>
      </c>
      <c r="C14422" s="3" t="s">
        <v>10</v>
      </c>
      <c r="D14422" s="3" t="s">
        <v>9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/>
      <c r="P14422" s="3"/>
      <c r="Q14422" s="3"/>
    </row>
    <row r="14423" spans="1:17" ht="15" x14ac:dyDescent="0.25">
      <c r="A14423" s="3">
        <f>14416</f>
        <v>14416</v>
      </c>
      <c r="B14423" s="3" t="s">
        <v>14425</v>
      </c>
      <c r="C14423" s="3" t="s">
        <v>10</v>
      </c>
      <c r="D14423" s="3" t="s">
        <v>9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s="3"/>
      <c r="P14423" s="3"/>
      <c r="Q14423" s="3"/>
    </row>
    <row r="14424" spans="1:17" ht="15" x14ac:dyDescent="0.25">
      <c r="A14424" s="3">
        <f>14417</f>
        <v>14417</v>
      </c>
      <c r="B14424" s="3" t="s">
        <v>14426</v>
      </c>
      <c r="C14424" s="3" t="s">
        <v>10</v>
      </c>
      <c r="D14424" s="3" t="s">
        <v>9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/>
      <c r="P14424" s="3"/>
      <c r="Q14424" s="3"/>
    </row>
    <row r="14425" spans="1:17" ht="15" x14ac:dyDescent="0.25">
      <c r="A14425" s="3">
        <f>14418</f>
        <v>14418</v>
      </c>
      <c r="B14425" s="3" t="s">
        <v>14427</v>
      </c>
      <c r="C14425" s="3" t="s">
        <v>10</v>
      </c>
      <c r="D14425" s="3" t="s">
        <v>9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/>
      <c r="P14425" s="3"/>
      <c r="Q14425" s="3"/>
    </row>
    <row r="14426" spans="1:17" ht="15" x14ac:dyDescent="0.25">
      <c r="A14426" s="3">
        <f>14419</f>
        <v>14419</v>
      </c>
      <c r="B14426" s="3" t="s">
        <v>14428</v>
      </c>
      <c r="C14426" s="3" t="s">
        <v>10</v>
      </c>
      <c r="D14426" s="3" t="s">
        <v>9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s="3"/>
      <c r="P14426" s="3"/>
      <c r="Q14426" s="3"/>
    </row>
    <row r="14427" spans="1:17" ht="15" x14ac:dyDescent="0.25">
      <c r="A14427" s="3">
        <f>14420</f>
        <v>14420</v>
      </c>
      <c r="B14427" s="3" t="s">
        <v>14429</v>
      </c>
      <c r="C14427" s="3" t="s">
        <v>10</v>
      </c>
      <c r="D14427" s="3" t="s">
        <v>9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/>
      <c r="P14427" s="3"/>
      <c r="Q14427" s="3"/>
    </row>
    <row r="14428" spans="1:17" ht="15" x14ac:dyDescent="0.25">
      <c r="A14428" s="3">
        <f>14421</f>
        <v>14421</v>
      </c>
      <c r="B14428" s="3" t="s">
        <v>14430</v>
      </c>
      <c r="C14428" s="3" t="s">
        <v>10</v>
      </c>
      <c r="D14428" s="3" t="s">
        <v>9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/>
      <c r="P14428" s="3"/>
      <c r="Q14428" s="3"/>
    </row>
    <row r="14429" spans="1:17" ht="15" x14ac:dyDescent="0.25">
      <c r="A14429" s="3">
        <f>14422</f>
        <v>14422</v>
      </c>
      <c r="B14429" s="3" t="s">
        <v>14431</v>
      </c>
      <c r="C14429" s="3" t="s">
        <v>10</v>
      </c>
      <c r="D14429" s="3" t="s">
        <v>9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/>
      <c r="P14429" s="3"/>
      <c r="Q14429" s="3"/>
    </row>
    <row r="14430" spans="1:17" ht="15" x14ac:dyDescent="0.25">
      <c r="A14430" s="3">
        <f>14423</f>
        <v>14423</v>
      </c>
      <c r="B14430" s="3" t="s">
        <v>14432</v>
      </c>
      <c r="C14430" s="3" t="s">
        <v>10</v>
      </c>
      <c r="D14430" s="3" t="s">
        <v>9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s="3"/>
      <c r="P14430" s="3"/>
      <c r="Q14430" s="3"/>
    </row>
    <row r="14431" spans="1:17" ht="15" x14ac:dyDescent="0.25">
      <c r="A14431" s="3">
        <f>14424</f>
        <v>14424</v>
      </c>
      <c r="B14431" s="3" t="s">
        <v>14433</v>
      </c>
      <c r="C14431" s="3" t="s">
        <v>10</v>
      </c>
      <c r="D14431" s="3" t="s">
        <v>9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/>
      <c r="P14431" s="3"/>
      <c r="Q14431" s="3"/>
    </row>
    <row r="14432" spans="1:17" ht="15" x14ac:dyDescent="0.25">
      <c r="A14432" s="3">
        <f>14425</f>
        <v>14425</v>
      </c>
      <c r="B14432" s="3" t="s">
        <v>14434</v>
      </c>
      <c r="C14432" s="3" t="s">
        <v>10</v>
      </c>
      <c r="D14432" s="3" t="s">
        <v>9</v>
      </c>
      <c r="E14432" s="3">
        <v>0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  <c r="O14432" s="3"/>
      <c r="P14432" s="3"/>
      <c r="Q14432" s="3"/>
    </row>
    <row r="14433" spans="1:17" ht="15" x14ac:dyDescent="0.25">
      <c r="A14433" s="3">
        <f>14426</f>
        <v>14426</v>
      </c>
      <c r="B14433" s="3" t="s">
        <v>14435</v>
      </c>
      <c r="C14433" s="3" t="s">
        <v>10</v>
      </c>
      <c r="D14433" s="3" t="s">
        <v>9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s="3"/>
      <c r="P14433" s="3"/>
      <c r="Q14433" s="3"/>
    </row>
    <row r="14434" spans="1:17" ht="15" x14ac:dyDescent="0.25">
      <c r="A14434" s="3">
        <f>14427</f>
        <v>14427</v>
      </c>
      <c r="B14434" s="3" t="s">
        <v>14436</v>
      </c>
      <c r="C14434" s="3" t="s">
        <v>10</v>
      </c>
      <c r="D14434" s="3" t="s">
        <v>9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0</v>
      </c>
      <c r="O14434" s="3"/>
      <c r="P14434" s="3"/>
      <c r="Q14434" s="3"/>
    </row>
    <row r="14435" spans="1:17" ht="15" x14ac:dyDescent="0.25">
      <c r="A14435" s="3">
        <f>14428</f>
        <v>14428</v>
      </c>
      <c r="B14435" s="3" t="s">
        <v>14437</v>
      </c>
      <c r="C14435" s="3" t="s">
        <v>10</v>
      </c>
      <c r="D14435" s="3" t="s">
        <v>9</v>
      </c>
      <c r="E14435" s="3">
        <v>0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s="3"/>
      <c r="P14435" s="3"/>
      <c r="Q14435" s="3"/>
    </row>
    <row r="14436" spans="1:17" ht="15" x14ac:dyDescent="0.25">
      <c r="A14436" s="3">
        <f>14429</f>
        <v>14429</v>
      </c>
      <c r="B14436" s="3" t="s">
        <v>14438</v>
      </c>
      <c r="C14436" s="3" t="s">
        <v>10</v>
      </c>
      <c r="D14436" s="3" t="s">
        <v>9</v>
      </c>
      <c r="E14436" s="3">
        <v>0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/>
      <c r="P14436" s="3"/>
      <c r="Q14436" s="3"/>
    </row>
    <row r="14437" spans="1:17" ht="15" x14ac:dyDescent="0.25">
      <c r="A14437" s="3">
        <f>14430</f>
        <v>14430</v>
      </c>
      <c r="B14437" s="3" t="s">
        <v>14439</v>
      </c>
      <c r="C14437" s="3" t="s">
        <v>10</v>
      </c>
      <c r="D14437" s="3" t="s">
        <v>9</v>
      </c>
      <c r="E14437" s="3">
        <v>0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  <c r="O14437" s="3"/>
      <c r="P14437" s="3"/>
      <c r="Q14437" s="3"/>
    </row>
    <row r="14438" spans="1:17" ht="15" x14ac:dyDescent="0.25">
      <c r="A14438" s="3">
        <f>14431</f>
        <v>14431</v>
      </c>
      <c r="B14438" s="3" t="s">
        <v>14440</v>
      </c>
      <c r="C14438" s="3" t="s">
        <v>10</v>
      </c>
      <c r="D14438" s="3" t="s">
        <v>9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s="3"/>
      <c r="P14438" s="3"/>
      <c r="Q14438" s="3"/>
    </row>
    <row r="14439" spans="1:17" ht="15" x14ac:dyDescent="0.25">
      <c r="A14439" s="3">
        <f>14432</f>
        <v>14432</v>
      </c>
      <c r="B14439" s="3" t="s">
        <v>14441</v>
      </c>
      <c r="C14439" s="3" t="s">
        <v>10</v>
      </c>
      <c r="D14439" s="3" t="s">
        <v>9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/>
      <c r="P14439" s="3"/>
      <c r="Q14439" s="3"/>
    </row>
    <row r="14440" spans="1:17" ht="15" x14ac:dyDescent="0.25">
      <c r="A14440" s="3">
        <f>14433</f>
        <v>14433</v>
      </c>
      <c r="B14440" s="3" t="s">
        <v>14442</v>
      </c>
      <c r="C14440" s="3" t="s">
        <v>10</v>
      </c>
      <c r="D14440" s="3" t="s">
        <v>9</v>
      </c>
      <c r="E14440" s="3">
        <v>0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s="3"/>
      <c r="P14440" s="3"/>
      <c r="Q14440" s="3"/>
    </row>
    <row r="14441" spans="1:17" ht="15" x14ac:dyDescent="0.25">
      <c r="A14441" s="3">
        <f>14434</f>
        <v>14434</v>
      </c>
      <c r="B14441" s="3" t="s">
        <v>14443</v>
      </c>
      <c r="C14441" s="3" t="s">
        <v>10</v>
      </c>
      <c r="D14441" s="3" t="s">
        <v>9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  <c r="O14441" s="3"/>
      <c r="P14441" s="3"/>
      <c r="Q14441" s="3"/>
    </row>
    <row r="14442" spans="1:17" ht="15" x14ac:dyDescent="0.25">
      <c r="A14442" s="3">
        <f>14435</f>
        <v>14435</v>
      </c>
      <c r="B14442" s="3" t="s">
        <v>14444</v>
      </c>
      <c r="C14442" s="3" t="s">
        <v>10</v>
      </c>
      <c r="D14442" s="3" t="s">
        <v>9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3"/>
      <c r="P14442" s="3"/>
      <c r="Q14442" s="3"/>
    </row>
    <row r="14443" spans="1:17" ht="15" x14ac:dyDescent="0.25">
      <c r="A14443" s="3">
        <f>14436</f>
        <v>14436</v>
      </c>
      <c r="B14443" s="3" t="s">
        <v>14445</v>
      </c>
      <c r="C14443" s="3" t="s">
        <v>10</v>
      </c>
      <c r="D14443" s="3" t="s">
        <v>9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s="3"/>
      <c r="P14443" s="3"/>
      <c r="Q14443" s="3"/>
    </row>
    <row r="14444" spans="1:17" ht="15" x14ac:dyDescent="0.25">
      <c r="A14444" s="3">
        <f>14437</f>
        <v>14437</v>
      </c>
      <c r="B14444" s="3" t="s">
        <v>14446</v>
      </c>
      <c r="C14444" s="3" t="s">
        <v>10</v>
      </c>
      <c r="D14444" s="3" t="s">
        <v>9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s="3"/>
      <c r="P14444" s="3"/>
      <c r="Q14444" s="3"/>
    </row>
    <row r="14445" spans="1:17" ht="15" x14ac:dyDescent="0.25">
      <c r="A14445" s="3">
        <f>14438</f>
        <v>14438</v>
      </c>
      <c r="B14445" s="3" t="s">
        <v>14447</v>
      </c>
      <c r="C14445" s="3" t="s">
        <v>10</v>
      </c>
      <c r="D14445" s="3" t="s">
        <v>9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s="3"/>
      <c r="P14445" s="3"/>
      <c r="Q14445" s="3"/>
    </row>
    <row r="14446" spans="1:17" ht="15" x14ac:dyDescent="0.25">
      <c r="A14446" s="3">
        <f>14439</f>
        <v>14439</v>
      </c>
      <c r="B14446" s="3" t="s">
        <v>14448</v>
      </c>
      <c r="C14446" s="3" t="s">
        <v>10</v>
      </c>
      <c r="D14446" s="3" t="s">
        <v>9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/>
      <c r="P14446" s="3"/>
      <c r="Q14446" s="3"/>
    </row>
    <row r="14447" spans="1:17" ht="15" x14ac:dyDescent="0.25">
      <c r="A14447" s="3">
        <f>14440</f>
        <v>14440</v>
      </c>
      <c r="B14447" s="3" t="s">
        <v>14449</v>
      </c>
      <c r="C14447" s="3" t="s">
        <v>10</v>
      </c>
      <c r="D14447" s="3" t="s">
        <v>9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  <c r="O14447" s="3"/>
      <c r="P14447" s="3"/>
      <c r="Q14447" s="3"/>
    </row>
    <row r="14448" spans="1:17" ht="15" x14ac:dyDescent="0.25">
      <c r="A14448" s="3">
        <f>14441</f>
        <v>14441</v>
      </c>
      <c r="B14448" s="3" t="s">
        <v>14450</v>
      </c>
      <c r="C14448" s="3" t="s">
        <v>9</v>
      </c>
      <c r="D14448" s="3" t="s">
        <v>10</v>
      </c>
      <c r="E14448" s="3">
        <v>0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  <c r="O14448" s="3"/>
      <c r="P14448" s="3"/>
      <c r="Q14448" s="3"/>
    </row>
    <row r="14449" spans="1:17" ht="15" x14ac:dyDescent="0.25">
      <c r="A14449" s="3">
        <f>14442</f>
        <v>14442</v>
      </c>
      <c r="B14449" s="3" t="s">
        <v>14451</v>
      </c>
      <c r="C14449" s="3" t="s">
        <v>10</v>
      </c>
      <c r="D14449" s="3" t="s">
        <v>9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s="3"/>
      <c r="P14449" s="3"/>
      <c r="Q14449" s="3"/>
    </row>
    <row r="14450" spans="1:17" ht="15" x14ac:dyDescent="0.25">
      <c r="A14450" s="3">
        <f>14443</f>
        <v>14443</v>
      </c>
      <c r="B14450" s="3" t="s">
        <v>14452</v>
      </c>
      <c r="C14450" s="3" t="s">
        <v>10</v>
      </c>
      <c r="D14450" s="3" t="s">
        <v>9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s="3"/>
      <c r="P14450" s="3"/>
      <c r="Q14450" s="3"/>
    </row>
    <row r="14451" spans="1:17" ht="15" x14ac:dyDescent="0.25">
      <c r="A14451" s="3">
        <f>14444</f>
        <v>14444</v>
      </c>
      <c r="B14451" s="3" t="s">
        <v>14453</v>
      </c>
      <c r="C14451" s="3" t="s">
        <v>10</v>
      </c>
      <c r="D14451" s="3" t="s">
        <v>9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s="3"/>
      <c r="P14451" s="3"/>
      <c r="Q14451" s="3"/>
    </row>
    <row r="14452" spans="1:17" ht="15" x14ac:dyDescent="0.25">
      <c r="A14452" s="3">
        <f>14445</f>
        <v>14445</v>
      </c>
      <c r="B14452" s="3" t="s">
        <v>14454</v>
      </c>
      <c r="C14452" s="3" t="s">
        <v>10</v>
      </c>
      <c r="D14452" s="3" t="s">
        <v>9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/>
      <c r="P14452" s="3"/>
      <c r="Q14452" s="3"/>
    </row>
    <row r="14453" spans="1:17" ht="15" x14ac:dyDescent="0.25">
      <c r="A14453" s="3">
        <f>14446</f>
        <v>14446</v>
      </c>
      <c r="B14453" s="3" t="s">
        <v>14455</v>
      </c>
      <c r="C14453" s="3" t="s">
        <v>10</v>
      </c>
      <c r="D14453" s="3" t="s">
        <v>9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  <c r="O14453" s="3"/>
      <c r="P14453" s="3"/>
      <c r="Q14453" s="3"/>
    </row>
    <row r="14454" spans="1:17" ht="15" x14ac:dyDescent="0.25">
      <c r="A14454" s="3">
        <f>14447</f>
        <v>14447</v>
      </c>
      <c r="B14454" s="3" t="s">
        <v>14456</v>
      </c>
      <c r="C14454" s="3" t="s">
        <v>10</v>
      </c>
      <c r="D14454" s="3" t="s">
        <v>9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s="3"/>
      <c r="P14454" s="3"/>
      <c r="Q14454" s="3"/>
    </row>
    <row r="14455" spans="1:17" ht="15" x14ac:dyDescent="0.25">
      <c r="A14455" s="3">
        <f>14448</f>
        <v>14448</v>
      </c>
      <c r="B14455" s="3" t="s">
        <v>14457</v>
      </c>
      <c r="C14455" s="3" t="s">
        <v>10</v>
      </c>
      <c r="D14455" s="3" t="s">
        <v>9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s="3"/>
      <c r="P14455" s="3"/>
      <c r="Q14455" s="3"/>
    </row>
    <row r="14456" spans="1:17" ht="15" x14ac:dyDescent="0.25">
      <c r="A14456" s="3">
        <f>14449</f>
        <v>14449</v>
      </c>
      <c r="B14456" s="3" t="s">
        <v>14458</v>
      </c>
      <c r="C14456" s="3" t="s">
        <v>9</v>
      </c>
      <c r="D14456" s="3" t="s">
        <v>10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  <c r="O14456" s="3"/>
      <c r="P14456" s="3"/>
      <c r="Q14456" s="3"/>
    </row>
    <row r="14457" spans="1:17" ht="15" x14ac:dyDescent="0.25">
      <c r="A14457" s="3">
        <f>14450</f>
        <v>14450</v>
      </c>
      <c r="B14457" s="3" t="s">
        <v>14459</v>
      </c>
      <c r="C14457" s="3" t="s">
        <v>9</v>
      </c>
      <c r="D14457" s="3" t="s">
        <v>10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/>
      <c r="P14457" s="3"/>
      <c r="Q14457" s="3"/>
    </row>
    <row r="14458" spans="1:17" ht="15" x14ac:dyDescent="0.25">
      <c r="A14458" s="3">
        <f>14451</f>
        <v>14451</v>
      </c>
      <c r="B14458" s="3" t="s">
        <v>14460</v>
      </c>
      <c r="C14458" s="3" t="s">
        <v>9</v>
      </c>
      <c r="D14458" s="3" t="s">
        <v>10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s="3"/>
      <c r="P14458" s="3"/>
      <c r="Q14458" s="3"/>
    </row>
    <row r="14459" spans="1:17" ht="15" x14ac:dyDescent="0.25">
      <c r="A14459" s="3">
        <f>14452</f>
        <v>14452</v>
      </c>
      <c r="B14459" s="3" t="s">
        <v>14461</v>
      </c>
      <c r="C14459" s="3" t="s">
        <v>9</v>
      </c>
      <c r="D14459" s="3" t="s">
        <v>10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  <c r="O14459" s="3"/>
      <c r="P14459" s="3"/>
      <c r="Q14459" s="3"/>
    </row>
    <row r="14460" spans="1:17" ht="15" x14ac:dyDescent="0.25">
      <c r="A14460" s="3">
        <f>14453</f>
        <v>14453</v>
      </c>
      <c r="B14460" s="3" t="s">
        <v>14462</v>
      </c>
      <c r="C14460" s="3" t="s">
        <v>9</v>
      </c>
      <c r="D14460" s="3" t="s">
        <v>10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s="3"/>
      <c r="P14460" s="3"/>
      <c r="Q14460" s="3"/>
    </row>
    <row r="14461" spans="1:17" ht="15" x14ac:dyDescent="0.25">
      <c r="A14461" s="3">
        <f>14454</f>
        <v>14454</v>
      </c>
      <c r="B14461" s="3" t="s">
        <v>14463</v>
      </c>
      <c r="C14461" s="3" t="s">
        <v>9</v>
      </c>
      <c r="D14461" s="3" t="s">
        <v>10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s="3"/>
      <c r="P14461" s="3"/>
      <c r="Q14461" s="3"/>
    </row>
    <row r="14462" spans="1:17" ht="15" x14ac:dyDescent="0.25">
      <c r="A14462" s="3">
        <f>14455</f>
        <v>14455</v>
      </c>
      <c r="B14462" s="3" t="s">
        <v>14464</v>
      </c>
      <c r="C14462" s="3" t="s">
        <v>9</v>
      </c>
      <c r="D14462" s="3" t="s">
        <v>10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0</v>
      </c>
      <c r="O14462" s="3"/>
      <c r="P14462" s="3"/>
      <c r="Q14462" s="3"/>
    </row>
    <row r="14463" spans="1:17" ht="15" x14ac:dyDescent="0.25">
      <c r="A14463" s="3">
        <f>14456</f>
        <v>14456</v>
      </c>
      <c r="B14463" s="3" t="s">
        <v>14465</v>
      </c>
      <c r="C14463" s="3" t="s">
        <v>9</v>
      </c>
      <c r="D14463" s="3" t="s">
        <v>10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s="3"/>
      <c r="P14463" s="3"/>
      <c r="Q14463" s="3"/>
    </row>
    <row r="14464" spans="1:17" ht="15" x14ac:dyDescent="0.25">
      <c r="A14464" s="3">
        <f>14457</f>
        <v>14457</v>
      </c>
      <c r="B14464" s="3" t="s">
        <v>14466</v>
      </c>
      <c r="C14464" s="3" t="s">
        <v>9</v>
      </c>
      <c r="D14464" s="3" t="s">
        <v>10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/>
      <c r="P14464" s="3"/>
      <c r="Q14464" s="3"/>
    </row>
    <row r="14465" spans="1:17" ht="15" x14ac:dyDescent="0.25">
      <c r="A14465" s="3">
        <f>14458</f>
        <v>14458</v>
      </c>
      <c r="B14465" s="3" t="s">
        <v>14467</v>
      </c>
      <c r="C14465" s="3" t="s">
        <v>9</v>
      </c>
      <c r="D14465" s="3" t="s">
        <v>10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/>
      <c r="P14465" s="3"/>
      <c r="Q14465" s="3"/>
    </row>
    <row r="14466" spans="1:17" ht="15" x14ac:dyDescent="0.25">
      <c r="A14466" s="3">
        <f>14459</f>
        <v>14459</v>
      </c>
      <c r="B14466" s="3" t="s">
        <v>14468</v>
      </c>
      <c r="C14466" s="3" t="s">
        <v>9</v>
      </c>
      <c r="D14466" s="3" t="s">
        <v>10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  <c r="O14466" s="3"/>
      <c r="P14466" s="3"/>
      <c r="Q14466" s="3"/>
    </row>
    <row r="14467" spans="1:17" ht="15" x14ac:dyDescent="0.25">
      <c r="A14467" s="3">
        <f>14460</f>
        <v>14460</v>
      </c>
      <c r="B14467" s="3" t="s">
        <v>14469</v>
      </c>
      <c r="C14467" s="3" t="s">
        <v>9</v>
      </c>
      <c r="D14467" s="3" t="s">
        <v>10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  <c r="O14467" s="3"/>
      <c r="P14467" s="3"/>
      <c r="Q14467" s="3"/>
    </row>
    <row r="14468" spans="1:17" ht="15" x14ac:dyDescent="0.25">
      <c r="A14468" s="3">
        <f>14461</f>
        <v>14461</v>
      </c>
      <c r="B14468" s="3" t="s">
        <v>14470</v>
      </c>
      <c r="C14468" s="3" t="s">
        <v>9</v>
      </c>
      <c r="D14468" s="3" t="s">
        <v>10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s="3"/>
      <c r="P14468" s="3"/>
      <c r="Q14468" s="3"/>
    </row>
    <row r="14469" spans="1:17" ht="15" x14ac:dyDescent="0.25">
      <c r="A14469" s="3">
        <f>14462</f>
        <v>14462</v>
      </c>
      <c r="B14469" s="3" t="s">
        <v>14471</v>
      </c>
      <c r="C14469" s="3" t="s">
        <v>9</v>
      </c>
      <c r="D14469" s="3" t="s">
        <v>10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/>
      <c r="P14469" s="3"/>
      <c r="Q14469" s="3"/>
    </row>
    <row r="14470" spans="1:17" ht="15" x14ac:dyDescent="0.25">
      <c r="A14470" s="3">
        <f>14463</f>
        <v>14463</v>
      </c>
      <c r="B14470" s="3" t="s">
        <v>14472</v>
      </c>
      <c r="C14470" s="3" t="s">
        <v>10</v>
      </c>
      <c r="D14470" s="3" t="s">
        <v>9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s="3"/>
      <c r="P14470" s="3"/>
      <c r="Q14470" s="3"/>
    </row>
    <row r="14471" spans="1:17" ht="15" x14ac:dyDescent="0.25">
      <c r="A14471" s="3">
        <f>14464</f>
        <v>14464</v>
      </c>
      <c r="B14471" s="3" t="s">
        <v>14473</v>
      </c>
      <c r="C14471" s="3" t="s">
        <v>9</v>
      </c>
      <c r="D14471" s="3" t="s">
        <v>10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s="3"/>
      <c r="P14471" s="3"/>
      <c r="Q14471" s="3"/>
    </row>
    <row r="14472" spans="1:17" ht="15" x14ac:dyDescent="0.25">
      <c r="A14472" s="3">
        <f>14465</f>
        <v>14465</v>
      </c>
      <c r="B14472" s="3" t="s">
        <v>14474</v>
      </c>
      <c r="C14472" s="3" t="s">
        <v>9</v>
      </c>
      <c r="D14472" s="3" t="s">
        <v>10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  <c r="O14472" s="3"/>
      <c r="P14472" s="3"/>
      <c r="Q14472" s="3"/>
    </row>
    <row r="14473" spans="1:17" ht="15" x14ac:dyDescent="0.25">
      <c r="A14473" s="3">
        <f>14466</f>
        <v>14466</v>
      </c>
      <c r="B14473" s="3" t="s">
        <v>14475</v>
      </c>
      <c r="C14473" s="3" t="s">
        <v>9</v>
      </c>
      <c r="D14473" s="3" t="s">
        <v>10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/>
      <c r="P14473" s="3"/>
      <c r="Q14473" s="3"/>
    </row>
    <row r="14474" spans="1:17" ht="15" x14ac:dyDescent="0.25">
      <c r="A14474" s="3">
        <f>14467</f>
        <v>14467</v>
      </c>
      <c r="B14474" s="3" t="s">
        <v>14476</v>
      </c>
      <c r="C14474" s="3" t="s">
        <v>9</v>
      </c>
      <c r="D14474" s="3" t="s">
        <v>10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/>
      <c r="P14474" s="3"/>
      <c r="Q14474" s="3"/>
    </row>
    <row r="14475" spans="1:17" ht="15" x14ac:dyDescent="0.25">
      <c r="A14475" s="3">
        <f>14468</f>
        <v>14468</v>
      </c>
      <c r="B14475" s="3" t="s">
        <v>14477</v>
      </c>
      <c r="C14475" s="3" t="s">
        <v>9</v>
      </c>
      <c r="D14475" s="3" t="s">
        <v>10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s="3"/>
      <c r="P14475" s="3"/>
      <c r="Q14475" s="3"/>
    </row>
    <row r="14476" spans="1:17" ht="15" x14ac:dyDescent="0.25">
      <c r="A14476" s="3">
        <f>14469</f>
        <v>14469</v>
      </c>
      <c r="B14476" s="3" t="s">
        <v>14478</v>
      </c>
      <c r="C14476" s="3" t="s">
        <v>9</v>
      </c>
      <c r="D14476" s="3" t="s">
        <v>10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s="3"/>
      <c r="P14476" s="3"/>
      <c r="Q14476" s="3"/>
    </row>
    <row r="14477" spans="1:17" ht="15" x14ac:dyDescent="0.25">
      <c r="A14477" s="3">
        <f>14470</f>
        <v>14470</v>
      </c>
      <c r="B14477" s="3" t="s">
        <v>14479</v>
      </c>
      <c r="C14477" s="3" t="s">
        <v>9</v>
      </c>
      <c r="D14477" s="3" t="s">
        <v>10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/>
      <c r="P14477" s="3"/>
      <c r="Q14477" s="3"/>
    </row>
    <row r="14478" spans="1:17" ht="15" x14ac:dyDescent="0.25">
      <c r="A14478" s="3">
        <f>14471</f>
        <v>14471</v>
      </c>
      <c r="B14478" s="3" t="s">
        <v>14480</v>
      </c>
      <c r="C14478" s="3" t="s">
        <v>9</v>
      </c>
      <c r="D14478" s="3" t="s">
        <v>10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  <c r="O14478" s="3"/>
      <c r="P14478" s="3"/>
      <c r="Q14478" s="3"/>
    </row>
    <row r="14479" spans="1:17" ht="15" x14ac:dyDescent="0.25">
      <c r="A14479" s="3">
        <f>14472</f>
        <v>14472</v>
      </c>
      <c r="B14479" s="3" t="s">
        <v>14481</v>
      </c>
      <c r="C14479" s="3" t="s">
        <v>9</v>
      </c>
      <c r="D14479" s="3" t="s">
        <v>10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s="3"/>
      <c r="P14479" s="3"/>
      <c r="Q14479" s="3"/>
    </row>
    <row r="14480" spans="1:17" ht="15" x14ac:dyDescent="0.25">
      <c r="A14480" s="3">
        <f>14473</f>
        <v>14473</v>
      </c>
      <c r="B14480" s="3" t="s">
        <v>14482</v>
      </c>
      <c r="C14480" s="3" t="s">
        <v>9</v>
      </c>
      <c r="D14480" s="3" t="s">
        <v>10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s="3"/>
      <c r="P14480" s="3"/>
      <c r="Q14480" s="3"/>
    </row>
    <row r="14481" spans="1:17" ht="15" x14ac:dyDescent="0.25">
      <c r="A14481" s="3">
        <f>14474</f>
        <v>14474</v>
      </c>
      <c r="B14481" s="3" t="s">
        <v>14483</v>
      </c>
      <c r="C14481" s="3" t="s">
        <v>9</v>
      </c>
      <c r="D14481" s="3" t="s">
        <v>10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  <c r="O14481" s="3"/>
      <c r="P14481" s="3"/>
      <c r="Q14481" s="3"/>
    </row>
    <row r="14482" spans="1:17" ht="15" x14ac:dyDescent="0.25">
      <c r="A14482" s="3">
        <f>14475</f>
        <v>14475</v>
      </c>
      <c r="B14482" s="3" t="s">
        <v>14484</v>
      </c>
      <c r="C14482" s="3" t="s">
        <v>9</v>
      </c>
      <c r="D14482" s="3" t="s">
        <v>10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/>
      <c r="P14482" s="3"/>
      <c r="Q14482" s="3"/>
    </row>
    <row r="14483" spans="1:17" ht="15" x14ac:dyDescent="0.25">
      <c r="A14483" s="3">
        <f>14476</f>
        <v>14476</v>
      </c>
      <c r="B14483" s="3" t="s">
        <v>14485</v>
      </c>
      <c r="C14483" s="3" t="s">
        <v>9</v>
      </c>
      <c r="D14483" s="3" t="s">
        <v>10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  <c r="O14483" s="3"/>
      <c r="P14483" s="3"/>
      <c r="Q14483" s="3"/>
    </row>
    <row r="14484" spans="1:17" ht="15" x14ac:dyDescent="0.25">
      <c r="A14484" s="3">
        <f>14477</f>
        <v>14477</v>
      </c>
      <c r="B14484" s="3" t="s">
        <v>14486</v>
      </c>
      <c r="C14484" s="3" t="s">
        <v>10</v>
      </c>
      <c r="D14484" s="3" t="s">
        <v>9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  <c r="O14484" s="3"/>
      <c r="P14484" s="3"/>
      <c r="Q14484" s="3"/>
    </row>
    <row r="14485" spans="1:17" ht="15" x14ac:dyDescent="0.25">
      <c r="A14485" s="3">
        <f>14478</f>
        <v>14478</v>
      </c>
      <c r="B14485" s="3" t="s">
        <v>14487</v>
      </c>
      <c r="C14485" s="3" t="s">
        <v>10</v>
      </c>
      <c r="D14485" s="3" t="s">
        <v>9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s="3"/>
      <c r="P14485" s="3"/>
      <c r="Q14485" s="3"/>
    </row>
    <row r="14486" spans="1:17" ht="15" x14ac:dyDescent="0.25">
      <c r="A14486" s="3">
        <f>14479</f>
        <v>14479</v>
      </c>
      <c r="B14486" s="3" t="s">
        <v>14488</v>
      </c>
      <c r="C14486" s="3" t="s">
        <v>10</v>
      </c>
      <c r="D14486" s="3" t="s">
        <v>9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  <c r="O14486" s="3"/>
      <c r="P14486" s="3"/>
      <c r="Q14486" s="3"/>
    </row>
    <row r="14487" spans="1:17" ht="15" x14ac:dyDescent="0.25">
      <c r="A14487" s="3">
        <f>14480</f>
        <v>14480</v>
      </c>
      <c r="B14487" s="3" t="s">
        <v>14489</v>
      </c>
      <c r="C14487" s="3" t="s">
        <v>10</v>
      </c>
      <c r="D14487" s="3" t="s">
        <v>9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s="3"/>
      <c r="P14487" s="3"/>
      <c r="Q14487" s="3"/>
    </row>
    <row r="14488" spans="1:17" ht="15" x14ac:dyDescent="0.25">
      <c r="A14488" s="3">
        <f>14481</f>
        <v>14481</v>
      </c>
      <c r="B14488" s="3" t="s">
        <v>14490</v>
      </c>
      <c r="C14488" s="3" t="s">
        <v>10</v>
      </c>
      <c r="D14488" s="3" t="s">
        <v>9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  <c r="O14488" s="3"/>
      <c r="P14488" s="3"/>
      <c r="Q14488" s="3"/>
    </row>
    <row r="14489" spans="1:17" ht="15" x14ac:dyDescent="0.25">
      <c r="A14489" s="3">
        <f>14482</f>
        <v>14482</v>
      </c>
      <c r="B14489" s="3" t="s">
        <v>14491</v>
      </c>
      <c r="C14489" s="3" t="s">
        <v>10</v>
      </c>
      <c r="D14489" s="3" t="s">
        <v>9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/>
      <c r="P14489" s="3"/>
      <c r="Q14489" s="3"/>
    </row>
    <row r="14490" spans="1:17" ht="15" x14ac:dyDescent="0.25">
      <c r="A14490" s="3">
        <f>14483</f>
        <v>14483</v>
      </c>
      <c r="B14490" s="3" t="s">
        <v>14492</v>
      </c>
      <c r="C14490" s="3" t="s">
        <v>9</v>
      </c>
      <c r="D14490" s="3" t="s">
        <v>10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s="3"/>
      <c r="P14490" s="3"/>
      <c r="Q14490" s="3"/>
    </row>
    <row r="14491" spans="1:17" ht="15" x14ac:dyDescent="0.25">
      <c r="A14491" s="3">
        <f>14484</f>
        <v>14484</v>
      </c>
      <c r="B14491" s="3" t="s">
        <v>14493</v>
      </c>
      <c r="C14491" s="3" t="s">
        <v>9</v>
      </c>
      <c r="D14491" s="3" t="s">
        <v>10</v>
      </c>
      <c r="E14491" s="3">
        <v>0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s="3"/>
      <c r="P14491" s="3"/>
      <c r="Q14491" s="3"/>
    </row>
    <row r="14492" spans="1:17" ht="15" x14ac:dyDescent="0.25">
      <c r="A14492" s="3">
        <f>14485</f>
        <v>14485</v>
      </c>
      <c r="B14492" s="3" t="s">
        <v>14494</v>
      </c>
      <c r="C14492" s="3" t="s">
        <v>9</v>
      </c>
      <c r="D14492" s="3" t="s">
        <v>10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s="3"/>
      <c r="P14492" s="3"/>
      <c r="Q14492" s="3"/>
    </row>
    <row r="14493" spans="1:17" ht="15" x14ac:dyDescent="0.25">
      <c r="A14493" s="3">
        <f>14486</f>
        <v>14486</v>
      </c>
      <c r="B14493" s="3" t="s">
        <v>14495</v>
      </c>
      <c r="C14493" s="3" t="s">
        <v>9</v>
      </c>
      <c r="D14493" s="3" t="s">
        <v>10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s="3"/>
      <c r="P14493" s="3"/>
      <c r="Q14493" s="3"/>
    </row>
    <row r="14494" spans="1:17" ht="15" x14ac:dyDescent="0.25">
      <c r="A14494" s="3">
        <f>14487</f>
        <v>14487</v>
      </c>
      <c r="B14494" s="3" t="s">
        <v>14496</v>
      </c>
      <c r="C14494" s="3" t="s">
        <v>9</v>
      </c>
      <c r="D14494" s="3" t="s">
        <v>10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/>
      <c r="P14494" s="3"/>
      <c r="Q14494" s="3"/>
    </row>
    <row r="14495" spans="1:17" ht="15" x14ac:dyDescent="0.25">
      <c r="A14495" s="3">
        <f>14488</f>
        <v>14488</v>
      </c>
      <c r="B14495" s="3" t="s">
        <v>14497</v>
      </c>
      <c r="C14495" s="3" t="s">
        <v>9</v>
      </c>
      <c r="D14495" s="3" t="s">
        <v>10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0</v>
      </c>
      <c r="O14495" s="3"/>
      <c r="P14495" s="3"/>
      <c r="Q14495" s="3"/>
    </row>
    <row r="14496" spans="1:17" ht="15" x14ac:dyDescent="0.25">
      <c r="A14496" s="3">
        <f>14489</f>
        <v>14489</v>
      </c>
      <c r="B14496" s="3" t="s">
        <v>14498</v>
      </c>
      <c r="C14496" s="3" t="s">
        <v>9</v>
      </c>
      <c r="D14496" s="3" t="s">
        <v>10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s="3"/>
      <c r="P14496" s="3"/>
      <c r="Q14496" s="3"/>
    </row>
    <row r="14497" spans="1:17" ht="15" x14ac:dyDescent="0.25">
      <c r="A14497" s="3">
        <f>14490</f>
        <v>14490</v>
      </c>
      <c r="B14497" s="3" t="s">
        <v>14499</v>
      </c>
      <c r="C14497" s="3" t="s">
        <v>9</v>
      </c>
      <c r="D14497" s="3" t="s">
        <v>10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s="3"/>
      <c r="P14497" s="3"/>
      <c r="Q14497" s="3"/>
    </row>
    <row r="14498" spans="1:17" ht="15" x14ac:dyDescent="0.25">
      <c r="A14498" s="3">
        <f>14491</f>
        <v>14491</v>
      </c>
      <c r="B14498" s="3" t="s">
        <v>14500</v>
      </c>
      <c r="C14498" s="3" t="s">
        <v>9</v>
      </c>
      <c r="D14498" s="3" t="s">
        <v>10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s="3"/>
      <c r="P14498" s="3"/>
      <c r="Q14498" s="3"/>
    </row>
    <row r="14499" spans="1:17" ht="15" x14ac:dyDescent="0.25">
      <c r="A14499" s="3">
        <f>14492</f>
        <v>14492</v>
      </c>
      <c r="B14499" s="3" t="s">
        <v>14501</v>
      </c>
      <c r="C14499" s="3" t="s">
        <v>9</v>
      </c>
      <c r="D14499" s="3" t="s">
        <v>10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0</v>
      </c>
      <c r="O14499" s="3"/>
      <c r="P14499" s="3"/>
      <c r="Q14499" s="3"/>
    </row>
    <row r="14500" spans="1:17" ht="15" x14ac:dyDescent="0.25">
      <c r="A14500" s="3">
        <f>14493</f>
        <v>14493</v>
      </c>
      <c r="B14500" s="3" t="s">
        <v>14502</v>
      </c>
      <c r="C14500" s="3" t="s">
        <v>9</v>
      </c>
      <c r="D14500" s="3" t="s">
        <v>10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/>
      <c r="P14500" s="3"/>
      <c r="Q14500" s="3"/>
    </row>
    <row r="14501" spans="1:17" ht="15" x14ac:dyDescent="0.25">
      <c r="A14501" s="3">
        <f>14494</f>
        <v>14494</v>
      </c>
      <c r="B14501" s="3" t="s">
        <v>14503</v>
      </c>
      <c r="C14501" s="3" t="s">
        <v>9</v>
      </c>
      <c r="D14501" s="3" t="s">
        <v>10</v>
      </c>
      <c r="E14501" s="3">
        <v>0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/>
      <c r="P14501" s="3"/>
      <c r="Q14501" s="3"/>
    </row>
    <row r="14502" spans="1:17" ht="15" x14ac:dyDescent="0.25">
      <c r="A14502" s="3">
        <f>14495</f>
        <v>14495</v>
      </c>
      <c r="B14502" s="3" t="s">
        <v>14504</v>
      </c>
      <c r="C14502" s="3" t="s">
        <v>9</v>
      </c>
      <c r="D14502" s="3" t="s">
        <v>10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  <c r="O14502" s="3"/>
      <c r="P14502" s="3"/>
      <c r="Q14502" s="3"/>
    </row>
    <row r="14503" spans="1:17" ht="15" x14ac:dyDescent="0.25">
      <c r="A14503" s="3">
        <f>14496</f>
        <v>14496</v>
      </c>
      <c r="B14503" s="3" t="s">
        <v>14505</v>
      </c>
      <c r="C14503" s="3" t="s">
        <v>9</v>
      </c>
      <c r="D14503" s="3" t="s">
        <v>10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s="3"/>
      <c r="P14503" s="3"/>
      <c r="Q14503" s="3"/>
    </row>
    <row r="14504" spans="1:17" ht="15" x14ac:dyDescent="0.25">
      <c r="A14504" s="3">
        <f>14497</f>
        <v>14497</v>
      </c>
      <c r="B14504" s="3" t="s">
        <v>14506</v>
      </c>
      <c r="C14504" s="3" t="s">
        <v>9</v>
      </c>
      <c r="D14504" s="3" t="s">
        <v>10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/>
      <c r="P14504" s="3"/>
      <c r="Q14504" s="3"/>
    </row>
    <row r="14505" spans="1:17" ht="15" x14ac:dyDescent="0.25">
      <c r="A14505" s="3">
        <f>14498</f>
        <v>14498</v>
      </c>
      <c r="B14505" s="3" t="s">
        <v>14507</v>
      </c>
      <c r="C14505" s="3" t="s">
        <v>9</v>
      </c>
      <c r="D14505" s="3" t="s">
        <v>10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s="3"/>
      <c r="P14505" s="3"/>
      <c r="Q14505" s="3"/>
    </row>
    <row r="14506" spans="1:17" ht="15" x14ac:dyDescent="0.25">
      <c r="A14506" s="3">
        <f>14499</f>
        <v>14499</v>
      </c>
      <c r="B14506" s="3" t="s">
        <v>14508</v>
      </c>
      <c r="C14506" s="3" t="s">
        <v>9</v>
      </c>
      <c r="D14506" s="3" t="s">
        <v>10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s="3"/>
      <c r="P14506" s="3"/>
      <c r="Q14506" s="3"/>
    </row>
    <row r="14507" spans="1:17" ht="15" x14ac:dyDescent="0.25">
      <c r="A14507" s="3">
        <f>14500</f>
        <v>14500</v>
      </c>
      <c r="B14507" s="3" t="s">
        <v>14509</v>
      </c>
      <c r="C14507" s="3" t="s">
        <v>9</v>
      </c>
      <c r="D14507" s="3" t="s">
        <v>10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  <c r="O14507" s="3"/>
      <c r="P14507" s="3"/>
      <c r="Q14507" s="3"/>
    </row>
    <row r="14508" spans="1:17" ht="15" x14ac:dyDescent="0.25">
      <c r="A14508" s="3">
        <f>14501</f>
        <v>14501</v>
      </c>
      <c r="B14508" s="3" t="s">
        <v>14510</v>
      </c>
      <c r="C14508" s="3" t="s">
        <v>9</v>
      </c>
      <c r="D14508" s="3" t="s">
        <v>10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  <c r="O14508" s="3"/>
      <c r="P14508" s="3"/>
      <c r="Q14508" s="3"/>
    </row>
    <row r="14509" spans="1:17" ht="15" x14ac:dyDescent="0.25">
      <c r="A14509" s="3">
        <f>14502</f>
        <v>14502</v>
      </c>
      <c r="B14509" s="3" t="s">
        <v>14511</v>
      </c>
      <c r="C14509" s="3" t="s">
        <v>9</v>
      </c>
      <c r="D14509" s="3" t="s">
        <v>10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/>
      <c r="P14509" s="3"/>
      <c r="Q14509" s="3"/>
    </row>
    <row r="14510" spans="1:17" ht="15" x14ac:dyDescent="0.25">
      <c r="A14510" s="3">
        <f>14503</f>
        <v>14503</v>
      </c>
      <c r="B14510" s="3" t="s">
        <v>14512</v>
      </c>
      <c r="C14510" s="3" t="s">
        <v>9</v>
      </c>
      <c r="D14510" s="3" t="s">
        <v>10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/>
      <c r="P14510" s="3"/>
      <c r="Q14510" s="3"/>
    </row>
    <row r="14511" spans="1:17" ht="15" x14ac:dyDescent="0.25">
      <c r="A14511" s="3">
        <f>14504</f>
        <v>14504</v>
      </c>
      <c r="B14511" s="3" t="s">
        <v>14513</v>
      </c>
      <c r="C14511" s="3" t="s">
        <v>9</v>
      </c>
      <c r="D14511" s="3" t="s">
        <v>10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s="3"/>
      <c r="P14511" s="3"/>
      <c r="Q14511" s="3"/>
    </row>
    <row r="14512" spans="1:17" ht="15" x14ac:dyDescent="0.25">
      <c r="A14512" s="3">
        <f>14505</f>
        <v>14505</v>
      </c>
      <c r="B14512" s="3" t="s">
        <v>14514</v>
      </c>
      <c r="C14512" s="3" t="s">
        <v>9</v>
      </c>
      <c r="D14512" s="3" t="s">
        <v>10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s="3"/>
      <c r="P14512" s="3"/>
      <c r="Q14512" s="3"/>
    </row>
    <row r="14513" spans="1:17" ht="15" x14ac:dyDescent="0.25">
      <c r="A14513" s="3">
        <f>14506</f>
        <v>14506</v>
      </c>
      <c r="B14513" s="3" t="s">
        <v>14515</v>
      </c>
      <c r="C14513" s="3" t="s">
        <v>9</v>
      </c>
      <c r="D14513" s="3" t="s">
        <v>10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/>
      <c r="P14513" s="3"/>
      <c r="Q14513" s="3"/>
    </row>
    <row r="14514" spans="1:17" ht="15" x14ac:dyDescent="0.25">
      <c r="A14514" s="3">
        <f>14507</f>
        <v>14507</v>
      </c>
      <c r="B14514" s="3" t="s">
        <v>14516</v>
      </c>
      <c r="C14514" s="3" t="s">
        <v>9</v>
      </c>
      <c r="D14514" s="3" t="s">
        <v>10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/>
      <c r="P14514" s="3"/>
      <c r="Q14514" s="3"/>
    </row>
    <row r="14515" spans="1:17" ht="15" x14ac:dyDescent="0.25">
      <c r="A14515" s="3">
        <f>14508</f>
        <v>14508</v>
      </c>
      <c r="B14515" s="3" t="s">
        <v>14517</v>
      </c>
      <c r="C14515" s="3" t="s">
        <v>9</v>
      </c>
      <c r="D14515" s="3" t="s">
        <v>10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/>
      <c r="P14515" s="3"/>
      <c r="Q14515" s="3"/>
    </row>
    <row r="14516" spans="1:17" ht="15" x14ac:dyDescent="0.25">
      <c r="A14516" s="3">
        <f>14509</f>
        <v>14509</v>
      </c>
      <c r="B14516" s="3" t="s">
        <v>14518</v>
      </c>
      <c r="C14516" s="3" t="s">
        <v>9</v>
      </c>
      <c r="D14516" s="3" t="s">
        <v>10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s="3"/>
      <c r="P14516" s="3"/>
      <c r="Q14516" s="3"/>
    </row>
    <row r="14517" spans="1:17" ht="15" x14ac:dyDescent="0.25">
      <c r="A14517" s="3">
        <f>14510</f>
        <v>14510</v>
      </c>
      <c r="B14517" s="3" t="s">
        <v>14519</v>
      </c>
      <c r="C14517" s="3" t="s">
        <v>9</v>
      </c>
      <c r="D14517" s="3" t="s">
        <v>10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/>
      <c r="P14517" s="3"/>
      <c r="Q14517" s="3"/>
    </row>
    <row r="14518" spans="1:17" ht="15" x14ac:dyDescent="0.25">
      <c r="A14518" s="3">
        <f>14511</f>
        <v>14511</v>
      </c>
      <c r="B14518" s="3" t="s">
        <v>14520</v>
      </c>
      <c r="C14518" s="3" t="s">
        <v>9</v>
      </c>
      <c r="D14518" s="3" t="s">
        <v>10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  <c r="O14518" s="3"/>
      <c r="P14518" s="3"/>
      <c r="Q14518" s="3"/>
    </row>
    <row r="14519" spans="1:17" ht="15" x14ac:dyDescent="0.25">
      <c r="A14519" s="3">
        <f>14512</f>
        <v>14512</v>
      </c>
      <c r="B14519" s="3" t="s">
        <v>14521</v>
      </c>
      <c r="C14519" s="3" t="s">
        <v>9</v>
      </c>
      <c r="D14519" s="3" t="s">
        <v>10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s="3"/>
      <c r="P14519" s="3"/>
      <c r="Q14519" s="3"/>
    </row>
    <row r="14520" spans="1:17" ht="15" x14ac:dyDescent="0.25">
      <c r="A14520" s="3">
        <f>14513</f>
        <v>14513</v>
      </c>
      <c r="B14520" s="3" t="s">
        <v>14522</v>
      </c>
      <c r="C14520" s="3" t="s">
        <v>9</v>
      </c>
      <c r="D14520" s="3" t="s">
        <v>10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/>
      <c r="P14520" s="3"/>
      <c r="Q14520" s="3"/>
    </row>
    <row r="14521" spans="1:17" ht="15" x14ac:dyDescent="0.25">
      <c r="A14521" s="3">
        <f>14514</f>
        <v>14514</v>
      </c>
      <c r="B14521" s="3" t="s">
        <v>14523</v>
      </c>
      <c r="C14521" s="3" t="s">
        <v>9</v>
      </c>
      <c r="D14521" s="3" t="s">
        <v>10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/>
      <c r="P14521" s="3"/>
      <c r="Q14521" s="3"/>
    </row>
    <row r="14522" spans="1:17" ht="15" x14ac:dyDescent="0.25">
      <c r="A14522" s="3">
        <f>14515</f>
        <v>14515</v>
      </c>
      <c r="B14522" s="3" t="s">
        <v>14524</v>
      </c>
      <c r="C14522" s="3" t="s">
        <v>9</v>
      </c>
      <c r="D14522" s="3" t="s">
        <v>10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s="3"/>
      <c r="P14522" s="3"/>
      <c r="Q14522" s="3"/>
    </row>
    <row r="14523" spans="1:17" ht="15" x14ac:dyDescent="0.25">
      <c r="A14523" s="3">
        <f>14516</f>
        <v>14516</v>
      </c>
      <c r="B14523" s="3" t="s">
        <v>14525</v>
      </c>
      <c r="C14523" s="3" t="s">
        <v>9</v>
      </c>
      <c r="D14523" s="3" t="s">
        <v>10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/>
      <c r="P14523" s="3"/>
      <c r="Q14523" s="3"/>
    </row>
    <row r="14524" spans="1:17" ht="15" x14ac:dyDescent="0.25">
      <c r="A14524" s="3">
        <f>14517</f>
        <v>14517</v>
      </c>
      <c r="B14524" s="3" t="s">
        <v>14526</v>
      </c>
      <c r="C14524" s="3" t="s">
        <v>9</v>
      </c>
      <c r="D14524" s="3" t="s">
        <v>10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/>
      <c r="P14524" s="3"/>
      <c r="Q14524" s="3"/>
    </row>
    <row r="14525" spans="1:17" ht="15" x14ac:dyDescent="0.25">
      <c r="A14525" s="3">
        <f>14518</f>
        <v>14518</v>
      </c>
      <c r="B14525" s="3" t="s">
        <v>14527</v>
      </c>
      <c r="C14525" s="3" t="s">
        <v>9</v>
      </c>
      <c r="D14525" s="3" t="s">
        <v>10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/>
      <c r="P14525" s="3"/>
      <c r="Q14525" s="3"/>
    </row>
    <row r="14526" spans="1:17" ht="15" x14ac:dyDescent="0.25">
      <c r="A14526" s="3">
        <f>14519</f>
        <v>14519</v>
      </c>
      <c r="B14526" s="3" t="s">
        <v>14528</v>
      </c>
      <c r="C14526" s="3" t="s">
        <v>9</v>
      </c>
      <c r="D14526" s="3" t="s">
        <v>10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/>
      <c r="P14526" s="3"/>
      <c r="Q14526" s="3"/>
    </row>
    <row r="14527" spans="1:17" ht="15" x14ac:dyDescent="0.25">
      <c r="A14527" s="3">
        <f>14520</f>
        <v>14520</v>
      </c>
      <c r="B14527" s="3" t="s">
        <v>14529</v>
      </c>
      <c r="C14527" s="3" t="s">
        <v>9</v>
      </c>
      <c r="D14527" s="3" t="s">
        <v>10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/>
      <c r="P14527" s="3"/>
      <c r="Q14527" s="3"/>
    </row>
    <row r="14528" spans="1:17" ht="15" x14ac:dyDescent="0.25">
      <c r="A14528" s="3">
        <f>14521</f>
        <v>14521</v>
      </c>
      <c r="B14528" s="3" t="s">
        <v>14530</v>
      </c>
      <c r="C14528" s="3" t="s">
        <v>9</v>
      </c>
      <c r="D14528" s="3" t="s">
        <v>10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/>
      <c r="P14528" s="3"/>
      <c r="Q14528" s="3"/>
    </row>
    <row r="14529" spans="1:17" ht="15" x14ac:dyDescent="0.25">
      <c r="A14529" s="3">
        <f>14522</f>
        <v>14522</v>
      </c>
      <c r="B14529" s="3" t="s">
        <v>14531</v>
      </c>
      <c r="C14529" s="3" t="s">
        <v>9</v>
      </c>
      <c r="D14529" s="3" t="s">
        <v>10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/>
      <c r="P14529" s="3"/>
      <c r="Q14529" s="3"/>
    </row>
    <row r="14530" spans="1:17" ht="15" x14ac:dyDescent="0.25">
      <c r="A14530" s="3">
        <f>14523</f>
        <v>14523</v>
      </c>
      <c r="B14530" s="3" t="s">
        <v>14532</v>
      </c>
      <c r="C14530" s="3" t="s">
        <v>9</v>
      </c>
      <c r="D14530" s="3" t="s">
        <v>10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/>
      <c r="P14530" s="3"/>
      <c r="Q14530" s="3"/>
    </row>
    <row r="14531" spans="1:17" ht="15" x14ac:dyDescent="0.25">
      <c r="A14531" s="3">
        <f>14524</f>
        <v>14524</v>
      </c>
      <c r="B14531" s="3" t="s">
        <v>14533</v>
      </c>
      <c r="C14531" s="3" t="s">
        <v>9</v>
      </c>
      <c r="D14531" s="3" t="s">
        <v>10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s="3"/>
      <c r="P14531" s="3"/>
      <c r="Q14531" s="3"/>
    </row>
    <row r="14532" spans="1:17" ht="15" x14ac:dyDescent="0.25">
      <c r="A14532" s="3">
        <f>14525</f>
        <v>14525</v>
      </c>
      <c r="B14532" s="3" t="s">
        <v>14534</v>
      </c>
      <c r="C14532" s="3" t="s">
        <v>9</v>
      </c>
      <c r="D14532" s="3" t="s">
        <v>10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/>
      <c r="P14532" s="3"/>
      <c r="Q14532" s="3"/>
    </row>
    <row r="14533" spans="1:17" ht="15" x14ac:dyDescent="0.25">
      <c r="A14533" s="3">
        <f>14526</f>
        <v>14526</v>
      </c>
      <c r="B14533" s="3" t="s">
        <v>14535</v>
      </c>
      <c r="C14533" s="3" t="s">
        <v>9</v>
      </c>
      <c r="D14533" s="3" t="s">
        <v>10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/>
      <c r="P14533" s="3"/>
      <c r="Q14533" s="3"/>
    </row>
    <row r="14534" spans="1:17" ht="15" x14ac:dyDescent="0.25">
      <c r="A14534" s="3">
        <f>14527</f>
        <v>14527</v>
      </c>
      <c r="B14534" s="3" t="s">
        <v>14536</v>
      </c>
      <c r="C14534" s="3" t="s">
        <v>9</v>
      </c>
      <c r="D14534" s="3" t="s">
        <v>10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  <c r="O14534" s="3"/>
      <c r="P14534" s="3"/>
      <c r="Q14534" s="3"/>
    </row>
    <row r="14535" spans="1:17" ht="15" x14ac:dyDescent="0.25">
      <c r="A14535" s="3">
        <f>14528</f>
        <v>14528</v>
      </c>
      <c r="B14535" s="3" t="s">
        <v>14537</v>
      </c>
      <c r="C14535" s="3" t="s">
        <v>9</v>
      </c>
      <c r="D14535" s="3" t="s">
        <v>10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s="3"/>
      <c r="P14535" s="3"/>
      <c r="Q14535" s="3"/>
    </row>
    <row r="14536" spans="1:17" ht="15" x14ac:dyDescent="0.25">
      <c r="A14536" s="3">
        <f>14529</f>
        <v>14529</v>
      </c>
      <c r="B14536" s="3" t="s">
        <v>14538</v>
      </c>
      <c r="C14536" s="3" t="s">
        <v>9</v>
      </c>
      <c r="D14536" s="3" t="s">
        <v>10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s="3"/>
      <c r="P14536" s="3"/>
      <c r="Q14536" s="3"/>
    </row>
    <row r="14537" spans="1:17" ht="15" x14ac:dyDescent="0.25">
      <c r="A14537" s="3">
        <f>14530</f>
        <v>14530</v>
      </c>
      <c r="B14537" s="3" t="s">
        <v>14539</v>
      </c>
      <c r="C14537" s="3" t="s">
        <v>9</v>
      </c>
      <c r="D14537" s="3" t="s">
        <v>10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s="3"/>
      <c r="P14537" s="3"/>
      <c r="Q14537" s="3"/>
    </row>
    <row r="14538" spans="1:17" ht="15" x14ac:dyDescent="0.25">
      <c r="A14538" s="3">
        <f>14531</f>
        <v>14531</v>
      </c>
      <c r="B14538" s="3" t="s">
        <v>14540</v>
      </c>
      <c r="C14538" s="3" t="s">
        <v>9</v>
      </c>
      <c r="D14538" s="3" t="s">
        <v>10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  <c r="O14538" s="3"/>
      <c r="P14538" s="3"/>
      <c r="Q14538" s="3"/>
    </row>
    <row r="14539" spans="1:17" ht="15" x14ac:dyDescent="0.25">
      <c r="A14539" s="3">
        <f>14532</f>
        <v>14532</v>
      </c>
      <c r="B14539" s="3" t="s">
        <v>14541</v>
      </c>
      <c r="C14539" s="3" t="s">
        <v>9</v>
      </c>
      <c r="D14539" s="3" t="s">
        <v>10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  <c r="O14539" s="3"/>
      <c r="P14539" s="3"/>
      <c r="Q14539" s="3"/>
    </row>
    <row r="14540" spans="1:17" ht="15" x14ac:dyDescent="0.25">
      <c r="A14540" s="3">
        <f>14533</f>
        <v>14533</v>
      </c>
      <c r="B14540" s="3" t="s">
        <v>14542</v>
      </c>
      <c r="C14540" s="3" t="s">
        <v>9</v>
      </c>
      <c r="D14540" s="3" t="s">
        <v>10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s="3"/>
      <c r="P14540" s="3"/>
      <c r="Q14540" s="3"/>
    </row>
    <row r="14541" spans="1:17" ht="15" x14ac:dyDescent="0.25">
      <c r="A14541" s="3">
        <f>14534</f>
        <v>14534</v>
      </c>
      <c r="B14541" s="3" t="s">
        <v>14543</v>
      </c>
      <c r="C14541" s="3" t="s">
        <v>9</v>
      </c>
      <c r="D14541" s="3" t="s">
        <v>10</v>
      </c>
      <c r="E14541" s="3">
        <v>0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/>
      <c r="P14541" s="3"/>
      <c r="Q14541" s="3"/>
    </row>
    <row r="14542" spans="1:17" ht="15" x14ac:dyDescent="0.25">
      <c r="A14542" s="3">
        <f>14535</f>
        <v>14535</v>
      </c>
      <c r="B14542" s="3" t="s">
        <v>14544</v>
      </c>
      <c r="C14542" s="3" t="s">
        <v>9</v>
      </c>
      <c r="D14542" s="3" t="s">
        <v>10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/>
      <c r="P14542" s="3"/>
      <c r="Q14542" s="3"/>
    </row>
    <row r="14543" spans="1:17" ht="15" x14ac:dyDescent="0.25">
      <c r="A14543" s="3">
        <f>14536</f>
        <v>14536</v>
      </c>
      <c r="B14543" s="3" t="s">
        <v>14545</v>
      </c>
      <c r="C14543" s="3" t="s">
        <v>9</v>
      </c>
      <c r="D14543" s="3" t="s">
        <v>10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s="3"/>
      <c r="P14543" s="3"/>
      <c r="Q14543" s="3"/>
    </row>
    <row r="14544" spans="1:17" ht="15" x14ac:dyDescent="0.25">
      <c r="A14544" s="3">
        <f>14537</f>
        <v>14537</v>
      </c>
      <c r="B14544" s="3" t="s">
        <v>14546</v>
      </c>
      <c r="C14544" s="3" t="s">
        <v>9</v>
      </c>
      <c r="D14544" s="3" t="s">
        <v>10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  <c r="O14544" s="3"/>
      <c r="P14544" s="3"/>
      <c r="Q14544" s="3"/>
    </row>
    <row r="14545" spans="1:17" ht="15" x14ac:dyDescent="0.25">
      <c r="A14545" s="3">
        <f>14538</f>
        <v>14538</v>
      </c>
      <c r="B14545" s="3" t="s">
        <v>14547</v>
      </c>
      <c r="C14545" s="3" t="s">
        <v>9</v>
      </c>
      <c r="D14545" s="3" t="s">
        <v>10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s="3"/>
      <c r="P14545" s="3"/>
      <c r="Q14545" s="3"/>
    </row>
    <row r="14546" spans="1:17" ht="15" x14ac:dyDescent="0.25">
      <c r="A14546" s="3">
        <f>14539</f>
        <v>14539</v>
      </c>
      <c r="B14546" s="3" t="s">
        <v>14548</v>
      </c>
      <c r="C14546" s="3" t="s">
        <v>9</v>
      </c>
      <c r="D14546" s="3" t="s">
        <v>10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s="3"/>
      <c r="P14546" s="3"/>
      <c r="Q14546" s="3"/>
    </row>
    <row r="14547" spans="1:17" ht="15" x14ac:dyDescent="0.25">
      <c r="A14547" s="3">
        <f>14540</f>
        <v>14540</v>
      </c>
      <c r="B14547" s="3" t="s">
        <v>14549</v>
      </c>
      <c r="C14547" s="3" t="s">
        <v>9</v>
      </c>
      <c r="D14547" s="3" t="s">
        <v>10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s="3"/>
      <c r="P14547" s="3"/>
      <c r="Q14547" s="3"/>
    </row>
    <row r="14548" spans="1:17" ht="15" x14ac:dyDescent="0.25">
      <c r="A14548" s="3">
        <f>14541</f>
        <v>14541</v>
      </c>
      <c r="B14548" s="3" t="s">
        <v>14550</v>
      </c>
      <c r="C14548" s="3" t="s">
        <v>9</v>
      </c>
      <c r="D14548" s="3" t="s">
        <v>10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/>
      <c r="P14548" s="3"/>
      <c r="Q14548" s="3"/>
    </row>
    <row r="14549" spans="1:17" ht="15" x14ac:dyDescent="0.25">
      <c r="A14549" s="3">
        <f>14542</f>
        <v>14542</v>
      </c>
      <c r="B14549" s="3" t="s">
        <v>14551</v>
      </c>
      <c r="C14549" s="3" t="s">
        <v>9</v>
      </c>
      <c r="D14549" s="3" t="s">
        <v>10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/>
      <c r="P14549" s="3"/>
      <c r="Q14549" s="3"/>
    </row>
    <row r="14550" spans="1:17" ht="15" x14ac:dyDescent="0.25">
      <c r="A14550" s="3">
        <f>14543</f>
        <v>14543</v>
      </c>
      <c r="B14550" s="3" t="s">
        <v>14552</v>
      </c>
      <c r="C14550" s="3" t="s">
        <v>9</v>
      </c>
      <c r="D14550" s="3" t="s">
        <v>10</v>
      </c>
      <c r="E14550" s="3">
        <v>0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s="3"/>
      <c r="P14550" s="3"/>
      <c r="Q14550" s="3"/>
    </row>
    <row r="14551" spans="1:17" ht="15" x14ac:dyDescent="0.25">
      <c r="A14551" s="3">
        <f>14544</f>
        <v>14544</v>
      </c>
      <c r="B14551" s="3" t="s">
        <v>14553</v>
      </c>
      <c r="C14551" s="3" t="s">
        <v>9</v>
      </c>
      <c r="D14551" s="3" t="s">
        <v>10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s="3"/>
      <c r="P14551" s="3"/>
      <c r="Q14551" s="3"/>
    </row>
    <row r="14552" spans="1:17" ht="15" x14ac:dyDescent="0.25">
      <c r="A14552" s="3">
        <f>14545</f>
        <v>14545</v>
      </c>
      <c r="B14552" s="3" t="s">
        <v>14554</v>
      </c>
      <c r="C14552" s="3" t="s">
        <v>9</v>
      </c>
      <c r="D14552" s="3" t="s">
        <v>10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/>
      <c r="P14552" s="3"/>
      <c r="Q14552" s="3"/>
    </row>
    <row r="14553" spans="1:17" ht="15" x14ac:dyDescent="0.25">
      <c r="A14553" s="3">
        <f>14546</f>
        <v>14546</v>
      </c>
      <c r="B14553" s="3" t="s">
        <v>14555</v>
      </c>
      <c r="C14553" s="3" t="s">
        <v>9</v>
      </c>
      <c r="D14553" s="3" t="s">
        <v>10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s="3"/>
      <c r="P14553" s="3"/>
      <c r="Q14553" s="3"/>
    </row>
    <row r="14554" spans="1:17" ht="15" x14ac:dyDescent="0.25">
      <c r="A14554" s="3">
        <f>14547</f>
        <v>14547</v>
      </c>
      <c r="B14554" s="3" t="s">
        <v>14556</v>
      </c>
      <c r="C14554" s="3" t="s">
        <v>9</v>
      </c>
      <c r="D14554" s="3" t="s">
        <v>10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/>
      <c r="P14554" s="3"/>
      <c r="Q14554" s="3"/>
    </row>
    <row r="14555" spans="1:17" ht="15" x14ac:dyDescent="0.25">
      <c r="A14555" s="3">
        <f>14548</f>
        <v>14548</v>
      </c>
      <c r="B14555" s="3" t="s">
        <v>14557</v>
      </c>
      <c r="C14555" s="3" t="s">
        <v>9</v>
      </c>
      <c r="D14555" s="3" t="s">
        <v>10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0</v>
      </c>
      <c r="O14555" s="3"/>
      <c r="P14555" s="3"/>
      <c r="Q14555" s="3"/>
    </row>
    <row r="14556" spans="1:17" ht="15" x14ac:dyDescent="0.25">
      <c r="A14556" s="3">
        <f>14549</f>
        <v>14549</v>
      </c>
      <c r="B14556" s="3" t="s">
        <v>14558</v>
      </c>
      <c r="C14556" s="3" t="s">
        <v>9</v>
      </c>
      <c r="D14556" s="3" t="s">
        <v>10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s="3"/>
      <c r="P14556" s="3"/>
      <c r="Q14556" s="3"/>
    </row>
    <row r="14557" spans="1:17" ht="15" x14ac:dyDescent="0.25">
      <c r="A14557" s="3">
        <f>14550</f>
        <v>14550</v>
      </c>
      <c r="B14557" s="3" t="s">
        <v>14559</v>
      </c>
      <c r="C14557" s="3" t="s">
        <v>9</v>
      </c>
      <c r="D14557" s="3" t="s">
        <v>10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/>
      <c r="P14557" s="3"/>
      <c r="Q14557" s="3"/>
    </row>
    <row r="14558" spans="1:17" ht="15" x14ac:dyDescent="0.25">
      <c r="A14558" s="3">
        <f>14551</f>
        <v>14551</v>
      </c>
      <c r="B14558" s="3" t="s">
        <v>14560</v>
      </c>
      <c r="C14558" s="3" t="s">
        <v>9</v>
      </c>
      <c r="D14558" s="3" t="s">
        <v>10</v>
      </c>
      <c r="E14558" s="3">
        <v>0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  <c r="O14558" s="3"/>
      <c r="P14558" s="3"/>
      <c r="Q14558" s="3"/>
    </row>
    <row r="14559" spans="1:17" ht="15" x14ac:dyDescent="0.25">
      <c r="A14559" s="3">
        <f>14552</f>
        <v>14552</v>
      </c>
      <c r="B14559" s="3" t="s">
        <v>14561</v>
      </c>
      <c r="C14559" s="3" t="s">
        <v>9</v>
      </c>
      <c r="D14559" s="3" t="s">
        <v>10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s="3"/>
      <c r="P14559" s="3"/>
      <c r="Q14559" s="3"/>
    </row>
    <row r="14560" spans="1:17" ht="15" x14ac:dyDescent="0.25">
      <c r="A14560" s="3">
        <f>14553</f>
        <v>14553</v>
      </c>
      <c r="B14560" s="3" t="s">
        <v>14562</v>
      </c>
      <c r="C14560" s="3" t="s">
        <v>9</v>
      </c>
      <c r="D14560" s="3" t="s">
        <v>10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s="3"/>
      <c r="P14560" s="3"/>
      <c r="Q14560" s="3"/>
    </row>
    <row r="14561" spans="1:17" ht="15" x14ac:dyDescent="0.25">
      <c r="A14561" s="3">
        <f>14554</f>
        <v>14554</v>
      </c>
      <c r="B14561" s="3" t="s">
        <v>14563</v>
      </c>
      <c r="C14561" s="3" t="s">
        <v>9</v>
      </c>
      <c r="D14561" s="3" t="s">
        <v>10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0</v>
      </c>
      <c r="O14561" s="3"/>
      <c r="P14561" s="3"/>
      <c r="Q14561" s="3"/>
    </row>
    <row r="14562" spans="1:17" ht="15" x14ac:dyDescent="0.25">
      <c r="A14562" s="3">
        <f>14555</f>
        <v>14555</v>
      </c>
      <c r="B14562" s="3" t="s">
        <v>14564</v>
      </c>
      <c r="C14562" s="3" t="s">
        <v>9</v>
      </c>
      <c r="D14562" s="3" t="s">
        <v>10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  <c r="O14562" s="3"/>
      <c r="P14562" s="3"/>
      <c r="Q14562" s="3"/>
    </row>
    <row r="14563" spans="1:17" ht="15" x14ac:dyDescent="0.25">
      <c r="A14563" s="3">
        <f>14556</f>
        <v>14556</v>
      </c>
      <c r="B14563" s="3" t="s">
        <v>14565</v>
      </c>
      <c r="C14563" s="3" t="s">
        <v>9</v>
      </c>
      <c r="D14563" s="3" t="s">
        <v>10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  <c r="O14563" s="3"/>
      <c r="P14563" s="3"/>
      <c r="Q14563" s="3"/>
    </row>
    <row r="14564" spans="1:17" ht="15" x14ac:dyDescent="0.25">
      <c r="A14564" s="3">
        <f>14557</f>
        <v>14557</v>
      </c>
      <c r="B14564" s="3" t="s">
        <v>14566</v>
      </c>
      <c r="C14564" s="3" t="s">
        <v>9</v>
      </c>
      <c r="D14564" s="3" t="s">
        <v>10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/>
      <c r="P14564" s="3"/>
      <c r="Q14564" s="3"/>
    </row>
    <row r="14565" spans="1:17" ht="15" x14ac:dyDescent="0.25">
      <c r="A14565" s="3">
        <f>14558</f>
        <v>14558</v>
      </c>
      <c r="B14565" s="3" t="s">
        <v>14567</v>
      </c>
      <c r="C14565" s="3" t="s">
        <v>9</v>
      </c>
      <c r="D14565" s="3" t="s">
        <v>10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0</v>
      </c>
      <c r="O14565" s="3"/>
      <c r="P14565" s="3"/>
      <c r="Q14565" s="3"/>
    </row>
    <row r="14566" spans="1:17" ht="15" x14ac:dyDescent="0.25">
      <c r="A14566" s="3">
        <f>14559</f>
        <v>14559</v>
      </c>
      <c r="B14566" s="3" t="s">
        <v>14568</v>
      </c>
      <c r="C14566" s="3" t="s">
        <v>10</v>
      </c>
      <c r="D14566" s="3" t="s">
        <v>9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/>
      <c r="P14566" s="3"/>
      <c r="Q14566" s="3"/>
    </row>
    <row r="14567" spans="1:17" ht="15" x14ac:dyDescent="0.25">
      <c r="A14567" s="3">
        <f>14560</f>
        <v>14560</v>
      </c>
      <c r="B14567" s="3" t="s">
        <v>14569</v>
      </c>
      <c r="C14567" s="3" t="s">
        <v>10</v>
      </c>
      <c r="D14567" s="3" t="s">
        <v>9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/>
      <c r="P14567" s="3"/>
      <c r="Q14567" s="3"/>
    </row>
    <row r="14568" spans="1:17" ht="15" x14ac:dyDescent="0.25">
      <c r="A14568" s="3">
        <f>14561</f>
        <v>14561</v>
      </c>
      <c r="B14568" s="3" t="s">
        <v>14570</v>
      </c>
      <c r="C14568" s="3" t="s">
        <v>10</v>
      </c>
      <c r="D14568" s="3" t="s">
        <v>9</v>
      </c>
      <c r="E14568" s="3">
        <v>0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  <c r="O14568" s="3"/>
      <c r="P14568" s="3"/>
      <c r="Q14568" s="3"/>
    </row>
    <row r="14569" spans="1:17" ht="15" x14ac:dyDescent="0.25">
      <c r="A14569" s="3">
        <f>14562</f>
        <v>14562</v>
      </c>
      <c r="B14569" s="3" t="s">
        <v>14571</v>
      </c>
      <c r="C14569" s="3" t="s">
        <v>10</v>
      </c>
      <c r="D14569" s="3" t="s">
        <v>9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/>
      <c r="P14569" s="3"/>
      <c r="Q14569" s="3"/>
    </row>
    <row r="14570" spans="1:17" ht="15" x14ac:dyDescent="0.25">
      <c r="A14570" s="3">
        <f>14563</f>
        <v>14563</v>
      </c>
      <c r="B14570" s="3" t="s">
        <v>14572</v>
      </c>
      <c r="C14570" s="3" t="s">
        <v>10</v>
      </c>
      <c r="D14570" s="3" t="s">
        <v>9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s="3"/>
      <c r="P14570" s="3"/>
      <c r="Q14570" s="3"/>
    </row>
    <row r="14571" spans="1:17" ht="15" x14ac:dyDescent="0.25">
      <c r="A14571" s="3">
        <f>14564</f>
        <v>14564</v>
      </c>
      <c r="B14571" s="3" t="s">
        <v>14573</v>
      </c>
      <c r="C14571" s="3" t="s">
        <v>10</v>
      </c>
      <c r="D14571" s="3" t="s">
        <v>9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s="3"/>
      <c r="P14571" s="3"/>
      <c r="Q14571" s="3"/>
    </row>
    <row r="14572" spans="1:17" ht="15" x14ac:dyDescent="0.25">
      <c r="A14572" s="3">
        <f>14565</f>
        <v>14565</v>
      </c>
      <c r="B14572" s="3" t="s">
        <v>14574</v>
      </c>
      <c r="C14572" s="3" t="s">
        <v>9</v>
      </c>
      <c r="D14572" s="3" t="s">
        <v>10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/>
      <c r="P14572" s="3"/>
      <c r="Q14572" s="3"/>
    </row>
    <row r="14573" spans="1:17" ht="15" x14ac:dyDescent="0.25">
      <c r="A14573" s="3">
        <f>14566</f>
        <v>14566</v>
      </c>
      <c r="B14573" s="3" t="s">
        <v>14575</v>
      </c>
      <c r="C14573" s="3" t="s">
        <v>9</v>
      </c>
      <c r="D14573" s="3" t="s">
        <v>10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s="3"/>
      <c r="P14573" s="3"/>
      <c r="Q14573" s="3"/>
    </row>
    <row r="14574" spans="1:17" ht="15" x14ac:dyDescent="0.25">
      <c r="A14574" s="3">
        <f>14567</f>
        <v>14567</v>
      </c>
      <c r="B14574" s="3" t="s">
        <v>14576</v>
      </c>
      <c r="C14574" s="3" t="s">
        <v>9</v>
      </c>
      <c r="D14574" s="3" t="s">
        <v>10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  <c r="O14574" s="3"/>
      <c r="P14574" s="3"/>
      <c r="Q14574" s="3"/>
    </row>
    <row r="14575" spans="1:17" ht="15" x14ac:dyDescent="0.25">
      <c r="A14575" s="3">
        <f>14568</f>
        <v>14568</v>
      </c>
      <c r="B14575" s="3" t="s">
        <v>14577</v>
      </c>
      <c r="C14575" s="3" t="s">
        <v>9</v>
      </c>
      <c r="D14575" s="3" t="s">
        <v>10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/>
      <c r="P14575" s="3"/>
      <c r="Q14575" s="3"/>
    </row>
    <row r="14576" spans="1:17" ht="15" x14ac:dyDescent="0.25">
      <c r="A14576" s="3">
        <f>14569</f>
        <v>14569</v>
      </c>
      <c r="B14576" s="3" t="s">
        <v>14578</v>
      </c>
      <c r="C14576" s="3" t="s">
        <v>9</v>
      </c>
      <c r="D14576" s="3" t="s">
        <v>10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/>
      <c r="P14576" s="3"/>
      <c r="Q14576" s="3"/>
    </row>
    <row r="14577" spans="1:17" ht="15" x14ac:dyDescent="0.25">
      <c r="A14577" s="3">
        <f>14570</f>
        <v>14570</v>
      </c>
      <c r="B14577" s="3" t="s">
        <v>14579</v>
      </c>
      <c r="C14577" s="3" t="s">
        <v>10</v>
      </c>
      <c r="D14577" s="3" t="s">
        <v>9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/>
      <c r="P14577" s="3"/>
      <c r="Q14577" s="3"/>
    </row>
    <row r="14578" spans="1:17" ht="15" x14ac:dyDescent="0.25">
      <c r="A14578" s="3">
        <f>14571</f>
        <v>14571</v>
      </c>
      <c r="B14578" s="3" t="s">
        <v>14580</v>
      </c>
      <c r="C14578" s="3" t="s">
        <v>10</v>
      </c>
      <c r="D14578" s="3" t="s">
        <v>9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s="3"/>
      <c r="P14578" s="3"/>
      <c r="Q14578" s="3"/>
    </row>
    <row r="14579" spans="1:17" ht="15" x14ac:dyDescent="0.25">
      <c r="A14579" s="3">
        <f>14572</f>
        <v>14572</v>
      </c>
      <c r="B14579" s="3" t="s">
        <v>14581</v>
      </c>
      <c r="C14579" s="3" t="s">
        <v>9</v>
      </c>
      <c r="D14579" s="3" t="s">
        <v>10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  <c r="O14579" s="3"/>
      <c r="P14579" s="3"/>
      <c r="Q14579" s="3"/>
    </row>
    <row r="14580" spans="1:17" ht="15" x14ac:dyDescent="0.25">
      <c r="A14580" s="3">
        <f>14573</f>
        <v>14573</v>
      </c>
      <c r="B14580" s="3" t="s">
        <v>14582</v>
      </c>
      <c r="C14580" s="3" t="s">
        <v>9</v>
      </c>
      <c r="D14580" s="3" t="s">
        <v>10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s="3"/>
      <c r="P14580" s="3"/>
      <c r="Q14580" s="3"/>
    </row>
    <row r="14581" spans="1:17" ht="15" x14ac:dyDescent="0.25">
      <c r="A14581" s="3">
        <f>14574</f>
        <v>14574</v>
      </c>
      <c r="B14581" s="3" t="s">
        <v>14583</v>
      </c>
      <c r="C14581" s="3" t="s">
        <v>9</v>
      </c>
      <c r="D14581" s="3" t="s">
        <v>10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  <c r="O14581" s="3"/>
      <c r="P14581" s="3"/>
      <c r="Q14581" s="3"/>
    </row>
    <row r="14582" spans="1:17" ht="15" x14ac:dyDescent="0.25">
      <c r="A14582" s="3">
        <f>14575</f>
        <v>14575</v>
      </c>
      <c r="B14582" s="3" t="s">
        <v>14584</v>
      </c>
      <c r="C14582" s="3" t="s">
        <v>9</v>
      </c>
      <c r="D14582" s="3" t="s">
        <v>10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s="3"/>
      <c r="P14582" s="3"/>
      <c r="Q14582" s="3"/>
    </row>
    <row r="14583" spans="1:17" ht="15" x14ac:dyDescent="0.25">
      <c r="A14583" s="3">
        <f>14576</f>
        <v>14576</v>
      </c>
      <c r="B14583" s="3" t="s">
        <v>14585</v>
      </c>
      <c r="C14583" s="3" t="s">
        <v>10</v>
      </c>
      <c r="D14583" s="3" t="s">
        <v>9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/>
      <c r="P14583" s="3"/>
      <c r="Q14583" s="3"/>
    </row>
    <row r="14584" spans="1:17" ht="15" x14ac:dyDescent="0.25">
      <c r="A14584" s="3">
        <f>14577</f>
        <v>14577</v>
      </c>
      <c r="B14584" s="3" t="s">
        <v>14586</v>
      </c>
      <c r="C14584" s="3" t="s">
        <v>9</v>
      </c>
      <c r="D14584" s="3" t="s">
        <v>10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/>
      <c r="P14584" s="3"/>
      <c r="Q14584" s="3"/>
    </row>
    <row r="14585" spans="1:17" ht="15" x14ac:dyDescent="0.25">
      <c r="A14585" s="3">
        <f>14578</f>
        <v>14578</v>
      </c>
      <c r="B14585" s="3" t="s">
        <v>14587</v>
      </c>
      <c r="C14585" s="3" t="s">
        <v>10</v>
      </c>
      <c r="D14585" s="3" t="s">
        <v>9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/>
      <c r="P14585" s="3"/>
      <c r="Q14585" s="3"/>
    </row>
    <row r="14586" spans="1:17" ht="15" x14ac:dyDescent="0.25">
      <c r="A14586" s="3">
        <f>14579</f>
        <v>14579</v>
      </c>
      <c r="B14586" s="3" t="s">
        <v>14588</v>
      </c>
      <c r="C14586" s="3" t="s">
        <v>10</v>
      </c>
      <c r="D14586" s="3" t="s">
        <v>9</v>
      </c>
      <c r="E14586" s="3">
        <v>0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  <c r="O14586" s="3"/>
      <c r="P14586" s="3"/>
      <c r="Q14586" s="3"/>
    </row>
    <row r="14587" spans="1:17" ht="15" x14ac:dyDescent="0.25">
      <c r="A14587" s="3">
        <f>14580</f>
        <v>14580</v>
      </c>
      <c r="B14587" s="3" t="s">
        <v>14589</v>
      </c>
      <c r="C14587" s="3" t="s">
        <v>9</v>
      </c>
      <c r="D14587" s="3" t="s">
        <v>10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s="3"/>
      <c r="P14587" s="3"/>
      <c r="Q14587" s="3"/>
    </row>
    <row r="14588" spans="1:17" ht="15" x14ac:dyDescent="0.25">
      <c r="A14588" s="3">
        <f>14581</f>
        <v>14581</v>
      </c>
      <c r="B14588" s="3" t="s">
        <v>14590</v>
      </c>
      <c r="C14588" s="3" t="s">
        <v>10</v>
      </c>
      <c r="D14588" s="3" t="s">
        <v>9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/>
      <c r="P14588" s="3"/>
      <c r="Q14588" s="3"/>
    </row>
    <row r="14589" spans="1:17" ht="15" x14ac:dyDescent="0.25">
      <c r="A14589" s="3">
        <f>14582</f>
        <v>14582</v>
      </c>
      <c r="B14589" s="3" t="s">
        <v>14591</v>
      </c>
      <c r="C14589" s="3" t="s">
        <v>10</v>
      </c>
      <c r="D14589" s="3" t="s">
        <v>9</v>
      </c>
      <c r="E14589" s="3">
        <v>0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s="3"/>
      <c r="P14589" s="3"/>
      <c r="Q14589" s="3"/>
    </row>
    <row r="14590" spans="1:17" ht="15" x14ac:dyDescent="0.25">
      <c r="A14590" s="3">
        <f>14583</f>
        <v>14583</v>
      </c>
      <c r="B14590" s="3" t="s">
        <v>14592</v>
      </c>
      <c r="C14590" s="3" t="s">
        <v>9</v>
      </c>
      <c r="D14590" s="3" t="s">
        <v>10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0</v>
      </c>
      <c r="O14590" s="3"/>
      <c r="P14590" s="3"/>
      <c r="Q14590" s="3"/>
    </row>
    <row r="14591" spans="1:17" ht="15" x14ac:dyDescent="0.25">
      <c r="A14591" s="3">
        <f>14584</f>
        <v>14584</v>
      </c>
      <c r="B14591" s="3" t="s">
        <v>14593</v>
      </c>
      <c r="C14591" s="3" t="s">
        <v>9</v>
      </c>
      <c r="D14591" s="3" t="s">
        <v>10</v>
      </c>
      <c r="E14591" s="3">
        <v>0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s="3"/>
      <c r="P14591" s="3"/>
      <c r="Q14591" s="3"/>
    </row>
    <row r="14592" spans="1:17" ht="15" x14ac:dyDescent="0.25">
      <c r="A14592" s="3">
        <f>14585</f>
        <v>14585</v>
      </c>
      <c r="B14592" s="3" t="s">
        <v>14594</v>
      </c>
      <c r="C14592" s="3" t="s">
        <v>10</v>
      </c>
      <c r="D14592" s="3" t="s">
        <v>9</v>
      </c>
      <c r="E14592" s="3">
        <v>0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s="3"/>
      <c r="P14592" s="3"/>
      <c r="Q14592" s="3"/>
    </row>
    <row r="14593" spans="1:17" ht="15" x14ac:dyDescent="0.25">
      <c r="A14593" s="3">
        <f>14586</f>
        <v>14586</v>
      </c>
      <c r="B14593" s="3" t="s">
        <v>14595</v>
      </c>
      <c r="C14593" s="3" t="s">
        <v>10</v>
      </c>
      <c r="D14593" s="3" t="s">
        <v>9</v>
      </c>
      <c r="E14593" s="3">
        <v>0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s="3"/>
      <c r="P14593" s="3"/>
      <c r="Q14593" s="3"/>
    </row>
    <row r="14594" spans="1:17" ht="15" x14ac:dyDescent="0.25">
      <c r="A14594" s="3">
        <f>14587</f>
        <v>14587</v>
      </c>
      <c r="B14594" s="3" t="s">
        <v>14596</v>
      </c>
      <c r="C14594" s="3" t="s">
        <v>9</v>
      </c>
      <c r="D14594" s="3" t="s">
        <v>10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  <c r="O14594" s="3"/>
      <c r="P14594" s="3"/>
      <c r="Q14594" s="3"/>
    </row>
    <row r="14595" spans="1:17" ht="15" x14ac:dyDescent="0.25">
      <c r="A14595" s="3">
        <f>14588</f>
        <v>14588</v>
      </c>
      <c r="B14595" s="3" t="s">
        <v>14597</v>
      </c>
      <c r="C14595" s="3" t="s">
        <v>9</v>
      </c>
      <c r="D14595" s="3" t="s">
        <v>10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0</v>
      </c>
      <c r="O14595" s="3"/>
      <c r="P14595" s="3"/>
      <c r="Q14595" s="3"/>
    </row>
    <row r="14596" spans="1:17" ht="15" x14ac:dyDescent="0.25">
      <c r="A14596" s="3">
        <f>14589</f>
        <v>14589</v>
      </c>
      <c r="B14596" s="3" t="s">
        <v>14598</v>
      </c>
      <c r="C14596" s="3" t="s">
        <v>10</v>
      </c>
      <c r="D14596" s="3" t="s">
        <v>9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s="3"/>
      <c r="P14596" s="3"/>
      <c r="Q14596" s="3"/>
    </row>
    <row r="14597" spans="1:17" ht="15" x14ac:dyDescent="0.25">
      <c r="A14597" s="3">
        <f>14590</f>
        <v>14590</v>
      </c>
      <c r="B14597" s="3" t="s">
        <v>14599</v>
      </c>
      <c r="C14597" s="3" t="s">
        <v>10</v>
      </c>
      <c r="D14597" s="3" t="s">
        <v>9</v>
      </c>
      <c r="E14597" s="3">
        <v>0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  <c r="O14597" s="3"/>
      <c r="P14597" s="3"/>
      <c r="Q14597" s="3"/>
    </row>
    <row r="14598" spans="1:17" ht="15" x14ac:dyDescent="0.25">
      <c r="A14598" s="3">
        <f>14591</f>
        <v>14591</v>
      </c>
      <c r="B14598" s="3" t="s">
        <v>14600</v>
      </c>
      <c r="C14598" s="3" t="s">
        <v>10</v>
      </c>
      <c r="D14598" s="3" t="s">
        <v>9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s="3"/>
      <c r="P14598" s="3"/>
      <c r="Q14598" s="3"/>
    </row>
    <row r="14599" spans="1:17" ht="15" x14ac:dyDescent="0.25">
      <c r="A14599" s="3">
        <f>14592</f>
        <v>14592</v>
      </c>
      <c r="B14599" s="3" t="s">
        <v>14601</v>
      </c>
      <c r="C14599" s="3" t="s">
        <v>10</v>
      </c>
      <c r="D14599" s="3" t="s">
        <v>9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  <c r="O14599" s="3"/>
      <c r="P14599" s="3"/>
      <c r="Q14599" s="3"/>
    </row>
    <row r="14600" spans="1:17" ht="15" x14ac:dyDescent="0.25">
      <c r="A14600" s="3">
        <f>14593</f>
        <v>14593</v>
      </c>
      <c r="B14600" s="3" t="s">
        <v>14602</v>
      </c>
      <c r="C14600" s="3" t="s">
        <v>9</v>
      </c>
      <c r="D14600" s="3" t="s">
        <v>10</v>
      </c>
      <c r="E14600" s="3">
        <v>0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  <c r="O14600" s="3"/>
      <c r="P14600" s="3"/>
      <c r="Q14600" s="3"/>
    </row>
    <row r="14601" spans="1:17" ht="15" x14ac:dyDescent="0.25">
      <c r="A14601" s="3">
        <f>14594</f>
        <v>14594</v>
      </c>
      <c r="B14601" s="3" t="s">
        <v>14603</v>
      </c>
      <c r="C14601" s="3" t="s">
        <v>9</v>
      </c>
      <c r="D14601" s="3" t="s">
        <v>10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s="3"/>
      <c r="P14601" s="3"/>
      <c r="Q14601" s="3"/>
    </row>
    <row r="14602" spans="1:17" ht="15" x14ac:dyDescent="0.25">
      <c r="A14602" s="3">
        <f>14595</f>
        <v>14595</v>
      </c>
      <c r="B14602" s="3" t="s">
        <v>14604</v>
      </c>
      <c r="C14602" s="3" t="s">
        <v>9</v>
      </c>
      <c r="D14602" s="3" t="s">
        <v>10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s="3"/>
      <c r="P14602" s="3"/>
      <c r="Q14602" s="3"/>
    </row>
    <row r="14603" spans="1:17" ht="15" x14ac:dyDescent="0.25">
      <c r="A14603" s="3">
        <f>14596</f>
        <v>14596</v>
      </c>
      <c r="B14603" s="3" t="s">
        <v>14605</v>
      </c>
      <c r="C14603" s="3" t="s">
        <v>9</v>
      </c>
      <c r="D14603" s="3" t="s">
        <v>10</v>
      </c>
      <c r="E14603" s="3">
        <v>0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s="3"/>
      <c r="P14603" s="3"/>
      <c r="Q14603" s="3"/>
    </row>
    <row r="14604" spans="1:17" ht="15" x14ac:dyDescent="0.25">
      <c r="A14604" s="3">
        <f>14597</f>
        <v>14597</v>
      </c>
      <c r="B14604" s="3" t="s">
        <v>14606</v>
      </c>
      <c r="C14604" s="3" t="s">
        <v>9</v>
      </c>
      <c r="D14604" s="3" t="s">
        <v>10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s="3"/>
      <c r="P14604" s="3"/>
      <c r="Q14604" s="3"/>
    </row>
    <row r="14605" spans="1:17" ht="15" x14ac:dyDescent="0.25">
      <c r="A14605" s="3">
        <f>14598</f>
        <v>14598</v>
      </c>
      <c r="B14605" s="3" t="s">
        <v>14607</v>
      </c>
      <c r="C14605" s="3" t="s">
        <v>9</v>
      </c>
      <c r="D14605" s="3" t="s">
        <v>10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/>
      <c r="P14605" s="3"/>
      <c r="Q14605" s="3"/>
    </row>
    <row r="14606" spans="1:17" ht="15" x14ac:dyDescent="0.25">
      <c r="A14606" s="3">
        <f>14599</f>
        <v>14599</v>
      </c>
      <c r="B14606" s="3" t="s">
        <v>14608</v>
      </c>
      <c r="C14606" s="3" t="s">
        <v>9</v>
      </c>
      <c r="D14606" s="3" t="s">
        <v>10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s="3"/>
      <c r="P14606" s="3"/>
      <c r="Q14606" s="3"/>
    </row>
    <row r="14607" spans="1:17" ht="15" x14ac:dyDescent="0.25">
      <c r="A14607" s="3">
        <f>14600</f>
        <v>14600</v>
      </c>
      <c r="B14607" s="3" t="s">
        <v>14609</v>
      </c>
      <c r="C14607" s="3" t="s">
        <v>9</v>
      </c>
      <c r="D14607" s="3" t="s">
        <v>10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  <c r="O14607" s="3"/>
      <c r="P14607" s="3"/>
      <c r="Q14607" s="3"/>
    </row>
    <row r="14608" spans="1:17" ht="15" x14ac:dyDescent="0.25">
      <c r="A14608" s="3">
        <f>14601</f>
        <v>14601</v>
      </c>
      <c r="B14608" s="3" t="s">
        <v>14610</v>
      </c>
      <c r="C14608" s="3" t="s">
        <v>9</v>
      </c>
      <c r="D14608" s="3" t="s">
        <v>10</v>
      </c>
      <c r="E14608" s="3">
        <v>0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s="3"/>
      <c r="P14608" s="3"/>
      <c r="Q14608" s="3"/>
    </row>
    <row r="14609" spans="1:17" ht="15" x14ac:dyDescent="0.25">
      <c r="A14609" s="3">
        <f>14602</f>
        <v>14602</v>
      </c>
      <c r="B14609" s="3" t="s">
        <v>14611</v>
      </c>
      <c r="C14609" s="3" t="s">
        <v>9</v>
      </c>
      <c r="D14609" s="3" t="s">
        <v>10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s="3"/>
      <c r="P14609" s="3"/>
      <c r="Q14609" s="3"/>
    </row>
    <row r="14610" spans="1:17" ht="15" x14ac:dyDescent="0.25">
      <c r="A14610" s="3">
        <f>14603</f>
        <v>14603</v>
      </c>
      <c r="B14610" s="3" t="s">
        <v>14612</v>
      </c>
      <c r="C14610" s="3" t="s">
        <v>9</v>
      </c>
      <c r="D14610" s="3" t="s">
        <v>10</v>
      </c>
      <c r="E14610" s="3">
        <v>0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s="3"/>
      <c r="P14610" s="3"/>
      <c r="Q14610" s="3"/>
    </row>
    <row r="14611" spans="1:17" ht="15" x14ac:dyDescent="0.25">
      <c r="A14611" s="3">
        <f>14604</f>
        <v>14604</v>
      </c>
      <c r="B14611" s="3" t="s">
        <v>14613</v>
      </c>
      <c r="C14611" s="3" t="s">
        <v>9</v>
      </c>
      <c r="D14611" s="3" t="s">
        <v>10</v>
      </c>
      <c r="E14611" s="3">
        <v>0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s="3"/>
      <c r="P14611" s="3"/>
      <c r="Q14611" s="3"/>
    </row>
    <row r="14612" spans="1:17" ht="15" x14ac:dyDescent="0.25">
      <c r="A14612" s="3">
        <f>14605</f>
        <v>14605</v>
      </c>
      <c r="B14612" s="3" t="s">
        <v>14614</v>
      </c>
      <c r="C14612" s="3" t="s">
        <v>10</v>
      </c>
      <c r="D14612" s="3" t="s">
        <v>9</v>
      </c>
      <c r="E14612" s="3">
        <v>0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s="3"/>
      <c r="P14612" s="3"/>
      <c r="Q14612" s="3"/>
    </row>
    <row r="14613" spans="1:17" ht="15" x14ac:dyDescent="0.25">
      <c r="A14613" s="3">
        <f>14606</f>
        <v>14606</v>
      </c>
      <c r="B14613" s="3" t="s">
        <v>14615</v>
      </c>
      <c r="C14613" s="3" t="s">
        <v>10</v>
      </c>
      <c r="D14613" s="3" t="s">
        <v>9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/>
      <c r="P14613" s="3"/>
      <c r="Q14613" s="3"/>
    </row>
    <row r="14614" spans="1:17" ht="15" x14ac:dyDescent="0.25">
      <c r="A14614" s="3">
        <f>14607</f>
        <v>14607</v>
      </c>
      <c r="B14614" s="3" t="s">
        <v>14616</v>
      </c>
      <c r="C14614" s="3" t="s">
        <v>10</v>
      </c>
      <c r="D14614" s="3" t="s">
        <v>9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s="3"/>
      <c r="P14614" s="3"/>
      <c r="Q14614" s="3"/>
    </row>
    <row r="14615" spans="1:17" ht="15" x14ac:dyDescent="0.25">
      <c r="A14615" s="3">
        <f>14608</f>
        <v>14608</v>
      </c>
      <c r="B14615" s="3" t="s">
        <v>14617</v>
      </c>
      <c r="C14615" s="3" t="s">
        <v>10</v>
      </c>
      <c r="D14615" s="3" t="s">
        <v>9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s="3"/>
      <c r="P14615" s="3"/>
      <c r="Q14615" s="3"/>
    </row>
    <row r="14616" spans="1:17" ht="15" x14ac:dyDescent="0.25">
      <c r="A14616" s="3">
        <f>14609</f>
        <v>14609</v>
      </c>
      <c r="B14616" s="3" t="s">
        <v>14618</v>
      </c>
      <c r="C14616" s="3" t="s">
        <v>10</v>
      </c>
      <c r="D14616" s="3" t="s">
        <v>9</v>
      </c>
      <c r="E14616" s="3">
        <v>0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s="3"/>
      <c r="P14616" s="3"/>
      <c r="Q14616" s="3"/>
    </row>
    <row r="14617" spans="1:17" ht="15" x14ac:dyDescent="0.25">
      <c r="A14617" s="3">
        <f>14610</f>
        <v>14610</v>
      </c>
      <c r="B14617" s="3" t="s">
        <v>14619</v>
      </c>
      <c r="C14617" s="3" t="s">
        <v>9</v>
      </c>
      <c r="D14617" s="3" t="s">
        <v>10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s="3"/>
      <c r="P14617" s="3"/>
      <c r="Q14617" s="3"/>
    </row>
    <row r="14618" spans="1:17" ht="15" x14ac:dyDescent="0.25">
      <c r="A14618" s="3">
        <f>14611</f>
        <v>14611</v>
      </c>
      <c r="B14618" s="3" t="s">
        <v>14620</v>
      </c>
      <c r="C14618" s="3" t="s">
        <v>9</v>
      </c>
      <c r="D14618" s="3" t="s">
        <v>10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s="3"/>
      <c r="P14618" s="3"/>
      <c r="Q14618" s="3"/>
    </row>
    <row r="14619" spans="1:17" ht="15" x14ac:dyDescent="0.25">
      <c r="A14619" s="3">
        <f>14612</f>
        <v>14612</v>
      </c>
      <c r="B14619" s="3" t="s">
        <v>14621</v>
      </c>
      <c r="C14619" s="3" t="s">
        <v>9</v>
      </c>
      <c r="D14619" s="3" t="s">
        <v>10</v>
      </c>
      <c r="E14619" s="3">
        <v>0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s="3"/>
      <c r="P14619" s="3"/>
      <c r="Q14619" s="3"/>
    </row>
    <row r="14620" spans="1:17" ht="15" x14ac:dyDescent="0.25">
      <c r="A14620" s="3">
        <f>14613</f>
        <v>14613</v>
      </c>
      <c r="B14620" s="3" t="s">
        <v>14622</v>
      </c>
      <c r="C14620" s="3" t="s">
        <v>9</v>
      </c>
      <c r="D14620" s="3" t="s">
        <v>10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/>
      <c r="P14620" s="3"/>
      <c r="Q14620" s="3"/>
    </row>
    <row r="14621" spans="1:17" ht="15" x14ac:dyDescent="0.25">
      <c r="A14621" s="3">
        <f>14614</f>
        <v>14614</v>
      </c>
      <c r="B14621" s="3" t="s">
        <v>14623</v>
      </c>
      <c r="C14621" s="3" t="s">
        <v>9</v>
      </c>
      <c r="D14621" s="3" t="s">
        <v>10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s="3"/>
      <c r="P14621" s="3"/>
      <c r="Q14621" s="3"/>
    </row>
    <row r="14622" spans="1:17" ht="15" x14ac:dyDescent="0.25">
      <c r="A14622" s="3">
        <f>14615</f>
        <v>14615</v>
      </c>
      <c r="B14622" s="3" t="s">
        <v>14624</v>
      </c>
      <c r="C14622" s="3" t="s">
        <v>9</v>
      </c>
      <c r="D14622" s="3" t="s">
        <v>10</v>
      </c>
      <c r="E14622" s="3">
        <v>0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s="3"/>
      <c r="P14622" s="3"/>
      <c r="Q14622" s="3"/>
    </row>
    <row r="14623" spans="1:17" ht="15" x14ac:dyDescent="0.25">
      <c r="A14623" s="3">
        <f>14616</f>
        <v>14616</v>
      </c>
      <c r="B14623" s="3" t="s">
        <v>14625</v>
      </c>
      <c r="C14623" s="3" t="s">
        <v>9</v>
      </c>
      <c r="D14623" s="3" t="s">
        <v>10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  <c r="O14623" s="3"/>
      <c r="P14623" s="3"/>
      <c r="Q14623" s="3"/>
    </row>
    <row r="14624" spans="1:17" ht="15" x14ac:dyDescent="0.25">
      <c r="A14624" s="3">
        <f>14617</f>
        <v>14617</v>
      </c>
      <c r="B14624" s="3" t="s">
        <v>14626</v>
      </c>
      <c r="C14624" s="3" t="s">
        <v>10</v>
      </c>
      <c r="D14624" s="3" t="s">
        <v>9</v>
      </c>
      <c r="E14624" s="3">
        <v>0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s="3"/>
      <c r="P14624" s="3"/>
      <c r="Q14624" s="3"/>
    </row>
    <row r="14625" spans="1:17" ht="15" x14ac:dyDescent="0.25">
      <c r="A14625" s="3">
        <f>14618</f>
        <v>14618</v>
      </c>
      <c r="B14625" s="3" t="s">
        <v>14627</v>
      </c>
      <c r="C14625" s="3" t="s">
        <v>9</v>
      </c>
      <c r="D14625" s="3" t="s">
        <v>10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/>
      <c r="P14625" s="3"/>
      <c r="Q14625" s="3"/>
    </row>
    <row r="14626" spans="1:17" ht="15" x14ac:dyDescent="0.25">
      <c r="A14626" s="3">
        <f>14619</f>
        <v>14619</v>
      </c>
      <c r="B14626" s="3" t="s">
        <v>14628</v>
      </c>
      <c r="C14626" s="3" t="s">
        <v>9</v>
      </c>
      <c r="D14626" s="3" t="s">
        <v>10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/>
      <c r="P14626" s="3"/>
      <c r="Q14626" s="3"/>
    </row>
    <row r="14627" spans="1:17" ht="15" x14ac:dyDescent="0.25">
      <c r="A14627" s="3">
        <f>14620</f>
        <v>14620</v>
      </c>
      <c r="B14627" s="3" t="s">
        <v>14629</v>
      </c>
      <c r="C14627" s="3" t="s">
        <v>9</v>
      </c>
      <c r="D14627" s="3" t="s">
        <v>10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  <c r="O14627" s="3"/>
      <c r="P14627" s="3"/>
      <c r="Q14627" s="3"/>
    </row>
    <row r="14628" spans="1:17" ht="15" x14ac:dyDescent="0.25">
      <c r="A14628" s="3">
        <f>14621</f>
        <v>14621</v>
      </c>
      <c r="B14628" s="3" t="s">
        <v>14630</v>
      </c>
      <c r="C14628" s="3" t="s">
        <v>10</v>
      </c>
      <c r="D14628" s="3" t="s">
        <v>9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s="3"/>
      <c r="P14628" s="3"/>
      <c r="Q14628" s="3"/>
    </row>
    <row r="14629" spans="1:17" ht="15" x14ac:dyDescent="0.25">
      <c r="A14629" s="3">
        <f>14622</f>
        <v>14622</v>
      </c>
      <c r="B14629" s="3" t="s">
        <v>14631</v>
      </c>
      <c r="C14629" s="3" t="s">
        <v>10</v>
      </c>
      <c r="D14629" s="3" t="s">
        <v>9</v>
      </c>
      <c r="E14629" s="3">
        <v>0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s="3"/>
      <c r="P14629" s="3"/>
      <c r="Q14629" s="3"/>
    </row>
    <row r="14630" spans="1:17" ht="15" x14ac:dyDescent="0.25">
      <c r="A14630" s="3">
        <f>14623</f>
        <v>14623</v>
      </c>
      <c r="B14630" s="3" t="s">
        <v>14632</v>
      </c>
      <c r="C14630" s="3" t="s">
        <v>10</v>
      </c>
      <c r="D14630" s="3" t="s">
        <v>9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0</v>
      </c>
      <c r="O14630" s="3"/>
      <c r="P14630" s="3"/>
      <c r="Q14630" s="3"/>
    </row>
    <row r="14631" spans="1:17" ht="15" x14ac:dyDescent="0.25">
      <c r="A14631" s="3">
        <f>14624</f>
        <v>14624</v>
      </c>
      <c r="B14631" s="3" t="s">
        <v>14633</v>
      </c>
      <c r="C14631" s="3" t="s">
        <v>10</v>
      </c>
      <c r="D14631" s="3" t="s">
        <v>9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s="3"/>
      <c r="P14631" s="3"/>
      <c r="Q14631" s="3"/>
    </row>
    <row r="14632" spans="1:17" ht="15" x14ac:dyDescent="0.25">
      <c r="A14632" s="3">
        <f>14625</f>
        <v>14625</v>
      </c>
      <c r="B14632" s="3" t="s">
        <v>14634</v>
      </c>
      <c r="C14632" s="3" t="s">
        <v>10</v>
      </c>
      <c r="D14632" s="3" t="s">
        <v>9</v>
      </c>
      <c r="E14632" s="3">
        <v>0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/>
      <c r="P14632" s="3"/>
      <c r="Q14632" s="3"/>
    </row>
    <row r="14633" spans="1:17" ht="15" x14ac:dyDescent="0.25">
      <c r="A14633" s="3">
        <f>14626</f>
        <v>14626</v>
      </c>
      <c r="B14633" s="3" t="s">
        <v>14635</v>
      </c>
      <c r="C14633" s="3" t="s">
        <v>10</v>
      </c>
      <c r="D14633" s="3" t="s">
        <v>9</v>
      </c>
      <c r="E14633" s="3">
        <v>0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/>
      <c r="P14633" s="3"/>
      <c r="Q14633" s="3"/>
    </row>
    <row r="14634" spans="1:17" ht="15" x14ac:dyDescent="0.25">
      <c r="A14634" s="3">
        <f>14627</f>
        <v>14627</v>
      </c>
      <c r="B14634" s="3" t="s">
        <v>14636</v>
      </c>
      <c r="C14634" s="3" t="s">
        <v>10</v>
      </c>
      <c r="D14634" s="3" t="s">
        <v>9</v>
      </c>
      <c r="E14634" s="3">
        <v>0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s="3"/>
      <c r="P14634" s="3"/>
      <c r="Q14634" s="3"/>
    </row>
    <row r="14635" spans="1:17" ht="15" x14ac:dyDescent="0.25">
      <c r="A14635" s="3">
        <f>14628</f>
        <v>14628</v>
      </c>
      <c r="B14635" s="3" t="s">
        <v>14637</v>
      </c>
      <c r="C14635" s="3" t="s">
        <v>10</v>
      </c>
      <c r="D14635" s="3" t="s">
        <v>9</v>
      </c>
      <c r="E14635" s="3">
        <v>0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/>
      <c r="P14635" s="3"/>
      <c r="Q14635" s="3"/>
    </row>
    <row r="14636" spans="1:17" ht="15" x14ac:dyDescent="0.25">
      <c r="A14636" s="3">
        <f>14629</f>
        <v>14629</v>
      </c>
      <c r="B14636" s="3" t="s">
        <v>14638</v>
      </c>
      <c r="C14636" s="3" t="s">
        <v>10</v>
      </c>
      <c r="D14636" s="3" t="s">
        <v>9</v>
      </c>
      <c r="E14636" s="3">
        <v>0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s="3"/>
      <c r="P14636" s="3"/>
      <c r="Q14636" s="3"/>
    </row>
    <row r="14637" spans="1:17" ht="15" x14ac:dyDescent="0.25">
      <c r="A14637" s="3">
        <f>14630</f>
        <v>14630</v>
      </c>
      <c r="B14637" s="3" t="s">
        <v>14639</v>
      </c>
      <c r="C14637" s="3" t="s">
        <v>10</v>
      </c>
      <c r="D14637" s="3" t="s">
        <v>9</v>
      </c>
      <c r="E14637" s="3">
        <v>0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0</v>
      </c>
      <c r="O14637" s="3"/>
      <c r="P14637" s="3"/>
      <c r="Q14637" s="3"/>
    </row>
    <row r="14638" spans="1:17" ht="15" x14ac:dyDescent="0.25">
      <c r="A14638" s="3">
        <f>14631</f>
        <v>14631</v>
      </c>
      <c r="B14638" s="3" t="s">
        <v>14640</v>
      </c>
      <c r="C14638" s="3" t="s">
        <v>10</v>
      </c>
      <c r="D14638" s="3" t="s">
        <v>9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s="3"/>
      <c r="P14638" s="3"/>
      <c r="Q14638" s="3"/>
    </row>
    <row r="14639" spans="1:17" ht="15" x14ac:dyDescent="0.25">
      <c r="A14639" s="3">
        <f>14632</f>
        <v>14632</v>
      </c>
      <c r="B14639" s="3" t="s">
        <v>14641</v>
      </c>
      <c r="C14639" s="3" t="s">
        <v>10</v>
      </c>
      <c r="D14639" s="3" t="s">
        <v>9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/>
      <c r="P14639" s="3"/>
      <c r="Q14639" s="3"/>
    </row>
    <row r="14640" spans="1:17" ht="15" x14ac:dyDescent="0.25">
      <c r="A14640" s="3">
        <f>14633</f>
        <v>14633</v>
      </c>
      <c r="B14640" s="3" t="s">
        <v>14642</v>
      </c>
      <c r="C14640" s="3" t="s">
        <v>10</v>
      </c>
      <c r="D14640" s="3" t="s">
        <v>9</v>
      </c>
      <c r="E14640" s="3">
        <v>0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s="3"/>
      <c r="P14640" s="3"/>
      <c r="Q14640" s="3"/>
    </row>
    <row r="14641" spans="1:17" ht="15" x14ac:dyDescent="0.25">
      <c r="A14641" s="3">
        <f>14634</f>
        <v>14634</v>
      </c>
      <c r="B14641" s="3" t="s">
        <v>14643</v>
      </c>
      <c r="C14641" s="3" t="s">
        <v>9</v>
      </c>
      <c r="D14641" s="3" t="s">
        <v>10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/>
      <c r="P14641" s="3"/>
      <c r="Q14641" s="3"/>
    </row>
    <row r="14642" spans="1:17" ht="15" x14ac:dyDescent="0.25">
      <c r="A14642" s="3">
        <f>14635</f>
        <v>14635</v>
      </c>
      <c r="B14642" s="3" t="s">
        <v>14644</v>
      </c>
      <c r="C14642" s="3" t="s">
        <v>9</v>
      </c>
      <c r="D14642" s="3" t="s">
        <v>10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/>
      <c r="P14642" s="3"/>
      <c r="Q14642" s="3"/>
    </row>
    <row r="14643" spans="1:17" ht="15" x14ac:dyDescent="0.25">
      <c r="A14643" s="3">
        <f>14636</f>
        <v>14636</v>
      </c>
      <c r="B14643" s="3" t="s">
        <v>14645</v>
      </c>
      <c r="C14643" s="3" t="s">
        <v>9</v>
      </c>
      <c r="D14643" s="3" t="s">
        <v>10</v>
      </c>
      <c r="E14643" s="3">
        <v>0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  <c r="O14643" s="3"/>
      <c r="P14643" s="3"/>
      <c r="Q14643" s="3"/>
    </row>
    <row r="14644" spans="1:17" ht="15" x14ac:dyDescent="0.25">
      <c r="A14644" s="3">
        <f>14637</f>
        <v>14637</v>
      </c>
      <c r="B14644" s="3" t="s">
        <v>14646</v>
      </c>
      <c r="C14644" s="3" t="s">
        <v>9</v>
      </c>
      <c r="D14644" s="3" t="s">
        <v>10</v>
      </c>
      <c r="E14644" s="3">
        <v>0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/>
      <c r="P14644" s="3"/>
      <c r="Q14644" s="3"/>
    </row>
    <row r="14645" spans="1:17" ht="15" x14ac:dyDescent="0.25">
      <c r="A14645" s="3">
        <f>14638</f>
        <v>14638</v>
      </c>
      <c r="B14645" s="3" t="s">
        <v>14647</v>
      </c>
      <c r="C14645" s="3" t="s">
        <v>9</v>
      </c>
      <c r="D14645" s="3" t="s">
        <v>10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s="3"/>
      <c r="P14645" s="3"/>
      <c r="Q14645" s="3"/>
    </row>
    <row r="14646" spans="1:17" ht="15" x14ac:dyDescent="0.25">
      <c r="A14646" s="3">
        <f>14639</f>
        <v>14639</v>
      </c>
      <c r="B14646" s="3" t="s">
        <v>14648</v>
      </c>
      <c r="C14646" s="3" t="s">
        <v>9</v>
      </c>
      <c r="D14646" s="3" t="s">
        <v>10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/>
      <c r="P14646" s="3"/>
      <c r="Q14646" s="3"/>
    </row>
    <row r="14647" spans="1:17" ht="15" x14ac:dyDescent="0.25">
      <c r="A14647" s="3">
        <f>14640</f>
        <v>14640</v>
      </c>
      <c r="B14647" s="3" t="s">
        <v>14649</v>
      </c>
      <c r="C14647" s="3" t="s">
        <v>9</v>
      </c>
      <c r="D14647" s="3" t="s">
        <v>10</v>
      </c>
      <c r="E14647" s="3">
        <v>0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  <c r="O14647" s="3"/>
      <c r="P14647" s="3"/>
      <c r="Q14647" s="3"/>
    </row>
    <row r="14648" spans="1:17" ht="15" x14ac:dyDescent="0.25">
      <c r="A14648" s="3">
        <f>14641</f>
        <v>14641</v>
      </c>
      <c r="B14648" s="3" t="s">
        <v>14650</v>
      </c>
      <c r="C14648" s="3" t="s">
        <v>9</v>
      </c>
      <c r="D14648" s="3" t="s">
        <v>10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/>
      <c r="P14648" s="3"/>
      <c r="Q14648" s="3"/>
    </row>
    <row r="14649" spans="1:17" ht="15" x14ac:dyDescent="0.25">
      <c r="A14649" s="3">
        <f>14642</f>
        <v>14642</v>
      </c>
      <c r="B14649" s="3" t="s">
        <v>14651</v>
      </c>
      <c r="C14649" s="3" t="s">
        <v>9</v>
      </c>
      <c r="D14649" s="3" t="s">
        <v>10</v>
      </c>
      <c r="E14649" s="3">
        <v>0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  <c r="O14649" s="3"/>
      <c r="P14649" s="3"/>
      <c r="Q14649" s="3"/>
    </row>
    <row r="14650" spans="1:17" ht="15" x14ac:dyDescent="0.25">
      <c r="A14650" s="3">
        <f>14643</f>
        <v>14643</v>
      </c>
      <c r="B14650" s="3" t="s">
        <v>14652</v>
      </c>
      <c r="C14650" s="3" t="s">
        <v>9</v>
      </c>
      <c r="D14650" s="3" t="s">
        <v>10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s="3"/>
      <c r="P14650" s="3"/>
      <c r="Q14650" s="3"/>
    </row>
    <row r="14651" spans="1:17" ht="15" x14ac:dyDescent="0.25">
      <c r="A14651" s="3">
        <f>14644</f>
        <v>14644</v>
      </c>
      <c r="B14651" s="3" t="s">
        <v>14653</v>
      </c>
      <c r="C14651" s="3" t="s">
        <v>9</v>
      </c>
      <c r="D14651" s="3" t="s">
        <v>10</v>
      </c>
      <c r="E14651" s="3">
        <v>0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/>
      <c r="P14651" s="3"/>
      <c r="Q14651" s="3"/>
    </row>
    <row r="14652" spans="1:17" ht="15" x14ac:dyDescent="0.25">
      <c r="A14652" s="3">
        <f>14645</f>
        <v>14645</v>
      </c>
      <c r="B14652" s="3" t="s">
        <v>14654</v>
      </c>
      <c r="C14652" s="3" t="s">
        <v>9</v>
      </c>
      <c r="D14652" s="3" t="s">
        <v>10</v>
      </c>
      <c r="E14652" s="3">
        <v>0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  <c r="O14652" s="3"/>
      <c r="P14652" s="3"/>
      <c r="Q14652" s="3"/>
    </row>
    <row r="14653" spans="1:17" ht="15" x14ac:dyDescent="0.25">
      <c r="A14653" s="3">
        <f>14646</f>
        <v>14646</v>
      </c>
      <c r="B14653" s="3" t="s">
        <v>14655</v>
      </c>
      <c r="C14653" s="3" t="s">
        <v>9</v>
      </c>
      <c r="D14653" s="3" t="s">
        <v>10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s="3"/>
      <c r="P14653" s="3"/>
      <c r="Q14653" s="3"/>
    </row>
    <row r="14654" spans="1:17" ht="15" x14ac:dyDescent="0.25">
      <c r="A14654" s="3">
        <f>14647</f>
        <v>14647</v>
      </c>
      <c r="B14654" s="3" t="s">
        <v>14656</v>
      </c>
      <c r="C14654" s="3" t="s">
        <v>9</v>
      </c>
      <c r="D14654" s="3" t="s">
        <v>10</v>
      </c>
      <c r="E14654" s="3">
        <v>0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s="3"/>
      <c r="P14654" s="3"/>
      <c r="Q14654" s="3"/>
    </row>
    <row r="14655" spans="1:17" ht="15" x14ac:dyDescent="0.25">
      <c r="A14655" s="3">
        <f>14648</f>
        <v>14648</v>
      </c>
      <c r="B14655" s="3" t="s">
        <v>14657</v>
      </c>
      <c r="C14655" s="3" t="s">
        <v>9</v>
      </c>
      <c r="D14655" s="3" t="s">
        <v>10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s="3"/>
      <c r="P14655" s="3"/>
      <c r="Q14655" s="3"/>
    </row>
    <row r="14656" spans="1:17" ht="15" x14ac:dyDescent="0.25">
      <c r="A14656" s="3">
        <f>14649</f>
        <v>14649</v>
      </c>
      <c r="B14656" s="3" t="s">
        <v>14658</v>
      </c>
      <c r="C14656" s="3" t="s">
        <v>9</v>
      </c>
      <c r="D14656" s="3" t="s">
        <v>10</v>
      </c>
      <c r="E14656" s="3">
        <v>0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s="3"/>
      <c r="P14656" s="3"/>
      <c r="Q14656" s="3"/>
    </row>
    <row r="14657" spans="1:17" ht="15" x14ac:dyDescent="0.25">
      <c r="A14657" s="3">
        <f>14650</f>
        <v>14650</v>
      </c>
      <c r="B14657" s="3" t="s">
        <v>14659</v>
      </c>
      <c r="C14657" s="3" t="s">
        <v>9</v>
      </c>
      <c r="D14657" s="3" t="s">
        <v>10</v>
      </c>
      <c r="E14657" s="3">
        <v>0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0</v>
      </c>
      <c r="O14657" s="3"/>
      <c r="P14657" s="3"/>
      <c r="Q14657" s="3"/>
    </row>
    <row r="14658" spans="1:17" ht="15" x14ac:dyDescent="0.25">
      <c r="A14658" s="3">
        <f>14651</f>
        <v>14651</v>
      </c>
      <c r="B14658" s="3" t="s">
        <v>14660</v>
      </c>
      <c r="C14658" s="3" t="s">
        <v>9</v>
      </c>
      <c r="D14658" s="3" t="s">
        <v>10</v>
      </c>
      <c r="E14658" s="3">
        <v>0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  <c r="O14658" s="3"/>
      <c r="P14658" s="3"/>
      <c r="Q14658" s="3"/>
    </row>
    <row r="14659" spans="1:17" ht="15" x14ac:dyDescent="0.25">
      <c r="A14659" s="3">
        <f>14652</f>
        <v>14652</v>
      </c>
      <c r="B14659" s="3" t="s">
        <v>14661</v>
      </c>
      <c r="C14659" s="3" t="s">
        <v>9</v>
      </c>
      <c r="D14659" s="3" t="s">
        <v>10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  <c r="O14659" s="3"/>
      <c r="P14659" s="3"/>
      <c r="Q14659" s="3"/>
    </row>
    <row r="14660" spans="1:17" ht="15" x14ac:dyDescent="0.25">
      <c r="A14660" s="3">
        <f>14653</f>
        <v>14653</v>
      </c>
      <c r="B14660" s="3" t="s">
        <v>14662</v>
      </c>
      <c r="C14660" s="3" t="s">
        <v>9</v>
      </c>
      <c r="D14660" s="3" t="s">
        <v>10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s="3"/>
      <c r="P14660" s="3"/>
      <c r="Q14660" s="3"/>
    </row>
    <row r="14661" spans="1:17" ht="15" x14ac:dyDescent="0.25">
      <c r="A14661" s="3">
        <f>14654</f>
        <v>14654</v>
      </c>
      <c r="B14661" s="3" t="s">
        <v>14663</v>
      </c>
      <c r="C14661" s="3" t="s">
        <v>9</v>
      </c>
      <c r="D14661" s="3" t="s">
        <v>10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0</v>
      </c>
      <c r="O14661" s="3"/>
      <c r="P14661" s="3"/>
      <c r="Q14661" s="3"/>
    </row>
    <row r="14662" spans="1:17" ht="15" x14ac:dyDescent="0.25">
      <c r="A14662" s="3">
        <f>14655</f>
        <v>14655</v>
      </c>
      <c r="B14662" s="3" t="s">
        <v>14664</v>
      </c>
      <c r="C14662" s="3" t="s">
        <v>9</v>
      </c>
      <c r="D14662" s="3" t="s">
        <v>10</v>
      </c>
      <c r="E14662" s="3">
        <v>0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/>
      <c r="P14662" s="3"/>
      <c r="Q14662" s="3"/>
    </row>
    <row r="14663" spans="1:17" ht="15" x14ac:dyDescent="0.25">
      <c r="A14663" s="3">
        <f>14656</f>
        <v>14656</v>
      </c>
      <c r="B14663" s="3" t="s">
        <v>14665</v>
      </c>
      <c r="C14663" s="3" t="s">
        <v>9</v>
      </c>
      <c r="D14663" s="3" t="s">
        <v>10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  <c r="O14663" s="3"/>
      <c r="P14663" s="3"/>
      <c r="Q14663" s="3"/>
    </row>
    <row r="14664" spans="1:17" ht="15" x14ac:dyDescent="0.25">
      <c r="A14664" s="3">
        <f>14657</f>
        <v>14657</v>
      </c>
      <c r="B14664" s="3" t="s">
        <v>14666</v>
      </c>
      <c r="C14664" s="3" t="s">
        <v>9</v>
      </c>
      <c r="D14664" s="3" t="s">
        <v>10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/>
      <c r="P14664" s="3"/>
      <c r="Q14664" s="3"/>
    </row>
    <row r="14665" spans="1:17" ht="15" x14ac:dyDescent="0.25">
      <c r="A14665" s="3">
        <f>14658</f>
        <v>14658</v>
      </c>
      <c r="B14665" s="3" t="s">
        <v>14667</v>
      </c>
      <c r="C14665" s="3" t="s">
        <v>9</v>
      </c>
      <c r="D14665" s="3" t="s">
        <v>10</v>
      </c>
      <c r="E14665" s="3">
        <v>0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  <c r="O14665" s="3"/>
      <c r="P14665" s="3"/>
      <c r="Q14665" s="3"/>
    </row>
    <row r="14666" spans="1:17" ht="15" x14ac:dyDescent="0.25">
      <c r="A14666" s="3">
        <f>14659</f>
        <v>14659</v>
      </c>
      <c r="B14666" s="3" t="s">
        <v>14668</v>
      </c>
      <c r="C14666" s="3" t="s">
        <v>9</v>
      </c>
      <c r="D14666" s="3" t="s">
        <v>10</v>
      </c>
      <c r="E14666" s="3">
        <v>0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s="3"/>
      <c r="P14666" s="3"/>
      <c r="Q14666" s="3"/>
    </row>
    <row r="14667" spans="1:17" ht="15" x14ac:dyDescent="0.25">
      <c r="A14667" s="3">
        <f>14660</f>
        <v>14660</v>
      </c>
      <c r="B14667" s="3" t="s">
        <v>14669</v>
      </c>
      <c r="C14667" s="3" t="s">
        <v>9</v>
      </c>
      <c r="D14667" s="3" t="s">
        <v>10</v>
      </c>
      <c r="E14667" s="3">
        <v>0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s="3"/>
      <c r="P14667" s="3"/>
      <c r="Q14667" s="3"/>
    </row>
    <row r="14668" spans="1:17" ht="15" x14ac:dyDescent="0.25">
      <c r="A14668" s="3">
        <f>14661</f>
        <v>14661</v>
      </c>
      <c r="B14668" s="3" t="s">
        <v>14670</v>
      </c>
      <c r="C14668" s="3" t="s">
        <v>9</v>
      </c>
      <c r="D14668" s="3" t="s">
        <v>10</v>
      </c>
      <c r="E14668" s="3">
        <v>0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0</v>
      </c>
      <c r="O14668" s="3"/>
      <c r="P14668" s="3"/>
      <c r="Q14668" s="3"/>
    </row>
    <row r="14669" spans="1:17" ht="15" x14ac:dyDescent="0.25">
      <c r="A14669" s="3">
        <f>14662</f>
        <v>14662</v>
      </c>
      <c r="B14669" s="3" t="s">
        <v>14671</v>
      </c>
      <c r="C14669" s="3" t="s">
        <v>9</v>
      </c>
      <c r="D14669" s="3" t="s">
        <v>10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/>
      <c r="P14669" s="3"/>
      <c r="Q14669" s="3"/>
    </row>
    <row r="14670" spans="1:17" ht="15" x14ac:dyDescent="0.25">
      <c r="A14670" s="3">
        <f>14663</f>
        <v>14663</v>
      </c>
      <c r="B14670" s="3" t="s">
        <v>14672</v>
      </c>
      <c r="C14670" s="3" t="s">
        <v>9</v>
      </c>
      <c r="D14670" s="3" t="s">
        <v>10</v>
      </c>
      <c r="E14670" s="3">
        <v>0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  <c r="O14670" s="3"/>
      <c r="P14670" s="3"/>
      <c r="Q14670" s="3"/>
    </row>
    <row r="14671" spans="1:17" ht="15" x14ac:dyDescent="0.25">
      <c r="A14671" s="3">
        <f>14664</f>
        <v>14664</v>
      </c>
      <c r="B14671" s="3" t="s">
        <v>14673</v>
      </c>
      <c r="C14671" s="3" t="s">
        <v>9</v>
      </c>
      <c r="D14671" s="3" t="s">
        <v>10</v>
      </c>
      <c r="E14671" s="3">
        <v>0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s="3"/>
      <c r="P14671" s="3"/>
      <c r="Q14671" s="3"/>
    </row>
    <row r="14672" spans="1:17" ht="15" x14ac:dyDescent="0.25">
      <c r="A14672" s="3">
        <f>14665</f>
        <v>14665</v>
      </c>
      <c r="B14672" s="3" t="s">
        <v>14674</v>
      </c>
      <c r="C14672" s="3" t="s">
        <v>9</v>
      </c>
      <c r="D14672" s="3" t="s">
        <v>10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s="3"/>
      <c r="P14672" s="3"/>
      <c r="Q14672" s="3"/>
    </row>
    <row r="14673" spans="1:17" ht="15" x14ac:dyDescent="0.25">
      <c r="A14673" s="3">
        <f>14666</f>
        <v>14666</v>
      </c>
      <c r="B14673" s="3" t="s">
        <v>14675</v>
      </c>
      <c r="C14673" s="3" t="s">
        <v>9</v>
      </c>
      <c r="D14673" s="3" t="s">
        <v>10</v>
      </c>
      <c r="E14673" s="3">
        <v>0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  <c r="O14673" s="3"/>
      <c r="P14673" s="3"/>
      <c r="Q14673" s="3"/>
    </row>
    <row r="14674" spans="1:17" ht="15" x14ac:dyDescent="0.25">
      <c r="A14674" s="3">
        <f>14667</f>
        <v>14667</v>
      </c>
      <c r="B14674" s="3" t="s">
        <v>14676</v>
      </c>
      <c r="C14674" s="3" t="s">
        <v>9</v>
      </c>
      <c r="D14674" s="3" t="s">
        <v>10</v>
      </c>
      <c r="E14674" s="3">
        <v>0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s="3"/>
      <c r="P14674" s="3"/>
      <c r="Q14674" s="3"/>
    </row>
    <row r="14675" spans="1:17" ht="15" x14ac:dyDescent="0.25">
      <c r="A14675" s="3">
        <f>14668</f>
        <v>14668</v>
      </c>
      <c r="B14675" s="3" t="s">
        <v>14677</v>
      </c>
      <c r="C14675" s="3" t="s">
        <v>9</v>
      </c>
      <c r="D14675" s="3" t="s">
        <v>10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s="3"/>
      <c r="P14675" s="3"/>
      <c r="Q14675" s="3"/>
    </row>
    <row r="14676" spans="1:17" ht="15" x14ac:dyDescent="0.25">
      <c r="A14676" s="3">
        <f>14669</f>
        <v>14669</v>
      </c>
      <c r="B14676" s="3" t="s">
        <v>14678</v>
      </c>
      <c r="C14676" s="3" t="s">
        <v>9</v>
      </c>
      <c r="D14676" s="3" t="s">
        <v>10</v>
      </c>
      <c r="E14676" s="3">
        <v>0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s="3"/>
      <c r="P14676" s="3"/>
      <c r="Q14676" s="3"/>
    </row>
    <row r="14677" spans="1:17" ht="15" x14ac:dyDescent="0.25">
      <c r="A14677" s="3">
        <f>14670</f>
        <v>14670</v>
      </c>
      <c r="B14677" s="3" t="s">
        <v>14679</v>
      </c>
      <c r="C14677" s="3" t="s">
        <v>9</v>
      </c>
      <c r="D14677" s="3" t="s">
        <v>10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s="3"/>
      <c r="P14677" s="3"/>
      <c r="Q14677" s="3"/>
    </row>
    <row r="14678" spans="1:17" ht="15" x14ac:dyDescent="0.25">
      <c r="A14678" s="3">
        <f>14671</f>
        <v>14671</v>
      </c>
      <c r="B14678" s="3" t="s">
        <v>14680</v>
      </c>
      <c r="C14678" s="3" t="s">
        <v>9</v>
      </c>
      <c r="D14678" s="3" t="s">
        <v>10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/>
      <c r="P14678" s="3"/>
      <c r="Q14678" s="3"/>
    </row>
    <row r="14679" spans="1:17" ht="15" x14ac:dyDescent="0.25">
      <c r="A14679" s="3">
        <f>14672</f>
        <v>14672</v>
      </c>
      <c r="B14679" s="3" t="s">
        <v>14681</v>
      </c>
      <c r="C14679" s="3" t="s">
        <v>9</v>
      </c>
      <c r="D14679" s="3" t="s">
        <v>10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0</v>
      </c>
      <c r="O14679" s="3"/>
      <c r="P14679" s="3"/>
      <c r="Q14679" s="3"/>
    </row>
    <row r="14680" spans="1:17" ht="15" x14ac:dyDescent="0.25">
      <c r="A14680" s="3">
        <f>14673</f>
        <v>14673</v>
      </c>
      <c r="B14680" s="3" t="s">
        <v>14682</v>
      </c>
      <c r="C14680" s="3" t="s">
        <v>10</v>
      </c>
      <c r="D14680" s="3" t="s">
        <v>9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0</v>
      </c>
      <c r="O14680" s="3"/>
      <c r="P14680" s="3"/>
      <c r="Q14680" s="3"/>
    </row>
    <row r="14681" spans="1:17" ht="15" x14ac:dyDescent="0.25">
      <c r="A14681" s="3">
        <f>14674</f>
        <v>14674</v>
      </c>
      <c r="B14681" s="3" t="s">
        <v>14683</v>
      </c>
      <c r="C14681" s="3" t="s">
        <v>10</v>
      </c>
      <c r="D14681" s="3" t="s">
        <v>9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s="3"/>
      <c r="P14681" s="3"/>
      <c r="Q14681" s="3"/>
    </row>
    <row r="14682" spans="1:17" ht="15" x14ac:dyDescent="0.25">
      <c r="A14682" s="3">
        <f>14675</f>
        <v>14675</v>
      </c>
      <c r="B14682" s="3" t="s">
        <v>14684</v>
      </c>
      <c r="C14682" s="3" t="s">
        <v>10</v>
      </c>
      <c r="D14682" s="3" t="s">
        <v>9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s="3"/>
      <c r="P14682" s="3"/>
      <c r="Q14682" s="3"/>
    </row>
    <row r="14683" spans="1:17" ht="15" x14ac:dyDescent="0.25">
      <c r="A14683" s="3">
        <f>14676</f>
        <v>14676</v>
      </c>
      <c r="B14683" s="3" t="s">
        <v>14685</v>
      </c>
      <c r="C14683" s="3" t="s">
        <v>10</v>
      </c>
      <c r="D14683" s="3" t="s">
        <v>9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s="3"/>
      <c r="P14683" s="3"/>
      <c r="Q14683" s="3"/>
    </row>
    <row r="14684" spans="1:17" ht="15" x14ac:dyDescent="0.25">
      <c r="A14684" s="3">
        <f>14677</f>
        <v>14677</v>
      </c>
      <c r="B14684" s="3" t="s">
        <v>14686</v>
      </c>
      <c r="C14684" s="3" t="s">
        <v>10</v>
      </c>
      <c r="D14684" s="3" t="s">
        <v>9</v>
      </c>
      <c r="E14684" s="3">
        <v>0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  <c r="O14684" s="3"/>
      <c r="P14684" s="3"/>
      <c r="Q14684" s="3"/>
    </row>
    <row r="14685" spans="1:17" ht="15" x14ac:dyDescent="0.25">
      <c r="A14685" s="3">
        <f>14678</f>
        <v>14678</v>
      </c>
      <c r="B14685" s="3" t="s">
        <v>14687</v>
      </c>
      <c r="C14685" s="3" t="s">
        <v>10</v>
      </c>
      <c r="D14685" s="3" t="s">
        <v>9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0</v>
      </c>
      <c r="O14685" s="3"/>
      <c r="P14685" s="3"/>
      <c r="Q14685" s="3"/>
    </row>
    <row r="14686" spans="1:17" ht="15" x14ac:dyDescent="0.25">
      <c r="A14686" s="3">
        <f>14679</f>
        <v>14679</v>
      </c>
      <c r="B14686" s="3" t="s">
        <v>14688</v>
      </c>
      <c r="C14686" s="3" t="s">
        <v>10</v>
      </c>
      <c r="D14686" s="3" t="s">
        <v>9</v>
      </c>
      <c r="E14686" s="3">
        <v>0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  <c r="O14686" s="3"/>
      <c r="P14686" s="3"/>
      <c r="Q14686" s="3"/>
    </row>
    <row r="14687" spans="1:17" ht="15" x14ac:dyDescent="0.25">
      <c r="A14687" s="3">
        <f>14680</f>
        <v>14680</v>
      </c>
      <c r="B14687" s="3" t="s">
        <v>14689</v>
      </c>
      <c r="C14687" s="3" t="s">
        <v>10</v>
      </c>
      <c r="D14687" s="3" t="s">
        <v>9</v>
      </c>
      <c r="E14687" s="3">
        <v>0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  <c r="O14687" s="3"/>
      <c r="P14687" s="3"/>
      <c r="Q14687" s="3"/>
    </row>
    <row r="14688" spans="1:17" ht="15" x14ac:dyDescent="0.25">
      <c r="A14688" s="3">
        <f>14681</f>
        <v>14681</v>
      </c>
      <c r="B14688" s="3" t="s">
        <v>14690</v>
      </c>
      <c r="C14688" s="3" t="s">
        <v>10</v>
      </c>
      <c r="D14688" s="3" t="s">
        <v>9</v>
      </c>
      <c r="E14688" s="3">
        <v>0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s="3"/>
      <c r="P14688" s="3"/>
      <c r="Q14688" s="3"/>
    </row>
    <row r="14689" spans="1:17" ht="15" x14ac:dyDescent="0.25">
      <c r="A14689" s="3">
        <f>14682</f>
        <v>14682</v>
      </c>
      <c r="B14689" s="3" t="s">
        <v>14691</v>
      </c>
      <c r="C14689" s="3" t="s">
        <v>10</v>
      </c>
      <c r="D14689" s="3" t="s">
        <v>9</v>
      </c>
      <c r="E14689" s="3">
        <v>0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/>
      <c r="P14689" s="3"/>
      <c r="Q14689" s="3"/>
    </row>
    <row r="14690" spans="1:17" ht="15" x14ac:dyDescent="0.25">
      <c r="A14690" s="3">
        <f>14683</f>
        <v>14683</v>
      </c>
      <c r="B14690" s="3" t="s">
        <v>14692</v>
      </c>
      <c r="C14690" s="3" t="s">
        <v>10</v>
      </c>
      <c r="D14690" s="3" t="s">
        <v>9</v>
      </c>
      <c r="E14690" s="3">
        <v>0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/>
      <c r="P14690" s="3"/>
      <c r="Q14690" s="3"/>
    </row>
    <row r="14691" spans="1:17" ht="15" x14ac:dyDescent="0.25">
      <c r="A14691" s="3">
        <f>14684</f>
        <v>14684</v>
      </c>
      <c r="B14691" s="3" t="s">
        <v>14693</v>
      </c>
      <c r="C14691" s="3" t="s">
        <v>10</v>
      </c>
      <c r="D14691" s="3" t="s">
        <v>9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/>
      <c r="P14691" s="3"/>
      <c r="Q14691" s="3"/>
    </row>
    <row r="14692" spans="1:17" ht="15" x14ac:dyDescent="0.25">
      <c r="A14692" s="3">
        <f>14685</f>
        <v>14685</v>
      </c>
      <c r="B14692" s="3" t="s">
        <v>14694</v>
      </c>
      <c r="C14692" s="3" t="s">
        <v>10</v>
      </c>
      <c r="D14692" s="3" t="s">
        <v>9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/>
      <c r="P14692" s="3"/>
      <c r="Q14692" s="3"/>
    </row>
    <row r="14693" spans="1:17" ht="15" x14ac:dyDescent="0.25">
      <c r="A14693" s="3">
        <f>14686</f>
        <v>14686</v>
      </c>
      <c r="B14693" s="3" t="s">
        <v>14695</v>
      </c>
      <c r="C14693" s="3" t="s">
        <v>10</v>
      </c>
      <c r="D14693" s="3" t="s">
        <v>9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/>
      <c r="P14693" s="3"/>
      <c r="Q14693" s="3"/>
    </row>
    <row r="14694" spans="1:17" ht="15" x14ac:dyDescent="0.25">
      <c r="A14694" s="3">
        <f>14687</f>
        <v>14687</v>
      </c>
      <c r="B14694" s="3" t="s">
        <v>14696</v>
      </c>
      <c r="C14694" s="3" t="s">
        <v>10</v>
      </c>
      <c r="D14694" s="3" t="s">
        <v>9</v>
      </c>
      <c r="E14694" s="3">
        <v>0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s="3"/>
      <c r="P14694" s="3"/>
      <c r="Q14694" s="3"/>
    </row>
    <row r="14695" spans="1:17" ht="15" x14ac:dyDescent="0.25">
      <c r="A14695" s="3">
        <f>14688</f>
        <v>14688</v>
      </c>
      <c r="B14695" s="3" t="s">
        <v>14697</v>
      </c>
      <c r="C14695" s="3" t="s">
        <v>10</v>
      </c>
      <c r="D14695" s="3" t="s">
        <v>9</v>
      </c>
      <c r="E14695" s="3">
        <v>0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/>
      <c r="P14695" s="3"/>
      <c r="Q14695" s="3"/>
    </row>
    <row r="14696" spans="1:17" ht="15" x14ac:dyDescent="0.25">
      <c r="A14696" s="3">
        <f>14689</f>
        <v>14689</v>
      </c>
      <c r="B14696" s="3" t="s">
        <v>14698</v>
      </c>
      <c r="C14696" s="3" t="s">
        <v>10</v>
      </c>
      <c r="D14696" s="3" t="s">
        <v>9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s="3"/>
      <c r="P14696" s="3"/>
      <c r="Q14696" s="3"/>
    </row>
    <row r="14697" spans="1:17" ht="15" x14ac:dyDescent="0.25">
      <c r="A14697" s="3">
        <f>14690</f>
        <v>14690</v>
      </c>
      <c r="B14697" s="3" t="s">
        <v>14699</v>
      </c>
      <c r="C14697" s="3" t="s">
        <v>10</v>
      </c>
      <c r="D14697" s="3" t="s">
        <v>9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s="3"/>
      <c r="P14697" s="3"/>
      <c r="Q14697" s="3"/>
    </row>
    <row r="14698" spans="1:17" ht="15" x14ac:dyDescent="0.25">
      <c r="A14698" s="3">
        <f>14691</f>
        <v>14691</v>
      </c>
      <c r="B14698" s="3" t="s">
        <v>14700</v>
      </c>
      <c r="C14698" s="3" t="s">
        <v>10</v>
      </c>
      <c r="D14698" s="3" t="s">
        <v>9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s="3"/>
      <c r="P14698" s="3"/>
      <c r="Q14698" s="3"/>
    </row>
    <row r="14699" spans="1:17" ht="15" x14ac:dyDescent="0.25">
      <c r="A14699" s="3">
        <f>14692</f>
        <v>14692</v>
      </c>
      <c r="B14699" s="3" t="s">
        <v>14701</v>
      </c>
      <c r="C14699" s="3" t="s">
        <v>10</v>
      </c>
      <c r="D14699" s="3" t="s">
        <v>9</v>
      </c>
      <c r="E14699" s="3">
        <v>0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/>
      <c r="P14699" s="3"/>
      <c r="Q14699" s="3"/>
    </row>
    <row r="14700" spans="1:17" ht="15" x14ac:dyDescent="0.25">
      <c r="A14700" s="3">
        <f>14693</f>
        <v>14693</v>
      </c>
      <c r="B14700" s="3" t="s">
        <v>14702</v>
      </c>
      <c r="C14700" s="3" t="s">
        <v>10</v>
      </c>
      <c r="D14700" s="3" t="s">
        <v>9</v>
      </c>
      <c r="E14700" s="3">
        <v>0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s="3"/>
      <c r="P14700" s="3"/>
      <c r="Q14700" s="3"/>
    </row>
    <row r="14701" spans="1:17" ht="15" x14ac:dyDescent="0.25">
      <c r="A14701" s="3">
        <f>14694</f>
        <v>14694</v>
      </c>
      <c r="B14701" s="3" t="s">
        <v>14703</v>
      </c>
      <c r="C14701" s="3" t="s">
        <v>10</v>
      </c>
      <c r="D14701" s="3" t="s">
        <v>9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/>
      <c r="P14701" s="3"/>
      <c r="Q14701" s="3"/>
    </row>
    <row r="14702" spans="1:17" ht="15" x14ac:dyDescent="0.25">
      <c r="A14702" s="3">
        <f>14695</f>
        <v>14695</v>
      </c>
      <c r="B14702" s="3" t="s">
        <v>14704</v>
      </c>
      <c r="C14702" s="3" t="s">
        <v>10</v>
      </c>
      <c r="D14702" s="3" t="s">
        <v>9</v>
      </c>
      <c r="E14702" s="3">
        <v>0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s="3"/>
      <c r="P14702" s="3"/>
      <c r="Q14702" s="3"/>
    </row>
    <row r="14703" spans="1:17" ht="15" x14ac:dyDescent="0.25">
      <c r="A14703" s="3">
        <f>14696</f>
        <v>14696</v>
      </c>
      <c r="B14703" s="3" t="s">
        <v>14705</v>
      </c>
      <c r="C14703" s="3" t="s">
        <v>10</v>
      </c>
      <c r="D14703" s="3" t="s">
        <v>9</v>
      </c>
      <c r="E14703" s="3">
        <v>0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s="3"/>
      <c r="P14703" s="3"/>
      <c r="Q14703" s="3"/>
    </row>
    <row r="14704" spans="1:17" ht="15" x14ac:dyDescent="0.25">
      <c r="A14704" s="3">
        <f>14697</f>
        <v>14697</v>
      </c>
      <c r="B14704" s="3" t="s">
        <v>14706</v>
      </c>
      <c r="C14704" s="3" t="s">
        <v>10</v>
      </c>
      <c r="D14704" s="3" t="s">
        <v>9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/>
      <c r="P14704" s="3"/>
      <c r="Q14704" s="3"/>
    </row>
    <row r="14705" spans="1:17" ht="15" x14ac:dyDescent="0.25">
      <c r="A14705" s="3">
        <f>14698</f>
        <v>14698</v>
      </c>
      <c r="B14705" s="3" t="s">
        <v>14707</v>
      </c>
      <c r="C14705" s="3" t="s">
        <v>10</v>
      </c>
      <c r="D14705" s="3" t="s">
        <v>9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0</v>
      </c>
      <c r="O14705" s="3"/>
      <c r="P14705" s="3"/>
      <c r="Q14705" s="3"/>
    </row>
    <row r="14706" spans="1:17" ht="15" x14ac:dyDescent="0.25">
      <c r="A14706" s="3">
        <f>14699</f>
        <v>14699</v>
      </c>
      <c r="B14706" s="3" t="s">
        <v>14708</v>
      </c>
      <c r="C14706" s="3" t="s">
        <v>10</v>
      </c>
      <c r="D14706" s="3" t="s">
        <v>9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  <c r="O14706" s="3"/>
      <c r="P14706" s="3"/>
      <c r="Q14706" s="3"/>
    </row>
    <row r="14707" spans="1:17" ht="15" x14ac:dyDescent="0.25">
      <c r="A14707" s="3">
        <f>14700</f>
        <v>14700</v>
      </c>
      <c r="B14707" s="3" t="s">
        <v>14709</v>
      </c>
      <c r="C14707" s="3" t="s">
        <v>10</v>
      </c>
      <c r="D14707" s="3" t="s">
        <v>9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  <c r="O14707" s="3"/>
      <c r="P14707" s="3"/>
      <c r="Q14707" s="3"/>
    </row>
    <row r="14708" spans="1:17" ht="15" x14ac:dyDescent="0.25">
      <c r="A14708" s="3">
        <f>14701</f>
        <v>14701</v>
      </c>
      <c r="B14708" s="3" t="s">
        <v>14710</v>
      </c>
      <c r="C14708" s="3" t="s">
        <v>10</v>
      </c>
      <c r="D14708" s="3" t="s">
        <v>9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s="3"/>
      <c r="P14708" s="3"/>
      <c r="Q14708" s="3"/>
    </row>
    <row r="14709" spans="1:17" ht="15" x14ac:dyDescent="0.25">
      <c r="A14709" s="3">
        <f>14702</f>
        <v>14702</v>
      </c>
      <c r="B14709" s="3" t="s">
        <v>14711</v>
      </c>
      <c r="C14709" s="3" t="s">
        <v>10</v>
      </c>
      <c r="D14709" s="3" t="s">
        <v>9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s="3"/>
      <c r="P14709" s="3"/>
      <c r="Q14709" s="3"/>
    </row>
    <row r="14710" spans="1:17" ht="15" x14ac:dyDescent="0.25">
      <c r="A14710" s="3">
        <f>14703</f>
        <v>14703</v>
      </c>
      <c r="B14710" s="3" t="s">
        <v>14712</v>
      </c>
      <c r="C14710" s="3" t="s">
        <v>10</v>
      </c>
      <c r="D14710" s="3" t="s">
        <v>9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/>
      <c r="P14710" s="3"/>
      <c r="Q14710" s="3"/>
    </row>
    <row r="14711" spans="1:17" ht="15" x14ac:dyDescent="0.25">
      <c r="A14711" s="3">
        <f>14704</f>
        <v>14704</v>
      </c>
      <c r="B14711" s="3" t="s">
        <v>14713</v>
      </c>
      <c r="C14711" s="3" t="s">
        <v>9</v>
      </c>
      <c r="D14711" s="3" t="s">
        <v>10</v>
      </c>
      <c r="E14711" s="3">
        <v>0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/>
      <c r="P14711" s="3"/>
      <c r="Q14711" s="3"/>
    </row>
    <row r="14712" spans="1:17" ht="15" x14ac:dyDescent="0.25">
      <c r="A14712" s="3">
        <f>14705</f>
        <v>14705</v>
      </c>
      <c r="B14712" s="3" t="s">
        <v>14714</v>
      </c>
      <c r="C14712" s="3" t="s">
        <v>10</v>
      </c>
      <c r="D14712" s="3" t="s">
        <v>9</v>
      </c>
      <c r="E14712" s="3">
        <v>0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  <c r="O14712" s="3"/>
      <c r="P14712" s="3"/>
      <c r="Q14712" s="3"/>
    </row>
    <row r="14713" spans="1:17" ht="15" x14ac:dyDescent="0.25">
      <c r="A14713" s="3">
        <f>14706</f>
        <v>14706</v>
      </c>
      <c r="B14713" s="3" t="s">
        <v>14715</v>
      </c>
      <c r="C14713" s="3" t="s">
        <v>10</v>
      </c>
      <c r="D14713" s="3" t="s">
        <v>9</v>
      </c>
      <c r="E14713" s="3">
        <v>0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  <c r="O14713" s="3"/>
      <c r="P14713" s="3"/>
      <c r="Q14713" s="3"/>
    </row>
    <row r="14714" spans="1:17" ht="15" x14ac:dyDescent="0.25">
      <c r="A14714" s="3">
        <f>14707</f>
        <v>14707</v>
      </c>
      <c r="B14714" s="3" t="s">
        <v>14716</v>
      </c>
      <c r="C14714" s="3" t="s">
        <v>10</v>
      </c>
      <c r="D14714" s="3" t="s">
        <v>9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/>
      <c r="P14714" s="3"/>
      <c r="Q14714" s="3"/>
    </row>
    <row r="14715" spans="1:17" ht="15" x14ac:dyDescent="0.25">
      <c r="A14715" s="3">
        <f>14708</f>
        <v>14708</v>
      </c>
      <c r="B14715" s="3" t="s">
        <v>14717</v>
      </c>
      <c r="C14715" s="3" t="s">
        <v>10</v>
      </c>
      <c r="D14715" s="3" t="s">
        <v>9</v>
      </c>
      <c r="E14715" s="3">
        <v>0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s="3"/>
      <c r="P14715" s="3"/>
      <c r="Q14715" s="3"/>
    </row>
    <row r="14716" spans="1:17" ht="15" x14ac:dyDescent="0.25">
      <c r="A14716" s="3">
        <f>14709</f>
        <v>14709</v>
      </c>
      <c r="B14716" s="3" t="s">
        <v>14718</v>
      </c>
      <c r="C14716" s="3" t="s">
        <v>10</v>
      </c>
      <c r="D14716" s="3" t="s">
        <v>9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s="3"/>
      <c r="P14716" s="3"/>
      <c r="Q14716" s="3"/>
    </row>
    <row r="14717" spans="1:17" ht="15" x14ac:dyDescent="0.25">
      <c r="A14717" s="3">
        <f>14710</f>
        <v>14710</v>
      </c>
      <c r="B14717" s="3" t="s">
        <v>14719</v>
      </c>
      <c r="C14717" s="3" t="s">
        <v>9</v>
      </c>
      <c r="D14717" s="3" t="s">
        <v>10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/>
      <c r="P14717" s="3"/>
      <c r="Q14717" s="3"/>
    </row>
    <row r="14718" spans="1:17" ht="15" x14ac:dyDescent="0.25">
      <c r="A14718" s="3">
        <f>14711</f>
        <v>14711</v>
      </c>
      <c r="B14718" s="3" t="s">
        <v>14720</v>
      </c>
      <c r="C14718" s="3" t="s">
        <v>9</v>
      </c>
      <c r="D14718" s="3" t="s">
        <v>10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s="3"/>
      <c r="P14718" s="3"/>
      <c r="Q14718" s="3"/>
    </row>
    <row r="14719" spans="1:17" ht="15" x14ac:dyDescent="0.25">
      <c r="A14719" s="3">
        <f>14712</f>
        <v>14712</v>
      </c>
      <c r="B14719" s="3" t="s">
        <v>14721</v>
      </c>
      <c r="C14719" s="3" t="s">
        <v>9</v>
      </c>
      <c r="D14719" s="3" t="s">
        <v>10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s="3"/>
      <c r="P14719" s="3"/>
      <c r="Q14719" s="3"/>
    </row>
    <row r="14720" spans="1:17" ht="15" x14ac:dyDescent="0.25">
      <c r="A14720" s="3">
        <f>14713</f>
        <v>14713</v>
      </c>
      <c r="B14720" s="3" t="s">
        <v>14722</v>
      </c>
      <c r="C14720" s="3" t="s">
        <v>9</v>
      </c>
      <c r="D14720" s="3" t="s">
        <v>10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  <c r="O14720" s="3"/>
      <c r="P14720" s="3"/>
      <c r="Q14720" s="3"/>
    </row>
    <row r="14721" spans="1:17" ht="15" x14ac:dyDescent="0.25">
      <c r="A14721" s="3">
        <f>14714</f>
        <v>14714</v>
      </c>
      <c r="B14721" s="3" t="s">
        <v>14723</v>
      </c>
      <c r="C14721" s="3" t="s">
        <v>9</v>
      </c>
      <c r="D14721" s="3" t="s">
        <v>10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  <c r="O14721" s="3"/>
      <c r="P14721" s="3"/>
      <c r="Q14721" s="3"/>
    </row>
    <row r="14722" spans="1:17" ht="15" x14ac:dyDescent="0.25">
      <c r="A14722" s="3">
        <f>14715</f>
        <v>14715</v>
      </c>
      <c r="B14722" s="3" t="s">
        <v>14724</v>
      </c>
      <c r="C14722" s="3" t="s">
        <v>9</v>
      </c>
      <c r="D14722" s="3" t="s">
        <v>10</v>
      </c>
      <c r="E14722" s="3">
        <v>0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0</v>
      </c>
      <c r="O14722" s="3"/>
      <c r="P14722" s="3"/>
      <c r="Q14722" s="3"/>
    </row>
    <row r="14723" spans="1:17" ht="15" x14ac:dyDescent="0.25">
      <c r="A14723" s="3">
        <f>14716</f>
        <v>14716</v>
      </c>
      <c r="B14723" s="3" t="s">
        <v>14725</v>
      </c>
      <c r="C14723" s="3" t="s">
        <v>9</v>
      </c>
      <c r="D14723" s="3" t="s">
        <v>10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s="3"/>
      <c r="P14723" s="3"/>
      <c r="Q14723" s="3"/>
    </row>
    <row r="14724" spans="1:17" ht="15" x14ac:dyDescent="0.25">
      <c r="A14724" s="3">
        <f>14717</f>
        <v>14717</v>
      </c>
      <c r="B14724" s="3" t="s">
        <v>14726</v>
      </c>
      <c r="C14724" s="3" t="s">
        <v>9</v>
      </c>
      <c r="D14724" s="3" t="s">
        <v>10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  <c r="O14724" s="3"/>
      <c r="P14724" s="3"/>
      <c r="Q14724" s="3"/>
    </row>
    <row r="14725" spans="1:17" ht="15" x14ac:dyDescent="0.25">
      <c r="A14725" s="3">
        <f>14718</f>
        <v>14718</v>
      </c>
      <c r="B14725" s="3" t="s">
        <v>14727</v>
      </c>
      <c r="C14725" s="3" t="s">
        <v>9</v>
      </c>
      <c r="D14725" s="3" t="s">
        <v>10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s="3"/>
      <c r="P14725" s="3"/>
      <c r="Q14725" s="3"/>
    </row>
    <row r="14726" spans="1:17" ht="15" x14ac:dyDescent="0.25">
      <c r="A14726" s="3">
        <f>14719</f>
        <v>14719</v>
      </c>
      <c r="B14726" s="3" t="s">
        <v>14728</v>
      </c>
      <c r="C14726" s="3" t="s">
        <v>9</v>
      </c>
      <c r="D14726" s="3" t="s">
        <v>10</v>
      </c>
      <c r="E14726" s="3">
        <v>0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  <c r="O14726" s="3"/>
      <c r="P14726" s="3"/>
      <c r="Q14726" s="3"/>
    </row>
    <row r="14727" spans="1:17" ht="15" x14ac:dyDescent="0.25">
      <c r="A14727" s="3">
        <f>14720</f>
        <v>14720</v>
      </c>
      <c r="B14727" s="3" t="s">
        <v>14729</v>
      </c>
      <c r="C14727" s="3" t="s">
        <v>9</v>
      </c>
      <c r="D14727" s="3" t="s">
        <v>10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/>
      <c r="P14727" s="3"/>
      <c r="Q14727" s="3"/>
    </row>
    <row r="14728" spans="1:17" ht="15" x14ac:dyDescent="0.25">
      <c r="A14728" s="3">
        <f>14721</f>
        <v>14721</v>
      </c>
      <c r="B14728" s="3" t="s">
        <v>14730</v>
      </c>
      <c r="C14728" s="3" t="s">
        <v>9</v>
      </c>
      <c r="D14728" s="3" t="s">
        <v>10</v>
      </c>
      <c r="E14728" s="3">
        <v>0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s="3"/>
      <c r="P14728" s="3"/>
      <c r="Q14728" s="3"/>
    </row>
    <row r="14729" spans="1:17" ht="15" x14ac:dyDescent="0.25">
      <c r="A14729" s="3">
        <f>14722</f>
        <v>14722</v>
      </c>
      <c r="B14729" s="3" t="s">
        <v>14731</v>
      </c>
      <c r="C14729" s="3" t="s">
        <v>9</v>
      </c>
      <c r="D14729" s="3" t="s">
        <v>10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/>
      <c r="P14729" s="3"/>
      <c r="Q14729" s="3"/>
    </row>
    <row r="14730" spans="1:17" ht="15" x14ac:dyDescent="0.25">
      <c r="A14730" s="3">
        <f>14723</f>
        <v>14723</v>
      </c>
      <c r="B14730" s="3" t="s">
        <v>14732</v>
      </c>
      <c r="C14730" s="3" t="s">
        <v>9</v>
      </c>
      <c r="D14730" s="3" t="s">
        <v>10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s="3"/>
      <c r="P14730" s="3"/>
      <c r="Q14730" s="3"/>
    </row>
    <row r="14731" spans="1:17" ht="15" x14ac:dyDescent="0.25">
      <c r="A14731" s="3">
        <f>14724</f>
        <v>14724</v>
      </c>
      <c r="B14731" s="3" t="s">
        <v>14733</v>
      </c>
      <c r="C14731" s="3" t="s">
        <v>10</v>
      </c>
      <c r="D14731" s="3" t="s">
        <v>9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/>
      <c r="P14731" s="3"/>
      <c r="Q14731" s="3"/>
    </row>
    <row r="14732" spans="1:17" ht="15" x14ac:dyDescent="0.25">
      <c r="A14732" s="3">
        <f>14725</f>
        <v>14725</v>
      </c>
      <c r="B14732" s="3" t="s">
        <v>14734</v>
      </c>
      <c r="C14732" s="3" t="s">
        <v>10</v>
      </c>
      <c r="D14732" s="3" t="s">
        <v>9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  <c r="O14732" s="3"/>
      <c r="P14732" s="3"/>
      <c r="Q14732" s="3"/>
    </row>
    <row r="14733" spans="1:17" ht="15" x14ac:dyDescent="0.25">
      <c r="A14733" s="3">
        <f>14726</f>
        <v>14726</v>
      </c>
      <c r="B14733" s="3" t="s">
        <v>14735</v>
      </c>
      <c r="C14733" s="3" t="s">
        <v>10</v>
      </c>
      <c r="D14733" s="3" t="s">
        <v>9</v>
      </c>
      <c r="E14733" s="3">
        <v>0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0</v>
      </c>
      <c r="O14733" s="3"/>
      <c r="P14733" s="3"/>
      <c r="Q14733" s="3"/>
    </row>
    <row r="14734" spans="1:17" ht="15" x14ac:dyDescent="0.25">
      <c r="A14734" s="3">
        <f>14727</f>
        <v>14727</v>
      </c>
      <c r="B14734" s="3" t="s">
        <v>14736</v>
      </c>
      <c r="C14734" s="3" t="s">
        <v>10</v>
      </c>
      <c r="D14734" s="3" t="s">
        <v>9</v>
      </c>
      <c r="E14734" s="3">
        <v>0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  <c r="O14734" s="3"/>
      <c r="P14734" s="3"/>
      <c r="Q14734" s="3"/>
    </row>
    <row r="14735" spans="1:17" ht="15" x14ac:dyDescent="0.25">
      <c r="A14735" s="3">
        <f>14728</f>
        <v>14728</v>
      </c>
      <c r="B14735" s="3" t="s">
        <v>14737</v>
      </c>
      <c r="C14735" s="3" t="s">
        <v>10</v>
      </c>
      <c r="D14735" s="3" t="s">
        <v>9</v>
      </c>
      <c r="E14735" s="3">
        <v>0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s="3"/>
      <c r="P14735" s="3"/>
      <c r="Q14735" s="3"/>
    </row>
    <row r="14736" spans="1:17" ht="15" x14ac:dyDescent="0.25">
      <c r="A14736" s="3">
        <f>14729</f>
        <v>14729</v>
      </c>
      <c r="B14736" s="3" t="s">
        <v>14738</v>
      </c>
      <c r="C14736" s="3" t="s">
        <v>10</v>
      </c>
      <c r="D14736" s="3" t="s">
        <v>9</v>
      </c>
      <c r="E14736" s="3">
        <v>0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  <c r="O14736" s="3"/>
      <c r="P14736" s="3"/>
      <c r="Q14736" s="3"/>
    </row>
    <row r="14737" spans="1:17" ht="15" x14ac:dyDescent="0.25">
      <c r="A14737" s="3">
        <f>14730</f>
        <v>14730</v>
      </c>
      <c r="B14737" s="3" t="s">
        <v>14739</v>
      </c>
      <c r="C14737" s="3" t="s">
        <v>10</v>
      </c>
      <c r="D14737" s="3" t="s">
        <v>9</v>
      </c>
      <c r="E14737" s="3">
        <v>0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s="3"/>
      <c r="P14737" s="3"/>
      <c r="Q14737" s="3"/>
    </row>
    <row r="14738" spans="1:17" ht="15" x14ac:dyDescent="0.25">
      <c r="A14738" s="3">
        <f>14731</f>
        <v>14731</v>
      </c>
      <c r="B14738" s="3" t="s">
        <v>14740</v>
      </c>
      <c r="C14738" s="3" t="s">
        <v>10</v>
      </c>
      <c r="D14738" s="3" t="s">
        <v>9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s="3"/>
      <c r="P14738" s="3"/>
      <c r="Q14738" s="3"/>
    </row>
    <row r="14739" spans="1:17" ht="15" x14ac:dyDescent="0.25">
      <c r="A14739" s="3">
        <f>14732</f>
        <v>14732</v>
      </c>
      <c r="B14739" s="3" t="s">
        <v>14741</v>
      </c>
      <c r="C14739" s="3" t="s">
        <v>10</v>
      </c>
      <c r="D14739" s="3" t="s">
        <v>9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/>
      <c r="P14739" s="3"/>
      <c r="Q14739" s="3"/>
    </row>
    <row r="14740" spans="1:17" ht="15" x14ac:dyDescent="0.25">
      <c r="A14740" s="3">
        <f>14733</f>
        <v>14733</v>
      </c>
      <c r="B14740" s="3" t="s">
        <v>14742</v>
      </c>
      <c r="C14740" s="3" t="s">
        <v>10</v>
      </c>
      <c r="D14740" s="3" t="s">
        <v>9</v>
      </c>
      <c r="E14740" s="3">
        <v>0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  <c r="O14740" s="3"/>
      <c r="P14740" s="3"/>
      <c r="Q14740" s="3"/>
    </row>
    <row r="14741" spans="1:17" ht="15" x14ac:dyDescent="0.25">
      <c r="A14741" s="3">
        <f>14734</f>
        <v>14734</v>
      </c>
      <c r="B14741" s="3" t="s">
        <v>14743</v>
      </c>
      <c r="C14741" s="3" t="s">
        <v>10</v>
      </c>
      <c r="D14741" s="3" t="s">
        <v>9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/>
      <c r="P14741" s="3"/>
      <c r="Q14741" s="3"/>
    </row>
    <row r="14742" spans="1:17" ht="15" x14ac:dyDescent="0.25">
      <c r="A14742" s="3">
        <f>14735</f>
        <v>14735</v>
      </c>
      <c r="B14742" s="3" t="s">
        <v>14744</v>
      </c>
      <c r="C14742" s="3" t="s">
        <v>10</v>
      </c>
      <c r="D14742" s="3" t="s">
        <v>9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s="3"/>
      <c r="P14742" s="3"/>
      <c r="Q14742" s="3"/>
    </row>
    <row r="14743" spans="1:17" ht="15" x14ac:dyDescent="0.25">
      <c r="A14743" s="3">
        <f>14736</f>
        <v>14736</v>
      </c>
      <c r="B14743" s="3" t="s">
        <v>14745</v>
      </c>
      <c r="C14743" s="3" t="s">
        <v>10</v>
      </c>
      <c r="D14743" s="3" t="s">
        <v>9</v>
      </c>
      <c r="E14743" s="3">
        <v>0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s="3"/>
      <c r="P14743" s="3"/>
      <c r="Q14743" s="3"/>
    </row>
    <row r="14744" spans="1:17" ht="15" x14ac:dyDescent="0.25">
      <c r="A14744" s="3">
        <f>14737</f>
        <v>14737</v>
      </c>
      <c r="B14744" s="3" t="s">
        <v>14746</v>
      </c>
      <c r="C14744" s="3" t="s">
        <v>10</v>
      </c>
      <c r="D14744" s="3" t="s">
        <v>9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/>
      <c r="P14744" s="3"/>
      <c r="Q14744" s="3"/>
    </row>
    <row r="14745" spans="1:17" ht="15" x14ac:dyDescent="0.25">
      <c r="A14745" s="3">
        <f>14738</f>
        <v>14738</v>
      </c>
      <c r="B14745" s="3" t="s">
        <v>14747</v>
      </c>
      <c r="C14745" s="3" t="s">
        <v>10</v>
      </c>
      <c r="D14745" s="3" t="s">
        <v>9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s="3"/>
      <c r="P14745" s="3"/>
      <c r="Q14745" s="3"/>
    </row>
    <row r="14746" spans="1:17" ht="15" x14ac:dyDescent="0.25">
      <c r="A14746" s="3">
        <f>14739</f>
        <v>14739</v>
      </c>
      <c r="B14746" s="3" t="s">
        <v>14748</v>
      </c>
      <c r="C14746" s="3" t="s">
        <v>10</v>
      </c>
      <c r="D14746" s="3" t="s">
        <v>9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  <c r="O14746" s="3"/>
      <c r="P14746" s="3"/>
      <c r="Q14746" s="3"/>
    </row>
    <row r="14747" spans="1:17" ht="15" x14ac:dyDescent="0.25">
      <c r="A14747" s="3">
        <f>14740</f>
        <v>14740</v>
      </c>
      <c r="B14747" s="3" t="s">
        <v>14749</v>
      </c>
      <c r="C14747" s="3" t="s">
        <v>10</v>
      </c>
      <c r="D14747" s="3" t="s">
        <v>9</v>
      </c>
      <c r="E14747" s="3">
        <v>0</v>
      </c>
      <c r="F14747" s="3">
        <v>0</v>
      </c>
      <c r="G14747" s="3">
        <v>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>
        <v>0</v>
      </c>
      <c r="O14747" s="3"/>
      <c r="P14747" s="3"/>
      <c r="Q14747" s="3"/>
    </row>
    <row r="14748" spans="1:17" ht="15" x14ac:dyDescent="0.25">
      <c r="A14748" s="3">
        <f>14741</f>
        <v>14741</v>
      </c>
      <c r="B14748" s="3" t="s">
        <v>14750</v>
      </c>
      <c r="C14748" s="3" t="s">
        <v>10</v>
      </c>
      <c r="D14748" s="3" t="s">
        <v>9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s="3"/>
      <c r="P14748" s="3"/>
      <c r="Q14748" s="3"/>
    </row>
    <row r="14749" spans="1:17" ht="15" x14ac:dyDescent="0.25">
      <c r="A14749" s="3">
        <f>14742</f>
        <v>14742</v>
      </c>
      <c r="B14749" s="3" t="s">
        <v>14751</v>
      </c>
      <c r="C14749" s="3" t="s">
        <v>10</v>
      </c>
      <c r="D14749" s="3" t="s">
        <v>9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s="3"/>
      <c r="P14749" s="3"/>
      <c r="Q14749" s="3"/>
    </row>
    <row r="14750" spans="1:17" ht="15" x14ac:dyDescent="0.25">
      <c r="A14750" s="3">
        <f>14743</f>
        <v>14743</v>
      </c>
      <c r="B14750" s="3" t="s">
        <v>14752</v>
      </c>
      <c r="C14750" s="3" t="s">
        <v>10</v>
      </c>
      <c r="D14750" s="3" t="s">
        <v>9</v>
      </c>
      <c r="E14750" s="3">
        <v>0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s="3"/>
      <c r="P14750" s="3"/>
      <c r="Q14750" s="3"/>
    </row>
    <row r="14751" spans="1:17" ht="15" x14ac:dyDescent="0.25">
      <c r="A14751" s="3">
        <f>14744</f>
        <v>14744</v>
      </c>
      <c r="B14751" s="3" t="s">
        <v>14753</v>
      </c>
      <c r="C14751" s="3" t="s">
        <v>10</v>
      </c>
      <c r="D14751" s="3" t="s">
        <v>9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s="3"/>
      <c r="P14751" s="3"/>
      <c r="Q14751" s="3"/>
    </row>
    <row r="14752" spans="1:17" ht="15" x14ac:dyDescent="0.25">
      <c r="A14752" s="3">
        <f>14745</f>
        <v>14745</v>
      </c>
      <c r="B14752" s="3" t="s">
        <v>14754</v>
      </c>
      <c r="C14752" s="3" t="s">
        <v>10</v>
      </c>
      <c r="D14752" s="3" t="s">
        <v>9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s="3"/>
      <c r="P14752" s="3"/>
      <c r="Q14752" s="3"/>
    </row>
    <row r="14753" spans="1:17" ht="15" x14ac:dyDescent="0.25">
      <c r="A14753" s="3">
        <f>14746</f>
        <v>14746</v>
      </c>
      <c r="B14753" s="3" t="s">
        <v>14755</v>
      </c>
      <c r="C14753" s="3" t="s">
        <v>10</v>
      </c>
      <c r="D14753" s="3" t="s">
        <v>9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s="3"/>
      <c r="P14753" s="3"/>
      <c r="Q14753" s="3"/>
    </row>
    <row r="14754" spans="1:17" ht="15" x14ac:dyDescent="0.25">
      <c r="A14754" s="3">
        <f>14747</f>
        <v>14747</v>
      </c>
      <c r="B14754" s="3" t="s">
        <v>14756</v>
      </c>
      <c r="C14754" s="3" t="s">
        <v>10</v>
      </c>
      <c r="D14754" s="3" t="s">
        <v>9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s="3"/>
      <c r="P14754" s="3"/>
      <c r="Q14754" s="3"/>
    </row>
    <row r="14755" spans="1:17" ht="15" x14ac:dyDescent="0.25">
      <c r="A14755" s="3">
        <f>14748</f>
        <v>14748</v>
      </c>
      <c r="B14755" s="3" t="s">
        <v>14757</v>
      </c>
      <c r="C14755" s="3" t="s">
        <v>10</v>
      </c>
      <c r="D14755" s="3" t="s">
        <v>9</v>
      </c>
      <c r="E14755" s="3">
        <v>0</v>
      </c>
      <c r="F14755" s="3">
        <v>0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0</v>
      </c>
      <c r="O14755" s="3"/>
      <c r="P14755" s="3"/>
      <c r="Q14755" s="3"/>
    </row>
    <row r="14756" spans="1:17" ht="15" x14ac:dyDescent="0.25">
      <c r="A14756" s="3">
        <f>14749</f>
        <v>14749</v>
      </c>
      <c r="B14756" s="3" t="s">
        <v>14758</v>
      </c>
      <c r="C14756" s="3" t="s">
        <v>10</v>
      </c>
      <c r="D14756" s="3" t="s">
        <v>9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0</v>
      </c>
      <c r="O14756" s="3"/>
      <c r="P14756" s="3"/>
      <c r="Q14756" s="3"/>
    </row>
    <row r="14757" spans="1:17" ht="15" x14ac:dyDescent="0.25">
      <c r="A14757" s="3">
        <f>14750</f>
        <v>14750</v>
      </c>
      <c r="B14757" s="3" t="s">
        <v>14759</v>
      </c>
      <c r="C14757" s="3" t="s">
        <v>10</v>
      </c>
      <c r="D14757" s="3" t="s">
        <v>9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0</v>
      </c>
      <c r="O14757" s="3"/>
      <c r="P14757" s="3"/>
      <c r="Q14757" s="3"/>
    </row>
    <row r="14758" spans="1:17" ht="15" x14ac:dyDescent="0.25">
      <c r="A14758" s="3">
        <f>14751</f>
        <v>14751</v>
      </c>
      <c r="B14758" s="3" t="s">
        <v>14760</v>
      </c>
      <c r="C14758" s="3" t="s">
        <v>10</v>
      </c>
      <c r="D14758" s="3" t="s">
        <v>9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  <c r="O14758" s="3"/>
      <c r="P14758" s="3"/>
      <c r="Q14758" s="3"/>
    </row>
    <row r="14759" spans="1:17" ht="15" x14ac:dyDescent="0.25">
      <c r="A14759" s="3">
        <f>14752</f>
        <v>14752</v>
      </c>
      <c r="B14759" s="3" t="s">
        <v>14761</v>
      </c>
      <c r="C14759" s="3" t="s">
        <v>10</v>
      </c>
      <c r="D14759" s="3" t="s">
        <v>9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0</v>
      </c>
      <c r="O14759" s="3"/>
      <c r="P14759" s="3"/>
      <c r="Q14759" s="3"/>
    </row>
    <row r="14760" spans="1:17" ht="15" x14ac:dyDescent="0.25">
      <c r="A14760" s="3">
        <f>14753</f>
        <v>14753</v>
      </c>
      <c r="B14760" s="3" t="s">
        <v>14762</v>
      </c>
      <c r="C14760" s="3" t="s">
        <v>10</v>
      </c>
      <c r="D14760" s="3" t="s">
        <v>9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/>
      <c r="P14760" s="3"/>
      <c r="Q14760" s="3"/>
    </row>
    <row r="14761" spans="1:17" ht="15" x14ac:dyDescent="0.25">
      <c r="A14761" s="3">
        <f>14754</f>
        <v>14754</v>
      </c>
      <c r="B14761" s="3" t="s">
        <v>14763</v>
      </c>
      <c r="C14761" s="3" t="s">
        <v>10</v>
      </c>
      <c r="D14761" s="3" t="s">
        <v>9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0</v>
      </c>
      <c r="O14761" s="3"/>
      <c r="P14761" s="3"/>
      <c r="Q14761" s="3"/>
    </row>
    <row r="14762" spans="1:17" ht="15" x14ac:dyDescent="0.25">
      <c r="A14762" s="3">
        <f>14755</f>
        <v>14755</v>
      </c>
      <c r="B14762" s="3" t="s">
        <v>14764</v>
      </c>
      <c r="C14762" s="3" t="s">
        <v>10</v>
      </c>
      <c r="D14762" s="3" t="s">
        <v>9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>
        <v>0</v>
      </c>
      <c r="O14762" s="3"/>
      <c r="P14762" s="3"/>
      <c r="Q14762" s="3"/>
    </row>
    <row r="14763" spans="1:17" ht="15" x14ac:dyDescent="0.25">
      <c r="A14763" s="3">
        <f>14756</f>
        <v>14756</v>
      </c>
      <c r="B14763" s="3" t="s">
        <v>14765</v>
      </c>
      <c r="C14763" s="3" t="s">
        <v>10</v>
      </c>
      <c r="D14763" s="3" t="s">
        <v>9</v>
      </c>
      <c r="E14763" s="3">
        <v>0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s="3"/>
      <c r="P14763" s="3"/>
      <c r="Q14763" s="3"/>
    </row>
    <row r="14764" spans="1:17" ht="15" x14ac:dyDescent="0.25">
      <c r="A14764" s="3">
        <f>14757</f>
        <v>14757</v>
      </c>
      <c r="B14764" s="3" t="s">
        <v>14766</v>
      </c>
      <c r="C14764" s="3" t="s">
        <v>10</v>
      </c>
      <c r="D14764" s="3" t="s">
        <v>9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/>
      <c r="P14764" s="3"/>
      <c r="Q14764" s="3"/>
    </row>
    <row r="14765" spans="1:17" ht="15" x14ac:dyDescent="0.25">
      <c r="A14765" s="3">
        <f>14758</f>
        <v>14758</v>
      </c>
      <c r="B14765" s="3" t="s">
        <v>14767</v>
      </c>
      <c r="C14765" s="3" t="s">
        <v>10</v>
      </c>
      <c r="D14765" s="3" t="s">
        <v>9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s="3"/>
      <c r="P14765" s="3"/>
      <c r="Q14765" s="3"/>
    </row>
    <row r="14766" spans="1:17" ht="15" x14ac:dyDescent="0.25">
      <c r="A14766" s="3">
        <f>14759</f>
        <v>14759</v>
      </c>
      <c r="B14766" s="3" t="s">
        <v>14768</v>
      </c>
      <c r="C14766" s="3" t="s">
        <v>10</v>
      </c>
      <c r="D14766" s="3" t="s">
        <v>9</v>
      </c>
      <c r="E14766" s="3">
        <v>0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s="3"/>
      <c r="P14766" s="3"/>
      <c r="Q14766" s="3"/>
    </row>
    <row r="14767" spans="1:17" ht="15" x14ac:dyDescent="0.25">
      <c r="A14767" s="3">
        <f>14760</f>
        <v>14760</v>
      </c>
      <c r="B14767" s="3" t="s">
        <v>14769</v>
      </c>
      <c r="C14767" s="3" t="s">
        <v>10</v>
      </c>
      <c r="D14767" s="3" t="s">
        <v>9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s="3"/>
      <c r="P14767" s="3"/>
      <c r="Q14767" s="3"/>
    </row>
    <row r="14768" spans="1:17" ht="15" x14ac:dyDescent="0.25">
      <c r="A14768" s="3">
        <f>14761</f>
        <v>14761</v>
      </c>
      <c r="B14768" s="3" t="s">
        <v>14770</v>
      </c>
      <c r="C14768" s="3" t="s">
        <v>10</v>
      </c>
      <c r="D14768" s="3" t="s">
        <v>9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/>
      <c r="P14768" s="3"/>
      <c r="Q14768" s="3"/>
    </row>
    <row r="14769" spans="1:17" ht="15" x14ac:dyDescent="0.25">
      <c r="A14769" s="3">
        <f>14762</f>
        <v>14762</v>
      </c>
      <c r="B14769" s="3" t="s">
        <v>14771</v>
      </c>
      <c r="C14769" s="3" t="s">
        <v>10</v>
      </c>
      <c r="D14769" s="3" t="s">
        <v>9</v>
      </c>
      <c r="E14769" s="3">
        <v>0</v>
      </c>
      <c r="F14769" s="3">
        <v>0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3">
        <v>0</v>
      </c>
      <c r="N14769" s="3">
        <v>0</v>
      </c>
      <c r="O14769" s="3"/>
      <c r="P14769" s="3"/>
      <c r="Q14769" s="3"/>
    </row>
    <row r="14770" spans="1:17" ht="15" x14ac:dyDescent="0.25">
      <c r="A14770" s="3">
        <f>14763</f>
        <v>14763</v>
      </c>
      <c r="B14770" s="3" t="s">
        <v>14772</v>
      </c>
      <c r="C14770" s="3" t="s">
        <v>10</v>
      </c>
      <c r="D14770" s="3" t="s">
        <v>9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>
        <v>0</v>
      </c>
      <c r="O14770" s="3"/>
      <c r="P14770" s="3"/>
      <c r="Q14770" s="3"/>
    </row>
    <row r="14771" spans="1:17" ht="15" x14ac:dyDescent="0.25">
      <c r="A14771" s="3">
        <f>14764</f>
        <v>14764</v>
      </c>
      <c r="B14771" s="3" t="s">
        <v>14773</v>
      </c>
      <c r="C14771" s="3" t="s">
        <v>10</v>
      </c>
      <c r="D14771" s="3" t="s">
        <v>9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/>
      <c r="P14771" s="3"/>
      <c r="Q14771" s="3"/>
    </row>
    <row r="14772" spans="1:17" ht="15" x14ac:dyDescent="0.25">
      <c r="A14772" s="3">
        <f>14765</f>
        <v>14765</v>
      </c>
      <c r="B14772" s="3" t="s">
        <v>14774</v>
      </c>
      <c r="C14772" s="3" t="s">
        <v>9</v>
      </c>
      <c r="D14772" s="3" t="s">
        <v>10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s="3"/>
      <c r="P14772" s="3"/>
      <c r="Q14772" s="3"/>
    </row>
    <row r="14773" spans="1:17" ht="15" x14ac:dyDescent="0.25">
      <c r="A14773" s="3">
        <f>14766</f>
        <v>14766</v>
      </c>
      <c r="B14773" s="3" t="s">
        <v>14775</v>
      </c>
      <c r="C14773" s="3" t="s">
        <v>10</v>
      </c>
      <c r="D14773" s="3" t="s">
        <v>9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/>
      <c r="P14773" s="3"/>
      <c r="Q14773" s="3"/>
    </row>
    <row r="14774" spans="1:17" ht="15" x14ac:dyDescent="0.25">
      <c r="A14774" s="3">
        <f>14767</f>
        <v>14767</v>
      </c>
      <c r="B14774" s="3" t="s">
        <v>14776</v>
      </c>
      <c r="C14774" s="3" t="s">
        <v>10</v>
      </c>
      <c r="D14774" s="3" t="s">
        <v>9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/>
      <c r="P14774" s="3"/>
      <c r="Q14774" s="3"/>
    </row>
    <row r="14775" spans="1:17" ht="15" x14ac:dyDescent="0.25">
      <c r="A14775" s="3">
        <f>14768</f>
        <v>14768</v>
      </c>
      <c r="B14775" s="3" t="s">
        <v>14777</v>
      </c>
      <c r="C14775" s="3" t="s">
        <v>10</v>
      </c>
      <c r="D14775" s="3" t="s">
        <v>9</v>
      </c>
      <c r="E14775" s="3">
        <v>0</v>
      </c>
      <c r="F14775" s="3">
        <v>0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0</v>
      </c>
      <c r="O14775" s="3"/>
      <c r="P14775" s="3"/>
      <c r="Q14775" s="3"/>
    </row>
    <row r="14776" spans="1:17" ht="15" x14ac:dyDescent="0.25">
      <c r="A14776" s="3">
        <f>14769</f>
        <v>14769</v>
      </c>
      <c r="B14776" s="3" t="s">
        <v>14778</v>
      </c>
      <c r="C14776" s="3" t="s">
        <v>10</v>
      </c>
      <c r="D14776" s="3" t="s">
        <v>9</v>
      </c>
      <c r="E14776" s="3">
        <v>0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/>
      <c r="P14776" s="3"/>
      <c r="Q14776" s="3"/>
    </row>
    <row r="14777" spans="1:17" ht="15" x14ac:dyDescent="0.25">
      <c r="A14777" s="3">
        <f>14770</f>
        <v>14770</v>
      </c>
      <c r="B14777" s="3" t="s">
        <v>14779</v>
      </c>
      <c r="C14777" s="3" t="s">
        <v>10</v>
      </c>
      <c r="D14777" s="3" t="s">
        <v>9</v>
      </c>
      <c r="E14777" s="3">
        <v>0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s="3"/>
      <c r="P14777" s="3"/>
      <c r="Q14777" s="3"/>
    </row>
    <row r="14778" spans="1:17" ht="15" x14ac:dyDescent="0.25">
      <c r="A14778" s="3">
        <f>14771</f>
        <v>14771</v>
      </c>
      <c r="B14778" s="3" t="s">
        <v>14780</v>
      </c>
      <c r="C14778" s="3" t="s">
        <v>10</v>
      </c>
      <c r="D14778" s="3" t="s">
        <v>9</v>
      </c>
      <c r="E14778" s="3">
        <v>0</v>
      </c>
      <c r="F14778" s="3">
        <v>0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s="3"/>
      <c r="P14778" s="3"/>
      <c r="Q14778" s="3"/>
    </row>
    <row r="14779" spans="1:17" ht="15" x14ac:dyDescent="0.25">
      <c r="A14779" s="3">
        <f>14772</f>
        <v>14772</v>
      </c>
      <c r="B14779" s="3" t="s">
        <v>14781</v>
      </c>
      <c r="C14779" s="3" t="s">
        <v>10</v>
      </c>
      <c r="D14779" s="3" t="s">
        <v>9</v>
      </c>
      <c r="E14779" s="3">
        <v>0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s="3"/>
      <c r="P14779" s="3"/>
      <c r="Q14779" s="3"/>
    </row>
    <row r="14780" spans="1:17" ht="15" x14ac:dyDescent="0.25">
      <c r="A14780" s="3">
        <f>14773</f>
        <v>14773</v>
      </c>
      <c r="B14780" s="3" t="s">
        <v>14782</v>
      </c>
      <c r="C14780" s="3" t="s">
        <v>10</v>
      </c>
      <c r="D14780" s="3" t="s">
        <v>9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  <c r="O14780" s="3"/>
      <c r="P14780" s="3"/>
      <c r="Q14780" s="3"/>
    </row>
    <row r="14781" spans="1:17" ht="15" x14ac:dyDescent="0.25">
      <c r="A14781" s="3">
        <f>14774</f>
        <v>14774</v>
      </c>
      <c r="B14781" s="3" t="s">
        <v>14783</v>
      </c>
      <c r="C14781" s="3" t="s">
        <v>10</v>
      </c>
      <c r="D14781" s="3" t="s">
        <v>9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/>
      <c r="P14781" s="3"/>
      <c r="Q14781" s="3"/>
    </row>
    <row r="14782" spans="1:17" ht="15" x14ac:dyDescent="0.25">
      <c r="A14782" s="3">
        <f>14775</f>
        <v>14775</v>
      </c>
      <c r="B14782" s="3" t="s">
        <v>14784</v>
      </c>
      <c r="C14782" s="3" t="s">
        <v>10</v>
      </c>
      <c r="D14782" s="3" t="s">
        <v>9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/>
      <c r="P14782" s="3"/>
      <c r="Q14782" s="3"/>
    </row>
    <row r="14783" spans="1:17" ht="15" x14ac:dyDescent="0.25">
      <c r="A14783" s="3">
        <f>14776</f>
        <v>14776</v>
      </c>
      <c r="B14783" s="3" t="s">
        <v>14785</v>
      </c>
      <c r="C14783" s="3" t="s">
        <v>10</v>
      </c>
      <c r="D14783" s="3" t="s">
        <v>9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/>
      <c r="P14783" s="3"/>
      <c r="Q14783" s="3"/>
    </row>
    <row r="14784" spans="1:17" ht="15" x14ac:dyDescent="0.25">
      <c r="A14784" s="3">
        <f>14777</f>
        <v>14777</v>
      </c>
      <c r="B14784" s="3" t="s">
        <v>14786</v>
      </c>
      <c r="C14784" s="3" t="s">
        <v>10</v>
      </c>
      <c r="D14784" s="3" t="s">
        <v>9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s="3"/>
      <c r="P14784" s="3"/>
      <c r="Q14784" s="3"/>
    </row>
    <row r="14785" spans="1:17" ht="15" x14ac:dyDescent="0.25">
      <c r="A14785" s="3">
        <f>14778</f>
        <v>14778</v>
      </c>
      <c r="B14785" s="3" t="s">
        <v>14787</v>
      </c>
      <c r="C14785" s="3" t="s">
        <v>10</v>
      </c>
      <c r="D14785" s="3" t="s">
        <v>9</v>
      </c>
      <c r="E14785" s="3">
        <v>0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/>
      <c r="P14785" s="3"/>
      <c r="Q14785" s="3"/>
    </row>
    <row r="14786" spans="1:17" ht="15" x14ac:dyDescent="0.25">
      <c r="A14786" s="3">
        <f>14779</f>
        <v>14779</v>
      </c>
      <c r="B14786" s="3" t="s">
        <v>14788</v>
      </c>
      <c r="C14786" s="3" t="s">
        <v>10</v>
      </c>
      <c r="D14786" s="3" t="s">
        <v>9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  <c r="O14786" s="3"/>
      <c r="P14786" s="3"/>
      <c r="Q14786" s="3"/>
    </row>
    <row r="14787" spans="1:17" ht="15" x14ac:dyDescent="0.25">
      <c r="A14787" s="3">
        <f>14780</f>
        <v>14780</v>
      </c>
      <c r="B14787" s="3" t="s">
        <v>14789</v>
      </c>
      <c r="C14787" s="3" t="s">
        <v>10</v>
      </c>
      <c r="D14787" s="3" t="s">
        <v>9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  <c r="O14787" s="3"/>
      <c r="P14787" s="3"/>
      <c r="Q14787" s="3"/>
    </row>
    <row r="14788" spans="1:17" ht="15" x14ac:dyDescent="0.25">
      <c r="A14788" s="3">
        <f>14781</f>
        <v>14781</v>
      </c>
      <c r="B14788" s="3" t="s">
        <v>14790</v>
      </c>
      <c r="C14788" s="3" t="s">
        <v>10</v>
      </c>
      <c r="D14788" s="3" t="s">
        <v>9</v>
      </c>
      <c r="E14788" s="3">
        <v>0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/>
      <c r="P14788" s="3"/>
      <c r="Q14788" s="3"/>
    </row>
    <row r="14789" spans="1:17" ht="15" x14ac:dyDescent="0.25">
      <c r="A14789" s="3">
        <f>14782</f>
        <v>14782</v>
      </c>
      <c r="B14789" s="3" t="s">
        <v>14791</v>
      </c>
      <c r="C14789" s="3" t="s">
        <v>10</v>
      </c>
      <c r="D14789" s="3" t="s">
        <v>9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/>
      <c r="P14789" s="3"/>
      <c r="Q14789" s="3"/>
    </row>
    <row r="14790" spans="1:17" ht="15" x14ac:dyDescent="0.25">
      <c r="A14790" s="3">
        <f>14783</f>
        <v>14783</v>
      </c>
      <c r="B14790" s="3" t="s">
        <v>14792</v>
      </c>
      <c r="C14790" s="3" t="s">
        <v>10</v>
      </c>
      <c r="D14790" s="3" t="s">
        <v>9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/>
      <c r="P14790" s="3"/>
      <c r="Q14790" s="3"/>
    </row>
    <row r="14791" spans="1:17" ht="15" x14ac:dyDescent="0.25">
      <c r="A14791" s="3">
        <f>14784</f>
        <v>14784</v>
      </c>
      <c r="B14791" s="3" t="s">
        <v>14793</v>
      </c>
      <c r="C14791" s="3" t="s">
        <v>10</v>
      </c>
      <c r="D14791" s="3" t="s">
        <v>9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s="3"/>
      <c r="P14791" s="3"/>
      <c r="Q14791" s="3"/>
    </row>
    <row r="14792" spans="1:17" ht="15" x14ac:dyDescent="0.25">
      <c r="A14792" s="3">
        <f>14785</f>
        <v>14785</v>
      </c>
      <c r="B14792" s="3" t="s">
        <v>14794</v>
      </c>
      <c r="C14792" s="3" t="s">
        <v>10</v>
      </c>
      <c r="D14792" s="3" t="s">
        <v>9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/>
      <c r="P14792" s="3"/>
      <c r="Q14792" s="3"/>
    </row>
    <row r="14793" spans="1:17" ht="15" x14ac:dyDescent="0.25">
      <c r="A14793" s="3">
        <f>14786</f>
        <v>14786</v>
      </c>
      <c r="B14793" s="3" t="s">
        <v>14795</v>
      </c>
      <c r="C14793" s="3" t="s">
        <v>10</v>
      </c>
      <c r="D14793" s="3" t="s">
        <v>9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s="3"/>
      <c r="P14793" s="3"/>
      <c r="Q14793" s="3"/>
    </row>
    <row r="14794" spans="1:17" ht="15" x14ac:dyDescent="0.25">
      <c r="A14794" s="3">
        <f>14787</f>
        <v>14787</v>
      </c>
      <c r="B14794" s="3" t="s">
        <v>14796</v>
      </c>
      <c r="C14794" s="3" t="s">
        <v>10</v>
      </c>
      <c r="D14794" s="3" t="s">
        <v>9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/>
      <c r="P14794" s="3"/>
      <c r="Q14794" s="3"/>
    </row>
    <row r="14795" spans="1:17" ht="15" x14ac:dyDescent="0.25">
      <c r="A14795" s="3">
        <f>14788</f>
        <v>14788</v>
      </c>
      <c r="B14795" s="3" t="s">
        <v>14797</v>
      </c>
      <c r="C14795" s="3" t="s">
        <v>10</v>
      </c>
      <c r="D14795" s="3" t="s">
        <v>9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/>
      <c r="P14795" s="3"/>
      <c r="Q14795" s="3"/>
    </row>
    <row r="14796" spans="1:17" ht="15" x14ac:dyDescent="0.25">
      <c r="A14796" s="3">
        <f>14789</f>
        <v>14789</v>
      </c>
      <c r="B14796" s="3" t="s">
        <v>14798</v>
      </c>
      <c r="C14796" s="3" t="s">
        <v>10</v>
      </c>
      <c r="D14796" s="3" t="s">
        <v>9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0</v>
      </c>
      <c r="O14796" s="3"/>
      <c r="P14796" s="3"/>
      <c r="Q14796" s="3"/>
    </row>
    <row r="14797" spans="1:17" ht="15" x14ac:dyDescent="0.25">
      <c r="A14797" s="3">
        <f>14790</f>
        <v>14790</v>
      </c>
      <c r="B14797" s="3" t="s">
        <v>14799</v>
      </c>
      <c r="C14797" s="3" t="s">
        <v>10</v>
      </c>
      <c r="D14797" s="3" t="s">
        <v>9</v>
      </c>
      <c r="E14797" s="3">
        <v>0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s="3"/>
      <c r="P14797" s="3"/>
      <c r="Q14797" s="3"/>
    </row>
    <row r="14798" spans="1:17" ht="15" x14ac:dyDescent="0.25">
      <c r="A14798" s="3">
        <f>14791</f>
        <v>14791</v>
      </c>
      <c r="B14798" s="3" t="s">
        <v>14800</v>
      </c>
      <c r="C14798" s="3" t="s">
        <v>10</v>
      </c>
      <c r="D14798" s="3" t="s">
        <v>9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s="3"/>
      <c r="P14798" s="3"/>
      <c r="Q14798" s="3"/>
    </row>
    <row r="14799" spans="1:17" ht="15" x14ac:dyDescent="0.25">
      <c r="A14799" s="3">
        <f>14792</f>
        <v>14792</v>
      </c>
      <c r="B14799" s="3" t="s">
        <v>14801</v>
      </c>
      <c r="C14799" s="3" t="s">
        <v>10</v>
      </c>
      <c r="D14799" s="3" t="s">
        <v>9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s="3"/>
      <c r="P14799" s="3"/>
      <c r="Q14799" s="3"/>
    </row>
    <row r="14800" spans="1:17" ht="15" x14ac:dyDescent="0.25">
      <c r="A14800" s="3">
        <f>14793</f>
        <v>14793</v>
      </c>
      <c r="B14800" s="3" t="s">
        <v>14802</v>
      </c>
      <c r="C14800" s="3" t="s">
        <v>10</v>
      </c>
      <c r="D14800" s="3" t="s">
        <v>9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s="3"/>
      <c r="P14800" s="3"/>
      <c r="Q14800" s="3"/>
    </row>
    <row r="14801" spans="1:17" ht="15" x14ac:dyDescent="0.25">
      <c r="A14801" s="3">
        <f>14794</f>
        <v>14794</v>
      </c>
      <c r="B14801" s="3" t="s">
        <v>14803</v>
      </c>
      <c r="C14801" s="3" t="s">
        <v>10</v>
      </c>
      <c r="D14801" s="3" t="s">
        <v>9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s="3"/>
      <c r="P14801" s="3"/>
      <c r="Q14801" s="3"/>
    </row>
    <row r="14802" spans="1:17" ht="15" x14ac:dyDescent="0.25">
      <c r="A14802" s="3">
        <f>14795</f>
        <v>14795</v>
      </c>
      <c r="B14802" s="3" t="s">
        <v>14804</v>
      </c>
      <c r="C14802" s="3" t="s">
        <v>10</v>
      </c>
      <c r="D14802" s="3" t="s">
        <v>9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0</v>
      </c>
      <c r="O14802" s="3"/>
      <c r="P14802" s="3"/>
      <c r="Q14802" s="3"/>
    </row>
    <row r="14803" spans="1:17" ht="15" x14ac:dyDescent="0.25">
      <c r="A14803" s="3">
        <f>14796</f>
        <v>14796</v>
      </c>
      <c r="B14803" s="3" t="s">
        <v>14805</v>
      </c>
      <c r="C14803" s="3" t="s">
        <v>10</v>
      </c>
      <c r="D14803" s="3" t="s">
        <v>9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0</v>
      </c>
      <c r="O14803" s="3"/>
      <c r="P14803" s="3"/>
      <c r="Q14803" s="3"/>
    </row>
    <row r="14804" spans="1:17" ht="15" x14ac:dyDescent="0.25">
      <c r="A14804" s="3">
        <f>14797</f>
        <v>14797</v>
      </c>
      <c r="B14804" s="3" t="s">
        <v>14806</v>
      </c>
      <c r="C14804" s="3" t="s">
        <v>9</v>
      </c>
      <c r="D14804" s="3" t="s">
        <v>10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/>
      <c r="P14804" s="3"/>
      <c r="Q14804" s="3"/>
    </row>
    <row r="14805" spans="1:17" ht="15" x14ac:dyDescent="0.25">
      <c r="A14805" s="3">
        <f>14798</f>
        <v>14798</v>
      </c>
      <c r="B14805" s="3" t="s">
        <v>14807</v>
      </c>
      <c r="C14805" s="3" t="s">
        <v>9</v>
      </c>
      <c r="D14805" s="3" t="s">
        <v>10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s="3"/>
      <c r="P14805" s="3"/>
      <c r="Q14805" s="3"/>
    </row>
    <row r="14806" spans="1:17" ht="15" x14ac:dyDescent="0.25">
      <c r="A14806" s="3">
        <f>14799</f>
        <v>14799</v>
      </c>
      <c r="B14806" s="3" t="s">
        <v>14808</v>
      </c>
      <c r="C14806" s="3" t="s">
        <v>9</v>
      </c>
      <c r="D14806" s="3" t="s">
        <v>10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/>
      <c r="P14806" s="3"/>
      <c r="Q14806" s="3"/>
    </row>
    <row r="14807" spans="1:17" ht="15" x14ac:dyDescent="0.25">
      <c r="A14807" s="3">
        <f>14800</f>
        <v>14800</v>
      </c>
      <c r="B14807" s="3" t="s">
        <v>14809</v>
      </c>
      <c r="C14807" s="3" t="s">
        <v>9</v>
      </c>
      <c r="D14807" s="3" t="s">
        <v>10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0</v>
      </c>
      <c r="O14807" s="3"/>
      <c r="P14807" s="3"/>
      <c r="Q14807" s="3"/>
    </row>
    <row r="14808" spans="1:17" ht="15" x14ac:dyDescent="0.25">
      <c r="A14808" s="3">
        <f>14801</f>
        <v>14801</v>
      </c>
      <c r="B14808" s="3" t="s">
        <v>14810</v>
      </c>
      <c r="C14808" s="3" t="s">
        <v>9</v>
      </c>
      <c r="D14808" s="3" t="s">
        <v>10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/>
      <c r="P14808" s="3"/>
      <c r="Q14808" s="3"/>
    </row>
    <row r="14809" spans="1:17" ht="15" x14ac:dyDescent="0.25">
      <c r="A14809" s="3">
        <f>14802</f>
        <v>14802</v>
      </c>
      <c r="B14809" s="3" t="s">
        <v>14811</v>
      </c>
      <c r="C14809" s="3" t="s">
        <v>9</v>
      </c>
      <c r="D14809" s="3" t="s">
        <v>10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s="3"/>
      <c r="P14809" s="3"/>
      <c r="Q14809" s="3"/>
    </row>
    <row r="14810" spans="1:17" ht="15" x14ac:dyDescent="0.25">
      <c r="A14810" s="3">
        <f>14803</f>
        <v>14803</v>
      </c>
      <c r="B14810" s="3" t="s">
        <v>14812</v>
      </c>
      <c r="C14810" s="3" t="s">
        <v>9</v>
      </c>
      <c r="D14810" s="3" t="s">
        <v>10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s="3"/>
      <c r="P14810" s="3"/>
      <c r="Q14810" s="3"/>
    </row>
    <row r="14811" spans="1:17" ht="15" x14ac:dyDescent="0.25">
      <c r="A14811" s="3">
        <f>14804</f>
        <v>14804</v>
      </c>
      <c r="B14811" s="3" t="s">
        <v>14813</v>
      </c>
      <c r="C14811" s="3" t="s">
        <v>9</v>
      </c>
      <c r="D14811" s="3" t="s">
        <v>10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s="3"/>
      <c r="P14811" s="3"/>
      <c r="Q14811" s="3"/>
    </row>
    <row r="14812" spans="1:17" ht="15" x14ac:dyDescent="0.25">
      <c r="A14812" s="3">
        <f>14805</f>
        <v>14805</v>
      </c>
      <c r="B14812" s="3" t="s">
        <v>14814</v>
      </c>
      <c r="C14812" s="3" t="s">
        <v>9</v>
      </c>
      <c r="D14812" s="3" t="s">
        <v>10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/>
      <c r="P14812" s="3"/>
      <c r="Q14812" s="3"/>
    </row>
    <row r="14813" spans="1:17" ht="15" x14ac:dyDescent="0.25">
      <c r="A14813" s="3">
        <f>14806</f>
        <v>14806</v>
      </c>
      <c r="B14813" s="3" t="s">
        <v>14815</v>
      </c>
      <c r="C14813" s="3" t="s">
        <v>9</v>
      </c>
      <c r="D14813" s="3" t="s">
        <v>10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/>
      <c r="P14813" s="3"/>
      <c r="Q14813" s="3"/>
    </row>
    <row r="14814" spans="1:17" ht="15" x14ac:dyDescent="0.25">
      <c r="A14814" s="3">
        <f>14807</f>
        <v>14807</v>
      </c>
      <c r="B14814" s="3" t="s">
        <v>14816</v>
      </c>
      <c r="C14814" s="3" t="s">
        <v>9</v>
      </c>
      <c r="D14814" s="3" t="s">
        <v>10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/>
      <c r="P14814" s="3"/>
      <c r="Q14814" s="3"/>
    </row>
    <row r="14815" spans="1:17" ht="15" x14ac:dyDescent="0.25">
      <c r="A14815" s="3">
        <f>14808</f>
        <v>14808</v>
      </c>
      <c r="B14815" s="3" t="s">
        <v>14817</v>
      </c>
      <c r="C14815" s="3" t="s">
        <v>9</v>
      </c>
      <c r="D14815" s="3" t="s">
        <v>10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s="3"/>
      <c r="P14815" s="3"/>
      <c r="Q14815" s="3"/>
    </row>
    <row r="14816" spans="1:17" ht="15" x14ac:dyDescent="0.25">
      <c r="A14816" s="3">
        <f>14809</f>
        <v>14809</v>
      </c>
      <c r="B14816" s="3" t="s">
        <v>14818</v>
      </c>
      <c r="C14816" s="3" t="s">
        <v>10</v>
      </c>
      <c r="D14816" s="3" t="s">
        <v>9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/>
      <c r="P14816" s="3"/>
      <c r="Q14816" s="3"/>
    </row>
    <row r="14817" spans="1:17" ht="15" x14ac:dyDescent="0.25">
      <c r="A14817" s="3">
        <f>14810</f>
        <v>14810</v>
      </c>
      <c r="B14817" s="3" t="s">
        <v>14819</v>
      </c>
      <c r="C14817" s="3" t="s">
        <v>10</v>
      </c>
      <c r="D14817" s="3" t="s">
        <v>9</v>
      </c>
      <c r="E14817" s="3">
        <v>0</v>
      </c>
      <c r="F14817" s="3">
        <v>0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>
        <v>0</v>
      </c>
      <c r="O14817" s="3"/>
      <c r="P14817" s="3"/>
      <c r="Q14817" s="3"/>
    </row>
    <row r="14818" spans="1:17" ht="15" x14ac:dyDescent="0.25">
      <c r="A14818" s="3">
        <f>14811</f>
        <v>14811</v>
      </c>
      <c r="B14818" s="3" t="s">
        <v>14820</v>
      </c>
      <c r="C14818" s="3" t="s">
        <v>10</v>
      </c>
      <c r="D14818" s="3" t="s">
        <v>9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>
        <v>0</v>
      </c>
      <c r="O14818" s="3"/>
      <c r="P14818" s="3"/>
      <c r="Q14818" s="3"/>
    </row>
    <row r="14819" spans="1:17" ht="15" x14ac:dyDescent="0.25">
      <c r="A14819" s="3">
        <f>14812</f>
        <v>14812</v>
      </c>
      <c r="B14819" s="3" t="s">
        <v>14821</v>
      </c>
      <c r="C14819" s="3" t="s">
        <v>10</v>
      </c>
      <c r="D14819" s="3" t="s">
        <v>9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s="3"/>
      <c r="P14819" s="3"/>
      <c r="Q14819" s="3"/>
    </row>
    <row r="14820" spans="1:17" ht="15" x14ac:dyDescent="0.25">
      <c r="A14820" s="3">
        <f>14813</f>
        <v>14813</v>
      </c>
      <c r="B14820" s="3" t="s">
        <v>14822</v>
      </c>
      <c r="C14820" s="3" t="s">
        <v>10</v>
      </c>
      <c r="D14820" s="3" t="s">
        <v>9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s="3"/>
      <c r="P14820" s="3"/>
      <c r="Q14820" s="3"/>
    </row>
    <row r="14821" spans="1:17" ht="15" x14ac:dyDescent="0.25">
      <c r="A14821" s="3">
        <f>14814</f>
        <v>14814</v>
      </c>
      <c r="B14821" s="3" t="s">
        <v>14823</v>
      </c>
      <c r="C14821" s="3" t="s">
        <v>10</v>
      </c>
      <c r="D14821" s="3" t="s">
        <v>9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  <c r="O14821" s="3"/>
      <c r="P14821" s="3"/>
      <c r="Q14821" s="3"/>
    </row>
    <row r="14822" spans="1:17" ht="15" x14ac:dyDescent="0.25">
      <c r="A14822" s="3">
        <f>14815</f>
        <v>14815</v>
      </c>
      <c r="B14822" s="3" t="s">
        <v>14824</v>
      </c>
      <c r="C14822" s="3" t="s">
        <v>10</v>
      </c>
      <c r="D14822" s="3" t="s">
        <v>9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0</v>
      </c>
      <c r="O14822" s="3"/>
      <c r="P14822" s="3"/>
      <c r="Q14822" s="3"/>
    </row>
    <row r="14823" spans="1:17" ht="15" x14ac:dyDescent="0.25">
      <c r="A14823" s="3">
        <f>14816</f>
        <v>14816</v>
      </c>
      <c r="B14823" s="3" t="s">
        <v>14825</v>
      </c>
      <c r="C14823" s="3" t="s">
        <v>10</v>
      </c>
      <c r="D14823" s="3" t="s">
        <v>9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s="3"/>
      <c r="P14823" s="3"/>
      <c r="Q14823" s="3"/>
    </row>
    <row r="14824" spans="1:17" ht="15" x14ac:dyDescent="0.25">
      <c r="A14824" s="3">
        <f>14817</f>
        <v>14817</v>
      </c>
      <c r="B14824" s="3" t="s">
        <v>14826</v>
      </c>
      <c r="C14824" s="3" t="s">
        <v>10</v>
      </c>
      <c r="D14824" s="3" t="s">
        <v>9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0</v>
      </c>
      <c r="O14824" s="3"/>
      <c r="P14824" s="3"/>
      <c r="Q14824" s="3"/>
    </row>
    <row r="14825" spans="1:17" ht="15" x14ac:dyDescent="0.25">
      <c r="A14825" s="3">
        <f>14818</f>
        <v>14818</v>
      </c>
      <c r="B14825" s="3" t="s">
        <v>14827</v>
      </c>
      <c r="C14825" s="3" t="s">
        <v>10</v>
      </c>
      <c r="D14825" s="3" t="s">
        <v>9</v>
      </c>
      <c r="E14825" s="3">
        <v>0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0</v>
      </c>
      <c r="O14825" s="3"/>
      <c r="P14825" s="3"/>
      <c r="Q14825" s="3"/>
    </row>
    <row r="14826" spans="1:17" ht="15" x14ac:dyDescent="0.25">
      <c r="A14826" s="3">
        <f>14819</f>
        <v>14819</v>
      </c>
      <c r="B14826" s="3" t="s">
        <v>14828</v>
      </c>
      <c r="C14826" s="3" t="s">
        <v>10</v>
      </c>
      <c r="D14826" s="3" t="s">
        <v>9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/>
      <c r="P14826" s="3"/>
      <c r="Q14826" s="3"/>
    </row>
    <row r="14827" spans="1:17" ht="15" x14ac:dyDescent="0.25">
      <c r="A14827" s="3">
        <f>14820</f>
        <v>14820</v>
      </c>
      <c r="B14827" s="3" t="s">
        <v>14829</v>
      </c>
      <c r="C14827" s="3" t="s">
        <v>10</v>
      </c>
      <c r="D14827" s="3" t="s">
        <v>9</v>
      </c>
      <c r="E14827" s="3">
        <v>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>
        <v>0</v>
      </c>
      <c r="O14827" s="3"/>
      <c r="P14827" s="3"/>
      <c r="Q14827" s="3"/>
    </row>
    <row r="14828" spans="1:17" ht="15" x14ac:dyDescent="0.25">
      <c r="A14828" s="3">
        <f>14821</f>
        <v>14821</v>
      </c>
      <c r="B14828" s="3" t="s">
        <v>14830</v>
      </c>
      <c r="C14828" s="3" t="s">
        <v>10</v>
      </c>
      <c r="D14828" s="3" t="s">
        <v>9</v>
      </c>
      <c r="E14828" s="3">
        <v>0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  <c r="O14828" s="3"/>
      <c r="P14828" s="3"/>
      <c r="Q14828" s="3"/>
    </row>
    <row r="14829" spans="1:17" ht="15" x14ac:dyDescent="0.25">
      <c r="A14829" s="3">
        <f>14822</f>
        <v>14822</v>
      </c>
      <c r="B14829" s="3" t="s">
        <v>14831</v>
      </c>
      <c r="C14829" s="3" t="s">
        <v>10</v>
      </c>
      <c r="D14829" s="3" t="s">
        <v>9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s="3"/>
      <c r="P14829" s="3"/>
      <c r="Q14829" s="3"/>
    </row>
    <row r="14830" spans="1:17" ht="15" x14ac:dyDescent="0.25">
      <c r="A14830" s="3">
        <f>14823</f>
        <v>14823</v>
      </c>
      <c r="B14830" s="3" t="s">
        <v>14832</v>
      </c>
      <c r="C14830" s="3" t="s">
        <v>10</v>
      </c>
      <c r="D14830" s="3" t="s">
        <v>9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s="3"/>
      <c r="P14830" s="3"/>
      <c r="Q14830" s="3"/>
    </row>
    <row r="14831" spans="1:17" ht="15" x14ac:dyDescent="0.25">
      <c r="A14831" s="3">
        <f>14824</f>
        <v>14824</v>
      </c>
      <c r="B14831" s="3" t="s">
        <v>14833</v>
      </c>
      <c r="C14831" s="3" t="s">
        <v>10</v>
      </c>
      <c r="D14831" s="3" t="s">
        <v>9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0</v>
      </c>
      <c r="O14831" s="3"/>
      <c r="P14831" s="3"/>
      <c r="Q14831" s="3"/>
    </row>
    <row r="14832" spans="1:17" ht="15" x14ac:dyDescent="0.25">
      <c r="A14832" s="3">
        <f>14825</f>
        <v>14825</v>
      </c>
      <c r="B14832" s="3" t="s">
        <v>14834</v>
      </c>
      <c r="C14832" s="3" t="s">
        <v>10</v>
      </c>
      <c r="D14832" s="3" t="s">
        <v>9</v>
      </c>
      <c r="E14832" s="3">
        <v>0</v>
      </c>
      <c r="F14832" s="3">
        <v>0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s="3"/>
      <c r="P14832" s="3"/>
      <c r="Q14832" s="3"/>
    </row>
    <row r="14833" spans="1:17" ht="15" x14ac:dyDescent="0.25">
      <c r="A14833" s="3">
        <f>14826</f>
        <v>14826</v>
      </c>
      <c r="B14833" s="3" t="s">
        <v>14835</v>
      </c>
      <c r="C14833" s="3" t="s">
        <v>10</v>
      </c>
      <c r="D14833" s="3" t="s">
        <v>9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s="3"/>
      <c r="P14833" s="3"/>
      <c r="Q14833" s="3"/>
    </row>
    <row r="14834" spans="1:17" ht="15" x14ac:dyDescent="0.25">
      <c r="A14834" s="3">
        <f>14827</f>
        <v>14827</v>
      </c>
      <c r="B14834" s="3" t="s">
        <v>14836</v>
      </c>
      <c r="C14834" s="3" t="s">
        <v>10</v>
      </c>
      <c r="D14834" s="3" t="s">
        <v>9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0</v>
      </c>
      <c r="O14834" s="3"/>
      <c r="P14834" s="3"/>
      <c r="Q14834" s="3"/>
    </row>
    <row r="14835" spans="1:17" ht="15" x14ac:dyDescent="0.25">
      <c r="A14835" s="3">
        <f>14828</f>
        <v>14828</v>
      </c>
      <c r="B14835" s="3" t="s">
        <v>14837</v>
      </c>
      <c r="C14835" s="3" t="s">
        <v>10</v>
      </c>
      <c r="D14835" s="3" t="s">
        <v>9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s="3"/>
      <c r="P14835" s="3"/>
      <c r="Q14835" s="3"/>
    </row>
    <row r="14836" spans="1:17" ht="15" x14ac:dyDescent="0.25">
      <c r="A14836" s="3">
        <f>14829</f>
        <v>14829</v>
      </c>
      <c r="B14836" s="3" t="s">
        <v>14838</v>
      </c>
      <c r="C14836" s="3" t="s">
        <v>10</v>
      </c>
      <c r="D14836" s="3" t="s">
        <v>9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s="3"/>
      <c r="P14836" s="3"/>
      <c r="Q14836" s="3"/>
    </row>
    <row r="14837" spans="1:17" ht="15" x14ac:dyDescent="0.25">
      <c r="A14837" s="3">
        <f>14830</f>
        <v>14830</v>
      </c>
      <c r="B14837" s="3" t="s">
        <v>14839</v>
      </c>
      <c r="C14837" s="3" t="s">
        <v>10</v>
      </c>
      <c r="D14837" s="3" t="s">
        <v>9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0</v>
      </c>
      <c r="O14837" s="3"/>
      <c r="P14837" s="3"/>
      <c r="Q14837" s="3"/>
    </row>
    <row r="14838" spans="1:17" ht="15" x14ac:dyDescent="0.25">
      <c r="A14838" s="3">
        <f>14831</f>
        <v>14831</v>
      </c>
      <c r="B14838" s="3" t="s">
        <v>14840</v>
      </c>
      <c r="C14838" s="3" t="s">
        <v>10</v>
      </c>
      <c r="D14838" s="3" t="s">
        <v>9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0</v>
      </c>
      <c r="O14838" s="3"/>
      <c r="P14838" s="3"/>
      <c r="Q14838" s="3"/>
    </row>
    <row r="14839" spans="1:17" ht="15" x14ac:dyDescent="0.25">
      <c r="A14839" s="3">
        <f>14832</f>
        <v>14832</v>
      </c>
      <c r="B14839" s="3" t="s">
        <v>14841</v>
      </c>
      <c r="C14839" s="3" t="s">
        <v>10</v>
      </c>
      <c r="D14839" s="3" t="s">
        <v>9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s="3"/>
      <c r="P14839" s="3"/>
      <c r="Q14839" s="3"/>
    </row>
    <row r="14840" spans="1:17" ht="15" x14ac:dyDescent="0.25">
      <c r="A14840" s="3">
        <f>14833</f>
        <v>14833</v>
      </c>
      <c r="B14840" s="3" t="s">
        <v>14842</v>
      </c>
      <c r="C14840" s="3" t="s">
        <v>10</v>
      </c>
      <c r="D14840" s="3" t="s">
        <v>9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/>
      <c r="P14840" s="3"/>
      <c r="Q14840" s="3"/>
    </row>
    <row r="14841" spans="1:17" ht="15" x14ac:dyDescent="0.25">
      <c r="A14841" s="3">
        <f>14834</f>
        <v>14834</v>
      </c>
      <c r="B14841" s="3" t="s">
        <v>14843</v>
      </c>
      <c r="C14841" s="3" t="s">
        <v>10</v>
      </c>
      <c r="D14841" s="3" t="s">
        <v>9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s="3"/>
      <c r="P14841" s="3"/>
      <c r="Q14841" s="3"/>
    </row>
    <row r="14842" spans="1:17" ht="15" x14ac:dyDescent="0.25">
      <c r="A14842" s="3">
        <f>14835</f>
        <v>14835</v>
      </c>
      <c r="B14842" s="3" t="s">
        <v>14844</v>
      </c>
      <c r="C14842" s="3" t="s">
        <v>10</v>
      </c>
      <c r="D14842" s="3" t="s">
        <v>9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/>
      <c r="P14842" s="3"/>
      <c r="Q14842" s="3"/>
    </row>
    <row r="14843" spans="1:17" ht="15" x14ac:dyDescent="0.25">
      <c r="A14843" s="3">
        <f>14836</f>
        <v>14836</v>
      </c>
      <c r="B14843" s="3" t="s">
        <v>14845</v>
      </c>
      <c r="C14843" s="3" t="s">
        <v>10</v>
      </c>
      <c r="D14843" s="3" t="s">
        <v>9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s="3"/>
      <c r="P14843" s="3"/>
      <c r="Q14843" s="3"/>
    </row>
    <row r="14844" spans="1:17" ht="15" x14ac:dyDescent="0.25">
      <c r="A14844" s="3">
        <f>14837</f>
        <v>14837</v>
      </c>
      <c r="B14844" s="3" t="s">
        <v>14846</v>
      </c>
      <c r="C14844" s="3" t="s">
        <v>10</v>
      </c>
      <c r="D14844" s="3" t="s">
        <v>9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>
        <v>0</v>
      </c>
      <c r="O14844" s="3"/>
      <c r="P14844" s="3"/>
      <c r="Q14844" s="3"/>
    </row>
    <row r="14845" spans="1:17" ht="15" x14ac:dyDescent="0.25">
      <c r="A14845" s="3">
        <f>14838</f>
        <v>14838</v>
      </c>
      <c r="B14845" s="3" t="s">
        <v>14847</v>
      </c>
      <c r="C14845" s="3" t="s">
        <v>10</v>
      </c>
      <c r="D14845" s="3" t="s">
        <v>9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/>
      <c r="P14845" s="3"/>
      <c r="Q14845" s="3"/>
    </row>
    <row r="14846" spans="1:17" ht="15" x14ac:dyDescent="0.25">
      <c r="A14846" s="3">
        <f>14839</f>
        <v>14839</v>
      </c>
      <c r="B14846" s="3" t="s">
        <v>14848</v>
      </c>
      <c r="C14846" s="3" t="s">
        <v>10</v>
      </c>
      <c r="D14846" s="3" t="s">
        <v>9</v>
      </c>
      <c r="E14846" s="3">
        <v>0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0</v>
      </c>
      <c r="O14846" s="3"/>
      <c r="P14846" s="3"/>
      <c r="Q14846" s="3"/>
    </row>
    <row r="14847" spans="1:17" ht="15" x14ac:dyDescent="0.25">
      <c r="A14847" s="3">
        <f>14840</f>
        <v>14840</v>
      </c>
      <c r="B14847" s="3" t="s">
        <v>14849</v>
      </c>
      <c r="C14847" s="3" t="s">
        <v>10</v>
      </c>
      <c r="D14847" s="3" t="s">
        <v>9</v>
      </c>
      <c r="E14847" s="3">
        <v>0</v>
      </c>
      <c r="F14847" s="3">
        <v>0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s="3"/>
      <c r="P14847" s="3"/>
      <c r="Q14847" s="3"/>
    </row>
    <row r="14848" spans="1:17" ht="15" x14ac:dyDescent="0.25">
      <c r="A14848" s="3">
        <f>14841</f>
        <v>14841</v>
      </c>
      <c r="B14848" s="3" t="s">
        <v>14850</v>
      </c>
      <c r="C14848" s="3" t="s">
        <v>10</v>
      </c>
      <c r="D14848" s="3" t="s">
        <v>9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s="3"/>
      <c r="P14848" s="3"/>
      <c r="Q14848" s="3"/>
    </row>
    <row r="14849" spans="1:17" ht="15" x14ac:dyDescent="0.25">
      <c r="A14849" s="3">
        <f>14842</f>
        <v>14842</v>
      </c>
      <c r="B14849" s="3" t="s">
        <v>14851</v>
      </c>
      <c r="C14849" s="3" t="s">
        <v>10</v>
      </c>
      <c r="D14849" s="3" t="s">
        <v>9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  <c r="O14849" s="3"/>
      <c r="P14849" s="3"/>
      <c r="Q14849" s="3"/>
    </row>
    <row r="14850" spans="1:17" ht="15" x14ac:dyDescent="0.25">
      <c r="A14850" s="3">
        <f>14843</f>
        <v>14843</v>
      </c>
      <c r="B14850" s="3" t="s">
        <v>14852</v>
      </c>
      <c r="C14850" s="3" t="s">
        <v>10</v>
      </c>
      <c r="D14850" s="3" t="s">
        <v>9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/>
      <c r="P14850" s="3"/>
      <c r="Q14850" s="3"/>
    </row>
    <row r="14851" spans="1:17" ht="15" x14ac:dyDescent="0.25">
      <c r="A14851" s="3">
        <f>14844</f>
        <v>14844</v>
      </c>
      <c r="B14851" s="3" t="s">
        <v>14853</v>
      </c>
      <c r="C14851" s="3" t="s">
        <v>10</v>
      </c>
      <c r="D14851" s="3" t="s">
        <v>9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/>
      <c r="P14851" s="3"/>
      <c r="Q14851" s="3"/>
    </row>
    <row r="14852" spans="1:17" ht="15" x14ac:dyDescent="0.25">
      <c r="A14852" s="3">
        <f>14845</f>
        <v>14845</v>
      </c>
      <c r="B14852" s="3" t="s">
        <v>14854</v>
      </c>
      <c r="C14852" s="3" t="s">
        <v>10</v>
      </c>
      <c r="D14852" s="3" t="s">
        <v>9</v>
      </c>
      <c r="E14852" s="3">
        <v>0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s="3"/>
      <c r="P14852" s="3"/>
      <c r="Q14852" s="3"/>
    </row>
    <row r="14853" spans="1:17" ht="15" x14ac:dyDescent="0.25">
      <c r="A14853" s="3">
        <f>14846</f>
        <v>14846</v>
      </c>
      <c r="B14853" s="3" t="s">
        <v>14855</v>
      </c>
      <c r="C14853" s="3" t="s">
        <v>10</v>
      </c>
      <c r="D14853" s="3" t="s">
        <v>9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0</v>
      </c>
      <c r="O14853" s="3"/>
      <c r="P14853" s="3"/>
      <c r="Q14853" s="3"/>
    </row>
    <row r="14854" spans="1:17" ht="15" x14ac:dyDescent="0.25">
      <c r="A14854" s="3">
        <f>14847</f>
        <v>14847</v>
      </c>
      <c r="B14854" s="3" t="s">
        <v>14856</v>
      </c>
      <c r="C14854" s="3" t="s">
        <v>10</v>
      </c>
      <c r="D14854" s="3" t="s">
        <v>9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/>
      <c r="P14854" s="3"/>
      <c r="Q14854" s="3"/>
    </row>
    <row r="14855" spans="1:17" ht="15" x14ac:dyDescent="0.25">
      <c r="A14855" s="3">
        <f>14848</f>
        <v>14848</v>
      </c>
      <c r="B14855" s="3" t="s">
        <v>14857</v>
      </c>
      <c r="C14855" s="3" t="s">
        <v>10</v>
      </c>
      <c r="D14855" s="3" t="s">
        <v>9</v>
      </c>
      <c r="E14855" s="3">
        <v>0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0</v>
      </c>
      <c r="O14855" s="3"/>
      <c r="P14855" s="3"/>
      <c r="Q14855" s="3"/>
    </row>
    <row r="14856" spans="1:17" ht="15" x14ac:dyDescent="0.25">
      <c r="A14856" s="3">
        <f>14849</f>
        <v>14849</v>
      </c>
      <c r="B14856" s="3" t="s">
        <v>14858</v>
      </c>
      <c r="C14856" s="3" t="s">
        <v>10</v>
      </c>
      <c r="D14856" s="3" t="s">
        <v>9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s="3"/>
      <c r="P14856" s="3"/>
      <c r="Q14856" s="3"/>
    </row>
    <row r="14857" spans="1:17" ht="15" x14ac:dyDescent="0.25">
      <c r="A14857" s="3">
        <f>14850</f>
        <v>14850</v>
      </c>
      <c r="B14857" s="3" t="s">
        <v>14859</v>
      </c>
      <c r="C14857" s="3" t="s">
        <v>9</v>
      </c>
      <c r="D14857" s="3" t="s">
        <v>10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s="3"/>
      <c r="P14857" s="3"/>
      <c r="Q14857" s="3"/>
    </row>
    <row r="14858" spans="1:17" ht="15" x14ac:dyDescent="0.25">
      <c r="A14858" s="3">
        <f>14851</f>
        <v>14851</v>
      </c>
      <c r="B14858" s="3" t="s">
        <v>14860</v>
      </c>
      <c r="C14858" s="3" t="s">
        <v>9</v>
      </c>
      <c r="D14858" s="3" t="s">
        <v>10</v>
      </c>
      <c r="E14858" s="3">
        <v>0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0</v>
      </c>
      <c r="O14858" s="3"/>
      <c r="P14858" s="3"/>
      <c r="Q14858" s="3"/>
    </row>
    <row r="14859" spans="1:17" ht="15" x14ac:dyDescent="0.25">
      <c r="A14859" s="3">
        <f>14852</f>
        <v>14852</v>
      </c>
      <c r="B14859" s="3" t="s">
        <v>14861</v>
      </c>
      <c r="C14859" s="3" t="s">
        <v>9</v>
      </c>
      <c r="D14859" s="3" t="s">
        <v>10</v>
      </c>
      <c r="E14859" s="3">
        <v>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s="3"/>
      <c r="P14859" s="3"/>
      <c r="Q14859" s="3"/>
    </row>
    <row r="14860" spans="1:17" ht="15" x14ac:dyDescent="0.25">
      <c r="A14860" s="3">
        <f>14853</f>
        <v>14853</v>
      </c>
      <c r="B14860" s="3" t="s">
        <v>14862</v>
      </c>
      <c r="C14860" s="3" t="s">
        <v>9</v>
      </c>
      <c r="D14860" s="3" t="s">
        <v>10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s="3"/>
      <c r="P14860" s="3"/>
      <c r="Q14860" s="3"/>
    </row>
    <row r="14861" spans="1:17" ht="15" x14ac:dyDescent="0.25">
      <c r="A14861" s="3">
        <f>14854</f>
        <v>14854</v>
      </c>
      <c r="B14861" s="3" t="s">
        <v>14863</v>
      </c>
      <c r="C14861" s="3" t="s">
        <v>10</v>
      </c>
      <c r="D14861" s="3" t="s">
        <v>9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/>
      <c r="P14861" s="3"/>
      <c r="Q14861" s="3"/>
    </row>
    <row r="14862" spans="1:17" ht="15" x14ac:dyDescent="0.25">
      <c r="A14862" s="3">
        <f>14855</f>
        <v>14855</v>
      </c>
      <c r="B14862" s="3" t="s">
        <v>14864</v>
      </c>
      <c r="C14862" s="3" t="s">
        <v>10</v>
      </c>
      <c r="D14862" s="3" t="s">
        <v>9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0</v>
      </c>
      <c r="O14862" s="3"/>
      <c r="P14862" s="3"/>
      <c r="Q14862" s="3"/>
    </row>
    <row r="14863" spans="1:17" ht="15" x14ac:dyDescent="0.25">
      <c r="A14863" s="3">
        <f>14856</f>
        <v>14856</v>
      </c>
      <c r="B14863" s="3" t="s">
        <v>14865</v>
      </c>
      <c r="C14863" s="3" t="s">
        <v>10</v>
      </c>
      <c r="D14863" s="3" t="s">
        <v>9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/>
      <c r="P14863" s="3"/>
      <c r="Q14863" s="3"/>
    </row>
    <row r="14864" spans="1:17" ht="15" x14ac:dyDescent="0.25">
      <c r="A14864" s="3">
        <f>14857</f>
        <v>14857</v>
      </c>
      <c r="B14864" s="3" t="s">
        <v>14866</v>
      </c>
      <c r="C14864" s="3" t="s">
        <v>10</v>
      </c>
      <c r="D14864" s="3" t="s">
        <v>9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s="3"/>
      <c r="P14864" s="3"/>
      <c r="Q14864" s="3"/>
    </row>
    <row r="14865" spans="1:17" ht="15" x14ac:dyDescent="0.25">
      <c r="A14865" s="3">
        <f>14858</f>
        <v>14858</v>
      </c>
      <c r="B14865" s="3" t="s">
        <v>14867</v>
      </c>
      <c r="C14865" s="3" t="s">
        <v>10</v>
      </c>
      <c r="D14865" s="3" t="s">
        <v>9</v>
      </c>
      <c r="E14865" s="3">
        <v>0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s="3"/>
      <c r="P14865" s="3"/>
      <c r="Q14865" s="3"/>
    </row>
    <row r="14866" spans="1:17" ht="15" x14ac:dyDescent="0.25">
      <c r="A14866" s="3">
        <f>14859</f>
        <v>14859</v>
      </c>
      <c r="B14866" s="3" t="s">
        <v>14868</v>
      </c>
      <c r="C14866" s="3" t="s">
        <v>10</v>
      </c>
      <c r="D14866" s="3" t="s">
        <v>9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0</v>
      </c>
      <c r="O14866" s="3"/>
      <c r="P14866" s="3"/>
      <c r="Q14866" s="3"/>
    </row>
    <row r="14867" spans="1:17" ht="15" x14ac:dyDescent="0.25">
      <c r="A14867" s="3">
        <f>14860</f>
        <v>14860</v>
      </c>
      <c r="B14867" s="3" t="s">
        <v>14869</v>
      </c>
      <c r="C14867" s="3" t="s">
        <v>10</v>
      </c>
      <c r="D14867" s="3" t="s">
        <v>9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s="3"/>
      <c r="P14867" s="3"/>
      <c r="Q14867" s="3"/>
    </row>
    <row r="14868" spans="1:17" ht="15" x14ac:dyDescent="0.25">
      <c r="A14868" s="3">
        <f>14861</f>
        <v>14861</v>
      </c>
      <c r="B14868" s="3" t="s">
        <v>14870</v>
      </c>
      <c r="C14868" s="3" t="s">
        <v>10</v>
      </c>
      <c r="D14868" s="3" t="s">
        <v>9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0</v>
      </c>
      <c r="O14868" s="3"/>
      <c r="P14868" s="3"/>
      <c r="Q14868" s="3"/>
    </row>
    <row r="14869" spans="1:17" ht="15" x14ac:dyDescent="0.25">
      <c r="A14869" s="3">
        <f>14862</f>
        <v>14862</v>
      </c>
      <c r="B14869" s="3" t="s">
        <v>14871</v>
      </c>
      <c r="C14869" s="3" t="s">
        <v>10</v>
      </c>
      <c r="D14869" s="3" t="s">
        <v>9</v>
      </c>
      <c r="E14869" s="3">
        <v>0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0</v>
      </c>
      <c r="O14869" s="3"/>
      <c r="P14869" s="3"/>
      <c r="Q14869" s="3"/>
    </row>
    <row r="14870" spans="1:17" ht="15" x14ac:dyDescent="0.25">
      <c r="A14870" s="3">
        <f>14863</f>
        <v>14863</v>
      </c>
      <c r="B14870" s="3" t="s">
        <v>14872</v>
      </c>
      <c r="C14870" s="3" t="s">
        <v>10</v>
      </c>
      <c r="D14870" s="3" t="s">
        <v>9</v>
      </c>
      <c r="E14870" s="3">
        <v>0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  <c r="O14870" s="3"/>
      <c r="P14870" s="3"/>
      <c r="Q14870" s="3"/>
    </row>
    <row r="14871" spans="1:17" ht="15" x14ac:dyDescent="0.25">
      <c r="A14871" s="3">
        <f>14864</f>
        <v>14864</v>
      </c>
      <c r="B14871" s="3" t="s">
        <v>14873</v>
      </c>
      <c r="C14871" s="3" t="s">
        <v>10</v>
      </c>
      <c r="D14871" s="3" t="s">
        <v>9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/>
      <c r="P14871" s="3"/>
      <c r="Q14871" s="3"/>
    </row>
    <row r="14872" spans="1:17" ht="15" x14ac:dyDescent="0.25">
      <c r="A14872" s="3">
        <f>14865</f>
        <v>14865</v>
      </c>
      <c r="B14872" s="3" t="s">
        <v>14874</v>
      </c>
      <c r="C14872" s="3" t="s">
        <v>10</v>
      </c>
      <c r="D14872" s="3" t="s">
        <v>9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/>
      <c r="P14872" s="3"/>
      <c r="Q14872" s="3"/>
    </row>
    <row r="14873" spans="1:17" ht="15" x14ac:dyDescent="0.25">
      <c r="A14873" s="3">
        <f>14866</f>
        <v>14866</v>
      </c>
      <c r="B14873" s="3" t="s">
        <v>14875</v>
      </c>
      <c r="C14873" s="3" t="s">
        <v>10</v>
      </c>
      <c r="D14873" s="3" t="s">
        <v>9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s="3"/>
      <c r="P14873" s="3"/>
      <c r="Q14873" s="3"/>
    </row>
    <row r="14874" spans="1:17" ht="15" x14ac:dyDescent="0.25">
      <c r="A14874" s="3">
        <f>14867</f>
        <v>14867</v>
      </c>
      <c r="B14874" s="3" t="s">
        <v>14876</v>
      </c>
      <c r="C14874" s="3" t="s">
        <v>10</v>
      </c>
      <c r="D14874" s="3" t="s">
        <v>9</v>
      </c>
      <c r="E14874" s="3">
        <v>0</v>
      </c>
      <c r="F14874" s="3">
        <v>0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0</v>
      </c>
      <c r="O14874" s="3"/>
      <c r="P14874" s="3"/>
      <c r="Q14874" s="3"/>
    </row>
    <row r="14875" spans="1:17" ht="15" x14ac:dyDescent="0.25">
      <c r="A14875" s="3">
        <f>14868</f>
        <v>14868</v>
      </c>
      <c r="B14875" s="3" t="s">
        <v>14877</v>
      </c>
      <c r="C14875" s="3" t="s">
        <v>10</v>
      </c>
      <c r="D14875" s="3" t="s">
        <v>9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/>
      <c r="P14875" s="3"/>
      <c r="Q14875" s="3"/>
    </row>
    <row r="14876" spans="1:17" ht="15" x14ac:dyDescent="0.25">
      <c r="A14876" s="3">
        <f>14869</f>
        <v>14869</v>
      </c>
      <c r="B14876" s="3" t="s">
        <v>14878</v>
      </c>
      <c r="C14876" s="3" t="s">
        <v>10</v>
      </c>
      <c r="D14876" s="3" t="s">
        <v>9</v>
      </c>
      <c r="E14876" s="3">
        <v>0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/>
      <c r="P14876" s="3"/>
      <c r="Q14876" s="3"/>
    </row>
    <row r="14877" spans="1:17" ht="15" x14ac:dyDescent="0.25">
      <c r="A14877" s="3">
        <f>14870</f>
        <v>14870</v>
      </c>
      <c r="B14877" s="3" t="s">
        <v>14879</v>
      </c>
      <c r="C14877" s="3" t="s">
        <v>10</v>
      </c>
      <c r="D14877" s="3" t="s">
        <v>9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/>
      <c r="P14877" s="3"/>
      <c r="Q14877" s="3"/>
    </row>
    <row r="14878" spans="1:17" ht="15" x14ac:dyDescent="0.25">
      <c r="A14878" s="3">
        <f>14871</f>
        <v>14871</v>
      </c>
      <c r="B14878" s="3" t="s">
        <v>14880</v>
      </c>
      <c r="C14878" s="3" t="s">
        <v>10</v>
      </c>
      <c r="D14878" s="3" t="s">
        <v>9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/>
      <c r="P14878" s="3"/>
      <c r="Q14878" s="3"/>
    </row>
    <row r="14879" spans="1:17" ht="15" x14ac:dyDescent="0.25">
      <c r="A14879" s="3">
        <f>14872</f>
        <v>14872</v>
      </c>
      <c r="B14879" s="3" t="s">
        <v>14881</v>
      </c>
      <c r="C14879" s="3" t="s">
        <v>10</v>
      </c>
      <c r="D14879" s="3" t="s">
        <v>9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/>
      <c r="P14879" s="3"/>
      <c r="Q14879" s="3"/>
    </row>
    <row r="14880" spans="1:17" ht="15" x14ac:dyDescent="0.25">
      <c r="A14880" s="3">
        <f>14873</f>
        <v>14873</v>
      </c>
      <c r="B14880" s="3" t="s">
        <v>14882</v>
      </c>
      <c r="C14880" s="3" t="s">
        <v>10</v>
      </c>
      <c r="D14880" s="3" t="s">
        <v>9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0</v>
      </c>
      <c r="O14880" s="3"/>
      <c r="P14880" s="3"/>
      <c r="Q14880" s="3"/>
    </row>
    <row r="14881" spans="1:17" ht="15" x14ac:dyDescent="0.25">
      <c r="A14881" s="3">
        <f>14874</f>
        <v>14874</v>
      </c>
      <c r="B14881" s="3" t="s">
        <v>14883</v>
      </c>
      <c r="C14881" s="3" t="s">
        <v>10</v>
      </c>
      <c r="D14881" s="3" t="s">
        <v>9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/>
      <c r="P14881" s="3"/>
      <c r="Q14881" s="3"/>
    </row>
    <row r="14882" spans="1:17" ht="15" x14ac:dyDescent="0.25">
      <c r="A14882" s="3">
        <f>14875</f>
        <v>14875</v>
      </c>
      <c r="B14882" s="3" t="s">
        <v>14884</v>
      </c>
      <c r="C14882" s="3" t="s">
        <v>10</v>
      </c>
      <c r="D14882" s="3" t="s">
        <v>9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0</v>
      </c>
      <c r="O14882" s="3"/>
      <c r="P14882" s="3"/>
      <c r="Q14882" s="3"/>
    </row>
    <row r="14883" spans="1:17" ht="15" x14ac:dyDescent="0.25">
      <c r="A14883" s="3">
        <f>14876</f>
        <v>14876</v>
      </c>
      <c r="B14883" s="3" t="s">
        <v>14885</v>
      </c>
      <c r="C14883" s="3" t="s">
        <v>10</v>
      </c>
      <c r="D14883" s="3" t="s">
        <v>9</v>
      </c>
      <c r="E14883" s="3">
        <v>0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s="3"/>
      <c r="P14883" s="3"/>
      <c r="Q14883" s="3"/>
    </row>
    <row r="14884" spans="1:17" ht="15" x14ac:dyDescent="0.25">
      <c r="A14884" s="3">
        <f>14877</f>
        <v>14877</v>
      </c>
      <c r="B14884" s="3" t="s">
        <v>14886</v>
      </c>
      <c r="C14884" s="3" t="s">
        <v>10</v>
      </c>
      <c r="D14884" s="3" t="s">
        <v>9</v>
      </c>
      <c r="E14884" s="3">
        <v>0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s="3"/>
      <c r="P14884" s="3"/>
      <c r="Q14884" s="3"/>
    </row>
    <row r="14885" spans="1:17" ht="15" x14ac:dyDescent="0.25">
      <c r="A14885" s="3">
        <f>14878</f>
        <v>14878</v>
      </c>
      <c r="B14885" s="3" t="s">
        <v>14887</v>
      </c>
      <c r="C14885" s="3" t="s">
        <v>10</v>
      </c>
      <c r="D14885" s="3" t="s">
        <v>9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s="3"/>
      <c r="P14885" s="3"/>
      <c r="Q14885" s="3"/>
    </row>
    <row r="14886" spans="1:17" ht="15" x14ac:dyDescent="0.25">
      <c r="A14886" s="3">
        <f>14879</f>
        <v>14879</v>
      </c>
      <c r="B14886" s="3" t="s">
        <v>14888</v>
      </c>
      <c r="C14886" s="3" t="s">
        <v>10</v>
      </c>
      <c r="D14886" s="3" t="s">
        <v>9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s="3"/>
      <c r="P14886" s="3"/>
      <c r="Q14886" s="3"/>
    </row>
    <row r="14887" spans="1:17" ht="15" x14ac:dyDescent="0.25">
      <c r="A14887" s="3">
        <f>14880</f>
        <v>14880</v>
      </c>
      <c r="B14887" s="3" t="s">
        <v>14889</v>
      </c>
      <c r="C14887" s="3" t="s">
        <v>10</v>
      </c>
      <c r="D14887" s="3" t="s">
        <v>9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/>
      <c r="P14887" s="3"/>
      <c r="Q14887" s="3"/>
    </row>
    <row r="14888" spans="1:17" ht="15" x14ac:dyDescent="0.25">
      <c r="A14888" s="3">
        <f>14881</f>
        <v>14881</v>
      </c>
      <c r="B14888" s="3" t="s">
        <v>14890</v>
      </c>
      <c r="C14888" s="3" t="s">
        <v>10</v>
      </c>
      <c r="D14888" s="3" t="s">
        <v>9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/>
      <c r="P14888" s="3"/>
      <c r="Q14888" s="3"/>
    </row>
    <row r="14889" spans="1:17" ht="15" x14ac:dyDescent="0.25">
      <c r="A14889" s="3">
        <f>14882</f>
        <v>14882</v>
      </c>
      <c r="B14889" s="3" t="s">
        <v>14891</v>
      </c>
      <c r="C14889" s="3" t="s">
        <v>10</v>
      </c>
      <c r="D14889" s="3" t="s">
        <v>9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/>
      <c r="P14889" s="3"/>
      <c r="Q14889" s="3"/>
    </row>
    <row r="14890" spans="1:17" ht="15" x14ac:dyDescent="0.25">
      <c r="A14890" s="3">
        <f>14883</f>
        <v>14883</v>
      </c>
      <c r="B14890" s="3" t="s">
        <v>14892</v>
      </c>
      <c r="C14890" s="3" t="s">
        <v>10</v>
      </c>
      <c r="D14890" s="3" t="s">
        <v>9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s="3"/>
      <c r="P14890" s="3"/>
      <c r="Q14890" s="3"/>
    </row>
    <row r="14891" spans="1:17" ht="15" x14ac:dyDescent="0.25">
      <c r="A14891" s="3">
        <f>14884</f>
        <v>14884</v>
      </c>
      <c r="B14891" s="3" t="s">
        <v>14893</v>
      </c>
      <c r="C14891" s="3" t="s">
        <v>10</v>
      </c>
      <c r="D14891" s="3" t="s">
        <v>9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s="3"/>
      <c r="P14891" s="3"/>
      <c r="Q14891" s="3"/>
    </row>
    <row r="14892" spans="1:17" ht="15" x14ac:dyDescent="0.25">
      <c r="A14892" s="3">
        <f>14885</f>
        <v>14885</v>
      </c>
      <c r="B14892" s="3" t="s">
        <v>14894</v>
      </c>
      <c r="C14892" s="3" t="s">
        <v>10</v>
      </c>
      <c r="D14892" s="3" t="s">
        <v>9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/>
      <c r="P14892" s="3"/>
      <c r="Q14892" s="3"/>
    </row>
    <row r="14893" spans="1:17" ht="15" x14ac:dyDescent="0.25">
      <c r="A14893" s="3">
        <f>14886</f>
        <v>14886</v>
      </c>
      <c r="B14893" s="3" t="s">
        <v>14895</v>
      </c>
      <c r="C14893" s="3" t="s">
        <v>10</v>
      </c>
      <c r="D14893" s="3" t="s">
        <v>9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s="3"/>
      <c r="P14893" s="3"/>
      <c r="Q14893" s="3"/>
    </row>
    <row r="14894" spans="1:17" ht="15" x14ac:dyDescent="0.25">
      <c r="A14894" s="3">
        <f>14887</f>
        <v>14887</v>
      </c>
      <c r="B14894" s="3" t="s">
        <v>14896</v>
      </c>
      <c r="C14894" s="3" t="s">
        <v>10</v>
      </c>
      <c r="D14894" s="3" t="s">
        <v>9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>
        <v>0</v>
      </c>
      <c r="O14894" s="3"/>
      <c r="P14894" s="3"/>
      <c r="Q14894" s="3"/>
    </row>
    <row r="14895" spans="1:17" ht="15" x14ac:dyDescent="0.25">
      <c r="A14895" s="3">
        <f>14888</f>
        <v>14888</v>
      </c>
      <c r="B14895" s="3" t="s">
        <v>14897</v>
      </c>
      <c r="C14895" s="3" t="s">
        <v>10</v>
      </c>
      <c r="D14895" s="3" t="s">
        <v>9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0</v>
      </c>
      <c r="O14895" s="3"/>
      <c r="P14895" s="3"/>
      <c r="Q14895" s="3"/>
    </row>
    <row r="14896" spans="1:17" ht="15" x14ac:dyDescent="0.25">
      <c r="A14896" s="3">
        <f>14889</f>
        <v>14889</v>
      </c>
      <c r="B14896" s="3" t="s">
        <v>14898</v>
      </c>
      <c r="C14896" s="3" t="s">
        <v>10</v>
      </c>
      <c r="D14896" s="3" t="s">
        <v>9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0</v>
      </c>
      <c r="O14896" s="3"/>
      <c r="P14896" s="3"/>
      <c r="Q14896" s="3"/>
    </row>
    <row r="14897" spans="1:17" ht="15" x14ac:dyDescent="0.25">
      <c r="A14897" s="3">
        <f>14890</f>
        <v>14890</v>
      </c>
      <c r="B14897" s="3" t="s">
        <v>14899</v>
      </c>
      <c r="C14897" s="3" t="s">
        <v>10</v>
      </c>
      <c r="D14897" s="3" t="s">
        <v>9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s="3"/>
      <c r="P14897" s="3"/>
      <c r="Q14897" s="3"/>
    </row>
    <row r="14898" spans="1:17" ht="15" x14ac:dyDescent="0.25">
      <c r="A14898" s="3">
        <f>14891</f>
        <v>14891</v>
      </c>
      <c r="B14898" s="3" t="s">
        <v>14900</v>
      </c>
      <c r="C14898" s="3" t="s">
        <v>10</v>
      </c>
      <c r="D14898" s="3" t="s">
        <v>9</v>
      </c>
      <c r="E14898" s="3">
        <v>0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0</v>
      </c>
      <c r="O14898" s="3"/>
      <c r="P14898" s="3"/>
      <c r="Q14898" s="3"/>
    </row>
    <row r="14899" spans="1:17" ht="15" x14ac:dyDescent="0.25">
      <c r="A14899" s="3">
        <f>14892</f>
        <v>14892</v>
      </c>
      <c r="B14899" s="3" t="s">
        <v>14901</v>
      </c>
      <c r="C14899" s="3" t="s">
        <v>10</v>
      </c>
      <c r="D14899" s="3" t="s">
        <v>9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  <c r="O14899" s="3"/>
      <c r="P14899" s="3"/>
      <c r="Q14899" s="3"/>
    </row>
    <row r="14900" spans="1:17" ht="15" x14ac:dyDescent="0.25">
      <c r="A14900" s="3">
        <f>14893</f>
        <v>14893</v>
      </c>
      <c r="B14900" s="3" t="s">
        <v>14902</v>
      </c>
      <c r="C14900" s="3" t="s">
        <v>10</v>
      </c>
      <c r="D14900" s="3" t="s">
        <v>9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s="3"/>
      <c r="P14900" s="3"/>
      <c r="Q14900" s="3"/>
    </row>
    <row r="14901" spans="1:17" ht="15" x14ac:dyDescent="0.25">
      <c r="A14901" s="3">
        <f>14894</f>
        <v>14894</v>
      </c>
      <c r="B14901" s="3" t="s">
        <v>14903</v>
      </c>
      <c r="C14901" s="3" t="s">
        <v>9</v>
      </c>
      <c r="D14901" s="3" t="s">
        <v>10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0</v>
      </c>
      <c r="O14901" s="3"/>
      <c r="P14901" s="3"/>
      <c r="Q14901" s="3"/>
    </row>
    <row r="14902" spans="1:17" ht="15" x14ac:dyDescent="0.25">
      <c r="A14902" s="3">
        <f>14895</f>
        <v>14895</v>
      </c>
      <c r="B14902" s="3" t="s">
        <v>14904</v>
      </c>
      <c r="C14902" s="3" t="s">
        <v>9</v>
      </c>
      <c r="D14902" s="3" t="s">
        <v>10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s="3"/>
      <c r="P14902" s="3"/>
      <c r="Q14902" s="3"/>
    </row>
    <row r="14903" spans="1:17" ht="15" x14ac:dyDescent="0.25">
      <c r="A14903" s="3">
        <f>14896</f>
        <v>14896</v>
      </c>
      <c r="B14903" s="3" t="s">
        <v>14905</v>
      </c>
      <c r="C14903" s="3" t="s">
        <v>9</v>
      </c>
      <c r="D14903" s="3" t="s">
        <v>10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s="3"/>
      <c r="P14903" s="3"/>
      <c r="Q14903" s="3"/>
    </row>
    <row r="14904" spans="1:17" ht="15" x14ac:dyDescent="0.25">
      <c r="A14904" s="3">
        <f>14897</f>
        <v>14897</v>
      </c>
      <c r="B14904" s="3" t="s">
        <v>14906</v>
      </c>
      <c r="C14904" s="3" t="s">
        <v>9</v>
      </c>
      <c r="D14904" s="3" t="s">
        <v>10</v>
      </c>
      <c r="E14904" s="3">
        <v>0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0</v>
      </c>
      <c r="O14904" s="3"/>
      <c r="P14904" s="3"/>
      <c r="Q14904" s="3"/>
    </row>
    <row r="14905" spans="1:17" ht="15" x14ac:dyDescent="0.25">
      <c r="A14905" s="3">
        <f>14898</f>
        <v>14898</v>
      </c>
      <c r="B14905" s="3" t="s">
        <v>14907</v>
      </c>
      <c r="C14905" s="3" t="s">
        <v>9</v>
      </c>
      <c r="D14905" s="3" t="s">
        <v>10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/>
      <c r="P14905" s="3"/>
      <c r="Q14905" s="3"/>
    </row>
    <row r="14906" spans="1:17" ht="15" x14ac:dyDescent="0.25">
      <c r="A14906" s="3">
        <f>14899</f>
        <v>14899</v>
      </c>
      <c r="B14906" s="3" t="s">
        <v>14908</v>
      </c>
      <c r="C14906" s="3" t="s">
        <v>9</v>
      </c>
      <c r="D14906" s="3" t="s">
        <v>10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s="3"/>
      <c r="P14906" s="3"/>
      <c r="Q14906" s="3"/>
    </row>
    <row r="14907" spans="1:17" ht="15" x14ac:dyDescent="0.25">
      <c r="A14907" s="3">
        <f>14900</f>
        <v>14900</v>
      </c>
      <c r="B14907" s="3" t="s">
        <v>14909</v>
      </c>
      <c r="C14907" s="3" t="s">
        <v>9</v>
      </c>
      <c r="D14907" s="3" t="s">
        <v>10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s="3"/>
      <c r="P14907" s="3"/>
      <c r="Q14907" s="3"/>
    </row>
    <row r="14908" spans="1:17" ht="15" x14ac:dyDescent="0.25">
      <c r="A14908" s="3">
        <f>14901</f>
        <v>14901</v>
      </c>
      <c r="B14908" s="3" t="s">
        <v>14910</v>
      </c>
      <c r="C14908" s="3" t="s">
        <v>9</v>
      </c>
      <c r="D14908" s="3" t="s">
        <v>10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s="3"/>
      <c r="P14908" s="3"/>
      <c r="Q14908" s="3"/>
    </row>
    <row r="14909" spans="1:17" ht="15" x14ac:dyDescent="0.25">
      <c r="A14909" s="3">
        <f>14902</f>
        <v>14902</v>
      </c>
      <c r="B14909" s="3" t="s">
        <v>14911</v>
      </c>
      <c r="C14909" s="3" t="s">
        <v>9</v>
      </c>
      <c r="D14909" s="3" t="s">
        <v>10</v>
      </c>
      <c r="E14909" s="3">
        <v>0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s="3"/>
      <c r="P14909" s="3"/>
      <c r="Q14909" s="3"/>
    </row>
    <row r="14910" spans="1:17" ht="15" x14ac:dyDescent="0.25">
      <c r="A14910" s="3">
        <f>14903</f>
        <v>14903</v>
      </c>
      <c r="B14910" s="3" t="s">
        <v>14912</v>
      </c>
      <c r="C14910" s="3" t="s">
        <v>9</v>
      </c>
      <c r="D14910" s="3" t="s">
        <v>10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/>
      <c r="P14910" s="3"/>
      <c r="Q14910" s="3"/>
    </row>
    <row r="14911" spans="1:17" ht="15" x14ac:dyDescent="0.25">
      <c r="A14911" s="3">
        <f>14904</f>
        <v>14904</v>
      </c>
      <c r="B14911" s="3" t="s">
        <v>14913</v>
      </c>
      <c r="C14911" s="3" t="s">
        <v>9</v>
      </c>
      <c r="D14911" s="3" t="s">
        <v>10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0</v>
      </c>
      <c r="O14911" s="3"/>
      <c r="P14911" s="3"/>
      <c r="Q14911" s="3"/>
    </row>
    <row r="14912" spans="1:17" ht="15" x14ac:dyDescent="0.25">
      <c r="A14912" s="3">
        <f>14905</f>
        <v>14905</v>
      </c>
      <c r="B14912" s="3" t="s">
        <v>14914</v>
      </c>
      <c r="C14912" s="3" t="s">
        <v>9</v>
      </c>
      <c r="D14912" s="3" t="s">
        <v>10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s="3"/>
      <c r="P14912" s="3"/>
      <c r="Q14912" s="3"/>
    </row>
    <row r="14913" spans="1:17" ht="15" x14ac:dyDescent="0.25">
      <c r="A14913" s="3">
        <f>14906</f>
        <v>14906</v>
      </c>
      <c r="B14913" s="3" t="s">
        <v>14915</v>
      </c>
      <c r="C14913" s="3" t="s">
        <v>9</v>
      </c>
      <c r="D14913" s="3" t="s">
        <v>10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s="3"/>
      <c r="P14913" s="3"/>
      <c r="Q14913" s="3"/>
    </row>
    <row r="14914" spans="1:17" ht="15" x14ac:dyDescent="0.25">
      <c r="A14914" s="3">
        <f>14907</f>
        <v>14907</v>
      </c>
      <c r="B14914" s="3" t="s">
        <v>14916</v>
      </c>
      <c r="C14914" s="3" t="s">
        <v>9</v>
      </c>
      <c r="D14914" s="3" t="s">
        <v>10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/>
      <c r="P14914" s="3"/>
      <c r="Q14914" s="3"/>
    </row>
    <row r="14915" spans="1:17" ht="15" x14ac:dyDescent="0.25">
      <c r="A14915" s="3">
        <f>14908</f>
        <v>14908</v>
      </c>
      <c r="B14915" s="3" t="s">
        <v>14917</v>
      </c>
      <c r="C14915" s="3" t="s">
        <v>9</v>
      </c>
      <c r="D14915" s="3" t="s">
        <v>10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>
        <v>0</v>
      </c>
      <c r="O14915" s="3"/>
      <c r="P14915" s="3"/>
      <c r="Q14915" s="3"/>
    </row>
    <row r="14916" spans="1:17" ht="15" x14ac:dyDescent="0.25">
      <c r="A14916" s="3">
        <f>14909</f>
        <v>14909</v>
      </c>
      <c r="B14916" s="3" t="s">
        <v>14918</v>
      </c>
      <c r="C14916" s="3" t="s">
        <v>9</v>
      </c>
      <c r="D14916" s="3" t="s">
        <v>10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0</v>
      </c>
      <c r="O14916" s="3"/>
      <c r="P14916" s="3"/>
      <c r="Q14916" s="3"/>
    </row>
    <row r="14917" spans="1:17" ht="15" x14ac:dyDescent="0.25">
      <c r="A14917" s="3">
        <f>14910</f>
        <v>14910</v>
      </c>
      <c r="B14917" s="3" t="s">
        <v>14919</v>
      </c>
      <c r="C14917" s="3" t="s">
        <v>9</v>
      </c>
      <c r="D14917" s="3" t="s">
        <v>10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>
        <v>0</v>
      </c>
      <c r="O14917" s="3"/>
      <c r="P14917" s="3"/>
      <c r="Q14917" s="3"/>
    </row>
    <row r="14918" spans="1:17" ht="15" x14ac:dyDescent="0.25">
      <c r="A14918" s="3">
        <f>14911</f>
        <v>14911</v>
      </c>
      <c r="B14918" s="3" t="s">
        <v>14920</v>
      </c>
      <c r="C14918" s="3" t="s">
        <v>9</v>
      </c>
      <c r="D14918" s="3" t="s">
        <v>10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s="3"/>
      <c r="P14918" s="3"/>
      <c r="Q14918" s="3"/>
    </row>
    <row r="14919" spans="1:17" ht="15" x14ac:dyDescent="0.25">
      <c r="A14919" s="3">
        <f>14912</f>
        <v>14912</v>
      </c>
      <c r="B14919" s="3" t="s">
        <v>14921</v>
      </c>
      <c r="C14919" s="3" t="s">
        <v>9</v>
      </c>
      <c r="D14919" s="3" t="s">
        <v>10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s="3"/>
      <c r="P14919" s="3"/>
      <c r="Q14919" s="3"/>
    </row>
    <row r="14920" spans="1:17" ht="15" x14ac:dyDescent="0.25">
      <c r="A14920" s="3">
        <f>14913</f>
        <v>14913</v>
      </c>
      <c r="B14920" s="3" t="s">
        <v>14922</v>
      </c>
      <c r="C14920" s="3" t="s">
        <v>9</v>
      </c>
      <c r="D14920" s="3" t="s">
        <v>10</v>
      </c>
      <c r="E14920" s="3">
        <v>0</v>
      </c>
      <c r="F14920" s="3">
        <v>0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s="3"/>
      <c r="P14920" s="3"/>
      <c r="Q14920" s="3"/>
    </row>
    <row r="14921" spans="1:17" ht="15" x14ac:dyDescent="0.25">
      <c r="A14921" s="3">
        <f>14914</f>
        <v>14914</v>
      </c>
      <c r="B14921" s="3" t="s">
        <v>14923</v>
      </c>
      <c r="C14921" s="3" t="s">
        <v>9</v>
      </c>
      <c r="D14921" s="3" t="s">
        <v>10</v>
      </c>
      <c r="E14921" s="3">
        <v>0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/>
      <c r="P14921" s="3"/>
      <c r="Q14921" s="3"/>
    </row>
    <row r="14922" spans="1:17" ht="15" x14ac:dyDescent="0.25">
      <c r="A14922" s="3">
        <f>14915</f>
        <v>14915</v>
      </c>
      <c r="B14922" s="3" t="s">
        <v>14924</v>
      </c>
      <c r="C14922" s="3" t="s">
        <v>9</v>
      </c>
      <c r="D14922" s="3" t="s">
        <v>10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s="3"/>
      <c r="P14922" s="3"/>
      <c r="Q14922" s="3"/>
    </row>
    <row r="14923" spans="1:17" ht="15" x14ac:dyDescent="0.25">
      <c r="A14923" s="3">
        <f>14916</f>
        <v>14916</v>
      </c>
      <c r="B14923" s="3" t="s">
        <v>14925</v>
      </c>
      <c r="C14923" s="3" t="s">
        <v>9</v>
      </c>
      <c r="D14923" s="3" t="s">
        <v>10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0</v>
      </c>
      <c r="O14923" s="3"/>
      <c r="P14923" s="3"/>
      <c r="Q14923" s="3"/>
    </row>
    <row r="14924" spans="1:17" ht="15" x14ac:dyDescent="0.25">
      <c r="A14924" s="3">
        <f>14917</f>
        <v>14917</v>
      </c>
      <c r="B14924" s="3" t="s">
        <v>14926</v>
      </c>
      <c r="C14924" s="3" t="s">
        <v>9</v>
      </c>
      <c r="D14924" s="3" t="s">
        <v>10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0</v>
      </c>
      <c r="O14924" s="3"/>
      <c r="P14924" s="3"/>
      <c r="Q14924" s="3"/>
    </row>
    <row r="14925" spans="1:17" ht="15" x14ac:dyDescent="0.25">
      <c r="A14925" s="3">
        <f>14918</f>
        <v>14918</v>
      </c>
      <c r="B14925" s="3" t="s">
        <v>14927</v>
      </c>
      <c r="C14925" s="3" t="s">
        <v>9</v>
      </c>
      <c r="D14925" s="3" t="s">
        <v>10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s="3"/>
      <c r="P14925" s="3"/>
      <c r="Q14925" s="3"/>
    </row>
    <row r="14926" spans="1:17" ht="15" x14ac:dyDescent="0.25">
      <c r="A14926" s="3">
        <f>14919</f>
        <v>14919</v>
      </c>
      <c r="B14926" s="3" t="s">
        <v>14928</v>
      </c>
      <c r="C14926" s="3" t="s">
        <v>9</v>
      </c>
      <c r="D14926" s="3" t="s">
        <v>10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/>
      <c r="P14926" s="3"/>
      <c r="Q14926" s="3"/>
    </row>
    <row r="14927" spans="1:17" ht="15" x14ac:dyDescent="0.25">
      <c r="A14927" s="3">
        <f>14920</f>
        <v>14920</v>
      </c>
      <c r="B14927" s="3" t="s">
        <v>14929</v>
      </c>
      <c r="C14927" s="3" t="s">
        <v>9</v>
      </c>
      <c r="D14927" s="3" t="s">
        <v>10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  <c r="L14927" s="3">
        <v>0</v>
      </c>
      <c r="M14927" s="3">
        <v>0</v>
      </c>
      <c r="N14927" s="3">
        <v>0</v>
      </c>
      <c r="O14927" s="3"/>
      <c r="P14927" s="3"/>
      <c r="Q14927" s="3"/>
    </row>
    <row r="14928" spans="1:17" ht="15" x14ac:dyDescent="0.25">
      <c r="A14928" s="3">
        <f>14921</f>
        <v>14921</v>
      </c>
      <c r="B14928" s="3" t="s">
        <v>14930</v>
      </c>
      <c r="C14928" s="3" t="s">
        <v>9</v>
      </c>
      <c r="D14928" s="3" t="s">
        <v>10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0</v>
      </c>
      <c r="O14928" s="3"/>
      <c r="P14928" s="3"/>
      <c r="Q14928" s="3"/>
    </row>
    <row r="14929" spans="1:17" ht="15" x14ac:dyDescent="0.25">
      <c r="A14929" s="3">
        <f>14922</f>
        <v>14922</v>
      </c>
      <c r="B14929" s="3" t="s">
        <v>14931</v>
      </c>
      <c r="C14929" s="3" t="s">
        <v>9</v>
      </c>
      <c r="D14929" s="3" t="s">
        <v>10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/>
      <c r="P14929" s="3"/>
      <c r="Q14929" s="3"/>
    </row>
    <row r="14930" spans="1:17" ht="15" x14ac:dyDescent="0.25">
      <c r="A14930" s="3">
        <f>14923</f>
        <v>14923</v>
      </c>
      <c r="B14930" s="3" t="s">
        <v>14932</v>
      </c>
      <c r="C14930" s="3" t="s">
        <v>9</v>
      </c>
      <c r="D14930" s="3" t="s">
        <v>10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>
        <v>0</v>
      </c>
      <c r="O14930" s="3"/>
      <c r="P14930" s="3"/>
      <c r="Q14930" s="3"/>
    </row>
    <row r="14931" spans="1:17" ht="15" x14ac:dyDescent="0.25">
      <c r="A14931" s="3">
        <f>14924</f>
        <v>14924</v>
      </c>
      <c r="B14931" s="3" t="s">
        <v>14933</v>
      </c>
      <c r="C14931" s="3" t="s">
        <v>9</v>
      </c>
      <c r="D14931" s="3" t="s">
        <v>10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>
        <v>0</v>
      </c>
      <c r="O14931" s="3"/>
      <c r="P14931" s="3"/>
      <c r="Q14931" s="3"/>
    </row>
    <row r="14932" spans="1:17" ht="15" x14ac:dyDescent="0.25">
      <c r="A14932" s="3">
        <f>14925</f>
        <v>14925</v>
      </c>
      <c r="B14932" s="3" t="s">
        <v>14934</v>
      </c>
      <c r="C14932" s="3" t="s">
        <v>9</v>
      </c>
      <c r="D14932" s="3" t="s">
        <v>10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/>
      <c r="P14932" s="3"/>
      <c r="Q14932" s="3"/>
    </row>
    <row r="14933" spans="1:17" ht="15" x14ac:dyDescent="0.25">
      <c r="A14933" s="3">
        <f>14926</f>
        <v>14926</v>
      </c>
      <c r="B14933" s="3" t="s">
        <v>14935</v>
      </c>
      <c r="C14933" s="3" t="s">
        <v>9</v>
      </c>
      <c r="D14933" s="3" t="s">
        <v>10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s="3"/>
      <c r="P14933" s="3"/>
      <c r="Q14933" s="3"/>
    </row>
    <row r="14934" spans="1:17" ht="15" x14ac:dyDescent="0.25">
      <c r="A14934" s="3">
        <f>14927</f>
        <v>14927</v>
      </c>
      <c r="B14934" s="3" t="s">
        <v>14936</v>
      </c>
      <c r="C14934" s="3" t="s">
        <v>9</v>
      </c>
      <c r="D14934" s="3" t="s">
        <v>10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s="3"/>
      <c r="P14934" s="3"/>
      <c r="Q14934" s="3"/>
    </row>
    <row r="14935" spans="1:17" ht="15" x14ac:dyDescent="0.25">
      <c r="A14935" s="3">
        <f>14928</f>
        <v>14928</v>
      </c>
      <c r="B14935" s="3" t="s">
        <v>14937</v>
      </c>
      <c r="C14935" s="3" t="s">
        <v>9</v>
      </c>
      <c r="D14935" s="3" t="s">
        <v>10</v>
      </c>
      <c r="E14935" s="3">
        <v>0</v>
      </c>
      <c r="F14935" s="3">
        <v>0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s="3"/>
      <c r="P14935" s="3"/>
      <c r="Q14935" s="3"/>
    </row>
    <row r="14936" spans="1:17" ht="15" x14ac:dyDescent="0.25">
      <c r="A14936" s="3">
        <f>14929</f>
        <v>14929</v>
      </c>
      <c r="B14936" s="3" t="s">
        <v>14938</v>
      </c>
      <c r="C14936" s="3" t="s">
        <v>9</v>
      </c>
      <c r="D14936" s="3" t="s">
        <v>10</v>
      </c>
      <c r="E14936" s="3">
        <v>0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s="3"/>
      <c r="P14936" s="3"/>
      <c r="Q14936" s="3"/>
    </row>
    <row r="14937" spans="1:17" ht="15" x14ac:dyDescent="0.25">
      <c r="A14937" s="3">
        <f>14930</f>
        <v>14930</v>
      </c>
      <c r="B14937" s="3" t="s">
        <v>14939</v>
      </c>
      <c r="C14937" s="3" t="s">
        <v>9</v>
      </c>
      <c r="D14937" s="3" t="s">
        <v>10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s="3"/>
      <c r="P14937" s="3"/>
      <c r="Q14937" s="3"/>
    </row>
    <row r="14938" spans="1:17" ht="15" x14ac:dyDescent="0.25">
      <c r="A14938" s="3">
        <f>14931</f>
        <v>14931</v>
      </c>
      <c r="B14938" s="3" t="s">
        <v>14940</v>
      </c>
      <c r="C14938" s="3" t="s">
        <v>9</v>
      </c>
      <c r="D14938" s="3" t="s">
        <v>10</v>
      </c>
      <c r="E14938" s="3">
        <v>0</v>
      </c>
      <c r="F14938" s="3">
        <v>0</v>
      </c>
      <c r="G14938" s="3">
        <v>0</v>
      </c>
      <c r="H14938" s="3">
        <v>0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0</v>
      </c>
      <c r="O14938" s="3"/>
      <c r="P14938" s="3"/>
      <c r="Q14938" s="3"/>
    </row>
    <row r="14939" spans="1:17" ht="15" x14ac:dyDescent="0.25">
      <c r="A14939" s="3">
        <f>14932</f>
        <v>14932</v>
      </c>
      <c r="B14939" s="3" t="s">
        <v>14941</v>
      </c>
      <c r="C14939" s="3" t="s">
        <v>9</v>
      </c>
      <c r="D14939" s="3" t="s">
        <v>10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0</v>
      </c>
      <c r="O14939" s="3"/>
      <c r="P14939" s="3"/>
      <c r="Q14939" s="3"/>
    </row>
    <row r="14940" spans="1:17" ht="15" x14ac:dyDescent="0.25">
      <c r="A14940" s="3">
        <f>14933</f>
        <v>14933</v>
      </c>
      <c r="B14940" s="3" t="s">
        <v>14942</v>
      </c>
      <c r="C14940" s="3" t="s">
        <v>9</v>
      </c>
      <c r="D14940" s="3" t="s">
        <v>10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  <c r="O14940" s="3"/>
      <c r="P14940" s="3"/>
      <c r="Q14940" s="3"/>
    </row>
    <row r="14941" spans="1:17" ht="15" x14ac:dyDescent="0.25">
      <c r="A14941" s="3">
        <f>14934</f>
        <v>14934</v>
      </c>
      <c r="B14941" s="3" t="s">
        <v>14943</v>
      </c>
      <c r="C14941" s="3" t="s">
        <v>9</v>
      </c>
      <c r="D14941" s="3" t="s">
        <v>10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/>
      <c r="P14941" s="3"/>
      <c r="Q14941" s="3"/>
    </row>
    <row r="14942" spans="1:17" ht="15" x14ac:dyDescent="0.25">
      <c r="A14942" s="3">
        <f>14935</f>
        <v>14935</v>
      </c>
      <c r="B14942" s="3" t="s">
        <v>14944</v>
      </c>
      <c r="C14942" s="3" t="s">
        <v>9</v>
      </c>
      <c r="D14942" s="3" t="s">
        <v>10</v>
      </c>
      <c r="E14942" s="3">
        <v>0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s="3"/>
      <c r="P14942" s="3"/>
      <c r="Q14942" s="3"/>
    </row>
    <row r="14943" spans="1:17" ht="15" x14ac:dyDescent="0.25">
      <c r="A14943" s="3">
        <f>14936</f>
        <v>14936</v>
      </c>
      <c r="B14943" s="3" t="s">
        <v>14945</v>
      </c>
      <c r="C14943" s="3" t="s">
        <v>9</v>
      </c>
      <c r="D14943" s="3" t="s">
        <v>10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s="3"/>
      <c r="P14943" s="3"/>
      <c r="Q14943" s="3"/>
    </row>
    <row r="14944" spans="1:17" ht="15" x14ac:dyDescent="0.25">
      <c r="A14944" s="3">
        <f>14937</f>
        <v>14937</v>
      </c>
      <c r="B14944" s="3" t="s">
        <v>14946</v>
      </c>
      <c r="C14944" s="3" t="s">
        <v>9</v>
      </c>
      <c r="D14944" s="3" t="s">
        <v>10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s="3"/>
      <c r="P14944" s="3"/>
      <c r="Q14944" s="3"/>
    </row>
    <row r="14945" spans="1:17" ht="15" x14ac:dyDescent="0.25">
      <c r="A14945" s="3">
        <f>14938</f>
        <v>14938</v>
      </c>
      <c r="B14945" s="3" t="s">
        <v>14947</v>
      </c>
      <c r="C14945" s="3" t="s">
        <v>9</v>
      </c>
      <c r="D14945" s="3" t="s">
        <v>10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s="3"/>
      <c r="P14945" s="3"/>
      <c r="Q14945" s="3"/>
    </row>
    <row r="14946" spans="1:17" ht="15" x14ac:dyDescent="0.25">
      <c r="A14946" s="3">
        <f>14939</f>
        <v>14939</v>
      </c>
      <c r="B14946" s="3" t="s">
        <v>14948</v>
      </c>
      <c r="C14946" s="3" t="s">
        <v>9</v>
      </c>
      <c r="D14946" s="3" t="s">
        <v>10</v>
      </c>
      <c r="E14946" s="3">
        <v>0</v>
      </c>
      <c r="F14946" s="3">
        <v>0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s="3"/>
      <c r="P14946" s="3"/>
      <c r="Q14946" s="3"/>
    </row>
    <row r="14947" spans="1:17" ht="15" x14ac:dyDescent="0.25">
      <c r="A14947" s="3">
        <f>14940</f>
        <v>14940</v>
      </c>
      <c r="B14947" s="3" t="s">
        <v>14949</v>
      </c>
      <c r="C14947" s="3" t="s">
        <v>9</v>
      </c>
      <c r="D14947" s="3" t="s">
        <v>9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  <c r="O14947" s="3"/>
      <c r="P14947" s="3"/>
      <c r="Q14947" s="3"/>
    </row>
    <row r="14948" spans="1:17" ht="15" x14ac:dyDescent="0.25">
      <c r="A14948" s="3">
        <f>14941</f>
        <v>14941</v>
      </c>
      <c r="B14948" s="3" t="s">
        <v>14950</v>
      </c>
      <c r="C14948" s="3" t="s">
        <v>10</v>
      </c>
      <c r="D14948" s="3" t="s">
        <v>9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s="3"/>
      <c r="P14948" s="3"/>
      <c r="Q14948" s="3"/>
    </row>
    <row r="14949" spans="1:17" ht="15" x14ac:dyDescent="0.25">
      <c r="A14949" s="3">
        <f>14942</f>
        <v>14942</v>
      </c>
      <c r="B14949" s="3" t="s">
        <v>14951</v>
      </c>
      <c r="C14949" s="3" t="s">
        <v>9</v>
      </c>
      <c r="D14949" s="3" t="s">
        <v>10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>
        <v>0</v>
      </c>
      <c r="O14949" s="3"/>
      <c r="P14949" s="3"/>
      <c r="Q14949" s="3"/>
    </row>
    <row r="14950" spans="1:17" ht="15" x14ac:dyDescent="0.25">
      <c r="A14950" s="3">
        <f>14943</f>
        <v>14943</v>
      </c>
      <c r="B14950" s="3" t="s">
        <v>14952</v>
      </c>
      <c r="C14950" s="3" t="s">
        <v>10</v>
      </c>
      <c r="D14950" s="3" t="s">
        <v>9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/>
      <c r="P14950" s="3"/>
      <c r="Q14950" s="3"/>
    </row>
    <row r="14951" spans="1:17" ht="15" x14ac:dyDescent="0.25">
      <c r="A14951" s="3">
        <f>14944</f>
        <v>14944</v>
      </c>
      <c r="B14951" s="3" t="s">
        <v>14953</v>
      </c>
      <c r="C14951" s="3" t="s">
        <v>10</v>
      </c>
      <c r="D14951" s="3" t="s">
        <v>9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s="3"/>
      <c r="P14951" s="3"/>
      <c r="Q14951" s="3"/>
    </row>
    <row r="14952" spans="1:17" ht="15" x14ac:dyDescent="0.25">
      <c r="A14952" s="3">
        <f>14945</f>
        <v>14945</v>
      </c>
      <c r="B14952" s="3" t="s">
        <v>14954</v>
      </c>
      <c r="C14952" s="3" t="s">
        <v>10</v>
      </c>
      <c r="D14952" s="3" t="s">
        <v>9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/>
      <c r="P14952" s="3"/>
      <c r="Q14952" s="3"/>
    </row>
    <row r="14953" spans="1:17" ht="15" x14ac:dyDescent="0.25">
      <c r="A14953" s="3">
        <f>14946</f>
        <v>14946</v>
      </c>
      <c r="B14953" s="3" t="s">
        <v>14955</v>
      </c>
      <c r="C14953" s="3" t="s">
        <v>10</v>
      </c>
      <c r="D14953" s="3" t="s">
        <v>9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s="3"/>
      <c r="P14953" s="3"/>
      <c r="Q14953" s="3"/>
    </row>
    <row r="14954" spans="1:17" ht="15" x14ac:dyDescent="0.25">
      <c r="A14954" s="3">
        <f>14947</f>
        <v>14947</v>
      </c>
      <c r="B14954" s="3" t="s">
        <v>14956</v>
      </c>
      <c r="C14954" s="3" t="s">
        <v>10</v>
      </c>
      <c r="D14954" s="3" t="s">
        <v>9</v>
      </c>
      <c r="E14954" s="3">
        <v>0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0</v>
      </c>
      <c r="O14954" s="3"/>
      <c r="P14954" s="3"/>
      <c r="Q14954" s="3"/>
    </row>
    <row r="14955" spans="1:17" ht="15" x14ac:dyDescent="0.25">
      <c r="A14955" s="3">
        <f>14948</f>
        <v>14948</v>
      </c>
      <c r="B14955" s="3" t="s">
        <v>14957</v>
      </c>
      <c r="C14955" s="3" t="s">
        <v>10</v>
      </c>
      <c r="D14955" s="3" t="s">
        <v>9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s="3"/>
      <c r="P14955" s="3"/>
      <c r="Q14955" s="3"/>
    </row>
    <row r="14956" spans="1:17" ht="15" x14ac:dyDescent="0.25">
      <c r="A14956" s="3">
        <f>14949</f>
        <v>14949</v>
      </c>
      <c r="B14956" s="3" t="s">
        <v>14958</v>
      </c>
      <c r="C14956" s="3" t="s">
        <v>9</v>
      </c>
      <c r="D14956" s="3" t="s">
        <v>10</v>
      </c>
      <c r="E14956" s="3">
        <v>0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s="3"/>
      <c r="P14956" s="3"/>
      <c r="Q14956" s="3"/>
    </row>
    <row r="14957" spans="1:17" ht="15" x14ac:dyDescent="0.25">
      <c r="A14957" s="3">
        <f>14950</f>
        <v>14950</v>
      </c>
      <c r="B14957" s="3" t="s">
        <v>14959</v>
      </c>
      <c r="C14957" s="3" t="s">
        <v>9</v>
      </c>
      <c r="D14957" s="3" t="s">
        <v>10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s="3"/>
      <c r="P14957" s="3"/>
      <c r="Q14957" s="3"/>
    </row>
    <row r="14958" spans="1:17" ht="15" x14ac:dyDescent="0.25">
      <c r="A14958" s="3">
        <f>14951</f>
        <v>14951</v>
      </c>
      <c r="B14958" s="3" t="s">
        <v>14960</v>
      </c>
      <c r="C14958" s="3" t="s">
        <v>9</v>
      </c>
      <c r="D14958" s="3" t="s">
        <v>10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0</v>
      </c>
      <c r="O14958" s="3"/>
      <c r="P14958" s="3"/>
      <c r="Q14958" s="3"/>
    </row>
    <row r="14959" spans="1:17" ht="15" x14ac:dyDescent="0.25">
      <c r="A14959" s="3">
        <f>14952</f>
        <v>14952</v>
      </c>
      <c r="B14959" s="3" t="s">
        <v>14961</v>
      </c>
      <c r="C14959" s="3" t="s">
        <v>9</v>
      </c>
      <c r="D14959" s="3" t="s">
        <v>10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s="3"/>
      <c r="P14959" s="3"/>
      <c r="Q14959" s="3"/>
    </row>
    <row r="14960" spans="1:17" ht="15" x14ac:dyDescent="0.25">
      <c r="A14960" s="3">
        <f>14953</f>
        <v>14953</v>
      </c>
      <c r="B14960" s="3" t="s">
        <v>14962</v>
      </c>
      <c r="C14960" s="3" t="s">
        <v>9</v>
      </c>
      <c r="D14960" s="3" t="s">
        <v>10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/>
      <c r="P14960" s="3"/>
      <c r="Q14960" s="3"/>
    </row>
    <row r="14961" spans="1:17" ht="15" x14ac:dyDescent="0.25">
      <c r="A14961" s="3">
        <f>14954</f>
        <v>14954</v>
      </c>
      <c r="B14961" s="3" t="s">
        <v>14963</v>
      </c>
      <c r="C14961" s="3" t="s">
        <v>9</v>
      </c>
      <c r="D14961" s="3" t="s">
        <v>10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/>
      <c r="P14961" s="3"/>
      <c r="Q14961" s="3"/>
    </row>
    <row r="14962" spans="1:17" ht="15" x14ac:dyDescent="0.25">
      <c r="A14962" s="3">
        <f>14955</f>
        <v>14955</v>
      </c>
      <c r="B14962" s="3" t="s">
        <v>14964</v>
      </c>
      <c r="C14962" s="3" t="s">
        <v>9</v>
      </c>
      <c r="D14962" s="3" t="s">
        <v>10</v>
      </c>
      <c r="E14962" s="3">
        <v>0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/>
      <c r="P14962" s="3"/>
      <c r="Q14962" s="3"/>
    </row>
    <row r="14963" spans="1:17" ht="15" x14ac:dyDescent="0.25">
      <c r="A14963" s="3">
        <f>14956</f>
        <v>14956</v>
      </c>
      <c r="B14963" s="3" t="s">
        <v>14965</v>
      </c>
      <c r="C14963" s="3" t="s">
        <v>9</v>
      </c>
      <c r="D14963" s="3" t="s">
        <v>10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s="3"/>
      <c r="P14963" s="3"/>
      <c r="Q14963" s="3"/>
    </row>
    <row r="14964" spans="1:17" ht="15" x14ac:dyDescent="0.25">
      <c r="A14964" s="3">
        <f>14957</f>
        <v>14957</v>
      </c>
      <c r="B14964" s="3" t="s">
        <v>14966</v>
      </c>
      <c r="C14964" s="3" t="s">
        <v>10</v>
      </c>
      <c r="D14964" s="3" t="s">
        <v>9</v>
      </c>
      <c r="E14964" s="3">
        <v>0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s="3"/>
      <c r="P14964" s="3"/>
      <c r="Q14964" s="3"/>
    </row>
    <row r="14965" spans="1:17" ht="15" x14ac:dyDescent="0.25">
      <c r="A14965" s="3">
        <f>14958</f>
        <v>14958</v>
      </c>
      <c r="B14965" s="3" t="s">
        <v>14967</v>
      </c>
      <c r="C14965" s="3" t="s">
        <v>10</v>
      </c>
      <c r="D14965" s="3" t="s">
        <v>9</v>
      </c>
      <c r="E14965" s="3">
        <v>0</v>
      </c>
      <c r="F14965" s="3">
        <v>0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0</v>
      </c>
      <c r="O14965" s="3"/>
      <c r="P14965" s="3"/>
      <c r="Q14965" s="3"/>
    </row>
    <row r="14966" spans="1:17" ht="15" x14ac:dyDescent="0.25">
      <c r="A14966" s="3">
        <f>14959</f>
        <v>14959</v>
      </c>
      <c r="B14966" s="3" t="s">
        <v>14968</v>
      </c>
      <c r="C14966" s="3" t="s">
        <v>10</v>
      </c>
      <c r="D14966" s="3" t="s">
        <v>9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s="3"/>
      <c r="P14966" s="3"/>
      <c r="Q14966" s="3"/>
    </row>
    <row r="14967" spans="1:17" ht="15" x14ac:dyDescent="0.25">
      <c r="A14967" s="3">
        <f>14960</f>
        <v>14960</v>
      </c>
      <c r="B14967" s="3" t="s">
        <v>14969</v>
      </c>
      <c r="C14967" s="3" t="s">
        <v>10</v>
      </c>
      <c r="D14967" s="3" t="s">
        <v>9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s="3"/>
      <c r="P14967" s="3"/>
      <c r="Q14967" s="3"/>
    </row>
    <row r="14968" spans="1:17" ht="15" x14ac:dyDescent="0.25">
      <c r="A14968" s="3">
        <f>14961</f>
        <v>14961</v>
      </c>
      <c r="B14968" s="3" t="s">
        <v>14970</v>
      </c>
      <c r="C14968" s="3" t="s">
        <v>10</v>
      </c>
      <c r="D14968" s="3" t="s">
        <v>9</v>
      </c>
      <c r="E14968" s="3">
        <v>0</v>
      </c>
      <c r="F14968" s="3">
        <v>0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>
        <v>0</v>
      </c>
      <c r="O14968" s="3"/>
      <c r="P14968" s="3"/>
      <c r="Q14968" s="3"/>
    </row>
    <row r="14969" spans="1:17" ht="15" x14ac:dyDescent="0.25">
      <c r="A14969" s="3">
        <f>14962</f>
        <v>14962</v>
      </c>
      <c r="B14969" s="3" t="s">
        <v>14971</v>
      </c>
      <c r="C14969" s="3" t="s">
        <v>10</v>
      </c>
      <c r="D14969" s="3" t="s">
        <v>9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/>
      <c r="P14969" s="3"/>
      <c r="Q14969" s="3"/>
    </row>
    <row r="14970" spans="1:17" ht="15" x14ac:dyDescent="0.25">
      <c r="A14970" s="3">
        <f>14963</f>
        <v>14963</v>
      </c>
      <c r="B14970" s="3" t="s">
        <v>14972</v>
      </c>
      <c r="C14970" s="3" t="s">
        <v>10</v>
      </c>
      <c r="D14970" s="3" t="s">
        <v>9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s="3"/>
      <c r="P14970" s="3"/>
      <c r="Q14970" s="3"/>
    </row>
    <row r="14971" spans="1:17" ht="15" x14ac:dyDescent="0.25">
      <c r="A14971" s="3">
        <f>14964</f>
        <v>14964</v>
      </c>
      <c r="B14971" s="3" t="s">
        <v>14973</v>
      </c>
      <c r="C14971" s="3" t="s">
        <v>10</v>
      </c>
      <c r="D14971" s="3" t="s">
        <v>9</v>
      </c>
      <c r="E14971" s="3">
        <v>0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0</v>
      </c>
      <c r="O14971" s="3"/>
      <c r="P14971" s="3"/>
      <c r="Q14971" s="3"/>
    </row>
    <row r="14972" spans="1:17" ht="15" x14ac:dyDescent="0.25">
      <c r="A14972" s="3">
        <f>14965</f>
        <v>14965</v>
      </c>
      <c r="B14972" s="3" t="s">
        <v>14974</v>
      </c>
      <c r="C14972" s="3" t="s">
        <v>10</v>
      </c>
      <c r="D14972" s="3" t="s">
        <v>9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s="3"/>
      <c r="P14972" s="3"/>
      <c r="Q14972" s="3"/>
    </row>
    <row r="14973" spans="1:17" ht="15" x14ac:dyDescent="0.25">
      <c r="A14973" s="3">
        <f>14966</f>
        <v>14966</v>
      </c>
      <c r="B14973" s="3" t="s">
        <v>14975</v>
      </c>
      <c r="C14973" s="3" t="s">
        <v>10</v>
      </c>
      <c r="D14973" s="3" t="s">
        <v>9</v>
      </c>
      <c r="E14973" s="3">
        <v>0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0</v>
      </c>
      <c r="O14973" s="3"/>
      <c r="P14973" s="3"/>
      <c r="Q14973" s="3"/>
    </row>
    <row r="14974" spans="1:17" ht="15" x14ac:dyDescent="0.25">
      <c r="A14974" s="3">
        <f>14967</f>
        <v>14967</v>
      </c>
      <c r="B14974" s="3" t="s">
        <v>14976</v>
      </c>
      <c r="C14974" s="3" t="s">
        <v>9</v>
      </c>
      <c r="D14974" s="3" t="s">
        <v>10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s="3"/>
      <c r="P14974" s="3"/>
      <c r="Q14974" s="3"/>
    </row>
    <row r="14975" spans="1:17" ht="15" x14ac:dyDescent="0.25">
      <c r="A14975" s="3">
        <f>14968</f>
        <v>14968</v>
      </c>
      <c r="B14975" s="3" t="s">
        <v>14977</v>
      </c>
      <c r="C14975" s="3" t="s">
        <v>10</v>
      </c>
      <c r="D14975" s="3" t="s">
        <v>9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  <c r="O14975" s="3"/>
      <c r="P14975" s="3"/>
      <c r="Q14975" s="3"/>
    </row>
    <row r="14976" spans="1:17" ht="15" x14ac:dyDescent="0.25">
      <c r="A14976" s="3">
        <f>14969</f>
        <v>14969</v>
      </c>
      <c r="B14976" s="3" t="s">
        <v>14978</v>
      </c>
      <c r="C14976" s="3" t="s">
        <v>10</v>
      </c>
      <c r="D14976" s="3" t="s">
        <v>9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/>
      <c r="P14976" s="3"/>
      <c r="Q14976" s="3"/>
    </row>
    <row r="14977" spans="1:17" ht="15" x14ac:dyDescent="0.25">
      <c r="A14977" s="3">
        <f>14970</f>
        <v>14970</v>
      </c>
      <c r="B14977" s="3" t="s">
        <v>14979</v>
      </c>
      <c r="C14977" s="3" t="s">
        <v>10</v>
      </c>
      <c r="D14977" s="3" t="s">
        <v>9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/>
      <c r="P14977" s="3"/>
      <c r="Q14977" s="3"/>
    </row>
    <row r="14978" spans="1:17" ht="15" x14ac:dyDescent="0.25">
      <c r="A14978" s="3">
        <f>14971</f>
        <v>14971</v>
      </c>
      <c r="B14978" s="3" t="s">
        <v>14980</v>
      </c>
      <c r="C14978" s="3" t="s">
        <v>10</v>
      </c>
      <c r="D14978" s="3" t="s">
        <v>9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  <c r="L14978" s="3">
        <v>0</v>
      </c>
      <c r="M14978" s="3">
        <v>0</v>
      </c>
      <c r="N14978" s="3">
        <v>0</v>
      </c>
      <c r="O14978" s="3"/>
      <c r="P14978" s="3"/>
      <c r="Q14978" s="3"/>
    </row>
    <row r="14979" spans="1:17" ht="15" x14ac:dyDescent="0.25">
      <c r="A14979" s="3">
        <f>14972</f>
        <v>14972</v>
      </c>
      <c r="B14979" s="3" t="s">
        <v>14981</v>
      </c>
      <c r="C14979" s="3" t="s">
        <v>10</v>
      </c>
      <c r="D14979" s="3" t="s">
        <v>9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s="3"/>
      <c r="P14979" s="3"/>
      <c r="Q14979" s="3"/>
    </row>
    <row r="14980" spans="1:17" ht="15" x14ac:dyDescent="0.25">
      <c r="A14980" s="3">
        <f>14973</f>
        <v>14973</v>
      </c>
      <c r="B14980" s="3" t="s">
        <v>14982</v>
      </c>
      <c r="C14980" s="3" t="s">
        <v>9</v>
      </c>
      <c r="D14980" s="3" t="s">
        <v>10</v>
      </c>
      <c r="E14980" s="3">
        <v>0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/>
      <c r="P14980" s="3"/>
      <c r="Q14980" s="3"/>
    </row>
    <row r="14981" spans="1:17" ht="15" x14ac:dyDescent="0.25">
      <c r="A14981" s="3">
        <f>14974</f>
        <v>14974</v>
      </c>
      <c r="B14981" s="3" t="s">
        <v>14983</v>
      </c>
      <c r="C14981" s="3" t="s">
        <v>9</v>
      </c>
      <c r="D14981" s="3" t="s">
        <v>10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s="3"/>
      <c r="P14981" s="3"/>
      <c r="Q14981" s="3"/>
    </row>
    <row r="14982" spans="1:17" ht="15" x14ac:dyDescent="0.25">
      <c r="A14982" s="3">
        <f>14975</f>
        <v>14975</v>
      </c>
      <c r="B14982" s="3" t="s">
        <v>14984</v>
      </c>
      <c r="C14982" s="3" t="s">
        <v>9</v>
      </c>
      <c r="D14982" s="3" t="s">
        <v>10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/>
      <c r="P14982" s="3"/>
      <c r="Q14982" s="3"/>
    </row>
    <row r="14983" spans="1:17" ht="15" x14ac:dyDescent="0.25">
      <c r="A14983" s="3">
        <f>14976</f>
        <v>14976</v>
      </c>
      <c r="B14983" s="3" t="s">
        <v>14985</v>
      </c>
      <c r="C14983" s="3" t="s">
        <v>9</v>
      </c>
      <c r="D14983" s="3" t="s">
        <v>10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/>
      <c r="P14983" s="3"/>
      <c r="Q14983" s="3"/>
    </row>
    <row r="14984" spans="1:17" ht="15" x14ac:dyDescent="0.25">
      <c r="A14984" s="3">
        <f>14977</f>
        <v>14977</v>
      </c>
      <c r="B14984" s="3" t="s">
        <v>14986</v>
      </c>
      <c r="C14984" s="3" t="s">
        <v>9</v>
      </c>
      <c r="D14984" s="3" t="s">
        <v>10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/>
      <c r="P14984" s="3"/>
      <c r="Q14984" s="3"/>
    </row>
    <row r="14985" spans="1:17" ht="15" x14ac:dyDescent="0.25">
      <c r="A14985" s="3">
        <f>14978</f>
        <v>14978</v>
      </c>
      <c r="B14985" s="3" t="s">
        <v>14987</v>
      </c>
      <c r="C14985" s="3" t="s">
        <v>9</v>
      </c>
      <c r="D14985" s="3" t="s">
        <v>10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0</v>
      </c>
      <c r="O14985" s="3"/>
      <c r="P14985" s="3"/>
      <c r="Q14985" s="3"/>
    </row>
    <row r="14986" spans="1:17" ht="15" x14ac:dyDescent="0.25">
      <c r="A14986" s="3">
        <f>14979</f>
        <v>14979</v>
      </c>
      <c r="B14986" s="3" t="s">
        <v>14988</v>
      </c>
      <c r="C14986" s="3" t="s">
        <v>9</v>
      </c>
      <c r="D14986" s="3" t="s">
        <v>10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0</v>
      </c>
      <c r="O14986" s="3"/>
      <c r="P14986" s="3"/>
      <c r="Q14986" s="3"/>
    </row>
    <row r="14987" spans="1:17" ht="15" x14ac:dyDescent="0.25">
      <c r="A14987" s="3">
        <f>14980</f>
        <v>14980</v>
      </c>
      <c r="B14987" s="3" t="s">
        <v>14989</v>
      </c>
      <c r="C14987" s="3" t="s">
        <v>9</v>
      </c>
      <c r="D14987" s="3" t="s">
        <v>10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/>
      <c r="P14987" s="3"/>
      <c r="Q14987" s="3"/>
    </row>
    <row r="14988" spans="1:17" ht="15" x14ac:dyDescent="0.25">
      <c r="A14988" s="3">
        <f>14981</f>
        <v>14981</v>
      </c>
      <c r="B14988" s="3" t="s">
        <v>14990</v>
      </c>
      <c r="C14988" s="3" t="s">
        <v>9</v>
      </c>
      <c r="D14988" s="3" t="s">
        <v>10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s="3"/>
      <c r="P14988" s="3"/>
      <c r="Q14988" s="3"/>
    </row>
    <row r="14989" spans="1:17" ht="15" x14ac:dyDescent="0.25">
      <c r="A14989" s="3">
        <f>14982</f>
        <v>14982</v>
      </c>
      <c r="B14989" s="3" t="s">
        <v>14991</v>
      </c>
      <c r="C14989" s="3" t="s">
        <v>9</v>
      </c>
      <c r="D14989" s="3" t="s">
        <v>10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/>
      <c r="P14989" s="3"/>
      <c r="Q14989" s="3"/>
    </row>
    <row r="14990" spans="1:17" ht="15" x14ac:dyDescent="0.25">
      <c r="A14990" s="3">
        <f>14983</f>
        <v>14983</v>
      </c>
      <c r="B14990" s="3" t="s">
        <v>14992</v>
      </c>
      <c r="C14990" s="3" t="s">
        <v>9</v>
      </c>
      <c r="D14990" s="3" t="s">
        <v>10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s="3"/>
      <c r="P14990" s="3"/>
      <c r="Q14990" s="3"/>
    </row>
    <row r="14991" spans="1:17" ht="15" x14ac:dyDescent="0.25">
      <c r="A14991" s="3">
        <f>14984</f>
        <v>14984</v>
      </c>
      <c r="B14991" s="3" t="s">
        <v>14993</v>
      </c>
      <c r="C14991" s="3" t="s">
        <v>9</v>
      </c>
      <c r="D14991" s="3" t="s">
        <v>10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s="3"/>
      <c r="P14991" s="3"/>
      <c r="Q14991" s="3"/>
    </row>
    <row r="14992" spans="1:17" ht="15" x14ac:dyDescent="0.25">
      <c r="A14992" s="3">
        <f>14985</f>
        <v>14985</v>
      </c>
      <c r="B14992" s="3" t="s">
        <v>14994</v>
      </c>
      <c r="C14992" s="3" t="s">
        <v>9</v>
      </c>
      <c r="D14992" s="3" t="s">
        <v>10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s="3"/>
      <c r="P14992" s="3"/>
      <c r="Q14992" s="3"/>
    </row>
    <row r="14993" spans="1:17" ht="15" x14ac:dyDescent="0.25">
      <c r="A14993" s="3">
        <f>14986</f>
        <v>14986</v>
      </c>
      <c r="B14993" s="3" t="s">
        <v>14995</v>
      </c>
      <c r="C14993" s="3" t="s">
        <v>9</v>
      </c>
      <c r="D14993" s="3" t="s">
        <v>10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s="3"/>
      <c r="P14993" s="3"/>
      <c r="Q14993" s="3"/>
    </row>
    <row r="14994" spans="1:17" ht="15" x14ac:dyDescent="0.25">
      <c r="A14994" s="3">
        <f>14987</f>
        <v>14987</v>
      </c>
      <c r="B14994" s="3" t="s">
        <v>14996</v>
      </c>
      <c r="C14994" s="3" t="s">
        <v>9</v>
      </c>
      <c r="D14994" s="3" t="s">
        <v>10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/>
      <c r="P14994" s="3"/>
      <c r="Q14994" s="3"/>
    </row>
    <row r="14995" spans="1:17" ht="15" x14ac:dyDescent="0.25">
      <c r="A14995" s="3">
        <f>14988</f>
        <v>14988</v>
      </c>
      <c r="B14995" s="3" t="s">
        <v>14997</v>
      </c>
      <c r="C14995" s="3" t="s">
        <v>9</v>
      </c>
      <c r="D14995" s="3" t="s">
        <v>10</v>
      </c>
      <c r="E14995" s="3">
        <v>0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s="3"/>
      <c r="P14995" s="3"/>
      <c r="Q14995" s="3"/>
    </row>
    <row r="14996" spans="1:17" ht="15" x14ac:dyDescent="0.25">
      <c r="A14996" s="3">
        <f>14989</f>
        <v>14989</v>
      </c>
      <c r="B14996" s="3" t="s">
        <v>14998</v>
      </c>
      <c r="C14996" s="3" t="s">
        <v>9</v>
      </c>
      <c r="D14996" s="3" t="s">
        <v>10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/>
      <c r="P14996" s="3"/>
      <c r="Q14996" s="3"/>
    </row>
    <row r="14997" spans="1:17" ht="15" x14ac:dyDescent="0.25">
      <c r="A14997" s="3">
        <f>14990</f>
        <v>14990</v>
      </c>
      <c r="B14997" s="3" t="s">
        <v>14999</v>
      </c>
      <c r="C14997" s="3" t="s">
        <v>9</v>
      </c>
      <c r="D14997" s="3" t="s">
        <v>10</v>
      </c>
      <c r="E14997" s="3">
        <v>0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/>
      <c r="P14997" s="3"/>
      <c r="Q14997" s="3"/>
    </row>
    <row r="14998" spans="1:17" ht="15" x14ac:dyDescent="0.25">
      <c r="A14998" s="3">
        <f>14991</f>
        <v>14991</v>
      </c>
      <c r="B14998" s="3" t="s">
        <v>15000</v>
      </c>
      <c r="C14998" s="3" t="s">
        <v>9</v>
      </c>
      <c r="D14998" s="3" t="s">
        <v>10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/>
      <c r="P14998" s="3"/>
      <c r="Q14998" s="3"/>
    </row>
    <row r="14999" spans="1:17" ht="15" x14ac:dyDescent="0.25">
      <c r="A14999" s="3">
        <f>14992</f>
        <v>14992</v>
      </c>
      <c r="B14999" s="3" t="s">
        <v>15001</v>
      </c>
      <c r="C14999" s="3" t="s">
        <v>9</v>
      </c>
      <c r="D14999" s="3" t="s">
        <v>10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/>
      <c r="P14999" s="3"/>
      <c r="Q14999" s="3"/>
    </row>
    <row r="15000" spans="1:17" ht="15" x14ac:dyDescent="0.25">
      <c r="A15000" s="3">
        <f>14993</f>
        <v>14993</v>
      </c>
      <c r="B15000" s="3" t="s">
        <v>15002</v>
      </c>
      <c r="C15000" s="3" t="s">
        <v>9</v>
      </c>
      <c r="D15000" s="3" t="s">
        <v>10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s="3"/>
      <c r="P15000" s="3"/>
      <c r="Q15000" s="3"/>
    </row>
    <row r="15001" spans="1:17" ht="15" x14ac:dyDescent="0.25">
      <c r="A15001" s="3">
        <f>14994</f>
        <v>14994</v>
      </c>
      <c r="B15001" s="3" t="s">
        <v>15003</v>
      </c>
      <c r="C15001" s="3" t="s">
        <v>9</v>
      </c>
      <c r="D15001" s="3" t="s">
        <v>10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s="3"/>
      <c r="P15001" s="3"/>
      <c r="Q15001" s="3"/>
    </row>
    <row r="15002" spans="1:17" ht="15" x14ac:dyDescent="0.25">
      <c r="A15002" s="3">
        <f>14995</f>
        <v>14995</v>
      </c>
      <c r="B15002" s="3" t="s">
        <v>15004</v>
      </c>
      <c r="C15002" s="3" t="s">
        <v>9</v>
      </c>
      <c r="D15002" s="3" t="s">
        <v>10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s="3"/>
      <c r="P15002" s="3"/>
      <c r="Q15002" s="3"/>
    </row>
    <row r="15003" spans="1:17" ht="15" x14ac:dyDescent="0.25">
      <c r="A15003" s="3">
        <f>14996</f>
        <v>14996</v>
      </c>
      <c r="B15003" s="3" t="s">
        <v>15005</v>
      </c>
      <c r="C15003" s="3" t="s">
        <v>9</v>
      </c>
      <c r="D15003" s="3" t="s">
        <v>10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s="3"/>
      <c r="P15003" s="3"/>
      <c r="Q15003" s="3"/>
    </row>
    <row r="15004" spans="1:17" ht="15" x14ac:dyDescent="0.25">
      <c r="A15004" s="3">
        <f>14997</f>
        <v>14997</v>
      </c>
      <c r="B15004" s="3" t="s">
        <v>15006</v>
      </c>
      <c r="C15004" s="3" t="s">
        <v>9</v>
      </c>
      <c r="D15004" s="3" t="s">
        <v>10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/>
      <c r="P15004" s="3"/>
      <c r="Q15004" s="3"/>
    </row>
    <row r="15005" spans="1:17" ht="15" x14ac:dyDescent="0.25">
      <c r="A15005" s="3">
        <f>14998</f>
        <v>14998</v>
      </c>
      <c r="B15005" s="3" t="s">
        <v>15007</v>
      </c>
      <c r="C15005" s="3" t="s">
        <v>9</v>
      </c>
      <c r="D15005" s="3" t="s">
        <v>10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/>
      <c r="P15005" s="3"/>
      <c r="Q15005" s="3"/>
    </row>
    <row r="15006" spans="1:17" ht="15" x14ac:dyDescent="0.25">
      <c r="A15006" s="3">
        <f>14999</f>
        <v>14999</v>
      </c>
      <c r="B15006" s="3" t="s">
        <v>15008</v>
      </c>
      <c r="C15006" s="3" t="s">
        <v>9</v>
      </c>
      <c r="D15006" s="3" t="s">
        <v>10</v>
      </c>
      <c r="E15006" s="3">
        <v>0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  <c r="O15006" s="3"/>
      <c r="P15006" s="3"/>
      <c r="Q15006" s="3"/>
    </row>
    <row r="15007" spans="1:17" ht="15" x14ac:dyDescent="0.25">
      <c r="A15007" s="3">
        <f>15000</f>
        <v>15000</v>
      </c>
      <c r="B15007" s="3" t="s">
        <v>15009</v>
      </c>
      <c r="C15007" s="3" t="s">
        <v>9</v>
      </c>
      <c r="D15007" s="3" t="s">
        <v>10</v>
      </c>
      <c r="E15007" s="3">
        <v>0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  <c r="O15007" s="3"/>
      <c r="P15007" s="3"/>
      <c r="Q15007" s="3"/>
    </row>
    <row r="15008" spans="1:17" ht="15" x14ac:dyDescent="0.25">
      <c r="A15008" s="3">
        <f>15001</f>
        <v>15001</v>
      </c>
      <c r="B15008" s="3" t="s">
        <v>15010</v>
      </c>
      <c r="C15008" s="3" t="s">
        <v>9</v>
      </c>
      <c r="D15008" s="3" t="s">
        <v>10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  <c r="O15008" s="3"/>
      <c r="P15008" s="3"/>
      <c r="Q15008" s="3"/>
    </row>
    <row r="15009" spans="1:17" ht="15" x14ac:dyDescent="0.25">
      <c r="A15009" s="3">
        <f>15002</f>
        <v>15002</v>
      </c>
      <c r="B15009" s="3" t="s">
        <v>15011</v>
      </c>
      <c r="C15009" s="3" t="s">
        <v>9</v>
      </c>
      <c r="D15009" s="3" t="s">
        <v>10</v>
      </c>
      <c r="E15009" s="3">
        <v>0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/>
      <c r="P15009" s="3"/>
      <c r="Q15009" s="3"/>
    </row>
    <row r="15010" spans="1:17" ht="15" x14ac:dyDescent="0.25">
      <c r="A15010" s="3">
        <f>15003</f>
        <v>15003</v>
      </c>
      <c r="B15010" s="3" t="s">
        <v>15012</v>
      </c>
      <c r="C15010" s="3" t="s">
        <v>9</v>
      </c>
      <c r="D15010" s="3" t="s">
        <v>10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s="3"/>
      <c r="P15010" s="3"/>
      <c r="Q15010" s="3"/>
    </row>
    <row r="15011" spans="1:17" ht="15" x14ac:dyDescent="0.25">
      <c r="A15011" s="3">
        <f>15004</f>
        <v>15004</v>
      </c>
      <c r="B15011" s="3" t="s">
        <v>15013</v>
      </c>
      <c r="C15011" s="3" t="s">
        <v>9</v>
      </c>
      <c r="D15011" s="3" t="s">
        <v>10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/>
      <c r="P15011" s="3"/>
      <c r="Q15011" s="3"/>
    </row>
    <row r="15012" spans="1:17" ht="15" x14ac:dyDescent="0.25">
      <c r="A15012" s="3">
        <f>15005</f>
        <v>15005</v>
      </c>
      <c r="B15012" s="3" t="s">
        <v>15014</v>
      </c>
      <c r="C15012" s="3" t="s">
        <v>9</v>
      </c>
      <c r="D15012" s="3" t="s">
        <v>10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  <c r="O15012" s="3"/>
      <c r="P15012" s="3"/>
      <c r="Q15012" s="3"/>
    </row>
    <row r="15013" spans="1:17" ht="15" x14ac:dyDescent="0.25">
      <c r="A15013" s="3">
        <f>15006</f>
        <v>15006</v>
      </c>
      <c r="B15013" s="3" t="s">
        <v>15015</v>
      </c>
      <c r="C15013" s="3" t="s">
        <v>9</v>
      </c>
      <c r="D15013" s="3" t="s">
        <v>10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/>
      <c r="P15013" s="3"/>
      <c r="Q15013" s="3"/>
    </row>
    <row r="15014" spans="1:17" ht="15" x14ac:dyDescent="0.25">
      <c r="A15014" s="3">
        <f>15007</f>
        <v>15007</v>
      </c>
      <c r="B15014" s="3" t="s">
        <v>15016</v>
      </c>
      <c r="C15014" s="3" t="s">
        <v>9</v>
      </c>
      <c r="D15014" s="3" t="s">
        <v>10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0</v>
      </c>
      <c r="O15014" s="3"/>
      <c r="P15014" s="3"/>
      <c r="Q15014" s="3"/>
    </row>
    <row r="15015" spans="1:17" ht="15" x14ac:dyDescent="0.25">
      <c r="A15015" s="3">
        <f>15008</f>
        <v>15008</v>
      </c>
      <c r="B15015" s="3" t="s">
        <v>15017</v>
      </c>
      <c r="C15015" s="3" t="s">
        <v>9</v>
      </c>
      <c r="D15015" s="3" t="s">
        <v>10</v>
      </c>
      <c r="E15015" s="3">
        <v>0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s="3"/>
      <c r="P15015" s="3"/>
      <c r="Q15015" s="3"/>
    </row>
    <row r="15016" spans="1:17" ht="15" x14ac:dyDescent="0.25">
      <c r="A15016" s="3">
        <f>15009</f>
        <v>15009</v>
      </c>
      <c r="B15016" s="3" t="s">
        <v>15018</v>
      </c>
      <c r="C15016" s="3" t="s">
        <v>10</v>
      </c>
      <c r="D15016" s="3" t="s">
        <v>9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s="3"/>
      <c r="P15016" s="3"/>
      <c r="Q15016" s="3"/>
    </row>
    <row r="15017" spans="1:17" ht="15" x14ac:dyDescent="0.25">
      <c r="A15017" s="3">
        <f>15010</f>
        <v>15010</v>
      </c>
      <c r="B15017" s="3" t="s">
        <v>15019</v>
      </c>
      <c r="C15017" s="3" t="s">
        <v>10</v>
      </c>
      <c r="D15017" s="3" t="s">
        <v>9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/>
      <c r="P15017" s="3"/>
      <c r="Q15017" s="3"/>
    </row>
    <row r="15018" spans="1:17" ht="15" x14ac:dyDescent="0.25">
      <c r="A15018" s="3">
        <f>15011</f>
        <v>15011</v>
      </c>
      <c r="B15018" s="3" t="s">
        <v>15020</v>
      </c>
      <c r="C15018" s="3" t="s">
        <v>10</v>
      </c>
      <c r="D15018" s="3" t="s">
        <v>9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/>
      <c r="P15018" s="3"/>
      <c r="Q15018" s="3"/>
    </row>
    <row r="15019" spans="1:17" ht="15" x14ac:dyDescent="0.25">
      <c r="A15019" s="3">
        <f>15012</f>
        <v>15012</v>
      </c>
      <c r="B15019" s="3" t="s">
        <v>15021</v>
      </c>
      <c r="C15019" s="3" t="s">
        <v>10</v>
      </c>
      <c r="D15019" s="3" t="s">
        <v>9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/>
      <c r="P15019" s="3"/>
      <c r="Q15019" s="3"/>
    </row>
    <row r="15020" spans="1:17" ht="15" x14ac:dyDescent="0.25">
      <c r="A15020" s="3">
        <f>15013</f>
        <v>15013</v>
      </c>
      <c r="B15020" s="3" t="s">
        <v>15022</v>
      </c>
      <c r="C15020" s="3" t="s">
        <v>10</v>
      </c>
      <c r="D15020" s="3" t="s">
        <v>9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s="3"/>
      <c r="P15020" s="3"/>
      <c r="Q15020" s="3"/>
    </row>
    <row r="15021" spans="1:17" ht="15" x14ac:dyDescent="0.25">
      <c r="A15021" s="3">
        <f>15014</f>
        <v>15014</v>
      </c>
      <c r="B15021" s="3" t="s">
        <v>15023</v>
      </c>
      <c r="C15021" s="3" t="s">
        <v>10</v>
      </c>
      <c r="D15021" s="3" t="s">
        <v>9</v>
      </c>
      <c r="E15021" s="3">
        <v>0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  <c r="O15021" s="3"/>
      <c r="P15021" s="3"/>
      <c r="Q15021" s="3"/>
    </row>
    <row r="15022" spans="1:17" ht="15" x14ac:dyDescent="0.25">
      <c r="A15022" s="3">
        <f>15015</f>
        <v>15015</v>
      </c>
      <c r="B15022" s="3" t="s">
        <v>15024</v>
      </c>
      <c r="C15022" s="3" t="s">
        <v>10</v>
      </c>
      <c r="D15022" s="3" t="s">
        <v>9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/>
      <c r="P15022" s="3"/>
      <c r="Q15022" s="3"/>
    </row>
    <row r="15023" spans="1:17" ht="15" x14ac:dyDescent="0.25">
      <c r="A15023" s="3">
        <f>15016</f>
        <v>15016</v>
      </c>
      <c r="B15023" s="3" t="s">
        <v>15025</v>
      </c>
      <c r="C15023" s="3" t="s">
        <v>10</v>
      </c>
      <c r="D15023" s="3" t="s">
        <v>9</v>
      </c>
      <c r="E15023" s="3">
        <v>0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3"/>
      <c r="P15023" s="3"/>
      <c r="Q15023" s="3"/>
    </row>
    <row r="15024" spans="1:17" ht="15" x14ac:dyDescent="0.25">
      <c r="A15024" s="3">
        <f>15017</f>
        <v>15017</v>
      </c>
      <c r="B15024" s="3" t="s">
        <v>15026</v>
      </c>
      <c r="C15024" s="3" t="s">
        <v>10</v>
      </c>
      <c r="D15024" s="3" t="s">
        <v>9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s="3"/>
      <c r="P15024" s="3"/>
      <c r="Q15024" s="3"/>
    </row>
    <row r="15025" spans="1:17" ht="15" x14ac:dyDescent="0.25">
      <c r="A15025" s="3">
        <f>15018</f>
        <v>15018</v>
      </c>
      <c r="B15025" s="3" t="s">
        <v>15027</v>
      </c>
      <c r="C15025" s="3" t="s">
        <v>10</v>
      </c>
      <c r="D15025" s="3" t="s">
        <v>9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s="3"/>
      <c r="P15025" s="3"/>
      <c r="Q15025" s="3"/>
    </row>
    <row r="15026" spans="1:17" ht="15" x14ac:dyDescent="0.25">
      <c r="A15026" s="3">
        <f>15019</f>
        <v>15019</v>
      </c>
      <c r="B15026" s="3" t="s">
        <v>15028</v>
      </c>
      <c r="C15026" s="3" t="s">
        <v>10</v>
      </c>
      <c r="D15026" s="3" t="s">
        <v>9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s="3"/>
      <c r="P15026" s="3"/>
      <c r="Q15026" s="3"/>
    </row>
    <row r="15027" spans="1:17" ht="15" x14ac:dyDescent="0.25">
      <c r="A15027" s="3">
        <f>15020</f>
        <v>15020</v>
      </c>
      <c r="B15027" s="3" t="s">
        <v>15029</v>
      </c>
      <c r="C15027" s="3" t="s">
        <v>10</v>
      </c>
      <c r="D15027" s="3" t="s">
        <v>9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/>
      <c r="P15027" s="3"/>
      <c r="Q15027" s="3"/>
    </row>
    <row r="15028" spans="1:17" ht="15" x14ac:dyDescent="0.25">
      <c r="A15028" s="3">
        <f>15021</f>
        <v>15021</v>
      </c>
      <c r="B15028" s="3" t="s">
        <v>15030</v>
      </c>
      <c r="C15028" s="3" t="s">
        <v>10</v>
      </c>
      <c r="D15028" s="3" t="s">
        <v>9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/>
      <c r="P15028" s="3"/>
      <c r="Q15028" s="3"/>
    </row>
    <row r="15029" spans="1:17" ht="15" x14ac:dyDescent="0.25">
      <c r="A15029" s="3">
        <f>15022</f>
        <v>15022</v>
      </c>
      <c r="B15029" s="3" t="s">
        <v>15031</v>
      </c>
      <c r="C15029" s="3" t="s">
        <v>10</v>
      </c>
      <c r="D15029" s="3" t="s">
        <v>9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/>
      <c r="P15029" s="3"/>
      <c r="Q15029" s="3"/>
    </row>
    <row r="15030" spans="1:17" ht="15" x14ac:dyDescent="0.25">
      <c r="A15030" s="3">
        <f>15023</f>
        <v>15023</v>
      </c>
      <c r="B15030" s="3" t="s">
        <v>15032</v>
      </c>
      <c r="C15030" s="3" t="s">
        <v>10</v>
      </c>
      <c r="D15030" s="3" t="s">
        <v>9</v>
      </c>
      <c r="E15030" s="3">
        <v>0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  <c r="O15030" s="3"/>
      <c r="P15030" s="3"/>
      <c r="Q15030" s="3"/>
    </row>
    <row r="15031" spans="1:17" ht="15" x14ac:dyDescent="0.25">
      <c r="A15031" s="3">
        <f>15024</f>
        <v>15024</v>
      </c>
      <c r="B15031" s="3" t="s">
        <v>15033</v>
      </c>
      <c r="C15031" s="3" t="s">
        <v>10</v>
      </c>
      <c r="D15031" s="3" t="s">
        <v>9</v>
      </c>
      <c r="E15031" s="3">
        <v>0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/>
      <c r="P15031" s="3"/>
      <c r="Q15031" s="3"/>
    </row>
    <row r="15032" spans="1:17" ht="15" x14ac:dyDescent="0.25">
      <c r="A15032" s="3">
        <f>15025</f>
        <v>15025</v>
      </c>
      <c r="B15032" s="3" t="s">
        <v>15034</v>
      </c>
      <c r="C15032" s="3" t="s">
        <v>10</v>
      </c>
      <c r="D15032" s="3" t="s">
        <v>9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/>
      <c r="P15032" s="3"/>
      <c r="Q15032" s="3"/>
    </row>
    <row r="15033" spans="1:17" ht="15" x14ac:dyDescent="0.25">
      <c r="A15033" s="3">
        <f>15026</f>
        <v>15026</v>
      </c>
      <c r="B15033" s="3" t="s">
        <v>15035</v>
      </c>
      <c r="C15033" s="3" t="s">
        <v>10</v>
      </c>
      <c r="D15033" s="3" t="s">
        <v>9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/>
      <c r="P15033" s="3"/>
      <c r="Q15033" s="3"/>
    </row>
    <row r="15034" spans="1:17" ht="15" x14ac:dyDescent="0.25">
      <c r="A15034" s="3">
        <f>15027</f>
        <v>15027</v>
      </c>
      <c r="B15034" s="3" t="s">
        <v>15036</v>
      </c>
      <c r="C15034" s="3" t="s">
        <v>10</v>
      </c>
      <c r="D15034" s="3" t="s">
        <v>9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s="3"/>
      <c r="P15034" s="3"/>
      <c r="Q15034" s="3"/>
    </row>
    <row r="15035" spans="1:17" ht="15" x14ac:dyDescent="0.25">
      <c r="A15035" s="3">
        <f>15028</f>
        <v>15028</v>
      </c>
      <c r="B15035" s="3" t="s">
        <v>15037</v>
      </c>
      <c r="C15035" s="3" t="s">
        <v>10</v>
      </c>
      <c r="D15035" s="3" t="s">
        <v>9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/>
      <c r="P15035" s="3"/>
      <c r="Q15035" s="3"/>
    </row>
    <row r="15036" spans="1:17" ht="15" x14ac:dyDescent="0.25">
      <c r="A15036" s="3">
        <f>15029</f>
        <v>15029</v>
      </c>
      <c r="B15036" s="3" t="s">
        <v>15038</v>
      </c>
      <c r="C15036" s="3" t="s">
        <v>10</v>
      </c>
      <c r="D15036" s="3" t="s">
        <v>9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s="3"/>
      <c r="P15036" s="3"/>
      <c r="Q15036" s="3"/>
    </row>
    <row r="15037" spans="1:17" ht="15" x14ac:dyDescent="0.25">
      <c r="A15037" s="3">
        <f>15030</f>
        <v>15030</v>
      </c>
      <c r="B15037" s="3" t="s">
        <v>15039</v>
      </c>
      <c r="C15037" s="3" t="s">
        <v>10</v>
      </c>
      <c r="D15037" s="3" t="s">
        <v>9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/>
      <c r="P15037" s="3"/>
      <c r="Q15037" s="3"/>
    </row>
    <row r="15038" spans="1:17" ht="15" x14ac:dyDescent="0.25">
      <c r="A15038" s="3">
        <f>15031</f>
        <v>15031</v>
      </c>
      <c r="B15038" s="3" t="s">
        <v>15040</v>
      </c>
      <c r="C15038" s="3" t="s">
        <v>10</v>
      </c>
      <c r="D15038" s="3" t="s">
        <v>9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s="3"/>
      <c r="P15038" s="3"/>
      <c r="Q15038" s="3"/>
    </row>
    <row r="15039" spans="1:17" ht="15" x14ac:dyDescent="0.25">
      <c r="A15039" s="3">
        <f>15032</f>
        <v>15032</v>
      </c>
      <c r="B15039" s="3" t="s">
        <v>15041</v>
      </c>
      <c r="C15039" s="3" t="s">
        <v>10</v>
      </c>
      <c r="D15039" s="3" t="s">
        <v>9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/>
      <c r="P15039" s="3"/>
      <c r="Q15039" s="3"/>
    </row>
    <row r="15040" spans="1:17" ht="15" x14ac:dyDescent="0.25">
      <c r="A15040" s="3">
        <f>15033</f>
        <v>15033</v>
      </c>
      <c r="B15040" s="3" t="s">
        <v>15042</v>
      </c>
      <c r="C15040" s="3" t="s">
        <v>10</v>
      </c>
      <c r="D15040" s="3" t="s">
        <v>9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/>
      <c r="P15040" s="3"/>
      <c r="Q15040" s="3"/>
    </row>
    <row r="15041" spans="1:17" ht="15" x14ac:dyDescent="0.25">
      <c r="A15041" s="3">
        <f>15034</f>
        <v>15034</v>
      </c>
      <c r="B15041" s="3" t="s">
        <v>15043</v>
      </c>
      <c r="C15041" s="3" t="s">
        <v>10</v>
      </c>
      <c r="D15041" s="3" t="s">
        <v>9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0</v>
      </c>
      <c r="O15041" s="3"/>
      <c r="P15041" s="3"/>
      <c r="Q15041" s="3"/>
    </row>
    <row r="15042" spans="1:17" ht="15" x14ac:dyDescent="0.25">
      <c r="A15042" s="3">
        <f>15035</f>
        <v>15035</v>
      </c>
      <c r="B15042" s="3" t="s">
        <v>15044</v>
      </c>
      <c r="C15042" s="3" t="s">
        <v>10</v>
      </c>
      <c r="D15042" s="3" t="s">
        <v>9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/>
      <c r="P15042" s="3"/>
      <c r="Q15042" s="3"/>
    </row>
    <row r="15043" spans="1:17" ht="15" x14ac:dyDescent="0.25">
      <c r="A15043" s="3">
        <f>15036</f>
        <v>15036</v>
      </c>
      <c r="B15043" s="3" t="s">
        <v>15045</v>
      </c>
      <c r="C15043" s="3" t="s">
        <v>10</v>
      </c>
      <c r="D15043" s="3" t="s">
        <v>9</v>
      </c>
      <c r="E15043" s="3">
        <v>0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  <c r="O15043" s="3"/>
      <c r="P15043" s="3"/>
      <c r="Q15043" s="3"/>
    </row>
    <row r="15044" spans="1:17" ht="15" x14ac:dyDescent="0.25">
      <c r="A15044" s="3">
        <f>15037</f>
        <v>15037</v>
      </c>
      <c r="B15044" s="3" t="s">
        <v>15046</v>
      </c>
      <c r="C15044" s="3" t="s">
        <v>10</v>
      </c>
      <c r="D15044" s="3" t="s">
        <v>9</v>
      </c>
      <c r="E15044" s="3">
        <v>0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  <c r="O15044" s="3"/>
      <c r="P15044" s="3"/>
      <c r="Q15044" s="3"/>
    </row>
    <row r="15045" spans="1:17" ht="15" x14ac:dyDescent="0.25">
      <c r="A15045" s="3">
        <f>15038</f>
        <v>15038</v>
      </c>
      <c r="B15045" s="3" t="s">
        <v>15047</v>
      </c>
      <c r="C15045" s="3" t="s">
        <v>10</v>
      </c>
      <c r="D15045" s="3" t="s">
        <v>9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  <c r="O15045" s="3"/>
      <c r="P15045" s="3"/>
      <c r="Q15045" s="3"/>
    </row>
    <row r="15046" spans="1:17" ht="15" x14ac:dyDescent="0.25">
      <c r="A15046" s="3">
        <f>15039</f>
        <v>15039</v>
      </c>
      <c r="B15046" s="3" t="s">
        <v>15048</v>
      </c>
      <c r="C15046" s="3" t="s">
        <v>10</v>
      </c>
      <c r="D15046" s="3" t="s">
        <v>9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s="3"/>
      <c r="P15046" s="3"/>
      <c r="Q15046" s="3"/>
    </row>
    <row r="15047" spans="1:17" ht="15" x14ac:dyDescent="0.25">
      <c r="A15047" s="3">
        <f>15040</f>
        <v>15040</v>
      </c>
      <c r="B15047" s="3" t="s">
        <v>15049</v>
      </c>
      <c r="C15047" s="3" t="s">
        <v>10</v>
      </c>
      <c r="D15047" s="3" t="s">
        <v>9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  <c r="O15047" s="3"/>
      <c r="P15047" s="3"/>
      <c r="Q15047" s="3"/>
    </row>
    <row r="15048" spans="1:17" ht="15" x14ac:dyDescent="0.25">
      <c r="A15048" s="3">
        <f>15041</f>
        <v>15041</v>
      </c>
      <c r="B15048" s="3" t="s">
        <v>15050</v>
      </c>
      <c r="C15048" s="3" t="s">
        <v>10</v>
      </c>
      <c r="D15048" s="3" t="s">
        <v>9</v>
      </c>
      <c r="E15048" s="3">
        <v>0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  <c r="O15048" s="3"/>
      <c r="P15048" s="3"/>
      <c r="Q15048" s="3"/>
    </row>
    <row r="15049" spans="1:17" ht="15" x14ac:dyDescent="0.25">
      <c r="A15049" s="3">
        <f>15042</f>
        <v>15042</v>
      </c>
      <c r="B15049" s="3" t="s">
        <v>15051</v>
      </c>
      <c r="C15049" s="3" t="s">
        <v>10</v>
      </c>
      <c r="D15049" s="3" t="s">
        <v>9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s="3"/>
      <c r="P15049" s="3"/>
      <c r="Q15049" s="3"/>
    </row>
    <row r="15050" spans="1:17" ht="15" x14ac:dyDescent="0.25">
      <c r="A15050" s="3">
        <f>15043</f>
        <v>15043</v>
      </c>
      <c r="B15050" s="3" t="s">
        <v>15052</v>
      </c>
      <c r="C15050" s="3" t="s">
        <v>10</v>
      </c>
      <c r="D15050" s="3" t="s">
        <v>9</v>
      </c>
      <c r="E15050" s="3">
        <v>0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  <c r="O15050" s="3"/>
      <c r="P15050" s="3"/>
      <c r="Q15050" s="3"/>
    </row>
    <row r="15051" spans="1:17" ht="15" x14ac:dyDescent="0.25">
      <c r="A15051" s="3">
        <f>15044</f>
        <v>15044</v>
      </c>
      <c r="B15051" s="3" t="s">
        <v>15053</v>
      </c>
      <c r="C15051" s="3" t="s">
        <v>10</v>
      </c>
      <c r="D15051" s="3" t="s">
        <v>9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  <c r="O15051" s="3"/>
      <c r="P15051" s="3"/>
      <c r="Q15051" s="3"/>
    </row>
    <row r="15052" spans="1:17" ht="15" x14ac:dyDescent="0.25">
      <c r="A15052" s="3">
        <f>15045</f>
        <v>15045</v>
      </c>
      <c r="B15052" s="3" t="s">
        <v>15054</v>
      </c>
      <c r="C15052" s="3" t="s">
        <v>10</v>
      </c>
      <c r="D15052" s="3" t="s">
        <v>9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/>
      <c r="P15052" s="3"/>
      <c r="Q15052" s="3"/>
    </row>
    <row r="15053" spans="1:17" ht="15" x14ac:dyDescent="0.25">
      <c r="A15053" s="3">
        <f>15046</f>
        <v>15046</v>
      </c>
      <c r="B15053" s="3" t="s">
        <v>15055</v>
      </c>
      <c r="C15053" s="3" t="s">
        <v>10</v>
      </c>
      <c r="D15053" s="3" t="s">
        <v>9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s="3"/>
      <c r="P15053" s="3"/>
      <c r="Q15053" s="3"/>
    </row>
    <row r="15054" spans="1:17" ht="15" x14ac:dyDescent="0.25">
      <c r="A15054" s="3">
        <f>15047</f>
        <v>15047</v>
      </c>
      <c r="B15054" s="3" t="s">
        <v>15056</v>
      </c>
      <c r="C15054" s="3" t="s">
        <v>10</v>
      </c>
      <c r="D15054" s="3" t="s">
        <v>9</v>
      </c>
      <c r="E15054" s="3">
        <v>0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  <c r="O15054" s="3"/>
      <c r="P15054" s="3"/>
      <c r="Q15054" s="3"/>
    </row>
    <row r="15055" spans="1:17" ht="15" x14ac:dyDescent="0.25">
      <c r="A15055" s="3">
        <f>15048</f>
        <v>15048</v>
      </c>
      <c r="B15055" s="3" t="s">
        <v>15057</v>
      </c>
      <c r="C15055" s="3" t="s">
        <v>10</v>
      </c>
      <c r="D15055" s="3" t="s">
        <v>9</v>
      </c>
      <c r="E15055" s="3">
        <v>0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s="3"/>
      <c r="P15055" s="3"/>
      <c r="Q15055" s="3"/>
    </row>
    <row r="15056" spans="1:17" ht="15" x14ac:dyDescent="0.25">
      <c r="A15056" s="3">
        <f>15049</f>
        <v>15049</v>
      </c>
      <c r="B15056" s="3" t="s">
        <v>15058</v>
      </c>
      <c r="C15056" s="3" t="s">
        <v>10</v>
      </c>
      <c r="D15056" s="3" t="s">
        <v>9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s="3"/>
      <c r="P15056" s="3"/>
      <c r="Q15056" s="3"/>
    </row>
    <row r="15057" spans="1:17" ht="15" x14ac:dyDescent="0.25">
      <c r="A15057" s="3">
        <f>15050</f>
        <v>15050</v>
      </c>
      <c r="B15057" s="3" t="s">
        <v>15059</v>
      </c>
      <c r="C15057" s="3" t="s">
        <v>10</v>
      </c>
      <c r="D15057" s="3" t="s">
        <v>9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/>
      <c r="P15057" s="3"/>
      <c r="Q15057" s="3"/>
    </row>
    <row r="15058" spans="1:17" ht="15" x14ac:dyDescent="0.25">
      <c r="A15058" s="3">
        <f>15051</f>
        <v>15051</v>
      </c>
      <c r="B15058" s="3" t="s">
        <v>15060</v>
      </c>
      <c r="C15058" s="3" t="s">
        <v>10</v>
      </c>
      <c r="D15058" s="3" t="s">
        <v>9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/>
      <c r="P15058" s="3"/>
      <c r="Q15058" s="3"/>
    </row>
    <row r="15059" spans="1:17" ht="15" x14ac:dyDescent="0.25">
      <c r="A15059" s="3">
        <f>15052</f>
        <v>15052</v>
      </c>
      <c r="B15059" s="3" t="s">
        <v>15061</v>
      </c>
      <c r="C15059" s="3" t="s">
        <v>10</v>
      </c>
      <c r="D15059" s="3" t="s">
        <v>9</v>
      </c>
      <c r="E15059" s="3">
        <v>0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s="3"/>
      <c r="P15059" s="3"/>
      <c r="Q15059" s="3"/>
    </row>
    <row r="15060" spans="1:17" ht="15" x14ac:dyDescent="0.25">
      <c r="A15060" s="3">
        <f>15053</f>
        <v>15053</v>
      </c>
      <c r="B15060" s="3" t="s">
        <v>15062</v>
      </c>
      <c r="C15060" s="3" t="s">
        <v>10</v>
      </c>
      <c r="D15060" s="3" t="s">
        <v>9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s="3"/>
      <c r="P15060" s="3"/>
      <c r="Q15060" s="3"/>
    </row>
    <row r="15061" spans="1:17" ht="15" x14ac:dyDescent="0.25">
      <c r="A15061" s="3">
        <f>15054</f>
        <v>15054</v>
      </c>
      <c r="B15061" s="3" t="s">
        <v>15063</v>
      </c>
      <c r="C15061" s="3" t="s">
        <v>10</v>
      </c>
      <c r="D15061" s="3" t="s">
        <v>9</v>
      </c>
      <c r="E15061" s="3">
        <v>0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s="3"/>
      <c r="P15061" s="3"/>
      <c r="Q15061" s="3"/>
    </row>
    <row r="15062" spans="1:17" ht="15" x14ac:dyDescent="0.25">
      <c r="A15062" s="3">
        <f>15055</f>
        <v>15055</v>
      </c>
      <c r="B15062" s="3" t="s">
        <v>15064</v>
      </c>
      <c r="C15062" s="3" t="s">
        <v>10</v>
      </c>
      <c r="D15062" s="3" t="s">
        <v>9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0</v>
      </c>
      <c r="O15062" s="3"/>
      <c r="P15062" s="3"/>
      <c r="Q15062" s="3"/>
    </row>
    <row r="15063" spans="1:17" ht="15" x14ac:dyDescent="0.25">
      <c r="A15063" s="3">
        <f>15056</f>
        <v>15056</v>
      </c>
      <c r="B15063" s="3" t="s">
        <v>15065</v>
      </c>
      <c r="C15063" s="3" t="s">
        <v>10</v>
      </c>
      <c r="D15063" s="3" t="s">
        <v>9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/>
      <c r="P15063" s="3"/>
      <c r="Q15063" s="3"/>
    </row>
    <row r="15064" spans="1:17" ht="15" x14ac:dyDescent="0.25">
      <c r="A15064" s="3">
        <f>15057</f>
        <v>15057</v>
      </c>
      <c r="B15064" s="3" t="s">
        <v>15066</v>
      </c>
      <c r="C15064" s="3" t="s">
        <v>10</v>
      </c>
      <c r="D15064" s="3" t="s">
        <v>9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s="3"/>
      <c r="P15064" s="3"/>
      <c r="Q15064" s="3"/>
    </row>
    <row r="15065" spans="1:17" ht="15" x14ac:dyDescent="0.25">
      <c r="A15065" s="3">
        <f>15058</f>
        <v>15058</v>
      </c>
      <c r="B15065" s="3" t="s">
        <v>15067</v>
      </c>
      <c r="C15065" s="3" t="s">
        <v>10</v>
      </c>
      <c r="D15065" s="3" t="s">
        <v>9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s="3"/>
      <c r="P15065" s="3"/>
      <c r="Q15065" s="3"/>
    </row>
    <row r="15066" spans="1:17" ht="15" x14ac:dyDescent="0.25">
      <c r="A15066" s="3">
        <f>15059</f>
        <v>15059</v>
      </c>
      <c r="B15066" s="3" t="s">
        <v>15068</v>
      </c>
      <c r="C15066" s="3" t="s">
        <v>10</v>
      </c>
      <c r="D15066" s="3" t="s">
        <v>9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s="3"/>
      <c r="P15066" s="3"/>
      <c r="Q15066" s="3"/>
    </row>
    <row r="15067" spans="1:17" ht="15" x14ac:dyDescent="0.25">
      <c r="A15067" s="3">
        <f>15060</f>
        <v>15060</v>
      </c>
      <c r="B15067" s="3" t="s">
        <v>15069</v>
      </c>
      <c r="C15067" s="3" t="s">
        <v>10</v>
      </c>
      <c r="D15067" s="3" t="s">
        <v>9</v>
      </c>
      <c r="E15067" s="3">
        <v>0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s="3"/>
      <c r="P15067" s="3"/>
      <c r="Q15067" s="3"/>
    </row>
    <row r="15068" spans="1:17" ht="15" x14ac:dyDescent="0.25">
      <c r="A15068" s="3">
        <f>15061</f>
        <v>15061</v>
      </c>
      <c r="B15068" s="3" t="s">
        <v>15070</v>
      </c>
      <c r="C15068" s="3" t="s">
        <v>10</v>
      </c>
      <c r="D15068" s="3" t="s">
        <v>9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s="3"/>
      <c r="P15068" s="3"/>
      <c r="Q15068" s="3"/>
    </row>
    <row r="15069" spans="1:17" ht="15" x14ac:dyDescent="0.25">
      <c r="A15069" s="3">
        <f>15062</f>
        <v>15062</v>
      </c>
      <c r="B15069" s="3" t="s">
        <v>15071</v>
      </c>
      <c r="C15069" s="3" t="s">
        <v>10</v>
      </c>
      <c r="D15069" s="3" t="s">
        <v>9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/>
      <c r="P15069" s="3"/>
      <c r="Q15069" s="3"/>
    </row>
    <row r="15070" spans="1:17" ht="15" x14ac:dyDescent="0.25">
      <c r="A15070" s="3">
        <f>15063</f>
        <v>15063</v>
      </c>
      <c r="B15070" s="3" t="s">
        <v>15072</v>
      </c>
      <c r="C15070" s="3" t="s">
        <v>10</v>
      </c>
      <c r="D15070" s="3" t="s">
        <v>9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  <c r="O15070" s="3"/>
      <c r="P15070" s="3"/>
      <c r="Q15070" s="3"/>
    </row>
    <row r="15071" spans="1:17" ht="15" x14ac:dyDescent="0.25">
      <c r="A15071" s="3">
        <f>15064</f>
        <v>15064</v>
      </c>
      <c r="B15071" s="3" t="s">
        <v>15073</v>
      </c>
      <c r="C15071" s="3" t="s">
        <v>10</v>
      </c>
      <c r="D15071" s="3" t="s">
        <v>9</v>
      </c>
      <c r="E15071" s="3">
        <v>0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s="3"/>
      <c r="P15071" s="3"/>
      <c r="Q15071" s="3"/>
    </row>
    <row r="15072" spans="1:17" ht="15" x14ac:dyDescent="0.25">
      <c r="A15072" s="3">
        <f>15065</f>
        <v>15065</v>
      </c>
      <c r="B15072" s="3" t="s">
        <v>15074</v>
      </c>
      <c r="C15072" s="3" t="s">
        <v>10</v>
      </c>
      <c r="D15072" s="3" t="s">
        <v>9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/>
      <c r="P15072" s="3"/>
      <c r="Q15072" s="3"/>
    </row>
    <row r="15073" spans="1:17" ht="15" x14ac:dyDescent="0.25">
      <c r="A15073" s="3">
        <f>15066</f>
        <v>15066</v>
      </c>
      <c r="B15073" s="3" t="s">
        <v>15075</v>
      </c>
      <c r="C15073" s="3" t="s">
        <v>10</v>
      </c>
      <c r="D15073" s="3" t="s">
        <v>9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s="3"/>
      <c r="P15073" s="3"/>
      <c r="Q15073" s="3"/>
    </row>
    <row r="15074" spans="1:17" ht="15" x14ac:dyDescent="0.25">
      <c r="A15074" s="3">
        <f>15067</f>
        <v>15067</v>
      </c>
      <c r="B15074" s="3" t="s">
        <v>15076</v>
      </c>
      <c r="C15074" s="3" t="s">
        <v>10</v>
      </c>
      <c r="D15074" s="3" t="s">
        <v>9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s="3"/>
      <c r="P15074" s="3"/>
      <c r="Q15074" s="3"/>
    </row>
    <row r="15075" spans="1:17" ht="15" x14ac:dyDescent="0.25">
      <c r="A15075" s="3">
        <f>15068</f>
        <v>15068</v>
      </c>
      <c r="B15075" s="3" t="s">
        <v>15077</v>
      </c>
      <c r="C15075" s="3" t="s">
        <v>10</v>
      </c>
      <c r="D15075" s="3" t="s">
        <v>9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  <c r="O15075" s="3"/>
      <c r="P15075" s="3"/>
      <c r="Q15075" s="3"/>
    </row>
    <row r="15076" spans="1:17" ht="15" x14ac:dyDescent="0.25">
      <c r="A15076" s="3">
        <f>15069</f>
        <v>15069</v>
      </c>
      <c r="B15076" s="3" t="s">
        <v>15078</v>
      </c>
      <c r="C15076" s="3" t="s">
        <v>10</v>
      </c>
      <c r="D15076" s="3" t="s">
        <v>9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/>
      <c r="P15076" s="3"/>
      <c r="Q15076" s="3"/>
    </row>
    <row r="15077" spans="1:17" ht="15" x14ac:dyDescent="0.25">
      <c r="A15077" s="3">
        <f>15070</f>
        <v>15070</v>
      </c>
      <c r="B15077" s="3" t="s">
        <v>15079</v>
      </c>
      <c r="C15077" s="3" t="s">
        <v>10</v>
      </c>
      <c r="D15077" s="3" t="s">
        <v>9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/>
      <c r="P15077" s="3"/>
      <c r="Q15077" s="3"/>
    </row>
    <row r="15078" spans="1:17" ht="15" x14ac:dyDescent="0.25">
      <c r="A15078" s="3">
        <f>15071</f>
        <v>15071</v>
      </c>
      <c r="B15078" s="3" t="s">
        <v>15080</v>
      </c>
      <c r="C15078" s="3" t="s">
        <v>10</v>
      </c>
      <c r="D15078" s="3" t="s">
        <v>9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  <c r="O15078" s="3"/>
      <c r="P15078" s="3"/>
      <c r="Q15078" s="3"/>
    </row>
    <row r="15079" spans="1:17" ht="15" x14ac:dyDescent="0.25">
      <c r="A15079" s="3">
        <f>15072</f>
        <v>15072</v>
      </c>
      <c r="B15079" s="3" t="s">
        <v>15081</v>
      </c>
      <c r="C15079" s="3" t="s">
        <v>10</v>
      </c>
      <c r="D15079" s="3" t="s">
        <v>9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/>
      <c r="P15079" s="3"/>
      <c r="Q15079" s="3"/>
    </row>
    <row r="15080" spans="1:17" ht="15" x14ac:dyDescent="0.25">
      <c r="A15080" s="3">
        <f>15073</f>
        <v>15073</v>
      </c>
      <c r="B15080" s="3" t="s">
        <v>15082</v>
      </c>
      <c r="C15080" s="3" t="s">
        <v>10</v>
      </c>
      <c r="D15080" s="3" t="s">
        <v>9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/>
      <c r="P15080" s="3"/>
      <c r="Q15080" s="3"/>
    </row>
    <row r="15081" spans="1:17" ht="15" x14ac:dyDescent="0.25">
      <c r="A15081" s="3">
        <f>15074</f>
        <v>15074</v>
      </c>
      <c r="B15081" s="3" t="s">
        <v>15083</v>
      </c>
      <c r="C15081" s="3" t="s">
        <v>10</v>
      </c>
      <c r="D15081" s="3" t="s">
        <v>9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s="3"/>
      <c r="P15081" s="3"/>
      <c r="Q15081" s="3"/>
    </row>
    <row r="15082" spans="1:17" ht="15" x14ac:dyDescent="0.25">
      <c r="A15082" s="3">
        <f>15075</f>
        <v>15075</v>
      </c>
      <c r="B15082" s="3" t="s">
        <v>15084</v>
      </c>
      <c r="C15082" s="3" t="s">
        <v>10</v>
      </c>
      <c r="D15082" s="3" t="s">
        <v>9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/>
      <c r="P15082" s="3"/>
      <c r="Q15082" s="3"/>
    </row>
    <row r="15083" spans="1:17" ht="15" x14ac:dyDescent="0.25">
      <c r="A15083" s="3">
        <f>15076</f>
        <v>15076</v>
      </c>
      <c r="B15083" s="3" t="s">
        <v>15085</v>
      </c>
      <c r="C15083" s="3" t="s">
        <v>10</v>
      </c>
      <c r="D15083" s="3" t="s">
        <v>9</v>
      </c>
      <c r="E15083" s="3">
        <v>0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  <c r="O15083" s="3"/>
      <c r="P15083" s="3"/>
      <c r="Q15083" s="3"/>
    </row>
    <row r="15084" spans="1:17" ht="15" x14ac:dyDescent="0.25">
      <c r="A15084" s="3">
        <f>15077</f>
        <v>15077</v>
      </c>
      <c r="B15084" s="3" t="s">
        <v>15086</v>
      </c>
      <c r="C15084" s="3" t="s">
        <v>10</v>
      </c>
      <c r="D15084" s="3" t="s">
        <v>9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  <c r="O15084" s="3"/>
      <c r="P15084" s="3"/>
      <c r="Q15084" s="3"/>
    </row>
    <row r="15085" spans="1:17" ht="15" x14ac:dyDescent="0.25">
      <c r="A15085" s="3">
        <f>15078</f>
        <v>15078</v>
      </c>
      <c r="B15085" s="3" t="s">
        <v>15087</v>
      </c>
      <c r="C15085" s="3" t="s">
        <v>10</v>
      </c>
      <c r="D15085" s="3" t="s">
        <v>9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/>
      <c r="P15085" s="3"/>
      <c r="Q15085" s="3"/>
    </row>
    <row r="15086" spans="1:17" ht="15" x14ac:dyDescent="0.25">
      <c r="A15086" s="3">
        <f>15079</f>
        <v>15079</v>
      </c>
      <c r="B15086" s="3" t="s">
        <v>15088</v>
      </c>
      <c r="C15086" s="3" t="s">
        <v>10</v>
      </c>
      <c r="D15086" s="3" t="s">
        <v>9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  <c r="O15086" s="3"/>
      <c r="P15086" s="3"/>
      <c r="Q15086" s="3"/>
    </row>
    <row r="15087" spans="1:17" ht="15" x14ac:dyDescent="0.25">
      <c r="A15087" s="3">
        <f>15080</f>
        <v>15080</v>
      </c>
      <c r="B15087" s="3" t="s">
        <v>15089</v>
      </c>
      <c r="C15087" s="3" t="s">
        <v>10</v>
      </c>
      <c r="D15087" s="3" t="s">
        <v>9</v>
      </c>
      <c r="E15087" s="3">
        <v>0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/>
      <c r="P15087" s="3"/>
      <c r="Q15087" s="3"/>
    </row>
    <row r="15088" spans="1:17" ht="15" x14ac:dyDescent="0.25">
      <c r="A15088" s="3">
        <f>15081</f>
        <v>15081</v>
      </c>
      <c r="B15088" s="3" t="s">
        <v>15090</v>
      </c>
      <c r="C15088" s="3" t="s">
        <v>10</v>
      </c>
      <c r="D15088" s="3" t="s">
        <v>9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  <c r="O15088" s="3"/>
      <c r="P15088" s="3"/>
      <c r="Q15088" s="3"/>
    </row>
    <row r="15089" spans="1:17" ht="15" x14ac:dyDescent="0.25">
      <c r="A15089" s="3">
        <f>15082</f>
        <v>15082</v>
      </c>
      <c r="B15089" s="3" t="s">
        <v>15091</v>
      </c>
      <c r="C15089" s="3" t="s">
        <v>10</v>
      </c>
      <c r="D15089" s="3" t="s">
        <v>9</v>
      </c>
      <c r="E15089" s="3">
        <v>0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/>
      <c r="P15089" s="3"/>
      <c r="Q15089" s="3"/>
    </row>
    <row r="15090" spans="1:17" ht="15" x14ac:dyDescent="0.25">
      <c r="A15090" s="3">
        <f>15083</f>
        <v>15083</v>
      </c>
      <c r="B15090" s="3" t="s">
        <v>15092</v>
      </c>
      <c r="C15090" s="3" t="s">
        <v>10</v>
      </c>
      <c r="D15090" s="3" t="s">
        <v>9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s="3"/>
      <c r="P15090" s="3"/>
      <c r="Q15090" s="3"/>
    </row>
    <row r="15091" spans="1:17" ht="15" x14ac:dyDescent="0.25">
      <c r="A15091" s="3">
        <f>15084</f>
        <v>15084</v>
      </c>
      <c r="B15091" s="3" t="s">
        <v>15093</v>
      </c>
      <c r="C15091" s="3" t="s">
        <v>10</v>
      </c>
      <c r="D15091" s="3" t="s">
        <v>9</v>
      </c>
      <c r="E15091" s="3">
        <v>0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s="3"/>
      <c r="P15091" s="3"/>
      <c r="Q15091" s="3"/>
    </row>
    <row r="15092" spans="1:17" ht="15" x14ac:dyDescent="0.25">
      <c r="A15092" s="3">
        <f>15085</f>
        <v>15085</v>
      </c>
      <c r="B15092" s="3" t="s">
        <v>15094</v>
      </c>
      <c r="C15092" s="3" t="s">
        <v>10</v>
      </c>
      <c r="D15092" s="3" t="s">
        <v>9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/>
      <c r="P15092" s="3"/>
      <c r="Q15092" s="3"/>
    </row>
    <row r="15093" spans="1:17" ht="15" x14ac:dyDescent="0.25">
      <c r="A15093" s="3">
        <f>15086</f>
        <v>15086</v>
      </c>
      <c r="B15093" s="3" t="s">
        <v>15095</v>
      </c>
      <c r="C15093" s="3" t="s">
        <v>10</v>
      </c>
      <c r="D15093" s="3" t="s">
        <v>9</v>
      </c>
      <c r="E15093" s="3">
        <v>0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/>
      <c r="P15093" s="3"/>
      <c r="Q15093" s="3"/>
    </row>
    <row r="15094" spans="1:17" ht="15" x14ac:dyDescent="0.25">
      <c r="A15094" s="3">
        <f>15087</f>
        <v>15087</v>
      </c>
      <c r="B15094" s="3" t="s">
        <v>15096</v>
      </c>
      <c r="C15094" s="3" t="s">
        <v>10</v>
      </c>
      <c r="D15094" s="3" t="s">
        <v>9</v>
      </c>
      <c r="E15094" s="3">
        <v>0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/>
      <c r="P15094" s="3"/>
      <c r="Q15094" s="3"/>
    </row>
    <row r="15095" spans="1:17" ht="15" x14ac:dyDescent="0.25">
      <c r="A15095" s="3">
        <f>15088</f>
        <v>15088</v>
      </c>
      <c r="B15095" s="3" t="s">
        <v>15097</v>
      </c>
      <c r="C15095" s="3" t="s">
        <v>10</v>
      </c>
      <c r="D15095" s="3" t="s">
        <v>9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s="3"/>
      <c r="P15095" s="3"/>
      <c r="Q15095" s="3"/>
    </row>
    <row r="15096" spans="1:17" ht="15" x14ac:dyDescent="0.25">
      <c r="A15096" s="3">
        <f>15089</f>
        <v>15089</v>
      </c>
      <c r="B15096" s="3" t="s">
        <v>15098</v>
      </c>
      <c r="C15096" s="3" t="s">
        <v>10</v>
      </c>
      <c r="D15096" s="3" t="s">
        <v>9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/>
      <c r="P15096" s="3"/>
      <c r="Q15096" s="3"/>
    </row>
    <row r="15097" spans="1:17" ht="15" x14ac:dyDescent="0.25">
      <c r="A15097" s="3">
        <f>15090</f>
        <v>15090</v>
      </c>
      <c r="B15097" s="3" t="s">
        <v>15099</v>
      </c>
      <c r="C15097" s="3" t="s">
        <v>10</v>
      </c>
      <c r="D15097" s="3" t="s">
        <v>9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s="3"/>
      <c r="P15097" s="3"/>
      <c r="Q15097" s="3"/>
    </row>
    <row r="15098" spans="1:17" ht="15" x14ac:dyDescent="0.25">
      <c r="A15098" s="3">
        <f>15091</f>
        <v>15091</v>
      </c>
      <c r="B15098" s="3" t="s">
        <v>15100</v>
      </c>
      <c r="C15098" s="3" t="s">
        <v>10</v>
      </c>
      <c r="D15098" s="3" t="s">
        <v>9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/>
      <c r="P15098" s="3"/>
      <c r="Q15098" s="3"/>
    </row>
    <row r="15099" spans="1:17" ht="15" x14ac:dyDescent="0.25">
      <c r="A15099" s="3">
        <f>15092</f>
        <v>15092</v>
      </c>
      <c r="B15099" s="3" t="s">
        <v>15101</v>
      </c>
      <c r="C15099" s="3" t="s">
        <v>10</v>
      </c>
      <c r="D15099" s="3" t="s">
        <v>9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  <c r="O15099" s="3"/>
      <c r="P15099" s="3"/>
      <c r="Q15099" s="3"/>
    </row>
    <row r="15100" spans="1:17" ht="15" x14ac:dyDescent="0.25">
      <c r="A15100" s="3">
        <f>15093</f>
        <v>15093</v>
      </c>
      <c r="B15100" s="3" t="s">
        <v>15102</v>
      </c>
      <c r="C15100" s="3" t="s">
        <v>10</v>
      </c>
      <c r="D15100" s="3" t="s">
        <v>9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s="3"/>
      <c r="P15100" s="3"/>
      <c r="Q15100" s="3"/>
    </row>
    <row r="15101" spans="1:17" ht="15" x14ac:dyDescent="0.25">
      <c r="A15101" s="3">
        <f>15094</f>
        <v>15094</v>
      </c>
      <c r="B15101" s="3" t="s">
        <v>15103</v>
      </c>
      <c r="C15101" s="3" t="s">
        <v>10</v>
      </c>
      <c r="D15101" s="3" t="s">
        <v>9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/>
      <c r="P15101" s="3"/>
      <c r="Q15101" s="3"/>
    </row>
    <row r="15102" spans="1:17" ht="15" x14ac:dyDescent="0.25">
      <c r="A15102" s="3">
        <f>15095</f>
        <v>15095</v>
      </c>
      <c r="B15102" s="3" t="s">
        <v>15104</v>
      </c>
      <c r="C15102" s="3" t="s">
        <v>10</v>
      </c>
      <c r="D15102" s="3" t="s">
        <v>9</v>
      </c>
      <c r="E15102" s="3">
        <v>0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s="3"/>
      <c r="P15102" s="3"/>
      <c r="Q15102" s="3"/>
    </row>
    <row r="15103" spans="1:17" ht="15" x14ac:dyDescent="0.25">
      <c r="A15103" s="3">
        <f>15096</f>
        <v>15096</v>
      </c>
      <c r="B15103" s="3" t="s">
        <v>15105</v>
      </c>
      <c r="C15103" s="3" t="s">
        <v>10</v>
      </c>
      <c r="D15103" s="3" t="s">
        <v>9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/>
      <c r="P15103" s="3"/>
      <c r="Q15103" s="3"/>
    </row>
    <row r="15104" spans="1:17" ht="15" x14ac:dyDescent="0.25">
      <c r="A15104" s="3">
        <f>15097</f>
        <v>15097</v>
      </c>
      <c r="B15104" s="3" t="s">
        <v>15106</v>
      </c>
      <c r="C15104" s="3" t="s">
        <v>10</v>
      </c>
      <c r="D15104" s="3" t="s">
        <v>9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s="3"/>
      <c r="P15104" s="3"/>
      <c r="Q15104" s="3"/>
    </row>
    <row r="15105" spans="1:17" ht="15" x14ac:dyDescent="0.25">
      <c r="A15105" s="3">
        <f>15098</f>
        <v>15098</v>
      </c>
      <c r="B15105" s="3" t="s">
        <v>15107</v>
      </c>
      <c r="C15105" s="3" t="s">
        <v>10</v>
      </c>
      <c r="D15105" s="3" t="s">
        <v>9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/>
      <c r="P15105" s="3"/>
      <c r="Q15105" s="3"/>
    </row>
    <row r="15106" spans="1:17" ht="15" x14ac:dyDescent="0.25">
      <c r="A15106" s="3">
        <f>15099</f>
        <v>15099</v>
      </c>
      <c r="B15106" s="3" t="s">
        <v>15108</v>
      </c>
      <c r="C15106" s="3" t="s">
        <v>10</v>
      </c>
      <c r="D15106" s="3" t="s">
        <v>9</v>
      </c>
      <c r="E15106" s="3">
        <v>0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/>
      <c r="P15106" s="3"/>
      <c r="Q15106" s="3"/>
    </row>
    <row r="15107" spans="1:17" ht="15" x14ac:dyDescent="0.25">
      <c r="A15107" s="3">
        <f>15100</f>
        <v>15100</v>
      </c>
      <c r="B15107" s="3" t="s">
        <v>15109</v>
      </c>
      <c r="C15107" s="3" t="s">
        <v>10</v>
      </c>
      <c r="D15107" s="3" t="s">
        <v>9</v>
      </c>
      <c r="E15107" s="3">
        <v>0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  <c r="O15107" s="3"/>
      <c r="P15107" s="3"/>
      <c r="Q15107" s="3"/>
    </row>
    <row r="15108" spans="1:17" ht="15" x14ac:dyDescent="0.25">
      <c r="A15108" s="3">
        <f>15101</f>
        <v>15101</v>
      </c>
      <c r="B15108" s="3" t="s">
        <v>15110</v>
      </c>
      <c r="C15108" s="3" t="s">
        <v>10</v>
      </c>
      <c r="D15108" s="3" t="s">
        <v>9</v>
      </c>
      <c r="E15108" s="3">
        <v>0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s="3"/>
      <c r="P15108" s="3"/>
      <c r="Q15108" s="3"/>
    </row>
    <row r="15109" spans="1:17" ht="15" x14ac:dyDescent="0.25">
      <c r="A15109" s="3">
        <f>15102</f>
        <v>15102</v>
      </c>
      <c r="B15109" s="3" t="s">
        <v>15111</v>
      </c>
      <c r="C15109" s="3" t="s">
        <v>10</v>
      </c>
      <c r="D15109" s="3" t="s">
        <v>9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/>
      <c r="P15109" s="3"/>
      <c r="Q15109" s="3"/>
    </row>
    <row r="15110" spans="1:17" ht="15" x14ac:dyDescent="0.25">
      <c r="A15110" s="3">
        <f>15103</f>
        <v>15103</v>
      </c>
      <c r="B15110" s="3" t="s">
        <v>15112</v>
      </c>
      <c r="C15110" s="3" t="s">
        <v>10</v>
      </c>
      <c r="D15110" s="3" t="s">
        <v>9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/>
      <c r="P15110" s="3"/>
      <c r="Q15110" s="3"/>
    </row>
    <row r="15111" spans="1:17" ht="15" x14ac:dyDescent="0.25">
      <c r="A15111" s="3">
        <f>15104</f>
        <v>15104</v>
      </c>
      <c r="B15111" s="3" t="s">
        <v>15113</v>
      </c>
      <c r="C15111" s="3" t="s">
        <v>10</v>
      </c>
      <c r="D15111" s="3" t="s">
        <v>9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/>
      <c r="P15111" s="3"/>
      <c r="Q15111" s="3"/>
    </row>
    <row r="15112" spans="1:17" ht="15" x14ac:dyDescent="0.25">
      <c r="A15112" s="3">
        <f>15105</f>
        <v>15105</v>
      </c>
      <c r="B15112" s="3" t="s">
        <v>15114</v>
      </c>
      <c r="C15112" s="3" t="s">
        <v>10</v>
      </c>
      <c r="D15112" s="3" t="s">
        <v>9</v>
      </c>
      <c r="E15112" s="3">
        <v>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/>
      <c r="P15112" s="3"/>
      <c r="Q15112" s="3"/>
    </row>
    <row r="15113" spans="1:17" ht="15" x14ac:dyDescent="0.25">
      <c r="A15113" s="3">
        <f>15106</f>
        <v>15106</v>
      </c>
      <c r="B15113" s="3" t="s">
        <v>15115</v>
      </c>
      <c r="C15113" s="3" t="s">
        <v>10</v>
      </c>
      <c r="D15113" s="3" t="s">
        <v>9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/>
      <c r="P15113" s="3"/>
      <c r="Q15113" s="3"/>
    </row>
    <row r="15114" spans="1:17" ht="15" x14ac:dyDescent="0.25">
      <c r="A15114" s="3">
        <f>15107</f>
        <v>15107</v>
      </c>
      <c r="B15114" s="3" t="s">
        <v>15116</v>
      </c>
      <c r="C15114" s="3" t="s">
        <v>10</v>
      </c>
      <c r="D15114" s="3" t="s">
        <v>9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/>
      <c r="P15114" s="3"/>
      <c r="Q15114" s="3"/>
    </row>
    <row r="15115" spans="1:17" ht="15" x14ac:dyDescent="0.25">
      <c r="A15115" s="3">
        <f>15108</f>
        <v>15108</v>
      </c>
      <c r="B15115" s="3" t="s">
        <v>15117</v>
      </c>
      <c r="C15115" s="3" t="s">
        <v>10</v>
      </c>
      <c r="D15115" s="3" t="s">
        <v>9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/>
      <c r="P15115" s="3"/>
      <c r="Q15115" s="3"/>
    </row>
    <row r="15116" spans="1:17" ht="15" x14ac:dyDescent="0.25">
      <c r="A15116" s="3">
        <f>15109</f>
        <v>15109</v>
      </c>
      <c r="B15116" s="3" t="s">
        <v>15118</v>
      </c>
      <c r="C15116" s="3" t="s">
        <v>10</v>
      </c>
      <c r="D15116" s="3" t="s">
        <v>9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/>
      <c r="P15116" s="3"/>
      <c r="Q15116" s="3"/>
    </row>
    <row r="15117" spans="1:17" ht="15" x14ac:dyDescent="0.25">
      <c r="A15117" s="3">
        <f>15110</f>
        <v>15110</v>
      </c>
      <c r="B15117" s="3" t="s">
        <v>15119</v>
      </c>
      <c r="C15117" s="3" t="s">
        <v>10</v>
      </c>
      <c r="D15117" s="3" t="s">
        <v>9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/>
      <c r="P15117" s="3"/>
      <c r="Q15117" s="3"/>
    </row>
    <row r="15118" spans="1:17" ht="15" x14ac:dyDescent="0.25">
      <c r="A15118" s="3">
        <f>15111</f>
        <v>15111</v>
      </c>
      <c r="B15118" s="3" t="s">
        <v>15120</v>
      </c>
      <c r="C15118" s="3" t="s">
        <v>10</v>
      </c>
      <c r="D15118" s="3" t="s">
        <v>9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/>
      <c r="P15118" s="3"/>
      <c r="Q15118" s="3"/>
    </row>
    <row r="15119" spans="1:17" ht="15" x14ac:dyDescent="0.25">
      <c r="A15119" s="3">
        <f>15112</f>
        <v>15112</v>
      </c>
      <c r="B15119" s="3" t="s">
        <v>15121</v>
      </c>
      <c r="C15119" s="3" t="s">
        <v>10</v>
      </c>
      <c r="D15119" s="3" t="s">
        <v>9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/>
      <c r="P15119" s="3"/>
      <c r="Q15119" s="3"/>
    </row>
    <row r="15120" spans="1:17" ht="15" x14ac:dyDescent="0.25">
      <c r="A15120" s="3">
        <f>15113</f>
        <v>15113</v>
      </c>
      <c r="B15120" s="3" t="s">
        <v>15122</v>
      </c>
      <c r="C15120" s="3" t="s">
        <v>10</v>
      </c>
      <c r="D15120" s="3" t="s">
        <v>9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/>
      <c r="P15120" s="3"/>
      <c r="Q15120" s="3"/>
    </row>
    <row r="15121" spans="1:17" ht="15" x14ac:dyDescent="0.25">
      <c r="A15121" s="3">
        <f>15114</f>
        <v>15114</v>
      </c>
      <c r="B15121" s="3" t="s">
        <v>15123</v>
      </c>
      <c r="C15121" s="3" t="s">
        <v>10</v>
      </c>
      <c r="D15121" s="3" t="s">
        <v>9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/>
      <c r="P15121" s="3"/>
      <c r="Q15121" s="3"/>
    </row>
    <row r="15122" spans="1:17" ht="15" x14ac:dyDescent="0.25">
      <c r="A15122" s="3">
        <f>15115</f>
        <v>15115</v>
      </c>
      <c r="B15122" s="3" t="s">
        <v>15124</v>
      </c>
      <c r="C15122" s="3" t="s">
        <v>10</v>
      </c>
      <c r="D15122" s="3" t="s">
        <v>9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/>
      <c r="P15122" s="3"/>
      <c r="Q15122" s="3"/>
    </row>
    <row r="15123" spans="1:17" ht="15" x14ac:dyDescent="0.25">
      <c r="A15123" s="3">
        <f>15116</f>
        <v>15116</v>
      </c>
      <c r="B15123" s="3" t="s">
        <v>15125</v>
      </c>
      <c r="C15123" s="3" t="s">
        <v>10</v>
      </c>
      <c r="D15123" s="3" t="s">
        <v>9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s="3"/>
      <c r="P15123" s="3"/>
      <c r="Q15123" s="3"/>
    </row>
    <row r="15124" spans="1:17" ht="15" x14ac:dyDescent="0.25">
      <c r="A15124" s="3">
        <f>15117</f>
        <v>15117</v>
      </c>
      <c r="B15124" s="3" t="s">
        <v>15126</v>
      </c>
      <c r="C15124" s="3" t="s">
        <v>10</v>
      </c>
      <c r="D15124" s="3" t="s">
        <v>9</v>
      </c>
      <c r="E15124" s="3">
        <v>0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/>
      <c r="P15124" s="3"/>
      <c r="Q15124" s="3"/>
    </row>
    <row r="15125" spans="1:17" ht="15" x14ac:dyDescent="0.25">
      <c r="A15125" s="3">
        <f>15118</f>
        <v>15118</v>
      </c>
      <c r="B15125" s="3" t="s">
        <v>15127</v>
      </c>
      <c r="C15125" s="3" t="s">
        <v>9</v>
      </c>
      <c r="D15125" s="3" t="s">
        <v>10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0</v>
      </c>
      <c r="O15125" s="3"/>
      <c r="P15125" s="3"/>
      <c r="Q15125" s="3"/>
    </row>
    <row r="15126" spans="1:17" ht="15" x14ac:dyDescent="0.25">
      <c r="A15126" s="3">
        <f>15119</f>
        <v>15119</v>
      </c>
      <c r="B15126" s="3" t="s">
        <v>15128</v>
      </c>
      <c r="C15126" s="3" t="s">
        <v>9</v>
      </c>
      <c r="D15126" s="3" t="s">
        <v>10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/>
      <c r="P15126" s="3"/>
      <c r="Q15126" s="3"/>
    </row>
    <row r="15127" spans="1:17" ht="15" x14ac:dyDescent="0.25">
      <c r="A15127" s="3">
        <f>15120</f>
        <v>15120</v>
      </c>
      <c r="B15127" s="3" t="s">
        <v>15129</v>
      </c>
      <c r="C15127" s="3" t="s">
        <v>10</v>
      </c>
      <c r="D15127" s="3" t="s">
        <v>9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/>
      <c r="P15127" s="3"/>
      <c r="Q15127" s="3"/>
    </row>
    <row r="15128" spans="1:17" ht="15" x14ac:dyDescent="0.25">
      <c r="A15128" s="3">
        <f>15121</f>
        <v>15121</v>
      </c>
      <c r="B15128" s="3" t="s">
        <v>15130</v>
      </c>
      <c r="C15128" s="3" t="s">
        <v>10</v>
      </c>
      <c r="D15128" s="3" t="s">
        <v>9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/>
      <c r="P15128" s="3"/>
      <c r="Q15128" s="3"/>
    </row>
    <row r="15129" spans="1:17" ht="15" x14ac:dyDescent="0.25">
      <c r="A15129" s="3">
        <f>15122</f>
        <v>15122</v>
      </c>
      <c r="B15129" s="3" t="s">
        <v>15131</v>
      </c>
      <c r="C15129" s="3" t="s">
        <v>10</v>
      </c>
      <c r="D15129" s="3" t="s">
        <v>9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s="3"/>
      <c r="P15129" s="3"/>
      <c r="Q15129" s="3"/>
    </row>
    <row r="15130" spans="1:17" ht="15" x14ac:dyDescent="0.25">
      <c r="A15130" s="3">
        <f>15123</f>
        <v>15123</v>
      </c>
      <c r="B15130" s="3" t="s">
        <v>15132</v>
      </c>
      <c r="C15130" s="3" t="s">
        <v>10</v>
      </c>
      <c r="D15130" s="3" t="s">
        <v>9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s="3"/>
      <c r="P15130" s="3"/>
      <c r="Q15130" s="3"/>
    </row>
    <row r="15131" spans="1:17" ht="15" x14ac:dyDescent="0.25">
      <c r="A15131" s="3">
        <f>15124</f>
        <v>15124</v>
      </c>
      <c r="B15131" s="3" t="s">
        <v>15133</v>
      </c>
      <c r="C15131" s="3" t="s">
        <v>10</v>
      </c>
      <c r="D15131" s="3" t="s">
        <v>9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s="3"/>
      <c r="P15131" s="3"/>
      <c r="Q15131" s="3"/>
    </row>
    <row r="15132" spans="1:17" ht="15" x14ac:dyDescent="0.25">
      <c r="A15132" s="3">
        <f>15125</f>
        <v>15125</v>
      </c>
      <c r="B15132" s="3" t="s">
        <v>15134</v>
      </c>
      <c r="C15132" s="3" t="s">
        <v>10</v>
      </c>
      <c r="D15132" s="3" t="s">
        <v>9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s="3"/>
      <c r="P15132" s="3"/>
      <c r="Q15132" s="3"/>
    </row>
    <row r="15133" spans="1:17" ht="15" x14ac:dyDescent="0.25">
      <c r="A15133" s="3">
        <f>15126</f>
        <v>15126</v>
      </c>
      <c r="B15133" s="3" t="s">
        <v>15135</v>
      </c>
      <c r="C15133" s="3" t="s">
        <v>10</v>
      </c>
      <c r="D15133" s="3" t="s">
        <v>9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s="3"/>
      <c r="P15133" s="3"/>
      <c r="Q15133" s="3"/>
    </row>
    <row r="15134" spans="1:17" ht="15" x14ac:dyDescent="0.25">
      <c r="A15134" s="3">
        <f>15127</f>
        <v>15127</v>
      </c>
      <c r="B15134" s="3" t="s">
        <v>15136</v>
      </c>
      <c r="C15134" s="3" t="s">
        <v>10</v>
      </c>
      <c r="D15134" s="3" t="s">
        <v>9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s="3"/>
      <c r="P15134" s="3"/>
      <c r="Q15134" s="3"/>
    </row>
    <row r="15135" spans="1:17" ht="15" x14ac:dyDescent="0.25">
      <c r="A15135" s="3">
        <f>15128</f>
        <v>15128</v>
      </c>
      <c r="B15135" s="3" t="s">
        <v>15137</v>
      </c>
      <c r="C15135" s="3" t="s">
        <v>10</v>
      </c>
      <c r="D15135" s="3" t="s">
        <v>9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s="3"/>
      <c r="P15135" s="3"/>
      <c r="Q15135" s="3"/>
    </row>
    <row r="15136" spans="1:17" ht="15" x14ac:dyDescent="0.25">
      <c r="A15136" s="3">
        <f>15129</f>
        <v>15129</v>
      </c>
      <c r="B15136" s="3" t="s">
        <v>15138</v>
      </c>
      <c r="C15136" s="3" t="s">
        <v>10</v>
      </c>
      <c r="D15136" s="3" t="s">
        <v>9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s="3"/>
      <c r="P15136" s="3"/>
      <c r="Q15136" s="3"/>
    </row>
    <row r="15137" spans="1:17" ht="15" x14ac:dyDescent="0.25">
      <c r="A15137" s="3">
        <f>15130</f>
        <v>15130</v>
      </c>
      <c r="B15137" s="3" t="s">
        <v>15139</v>
      </c>
      <c r="C15137" s="3" t="s">
        <v>10</v>
      </c>
      <c r="D15137" s="3" t="s">
        <v>9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/>
      <c r="P15137" s="3"/>
      <c r="Q15137" s="3"/>
    </row>
    <row r="15138" spans="1:17" ht="15" x14ac:dyDescent="0.25">
      <c r="A15138" s="3">
        <f>15131</f>
        <v>15131</v>
      </c>
      <c r="B15138" s="3" t="s">
        <v>15140</v>
      </c>
      <c r="C15138" s="3" t="s">
        <v>10</v>
      </c>
      <c r="D15138" s="3" t="s">
        <v>9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/>
      <c r="P15138" s="3"/>
      <c r="Q15138" s="3"/>
    </row>
    <row r="15139" spans="1:17" ht="15" x14ac:dyDescent="0.25">
      <c r="A15139" s="3">
        <f>15132</f>
        <v>15132</v>
      </c>
      <c r="B15139" s="3" t="s">
        <v>15141</v>
      </c>
      <c r="C15139" s="3" t="s">
        <v>10</v>
      </c>
      <c r="D15139" s="3" t="s">
        <v>9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s="3"/>
      <c r="P15139" s="3"/>
      <c r="Q15139" s="3"/>
    </row>
    <row r="15140" spans="1:17" ht="15" x14ac:dyDescent="0.25">
      <c r="A15140" s="3">
        <f>15133</f>
        <v>15133</v>
      </c>
      <c r="B15140" s="3" t="s">
        <v>15142</v>
      </c>
      <c r="C15140" s="3" t="s">
        <v>10</v>
      </c>
      <c r="D15140" s="3" t="s">
        <v>9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s="3"/>
      <c r="P15140" s="3"/>
      <c r="Q15140" s="3"/>
    </row>
    <row r="15141" spans="1:17" ht="15" x14ac:dyDescent="0.25">
      <c r="A15141" s="3">
        <f>15134</f>
        <v>15134</v>
      </c>
      <c r="B15141" s="3" t="s">
        <v>15143</v>
      </c>
      <c r="C15141" s="3" t="s">
        <v>10</v>
      </c>
      <c r="D15141" s="3" t="s">
        <v>9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/>
      <c r="P15141" s="3"/>
      <c r="Q15141" s="3"/>
    </row>
    <row r="15142" spans="1:17" ht="15" x14ac:dyDescent="0.25">
      <c r="A15142" s="3">
        <f>15135</f>
        <v>15135</v>
      </c>
      <c r="B15142" s="3" t="s">
        <v>15144</v>
      </c>
      <c r="C15142" s="3" t="s">
        <v>10</v>
      </c>
      <c r="D15142" s="3" t="s">
        <v>9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/>
      <c r="P15142" s="3"/>
      <c r="Q15142" s="3"/>
    </row>
    <row r="15143" spans="1:17" ht="15" x14ac:dyDescent="0.25">
      <c r="A15143" s="3">
        <f>15136</f>
        <v>15136</v>
      </c>
      <c r="B15143" s="3" t="s">
        <v>15145</v>
      </c>
      <c r="C15143" s="3" t="s">
        <v>10</v>
      </c>
      <c r="D15143" s="3" t="s">
        <v>9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s="3"/>
      <c r="P15143" s="3"/>
      <c r="Q15143" s="3"/>
    </row>
    <row r="15144" spans="1:17" ht="15" x14ac:dyDescent="0.25">
      <c r="A15144" s="3">
        <f>15137</f>
        <v>15137</v>
      </c>
      <c r="B15144" s="3" t="s">
        <v>15146</v>
      </c>
      <c r="C15144" s="3" t="s">
        <v>10</v>
      </c>
      <c r="D15144" s="3" t="s">
        <v>9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s="3"/>
      <c r="P15144" s="3"/>
      <c r="Q15144" s="3"/>
    </row>
    <row r="15145" spans="1:17" ht="15" x14ac:dyDescent="0.25">
      <c r="A15145" s="3">
        <f>15138</f>
        <v>15138</v>
      </c>
      <c r="B15145" s="3" t="s">
        <v>15147</v>
      </c>
      <c r="C15145" s="3" t="s">
        <v>9</v>
      </c>
      <c r="D15145" s="3" t="s">
        <v>9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s="3"/>
      <c r="P15145" s="3"/>
      <c r="Q15145" s="3"/>
    </row>
    <row r="15146" spans="1:17" ht="15" x14ac:dyDescent="0.25">
      <c r="A15146" s="3">
        <f>15139</f>
        <v>15139</v>
      </c>
      <c r="B15146" s="3" t="s">
        <v>15148</v>
      </c>
      <c r="C15146" s="3" t="s">
        <v>10</v>
      </c>
      <c r="D15146" s="3" t="s">
        <v>9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0</v>
      </c>
      <c r="O15146" s="3"/>
      <c r="P15146" s="3"/>
      <c r="Q15146" s="3"/>
    </row>
    <row r="15147" spans="1:17" ht="15" x14ac:dyDescent="0.25">
      <c r="A15147" s="3">
        <f>15140</f>
        <v>15140</v>
      </c>
      <c r="B15147" s="3" t="s">
        <v>15149</v>
      </c>
      <c r="C15147" s="3" t="s">
        <v>10</v>
      </c>
      <c r="D15147" s="3" t="s">
        <v>9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s="3"/>
      <c r="P15147" s="3"/>
      <c r="Q15147" s="3"/>
    </row>
    <row r="15148" spans="1:17" ht="15" x14ac:dyDescent="0.25">
      <c r="A15148" s="3">
        <f>15141</f>
        <v>15141</v>
      </c>
      <c r="B15148" s="3" t="s">
        <v>15150</v>
      </c>
      <c r="C15148" s="3" t="s">
        <v>10</v>
      </c>
      <c r="D15148" s="3" t="s">
        <v>9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/>
      <c r="P15148" s="3"/>
      <c r="Q15148" s="3"/>
    </row>
    <row r="15149" spans="1:17" ht="15" x14ac:dyDescent="0.25">
      <c r="A15149" s="3">
        <f>15142</f>
        <v>15142</v>
      </c>
      <c r="B15149" s="3" t="s">
        <v>15151</v>
      </c>
      <c r="C15149" s="3" t="s">
        <v>10</v>
      </c>
      <c r="D15149" s="3" t="s">
        <v>9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/>
      <c r="P15149" s="3"/>
      <c r="Q15149" s="3"/>
    </row>
    <row r="15150" spans="1:17" ht="15" x14ac:dyDescent="0.25">
      <c r="A15150" s="3">
        <f>15143</f>
        <v>15143</v>
      </c>
      <c r="B15150" s="3" t="s">
        <v>15152</v>
      </c>
      <c r="C15150" s="3" t="s">
        <v>10</v>
      </c>
      <c r="D15150" s="3" t="s">
        <v>9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s="3"/>
      <c r="P15150" s="3"/>
      <c r="Q15150" s="3"/>
    </row>
    <row r="15151" spans="1:17" ht="15" x14ac:dyDescent="0.25">
      <c r="A15151" s="3">
        <f>15144</f>
        <v>15144</v>
      </c>
      <c r="B15151" s="3" t="s">
        <v>15153</v>
      </c>
      <c r="C15151" s="3" t="s">
        <v>10</v>
      </c>
      <c r="D15151" s="3" t="s">
        <v>9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/>
      <c r="P15151" s="3"/>
      <c r="Q15151" s="3"/>
    </row>
    <row r="15152" spans="1:17" ht="15" x14ac:dyDescent="0.25">
      <c r="A15152" s="3">
        <f>15145</f>
        <v>15145</v>
      </c>
      <c r="B15152" s="3" t="s">
        <v>15154</v>
      </c>
      <c r="C15152" s="3" t="s">
        <v>10</v>
      </c>
      <c r="D15152" s="3" t="s">
        <v>9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/>
      <c r="P15152" s="3"/>
      <c r="Q15152" s="3"/>
    </row>
    <row r="15153" spans="1:17" ht="15" x14ac:dyDescent="0.25">
      <c r="A15153" s="3">
        <f>15146</f>
        <v>15146</v>
      </c>
      <c r="B15153" s="3" t="s">
        <v>15155</v>
      </c>
      <c r="C15153" s="3" t="s">
        <v>10</v>
      </c>
      <c r="D15153" s="3" t="s">
        <v>9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s="3"/>
      <c r="P15153" s="3"/>
      <c r="Q15153" s="3"/>
    </row>
    <row r="15154" spans="1:17" ht="15" x14ac:dyDescent="0.25">
      <c r="A15154" s="3">
        <f>15147</f>
        <v>15147</v>
      </c>
      <c r="B15154" s="3" t="s">
        <v>15156</v>
      </c>
      <c r="C15154" s="3" t="s">
        <v>10</v>
      </c>
      <c r="D15154" s="3" t="s">
        <v>9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/>
      <c r="P15154" s="3"/>
      <c r="Q15154" s="3"/>
    </row>
    <row r="15155" spans="1:17" ht="15" x14ac:dyDescent="0.25">
      <c r="A15155" s="3">
        <f>15148</f>
        <v>15148</v>
      </c>
      <c r="B15155" s="3" t="s">
        <v>15157</v>
      </c>
      <c r="C15155" s="3" t="s">
        <v>10</v>
      </c>
      <c r="D15155" s="3" t="s">
        <v>9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s="3"/>
      <c r="P15155" s="3"/>
      <c r="Q15155" s="3"/>
    </row>
    <row r="15156" spans="1:17" ht="15" x14ac:dyDescent="0.25">
      <c r="A15156" s="3">
        <f>15149</f>
        <v>15149</v>
      </c>
      <c r="B15156" s="3" t="s">
        <v>15158</v>
      </c>
      <c r="C15156" s="3" t="s">
        <v>10</v>
      </c>
      <c r="D15156" s="3" t="s">
        <v>9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s="3"/>
      <c r="P15156" s="3"/>
      <c r="Q15156" s="3"/>
    </row>
    <row r="15157" spans="1:17" ht="15" x14ac:dyDescent="0.25">
      <c r="A15157" s="3">
        <f>15150</f>
        <v>15150</v>
      </c>
      <c r="B15157" s="3" t="s">
        <v>15159</v>
      </c>
      <c r="C15157" s="3" t="s">
        <v>10</v>
      </c>
      <c r="D15157" s="3" t="s">
        <v>9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/>
      <c r="P15157" s="3"/>
      <c r="Q15157" s="3"/>
    </row>
    <row r="15158" spans="1:17" ht="15" x14ac:dyDescent="0.25">
      <c r="A15158" s="3">
        <f>15151</f>
        <v>15151</v>
      </c>
      <c r="B15158" s="3" t="s">
        <v>15160</v>
      </c>
      <c r="C15158" s="3" t="s">
        <v>9</v>
      </c>
      <c r="D15158" s="3" t="s">
        <v>10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/>
      <c r="P15158" s="3"/>
      <c r="Q15158" s="3"/>
    </row>
    <row r="15159" spans="1:17" ht="15" x14ac:dyDescent="0.25">
      <c r="A15159" s="3">
        <f>15152</f>
        <v>15152</v>
      </c>
      <c r="B15159" s="3" t="s">
        <v>15161</v>
      </c>
      <c r="C15159" s="3" t="s">
        <v>9</v>
      </c>
      <c r="D15159" s="3" t="s">
        <v>10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/>
      <c r="P15159" s="3"/>
      <c r="Q15159" s="3"/>
    </row>
    <row r="15160" spans="1:17" ht="15" x14ac:dyDescent="0.25">
      <c r="A15160" s="3">
        <f>15153</f>
        <v>15153</v>
      </c>
      <c r="B15160" s="3" t="s">
        <v>15162</v>
      </c>
      <c r="C15160" s="3" t="s">
        <v>9</v>
      </c>
      <c r="D15160" s="3" t="s">
        <v>10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/>
      <c r="P15160" s="3"/>
      <c r="Q15160" s="3"/>
    </row>
    <row r="15161" spans="1:17" ht="15" x14ac:dyDescent="0.25">
      <c r="A15161" s="3">
        <f>15154</f>
        <v>15154</v>
      </c>
      <c r="B15161" s="3" t="s">
        <v>15163</v>
      </c>
      <c r="C15161" s="3" t="s">
        <v>9</v>
      </c>
      <c r="D15161" s="3" t="s">
        <v>10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/>
      <c r="P15161" s="3"/>
      <c r="Q15161" s="3"/>
    </row>
    <row r="15162" spans="1:17" ht="15" x14ac:dyDescent="0.25">
      <c r="A15162" s="3">
        <f>15155</f>
        <v>15155</v>
      </c>
      <c r="B15162" s="3" t="s">
        <v>15164</v>
      </c>
      <c r="C15162" s="3" t="s">
        <v>9</v>
      </c>
      <c r="D15162" s="3" t="s">
        <v>10</v>
      </c>
      <c r="E15162" s="3">
        <v>0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s="3"/>
      <c r="P15162" s="3"/>
      <c r="Q15162" s="3"/>
    </row>
    <row r="15163" spans="1:17" ht="15" x14ac:dyDescent="0.25">
      <c r="A15163" s="3">
        <f>15156</f>
        <v>15156</v>
      </c>
      <c r="B15163" s="3" t="s">
        <v>15165</v>
      </c>
      <c r="C15163" s="3" t="s">
        <v>9</v>
      </c>
      <c r="D15163" s="3" t="s">
        <v>10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/>
      <c r="P15163" s="3"/>
      <c r="Q15163" s="3"/>
    </row>
    <row r="15164" spans="1:17" ht="15" x14ac:dyDescent="0.25">
      <c r="A15164" s="3">
        <f>15157</f>
        <v>15157</v>
      </c>
      <c r="B15164" s="3" t="s">
        <v>15166</v>
      </c>
      <c r="C15164" s="3" t="s">
        <v>9</v>
      </c>
      <c r="D15164" s="3" t="s">
        <v>10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s="3"/>
      <c r="P15164" s="3"/>
      <c r="Q15164" s="3"/>
    </row>
    <row r="15165" spans="1:17" ht="15" x14ac:dyDescent="0.25">
      <c r="A15165" s="3">
        <f>15158</f>
        <v>15158</v>
      </c>
      <c r="B15165" s="3" t="s">
        <v>15167</v>
      </c>
      <c r="C15165" s="3" t="s">
        <v>9</v>
      </c>
      <c r="D15165" s="3" t="s">
        <v>10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s="3"/>
      <c r="P15165" s="3"/>
      <c r="Q15165" s="3"/>
    </row>
    <row r="15166" spans="1:17" ht="15" x14ac:dyDescent="0.25">
      <c r="A15166" s="3">
        <f>15159</f>
        <v>15159</v>
      </c>
      <c r="B15166" s="3" t="s">
        <v>15168</v>
      </c>
      <c r="C15166" s="3" t="s">
        <v>9</v>
      </c>
      <c r="D15166" s="3" t="s">
        <v>10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  <c r="O15166" s="3"/>
      <c r="P15166" s="3"/>
      <c r="Q15166" s="3"/>
    </row>
    <row r="15167" spans="1:17" ht="15" x14ac:dyDescent="0.25">
      <c r="A15167" s="3">
        <f>15160</f>
        <v>15160</v>
      </c>
      <c r="B15167" s="3" t="s">
        <v>15169</v>
      </c>
      <c r="C15167" s="3" t="s">
        <v>9</v>
      </c>
      <c r="D15167" s="3" t="s">
        <v>10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s="3"/>
      <c r="P15167" s="3"/>
      <c r="Q15167" s="3"/>
    </row>
    <row r="15168" spans="1:17" ht="15" x14ac:dyDescent="0.25">
      <c r="A15168" s="3">
        <f>15161</f>
        <v>15161</v>
      </c>
      <c r="B15168" s="3" t="s">
        <v>15170</v>
      </c>
      <c r="C15168" s="3" t="s">
        <v>9</v>
      </c>
      <c r="D15168" s="3" t="s">
        <v>10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s="3"/>
      <c r="P15168" s="3"/>
      <c r="Q15168" s="3"/>
    </row>
    <row r="15169" spans="1:17" ht="15" x14ac:dyDescent="0.25">
      <c r="A15169" s="3">
        <f>15162</f>
        <v>15162</v>
      </c>
      <c r="B15169" s="3" t="s">
        <v>15171</v>
      </c>
      <c r="C15169" s="3" t="s">
        <v>9</v>
      </c>
      <c r="D15169" s="3" t="s">
        <v>10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/>
      <c r="P15169" s="3"/>
      <c r="Q15169" s="3"/>
    </row>
    <row r="15170" spans="1:17" ht="15" x14ac:dyDescent="0.25">
      <c r="A15170" s="3">
        <f>15163</f>
        <v>15163</v>
      </c>
      <c r="B15170" s="3" t="s">
        <v>15172</v>
      </c>
      <c r="C15170" s="3" t="s">
        <v>9</v>
      </c>
      <c r="D15170" s="3" t="s">
        <v>10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/>
      <c r="P15170" s="3"/>
      <c r="Q15170" s="3"/>
    </row>
    <row r="15171" spans="1:17" ht="15" x14ac:dyDescent="0.25">
      <c r="A15171" s="3">
        <f>15164</f>
        <v>15164</v>
      </c>
      <c r="B15171" s="3" t="s">
        <v>15173</v>
      </c>
      <c r="C15171" s="3" t="s">
        <v>9</v>
      </c>
      <c r="D15171" s="3" t="s">
        <v>10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/>
      <c r="P15171" s="3"/>
      <c r="Q15171" s="3"/>
    </row>
    <row r="15172" spans="1:17" ht="15" x14ac:dyDescent="0.25">
      <c r="A15172" s="3">
        <f>15165</f>
        <v>15165</v>
      </c>
      <c r="B15172" s="3" t="s">
        <v>15174</v>
      </c>
      <c r="C15172" s="3" t="s">
        <v>9</v>
      </c>
      <c r="D15172" s="3" t="s">
        <v>10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s="3"/>
      <c r="P15172" s="3"/>
      <c r="Q15172" s="3"/>
    </row>
    <row r="15173" spans="1:17" ht="15" x14ac:dyDescent="0.25">
      <c r="A15173" s="3">
        <f>15166</f>
        <v>15166</v>
      </c>
      <c r="B15173" s="3" t="s">
        <v>15175</v>
      </c>
      <c r="C15173" s="3" t="s">
        <v>9</v>
      </c>
      <c r="D15173" s="3" t="s">
        <v>10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s="3"/>
      <c r="P15173" s="3"/>
      <c r="Q15173" s="3"/>
    </row>
    <row r="15174" spans="1:17" ht="15" x14ac:dyDescent="0.25">
      <c r="A15174" s="3">
        <f>15167</f>
        <v>15167</v>
      </c>
      <c r="B15174" s="3" t="s">
        <v>15176</v>
      </c>
      <c r="C15174" s="3" t="s">
        <v>9</v>
      </c>
      <c r="D15174" s="3" t="s">
        <v>10</v>
      </c>
      <c r="E15174" s="3">
        <v>0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  <c r="O15174" s="3"/>
      <c r="P15174" s="3"/>
      <c r="Q15174" s="3"/>
    </row>
    <row r="15175" spans="1:17" ht="15" x14ac:dyDescent="0.25">
      <c r="A15175" s="3">
        <f>15168</f>
        <v>15168</v>
      </c>
      <c r="B15175" s="3" t="s">
        <v>15177</v>
      </c>
      <c r="C15175" s="3" t="s">
        <v>9</v>
      </c>
      <c r="D15175" s="3" t="s">
        <v>10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s="3"/>
      <c r="P15175" s="3"/>
      <c r="Q15175" s="3"/>
    </row>
    <row r="15176" spans="1:17" ht="15" x14ac:dyDescent="0.25">
      <c r="A15176" s="3">
        <f>15169</f>
        <v>15169</v>
      </c>
      <c r="B15176" s="3" t="s">
        <v>15178</v>
      </c>
      <c r="C15176" s="3" t="s">
        <v>9</v>
      </c>
      <c r="D15176" s="3" t="s">
        <v>10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/>
      <c r="P15176" s="3"/>
      <c r="Q15176" s="3"/>
    </row>
    <row r="15177" spans="1:17" ht="15" x14ac:dyDescent="0.25">
      <c r="A15177" s="3">
        <f>15170</f>
        <v>15170</v>
      </c>
      <c r="B15177" s="3" t="s">
        <v>15179</v>
      </c>
      <c r="C15177" s="3" t="s">
        <v>9</v>
      </c>
      <c r="D15177" s="3" t="s">
        <v>10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/>
      <c r="P15177" s="3"/>
      <c r="Q15177" s="3"/>
    </row>
    <row r="15178" spans="1:17" ht="15" x14ac:dyDescent="0.25">
      <c r="A15178" s="3">
        <f>15171</f>
        <v>15171</v>
      </c>
      <c r="B15178" s="3" t="s">
        <v>15180</v>
      </c>
      <c r="C15178" s="3" t="s">
        <v>9</v>
      </c>
      <c r="D15178" s="3" t="s">
        <v>10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s="3"/>
      <c r="P15178" s="3"/>
      <c r="Q15178" s="3"/>
    </row>
    <row r="15179" spans="1:17" ht="15" x14ac:dyDescent="0.25">
      <c r="A15179" s="3">
        <f>15172</f>
        <v>15172</v>
      </c>
      <c r="B15179" s="3" t="s">
        <v>15181</v>
      </c>
      <c r="C15179" s="3" t="s">
        <v>9</v>
      </c>
      <c r="D15179" s="3" t="s">
        <v>10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s="3"/>
      <c r="P15179" s="3"/>
      <c r="Q15179" s="3"/>
    </row>
    <row r="15180" spans="1:17" ht="15" x14ac:dyDescent="0.25">
      <c r="A15180" s="3">
        <f>15173</f>
        <v>15173</v>
      </c>
      <c r="B15180" s="3" t="s">
        <v>15182</v>
      </c>
      <c r="C15180" s="3" t="s">
        <v>9</v>
      </c>
      <c r="D15180" s="3" t="s">
        <v>10</v>
      </c>
      <c r="E15180" s="3">
        <v>0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s="3"/>
      <c r="P15180" s="3"/>
      <c r="Q15180" s="3"/>
    </row>
    <row r="15181" spans="1:17" ht="15" x14ac:dyDescent="0.25">
      <c r="A15181" s="3">
        <f>15174</f>
        <v>15174</v>
      </c>
      <c r="B15181" s="3" t="s">
        <v>15183</v>
      </c>
      <c r="C15181" s="3" t="s">
        <v>9</v>
      </c>
      <c r="D15181" s="3" t="s">
        <v>10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s="3"/>
      <c r="P15181" s="3"/>
      <c r="Q15181" s="3"/>
    </row>
    <row r="15182" spans="1:17" ht="15" x14ac:dyDescent="0.25">
      <c r="A15182" s="3">
        <f>15175</f>
        <v>15175</v>
      </c>
      <c r="B15182" s="3" t="s">
        <v>15184</v>
      </c>
      <c r="C15182" s="3" t="s">
        <v>9</v>
      </c>
      <c r="D15182" s="3" t="s">
        <v>10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0</v>
      </c>
      <c r="O15182" s="3"/>
      <c r="P15182" s="3"/>
      <c r="Q15182" s="3"/>
    </row>
    <row r="15183" spans="1:17" ht="15" x14ac:dyDescent="0.25">
      <c r="A15183" s="3">
        <f>15176</f>
        <v>15176</v>
      </c>
      <c r="B15183" s="3" t="s">
        <v>15185</v>
      </c>
      <c r="C15183" s="3" t="s">
        <v>9</v>
      </c>
      <c r="D15183" s="3" t="s">
        <v>10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/>
      <c r="P15183" s="3"/>
      <c r="Q15183" s="3"/>
    </row>
    <row r="15184" spans="1:17" ht="15" x14ac:dyDescent="0.25">
      <c r="A15184" s="3">
        <f>15177</f>
        <v>15177</v>
      </c>
      <c r="B15184" s="3" t="s">
        <v>15186</v>
      </c>
      <c r="C15184" s="3" t="s">
        <v>9</v>
      </c>
      <c r="D15184" s="3" t="s">
        <v>10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/>
      <c r="P15184" s="3"/>
      <c r="Q15184" s="3"/>
    </row>
    <row r="15185" spans="1:17" ht="15" x14ac:dyDescent="0.25">
      <c r="A15185" s="3">
        <f>15178</f>
        <v>15178</v>
      </c>
      <c r="B15185" s="3" t="s">
        <v>15187</v>
      </c>
      <c r="C15185" s="3" t="s">
        <v>9</v>
      </c>
      <c r="D15185" s="3" t="s">
        <v>10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s="3"/>
      <c r="P15185" s="3"/>
      <c r="Q15185" s="3"/>
    </row>
    <row r="15186" spans="1:17" ht="15" x14ac:dyDescent="0.25">
      <c r="A15186" s="3">
        <f>15179</f>
        <v>15179</v>
      </c>
      <c r="B15186" s="3" t="s">
        <v>15188</v>
      </c>
      <c r="C15186" s="3" t="s">
        <v>9</v>
      </c>
      <c r="D15186" s="3" t="s">
        <v>10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/>
      <c r="P15186" s="3"/>
      <c r="Q15186" s="3"/>
    </row>
    <row r="15187" spans="1:17" ht="15" x14ac:dyDescent="0.25">
      <c r="A15187" s="3">
        <f>15180</f>
        <v>15180</v>
      </c>
      <c r="B15187" s="3" t="s">
        <v>15189</v>
      </c>
      <c r="C15187" s="3" t="s">
        <v>9</v>
      </c>
      <c r="D15187" s="3" t="s">
        <v>10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/>
      <c r="P15187" s="3"/>
      <c r="Q15187" s="3"/>
    </row>
    <row r="15188" spans="1:17" ht="15" x14ac:dyDescent="0.25">
      <c r="A15188" s="3">
        <f>15181</f>
        <v>15181</v>
      </c>
      <c r="B15188" s="3" t="s">
        <v>15190</v>
      </c>
      <c r="C15188" s="3" t="s">
        <v>9</v>
      </c>
      <c r="D15188" s="3" t="s">
        <v>10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0</v>
      </c>
      <c r="O15188" s="3"/>
      <c r="P15188" s="3"/>
      <c r="Q15188" s="3"/>
    </row>
    <row r="15189" spans="1:17" ht="15" x14ac:dyDescent="0.25">
      <c r="A15189" s="3">
        <f>15182</f>
        <v>15182</v>
      </c>
      <c r="B15189" s="3" t="s">
        <v>15191</v>
      </c>
      <c r="C15189" s="3" t="s">
        <v>9</v>
      </c>
      <c r="D15189" s="3" t="s">
        <v>10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  <c r="O15189" s="3"/>
      <c r="P15189" s="3"/>
      <c r="Q15189" s="3"/>
    </row>
    <row r="15190" spans="1:17" ht="15" x14ac:dyDescent="0.25">
      <c r="A15190" s="3">
        <f>15183</f>
        <v>15183</v>
      </c>
      <c r="B15190" s="3" t="s">
        <v>15192</v>
      </c>
      <c r="C15190" s="3" t="s">
        <v>9</v>
      </c>
      <c r="D15190" s="3" t="s">
        <v>10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s="3"/>
      <c r="P15190" s="3"/>
      <c r="Q15190" s="3"/>
    </row>
    <row r="15191" spans="1:17" ht="15" x14ac:dyDescent="0.25">
      <c r="A15191" s="3">
        <f>15184</f>
        <v>15184</v>
      </c>
      <c r="B15191" s="3" t="s">
        <v>15193</v>
      </c>
      <c r="C15191" s="3" t="s">
        <v>9</v>
      </c>
      <c r="D15191" s="3" t="s">
        <v>10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  <c r="O15191" s="3"/>
      <c r="P15191" s="3"/>
      <c r="Q15191" s="3"/>
    </row>
    <row r="15192" spans="1:17" ht="15" x14ac:dyDescent="0.25">
      <c r="A15192" s="3">
        <f>15185</f>
        <v>15185</v>
      </c>
      <c r="B15192" s="3" t="s">
        <v>15194</v>
      </c>
      <c r="C15192" s="3" t="s">
        <v>9</v>
      </c>
      <c r="D15192" s="3" t="s">
        <v>10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/>
      <c r="P15192" s="3"/>
      <c r="Q15192" s="3"/>
    </row>
    <row r="15193" spans="1:17" ht="15" x14ac:dyDescent="0.25">
      <c r="A15193" s="3">
        <f>15186</f>
        <v>15186</v>
      </c>
      <c r="B15193" s="3" t="s">
        <v>15195</v>
      </c>
      <c r="C15193" s="3" t="s">
        <v>9</v>
      </c>
      <c r="D15193" s="3" t="s">
        <v>10</v>
      </c>
      <c r="E15193" s="3">
        <v>0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  <c r="O15193" s="3"/>
      <c r="P15193" s="3"/>
      <c r="Q15193" s="3"/>
    </row>
    <row r="15194" spans="1:17" ht="15" x14ac:dyDescent="0.25">
      <c r="A15194" s="3">
        <f>15187</f>
        <v>15187</v>
      </c>
      <c r="B15194" s="3" t="s">
        <v>15196</v>
      </c>
      <c r="C15194" s="3" t="s">
        <v>9</v>
      </c>
      <c r="D15194" s="3" t="s">
        <v>10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/>
      <c r="P15194" s="3"/>
      <c r="Q15194" s="3"/>
    </row>
    <row r="15195" spans="1:17" ht="15" x14ac:dyDescent="0.25">
      <c r="A15195" s="3">
        <f>15188</f>
        <v>15188</v>
      </c>
      <c r="B15195" s="3" t="s">
        <v>15197</v>
      </c>
      <c r="C15195" s="3" t="s">
        <v>9</v>
      </c>
      <c r="D15195" s="3" t="s">
        <v>10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s="3"/>
      <c r="P15195" s="3"/>
      <c r="Q15195" s="3"/>
    </row>
    <row r="15196" spans="1:17" ht="15" x14ac:dyDescent="0.25">
      <c r="A15196" s="3">
        <f>15189</f>
        <v>15189</v>
      </c>
      <c r="B15196" s="3" t="s">
        <v>15198</v>
      </c>
      <c r="C15196" s="3" t="s">
        <v>10</v>
      </c>
      <c r="D15196" s="3" t="s">
        <v>9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s="3"/>
      <c r="P15196" s="3"/>
      <c r="Q15196" s="3"/>
    </row>
    <row r="15197" spans="1:17" ht="15" x14ac:dyDescent="0.25">
      <c r="A15197" s="3">
        <f>15190</f>
        <v>15190</v>
      </c>
      <c r="B15197" s="3" t="s">
        <v>15199</v>
      </c>
      <c r="C15197" s="3" t="s">
        <v>10</v>
      </c>
      <c r="D15197" s="3" t="s">
        <v>9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s="3"/>
      <c r="P15197" s="3"/>
      <c r="Q15197" s="3"/>
    </row>
    <row r="15198" spans="1:17" ht="15" x14ac:dyDescent="0.25">
      <c r="A15198" s="3">
        <f>15191</f>
        <v>15191</v>
      </c>
      <c r="B15198" s="3" t="s">
        <v>15200</v>
      </c>
      <c r="C15198" s="3" t="s">
        <v>10</v>
      </c>
      <c r="D15198" s="3" t="s">
        <v>9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  <c r="O15198" s="3"/>
      <c r="P15198" s="3"/>
      <c r="Q15198" s="3"/>
    </row>
    <row r="15199" spans="1:17" ht="15" x14ac:dyDescent="0.25">
      <c r="A15199" s="3">
        <f>15192</f>
        <v>15192</v>
      </c>
      <c r="B15199" s="3" t="s">
        <v>15201</v>
      </c>
      <c r="C15199" s="3" t="s">
        <v>10</v>
      </c>
      <c r="D15199" s="3" t="s">
        <v>9</v>
      </c>
      <c r="E15199" s="3">
        <v>0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  <c r="O15199" s="3"/>
      <c r="P15199" s="3"/>
      <c r="Q15199" s="3"/>
    </row>
    <row r="15200" spans="1:17" ht="15" x14ac:dyDescent="0.25">
      <c r="A15200" s="3">
        <f>15193</f>
        <v>15193</v>
      </c>
      <c r="B15200" s="3" t="s">
        <v>15202</v>
      </c>
      <c r="C15200" s="3" t="s">
        <v>10</v>
      </c>
      <c r="D15200" s="3" t="s">
        <v>9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s="3"/>
      <c r="P15200" s="3"/>
      <c r="Q15200" s="3"/>
    </row>
    <row r="15201" spans="1:17" ht="15" x14ac:dyDescent="0.25">
      <c r="A15201" s="3">
        <f>15194</f>
        <v>15194</v>
      </c>
      <c r="B15201" s="3" t="s">
        <v>15203</v>
      </c>
      <c r="C15201" s="3" t="s">
        <v>10</v>
      </c>
      <c r="D15201" s="3" t="s">
        <v>9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s="3"/>
      <c r="P15201" s="3"/>
      <c r="Q15201" s="3"/>
    </row>
    <row r="15202" spans="1:17" ht="15" x14ac:dyDescent="0.25">
      <c r="A15202" s="3">
        <f>15195</f>
        <v>15195</v>
      </c>
      <c r="B15202" s="3" t="s">
        <v>15204</v>
      </c>
      <c r="C15202" s="3" t="s">
        <v>10</v>
      </c>
      <c r="D15202" s="3" t="s">
        <v>9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  <c r="O15202" s="3"/>
      <c r="P15202" s="3"/>
      <c r="Q15202" s="3"/>
    </row>
    <row r="15203" spans="1:17" ht="15" x14ac:dyDescent="0.25">
      <c r="A15203" s="3">
        <f>15196</f>
        <v>15196</v>
      </c>
      <c r="B15203" s="3" t="s">
        <v>15205</v>
      </c>
      <c r="C15203" s="3" t="s">
        <v>10</v>
      </c>
      <c r="D15203" s="3" t="s">
        <v>9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0</v>
      </c>
      <c r="O15203" s="3"/>
      <c r="P15203" s="3"/>
      <c r="Q15203" s="3"/>
    </row>
    <row r="15204" spans="1:17" ht="15" x14ac:dyDescent="0.25">
      <c r="A15204" s="3">
        <f>15197</f>
        <v>15197</v>
      </c>
      <c r="B15204" s="3" t="s">
        <v>15206</v>
      </c>
      <c r="C15204" s="3" t="s">
        <v>9</v>
      </c>
      <c r="D15204" s="3" t="s">
        <v>10</v>
      </c>
      <c r="E15204" s="3">
        <v>0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s="3"/>
      <c r="P15204" s="3"/>
      <c r="Q15204" s="3"/>
    </row>
    <row r="15205" spans="1:17" ht="15" x14ac:dyDescent="0.25">
      <c r="A15205" s="3">
        <f>15198</f>
        <v>15198</v>
      </c>
      <c r="B15205" s="3" t="s">
        <v>15207</v>
      </c>
      <c r="C15205" s="3" t="s">
        <v>10</v>
      </c>
      <c r="D15205" s="3" t="s">
        <v>9</v>
      </c>
      <c r="E15205" s="3">
        <v>0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  <c r="O15205" s="3"/>
      <c r="P15205" s="3"/>
      <c r="Q15205" s="3"/>
    </row>
    <row r="15206" spans="1:17" ht="15" x14ac:dyDescent="0.25">
      <c r="A15206" s="3">
        <f>15199</f>
        <v>15199</v>
      </c>
      <c r="B15206" s="3" t="s">
        <v>15208</v>
      </c>
      <c r="C15206" s="3" t="s">
        <v>10</v>
      </c>
      <c r="D15206" s="3" t="s">
        <v>9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s="3"/>
      <c r="P15206" s="3"/>
      <c r="Q15206" s="3"/>
    </row>
    <row r="15207" spans="1:17" ht="15" x14ac:dyDescent="0.25">
      <c r="A15207" s="3">
        <f>15200</f>
        <v>15200</v>
      </c>
      <c r="B15207" s="3" t="s">
        <v>15209</v>
      </c>
      <c r="C15207" s="3" t="s">
        <v>10</v>
      </c>
      <c r="D15207" s="3" t="s">
        <v>9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/>
      <c r="P15207" s="3"/>
      <c r="Q15207" s="3"/>
    </row>
    <row r="15208" spans="1:17" ht="15" x14ac:dyDescent="0.25">
      <c r="A15208" s="3">
        <f>15201</f>
        <v>15201</v>
      </c>
      <c r="B15208" s="3" t="s">
        <v>15210</v>
      </c>
      <c r="C15208" s="3" t="s">
        <v>10</v>
      </c>
      <c r="D15208" s="3" t="s">
        <v>9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/>
      <c r="P15208" s="3"/>
      <c r="Q15208" s="3"/>
    </row>
    <row r="15209" spans="1:17" ht="15" x14ac:dyDescent="0.25">
      <c r="A15209" s="3">
        <f>15202</f>
        <v>15202</v>
      </c>
      <c r="B15209" s="3" t="s">
        <v>15211</v>
      </c>
      <c r="C15209" s="3" t="s">
        <v>10</v>
      </c>
      <c r="D15209" s="3" t="s">
        <v>9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  <c r="O15209" s="3"/>
      <c r="P15209" s="3"/>
      <c r="Q15209" s="3"/>
    </row>
    <row r="15210" spans="1:17" ht="15" x14ac:dyDescent="0.25">
      <c r="A15210" s="3">
        <f>15203</f>
        <v>15203</v>
      </c>
      <c r="B15210" s="3" t="s">
        <v>15212</v>
      </c>
      <c r="C15210" s="3" t="s">
        <v>10</v>
      </c>
      <c r="D15210" s="3" t="s">
        <v>9</v>
      </c>
      <c r="E15210" s="3">
        <v>0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  <c r="O15210" s="3"/>
      <c r="P15210" s="3"/>
      <c r="Q15210" s="3"/>
    </row>
    <row r="15211" spans="1:17" ht="15" x14ac:dyDescent="0.25">
      <c r="A15211" s="3">
        <f>15204</f>
        <v>15204</v>
      </c>
      <c r="B15211" s="3" t="s">
        <v>15213</v>
      </c>
      <c r="C15211" s="3" t="s">
        <v>10</v>
      </c>
      <c r="D15211" s="3" t="s">
        <v>9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/>
      <c r="P15211" s="3"/>
      <c r="Q15211" s="3"/>
    </row>
    <row r="15212" spans="1:17" ht="15" x14ac:dyDescent="0.25">
      <c r="A15212" s="3">
        <f>15205</f>
        <v>15205</v>
      </c>
      <c r="B15212" s="3" t="s">
        <v>15214</v>
      </c>
      <c r="C15212" s="3" t="s">
        <v>9</v>
      </c>
      <c r="D15212" s="3" t="s">
        <v>10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0</v>
      </c>
      <c r="O15212" s="3"/>
      <c r="P15212" s="3"/>
      <c r="Q15212" s="3"/>
    </row>
    <row r="15213" spans="1:17" ht="15" x14ac:dyDescent="0.25">
      <c r="A15213" s="3">
        <f>15206</f>
        <v>15206</v>
      </c>
      <c r="B15213" s="3" t="s">
        <v>15215</v>
      </c>
      <c r="C15213" s="3" t="s">
        <v>9</v>
      </c>
      <c r="D15213" s="3" t="s">
        <v>10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/>
      <c r="P15213" s="3"/>
      <c r="Q15213" s="3"/>
    </row>
    <row r="15214" spans="1:17" ht="15" x14ac:dyDescent="0.25">
      <c r="A15214" s="3">
        <f>15207</f>
        <v>15207</v>
      </c>
      <c r="B15214" s="3" t="s">
        <v>15216</v>
      </c>
      <c r="C15214" s="3" t="s">
        <v>9</v>
      </c>
      <c r="D15214" s="3" t="s">
        <v>10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/>
      <c r="P15214" s="3"/>
      <c r="Q15214" s="3"/>
    </row>
    <row r="15215" spans="1:17" ht="15" x14ac:dyDescent="0.25">
      <c r="A15215" s="3">
        <f>15208</f>
        <v>15208</v>
      </c>
      <c r="B15215" s="3" t="s">
        <v>15217</v>
      </c>
      <c r="C15215" s="3" t="s">
        <v>9</v>
      </c>
      <c r="D15215" s="3" t="s">
        <v>10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s="3"/>
      <c r="P15215" s="3"/>
      <c r="Q15215" s="3"/>
    </row>
    <row r="15216" spans="1:17" ht="15" x14ac:dyDescent="0.25">
      <c r="A15216" s="3">
        <f>15209</f>
        <v>15209</v>
      </c>
      <c r="B15216" s="3" t="s">
        <v>15218</v>
      </c>
      <c r="C15216" s="3" t="s">
        <v>9</v>
      </c>
      <c r="D15216" s="3" t="s">
        <v>10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0</v>
      </c>
      <c r="O15216" s="3"/>
      <c r="P15216" s="3"/>
      <c r="Q15216" s="3"/>
    </row>
    <row r="15217" spans="1:17" ht="15" x14ac:dyDescent="0.25">
      <c r="A15217" s="3">
        <f>15210</f>
        <v>15210</v>
      </c>
      <c r="B15217" s="3" t="s">
        <v>15219</v>
      </c>
      <c r="C15217" s="3" t="s">
        <v>10</v>
      </c>
      <c r="D15217" s="3" t="s">
        <v>9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0</v>
      </c>
      <c r="O15217" s="3"/>
      <c r="P15217" s="3"/>
      <c r="Q15217" s="3"/>
    </row>
    <row r="15218" spans="1:17" ht="15" x14ac:dyDescent="0.25">
      <c r="A15218" s="3">
        <f>15211</f>
        <v>15211</v>
      </c>
      <c r="B15218" s="3" t="s">
        <v>15220</v>
      </c>
      <c r="C15218" s="3" t="s">
        <v>10</v>
      </c>
      <c r="D15218" s="3" t="s">
        <v>9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s="3"/>
      <c r="P15218" s="3"/>
      <c r="Q15218" s="3"/>
    </row>
    <row r="15219" spans="1:17" ht="15" x14ac:dyDescent="0.25">
      <c r="A15219" s="3">
        <f>15212</f>
        <v>15212</v>
      </c>
      <c r="B15219" s="3" t="s">
        <v>15221</v>
      </c>
      <c r="C15219" s="3" t="s">
        <v>10</v>
      </c>
      <c r="D15219" s="3" t="s">
        <v>9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  <c r="O15219" s="3"/>
      <c r="P15219" s="3"/>
      <c r="Q15219" s="3"/>
    </row>
    <row r="15220" spans="1:17" ht="15" x14ac:dyDescent="0.25">
      <c r="A15220" s="3">
        <f>15213</f>
        <v>15213</v>
      </c>
      <c r="B15220" s="3" t="s">
        <v>15222</v>
      </c>
      <c r="C15220" s="3" t="s">
        <v>10</v>
      </c>
      <c r="D15220" s="3" t="s">
        <v>9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/>
      <c r="P15220" s="3"/>
      <c r="Q15220" s="3"/>
    </row>
    <row r="15221" spans="1:17" ht="15" x14ac:dyDescent="0.25">
      <c r="A15221" s="3">
        <f>15214</f>
        <v>15214</v>
      </c>
      <c r="B15221" s="3" t="s">
        <v>15223</v>
      </c>
      <c r="C15221" s="3" t="s">
        <v>10</v>
      </c>
      <c r="D15221" s="3" t="s">
        <v>9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/>
      <c r="P15221" s="3"/>
      <c r="Q15221" s="3"/>
    </row>
    <row r="15222" spans="1:17" ht="15" x14ac:dyDescent="0.25">
      <c r="A15222" s="3">
        <f>15215</f>
        <v>15215</v>
      </c>
      <c r="B15222" s="3" t="s">
        <v>15224</v>
      </c>
      <c r="C15222" s="3" t="s">
        <v>10</v>
      </c>
      <c r="D15222" s="3" t="s">
        <v>9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s="3"/>
      <c r="P15222" s="3"/>
      <c r="Q15222" s="3"/>
    </row>
    <row r="15223" spans="1:17" ht="15" x14ac:dyDescent="0.25">
      <c r="A15223" s="3">
        <f>15216</f>
        <v>15216</v>
      </c>
      <c r="B15223" s="3" t="s">
        <v>15225</v>
      </c>
      <c r="C15223" s="3" t="s">
        <v>10</v>
      </c>
      <c r="D15223" s="3" t="s">
        <v>9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s="3"/>
      <c r="P15223" s="3"/>
      <c r="Q15223" s="3"/>
    </row>
    <row r="15224" spans="1:17" ht="15" x14ac:dyDescent="0.25">
      <c r="A15224" s="3">
        <f>15217</f>
        <v>15217</v>
      </c>
      <c r="B15224" s="3" t="s">
        <v>15226</v>
      </c>
      <c r="C15224" s="3" t="s">
        <v>10</v>
      </c>
      <c r="D15224" s="3" t="s">
        <v>9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/>
      <c r="P15224" s="3"/>
      <c r="Q15224" s="3"/>
    </row>
    <row r="15225" spans="1:17" ht="15" x14ac:dyDescent="0.25">
      <c r="A15225" s="3">
        <f>15218</f>
        <v>15218</v>
      </c>
      <c r="B15225" s="3" t="s">
        <v>15227</v>
      </c>
      <c r="C15225" s="3" t="s">
        <v>10</v>
      </c>
      <c r="D15225" s="3" t="s">
        <v>9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s="3"/>
      <c r="P15225" s="3"/>
      <c r="Q15225" s="3"/>
    </row>
    <row r="15226" spans="1:17" ht="15" x14ac:dyDescent="0.25">
      <c r="A15226" s="3">
        <f>15219</f>
        <v>15219</v>
      </c>
      <c r="B15226" s="3" t="s">
        <v>15228</v>
      </c>
      <c r="C15226" s="3" t="s">
        <v>10</v>
      </c>
      <c r="D15226" s="3" t="s">
        <v>9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s="3"/>
      <c r="P15226" s="3"/>
      <c r="Q15226" s="3"/>
    </row>
    <row r="15227" spans="1:17" ht="15" x14ac:dyDescent="0.25">
      <c r="A15227" s="3">
        <f>15220</f>
        <v>15220</v>
      </c>
      <c r="B15227" s="3" t="s">
        <v>15229</v>
      </c>
      <c r="C15227" s="3" t="s">
        <v>10</v>
      </c>
      <c r="D15227" s="3" t="s">
        <v>9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0</v>
      </c>
      <c r="O15227" s="3"/>
      <c r="P15227" s="3"/>
      <c r="Q15227" s="3"/>
    </row>
    <row r="15228" spans="1:17" ht="15" x14ac:dyDescent="0.25">
      <c r="A15228" s="3">
        <f>15221</f>
        <v>15221</v>
      </c>
      <c r="B15228" s="3" t="s">
        <v>15230</v>
      </c>
      <c r="C15228" s="3" t="s">
        <v>10</v>
      </c>
      <c r="D15228" s="3" t="s">
        <v>9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s="3"/>
      <c r="P15228" s="3"/>
      <c r="Q15228" s="3"/>
    </row>
    <row r="15229" spans="1:17" ht="15" x14ac:dyDescent="0.25">
      <c r="A15229" s="3">
        <f>15222</f>
        <v>15222</v>
      </c>
      <c r="B15229" s="3" t="s">
        <v>15231</v>
      </c>
      <c r="C15229" s="3" t="s">
        <v>10</v>
      </c>
      <c r="D15229" s="3" t="s">
        <v>9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s="3"/>
      <c r="P15229" s="3"/>
      <c r="Q15229" s="3"/>
    </row>
    <row r="15230" spans="1:17" ht="15" x14ac:dyDescent="0.25">
      <c r="A15230" s="3">
        <f>15223</f>
        <v>15223</v>
      </c>
      <c r="B15230" s="3" t="s">
        <v>15232</v>
      </c>
      <c r="C15230" s="3" t="s">
        <v>10</v>
      </c>
      <c r="D15230" s="3" t="s">
        <v>9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  <c r="O15230" s="3"/>
      <c r="P15230" s="3"/>
      <c r="Q15230" s="3"/>
    </row>
    <row r="15231" spans="1:17" ht="15" x14ac:dyDescent="0.25">
      <c r="A15231" s="3">
        <f>15224</f>
        <v>15224</v>
      </c>
      <c r="B15231" s="3" t="s">
        <v>15233</v>
      </c>
      <c r="C15231" s="3" t="s">
        <v>10</v>
      </c>
      <c r="D15231" s="3" t="s">
        <v>9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0</v>
      </c>
      <c r="O15231" s="3"/>
      <c r="P15231" s="3"/>
      <c r="Q15231" s="3"/>
    </row>
    <row r="15232" spans="1:17" ht="15" x14ac:dyDescent="0.25">
      <c r="A15232" s="3">
        <f>15225</f>
        <v>15225</v>
      </c>
      <c r="B15232" s="3" t="s">
        <v>15234</v>
      </c>
      <c r="C15232" s="3" t="s">
        <v>10</v>
      </c>
      <c r="D15232" s="3" t="s">
        <v>9</v>
      </c>
      <c r="E15232" s="3">
        <v>0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s="3"/>
      <c r="P15232" s="3"/>
      <c r="Q15232" s="3"/>
    </row>
    <row r="15233" spans="1:17" ht="15" x14ac:dyDescent="0.25">
      <c r="A15233" s="3">
        <f>15226</f>
        <v>15226</v>
      </c>
      <c r="B15233" s="3" t="s">
        <v>15235</v>
      </c>
      <c r="C15233" s="3" t="s">
        <v>10</v>
      </c>
      <c r="D15233" s="3" t="s">
        <v>9</v>
      </c>
      <c r="E15233" s="3">
        <v>0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  <c r="O15233" s="3"/>
      <c r="P15233" s="3"/>
      <c r="Q15233" s="3"/>
    </row>
    <row r="15234" spans="1:17" ht="15" x14ac:dyDescent="0.25">
      <c r="A15234" s="3">
        <f>15227</f>
        <v>15227</v>
      </c>
      <c r="B15234" s="3" t="s">
        <v>15236</v>
      </c>
      <c r="C15234" s="3" t="s">
        <v>10</v>
      </c>
      <c r="D15234" s="3" t="s">
        <v>9</v>
      </c>
      <c r="E15234" s="3">
        <v>0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/>
      <c r="P15234" s="3"/>
      <c r="Q15234" s="3"/>
    </row>
    <row r="15235" spans="1:17" ht="15" x14ac:dyDescent="0.25">
      <c r="A15235" s="3">
        <f>15228</f>
        <v>15228</v>
      </c>
      <c r="B15235" s="3" t="s">
        <v>15237</v>
      </c>
      <c r="C15235" s="3" t="s">
        <v>9</v>
      </c>
      <c r="D15235" s="3" t="s">
        <v>10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s="3"/>
      <c r="P15235" s="3"/>
      <c r="Q15235" s="3"/>
    </row>
    <row r="15236" spans="1:17" ht="15" x14ac:dyDescent="0.25">
      <c r="A15236" s="3">
        <f>15229</f>
        <v>15229</v>
      </c>
      <c r="B15236" s="3" t="s">
        <v>15238</v>
      </c>
      <c r="C15236" s="3" t="s">
        <v>9</v>
      </c>
      <c r="D15236" s="3" t="s">
        <v>10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0</v>
      </c>
      <c r="O15236" s="3"/>
      <c r="P15236" s="3"/>
      <c r="Q15236" s="3"/>
    </row>
    <row r="15237" spans="1:17" ht="15" x14ac:dyDescent="0.25">
      <c r="A15237" s="3">
        <f>15230</f>
        <v>15230</v>
      </c>
      <c r="B15237" s="3" t="s">
        <v>15239</v>
      </c>
      <c r="C15237" s="3" t="s">
        <v>9</v>
      </c>
      <c r="D15237" s="3" t="s">
        <v>10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0</v>
      </c>
      <c r="O15237" s="3"/>
      <c r="P15237" s="3"/>
      <c r="Q15237" s="3"/>
    </row>
    <row r="15238" spans="1:17" ht="15" x14ac:dyDescent="0.25">
      <c r="A15238" s="3">
        <f>15231</f>
        <v>15231</v>
      </c>
      <c r="B15238" s="3" t="s">
        <v>15240</v>
      </c>
      <c r="C15238" s="3" t="s">
        <v>9</v>
      </c>
      <c r="D15238" s="3" t="s">
        <v>10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  <c r="O15238" s="3"/>
      <c r="P15238" s="3"/>
      <c r="Q15238" s="3"/>
    </row>
    <row r="15239" spans="1:17" ht="15" x14ac:dyDescent="0.25">
      <c r="A15239" s="3">
        <f>15232</f>
        <v>15232</v>
      </c>
      <c r="B15239" s="3" t="s">
        <v>15241</v>
      </c>
      <c r="C15239" s="3" t="s">
        <v>9</v>
      </c>
      <c r="D15239" s="3" t="s">
        <v>10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0</v>
      </c>
      <c r="O15239" s="3"/>
      <c r="P15239" s="3"/>
      <c r="Q15239" s="3"/>
    </row>
    <row r="15240" spans="1:17" ht="15" x14ac:dyDescent="0.25">
      <c r="A15240" s="3">
        <f>15233</f>
        <v>15233</v>
      </c>
      <c r="B15240" s="3" t="s">
        <v>15242</v>
      </c>
      <c r="C15240" s="3" t="s">
        <v>9</v>
      </c>
      <c r="D15240" s="3" t="s">
        <v>10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s="3"/>
      <c r="P15240" s="3"/>
      <c r="Q15240" s="3"/>
    </row>
    <row r="15241" spans="1:17" ht="15" x14ac:dyDescent="0.25">
      <c r="A15241" s="3">
        <f>15234</f>
        <v>15234</v>
      </c>
      <c r="B15241" s="3" t="s">
        <v>15243</v>
      </c>
      <c r="C15241" s="3" t="s">
        <v>9</v>
      </c>
      <c r="D15241" s="3" t="s">
        <v>10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s="3"/>
      <c r="P15241" s="3"/>
      <c r="Q15241" s="3"/>
    </row>
    <row r="15242" spans="1:17" ht="15" x14ac:dyDescent="0.25">
      <c r="A15242" s="3">
        <f>15235</f>
        <v>15235</v>
      </c>
      <c r="B15242" s="3" t="s">
        <v>15244</v>
      </c>
      <c r="C15242" s="3" t="s">
        <v>9</v>
      </c>
      <c r="D15242" s="3" t="s">
        <v>10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/>
      <c r="P15242" s="3"/>
      <c r="Q15242" s="3"/>
    </row>
    <row r="15243" spans="1:17" ht="15" x14ac:dyDescent="0.25">
      <c r="A15243" s="3">
        <f>15236</f>
        <v>15236</v>
      </c>
      <c r="B15243" s="3" t="s">
        <v>15245</v>
      </c>
      <c r="C15243" s="3" t="s">
        <v>9</v>
      </c>
      <c r="D15243" s="3" t="s">
        <v>10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s="3"/>
      <c r="P15243" s="3"/>
      <c r="Q15243" s="3"/>
    </row>
    <row r="15244" spans="1:17" ht="15" x14ac:dyDescent="0.25">
      <c r="A15244" s="3">
        <f>15237</f>
        <v>15237</v>
      </c>
      <c r="B15244" s="3" t="s">
        <v>15246</v>
      </c>
      <c r="C15244" s="3" t="s">
        <v>9</v>
      </c>
      <c r="D15244" s="3" t="s">
        <v>10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s="3"/>
      <c r="P15244" s="3"/>
      <c r="Q15244" s="3"/>
    </row>
    <row r="15245" spans="1:17" ht="15" x14ac:dyDescent="0.25">
      <c r="A15245" s="3">
        <f>15238</f>
        <v>15238</v>
      </c>
      <c r="B15245" s="3" t="s">
        <v>15247</v>
      </c>
      <c r="C15245" s="3" t="s">
        <v>9</v>
      </c>
      <c r="D15245" s="3" t="s">
        <v>10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/>
      <c r="P15245" s="3"/>
      <c r="Q15245" s="3"/>
    </row>
    <row r="15246" spans="1:17" ht="15" x14ac:dyDescent="0.25">
      <c r="A15246" s="3">
        <f>15239</f>
        <v>15239</v>
      </c>
      <c r="B15246" s="3" t="s">
        <v>15248</v>
      </c>
      <c r="C15246" s="3" t="s">
        <v>9</v>
      </c>
      <c r="D15246" s="3" t="s">
        <v>10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s="3"/>
      <c r="P15246" s="3"/>
      <c r="Q15246" s="3"/>
    </row>
    <row r="15247" spans="1:17" ht="15" x14ac:dyDescent="0.25">
      <c r="A15247" s="3">
        <f>15240</f>
        <v>15240</v>
      </c>
      <c r="B15247" s="3" t="s">
        <v>15249</v>
      </c>
      <c r="C15247" s="3" t="s">
        <v>9</v>
      </c>
      <c r="D15247" s="3" t="s">
        <v>10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s="3"/>
      <c r="P15247" s="3"/>
      <c r="Q15247" s="3"/>
    </row>
    <row r="15248" spans="1:17" ht="15" x14ac:dyDescent="0.25">
      <c r="A15248" s="3">
        <f>15241</f>
        <v>15241</v>
      </c>
      <c r="B15248" s="3" t="s">
        <v>15250</v>
      </c>
      <c r="C15248" s="3" t="s">
        <v>9</v>
      </c>
      <c r="D15248" s="3" t="s">
        <v>10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s="3"/>
      <c r="P15248" s="3"/>
      <c r="Q15248" s="3"/>
    </row>
    <row r="15249" spans="1:17" ht="15" x14ac:dyDescent="0.25">
      <c r="A15249" s="3">
        <f>15242</f>
        <v>15242</v>
      </c>
      <c r="B15249" s="3" t="s">
        <v>15251</v>
      </c>
      <c r="C15249" s="3" t="s">
        <v>9</v>
      </c>
      <c r="D15249" s="3" t="s">
        <v>10</v>
      </c>
      <c r="E15249" s="3">
        <v>0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  <c r="O15249" s="3"/>
      <c r="P15249" s="3"/>
      <c r="Q15249" s="3"/>
    </row>
    <row r="15250" spans="1:17" ht="15" x14ac:dyDescent="0.25">
      <c r="A15250" s="3">
        <f>15243</f>
        <v>15243</v>
      </c>
      <c r="B15250" s="3" t="s">
        <v>15252</v>
      </c>
      <c r="C15250" s="3" t="s">
        <v>9</v>
      </c>
      <c r="D15250" s="3" t="s">
        <v>10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s="3"/>
      <c r="P15250" s="3"/>
      <c r="Q15250" s="3"/>
    </row>
    <row r="15251" spans="1:17" ht="15" x14ac:dyDescent="0.25">
      <c r="A15251" s="3">
        <f>15244</f>
        <v>15244</v>
      </c>
      <c r="B15251" s="3" t="s">
        <v>15253</v>
      </c>
      <c r="C15251" s="3" t="s">
        <v>9</v>
      </c>
      <c r="D15251" s="3" t="s">
        <v>10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s="3"/>
      <c r="P15251" s="3"/>
      <c r="Q15251" s="3"/>
    </row>
    <row r="15252" spans="1:17" ht="15" x14ac:dyDescent="0.25">
      <c r="A15252" s="3">
        <f>15245</f>
        <v>15245</v>
      </c>
      <c r="B15252" s="3" t="s">
        <v>15254</v>
      </c>
      <c r="C15252" s="3" t="s">
        <v>9</v>
      </c>
      <c r="D15252" s="3" t="s">
        <v>10</v>
      </c>
      <c r="E15252" s="3">
        <v>0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s="3"/>
      <c r="P15252" s="3"/>
      <c r="Q15252" s="3"/>
    </row>
    <row r="15253" spans="1:17" ht="15" x14ac:dyDescent="0.25">
      <c r="A15253" s="3">
        <f>15246</f>
        <v>15246</v>
      </c>
      <c r="B15253" s="3" t="s">
        <v>15255</v>
      </c>
      <c r="C15253" s="3" t="s">
        <v>9</v>
      </c>
      <c r="D15253" s="3" t="s">
        <v>10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s="3"/>
      <c r="P15253" s="3"/>
      <c r="Q15253" s="3"/>
    </row>
    <row r="15254" spans="1:17" ht="15" x14ac:dyDescent="0.25">
      <c r="A15254" s="3">
        <f>15247</f>
        <v>15247</v>
      </c>
      <c r="B15254" s="3" t="s">
        <v>15256</v>
      </c>
      <c r="C15254" s="3" t="s">
        <v>9</v>
      </c>
      <c r="D15254" s="3" t="s">
        <v>10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  <c r="O15254" s="3"/>
      <c r="P15254" s="3"/>
      <c r="Q15254" s="3"/>
    </row>
    <row r="15255" spans="1:17" ht="15" x14ac:dyDescent="0.25">
      <c r="A15255" s="3">
        <f>15248</f>
        <v>15248</v>
      </c>
      <c r="B15255" s="3" t="s">
        <v>15257</v>
      </c>
      <c r="C15255" s="3" t="s">
        <v>9</v>
      </c>
      <c r="D15255" s="3" t="s">
        <v>10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/>
      <c r="P15255" s="3"/>
      <c r="Q15255" s="3"/>
    </row>
    <row r="15256" spans="1:17" ht="15" x14ac:dyDescent="0.25">
      <c r="A15256" s="3">
        <f>15249</f>
        <v>15249</v>
      </c>
      <c r="B15256" s="3" t="s">
        <v>15258</v>
      </c>
      <c r="C15256" s="3" t="s">
        <v>9</v>
      </c>
      <c r="D15256" s="3" t="s">
        <v>10</v>
      </c>
      <c r="E15256" s="3">
        <v>0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s="3"/>
      <c r="P15256" s="3"/>
      <c r="Q15256" s="3"/>
    </row>
    <row r="15257" spans="1:17" ht="15" x14ac:dyDescent="0.25">
      <c r="A15257" s="3">
        <f>15250</f>
        <v>15250</v>
      </c>
      <c r="B15257" s="3" t="s">
        <v>15259</v>
      </c>
      <c r="C15257" s="3" t="s">
        <v>9</v>
      </c>
      <c r="D15257" s="3" t="s">
        <v>10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/>
      <c r="P15257" s="3"/>
      <c r="Q15257" s="3"/>
    </row>
    <row r="15258" spans="1:17" ht="15" x14ac:dyDescent="0.25">
      <c r="A15258" s="3">
        <f>15251</f>
        <v>15251</v>
      </c>
      <c r="B15258" s="3" t="s">
        <v>15260</v>
      </c>
      <c r="C15258" s="3" t="s">
        <v>9</v>
      </c>
      <c r="D15258" s="3" t="s">
        <v>10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  <c r="O15258" s="3"/>
      <c r="P15258" s="3"/>
      <c r="Q15258" s="3"/>
    </row>
    <row r="15259" spans="1:17" ht="15" x14ac:dyDescent="0.25">
      <c r="A15259" s="3">
        <f>15252</f>
        <v>15252</v>
      </c>
      <c r="B15259" s="3" t="s">
        <v>15261</v>
      </c>
      <c r="C15259" s="3" t="s">
        <v>9</v>
      </c>
      <c r="D15259" s="3" t="s">
        <v>10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  <c r="O15259" s="3"/>
      <c r="P15259" s="3"/>
      <c r="Q15259" s="3"/>
    </row>
    <row r="15260" spans="1:17" ht="15" x14ac:dyDescent="0.25">
      <c r="A15260" s="3">
        <f>15253</f>
        <v>15253</v>
      </c>
      <c r="B15260" s="3" t="s">
        <v>15262</v>
      </c>
      <c r="C15260" s="3" t="s">
        <v>9</v>
      </c>
      <c r="D15260" s="3" t="s">
        <v>10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/>
      <c r="P15260" s="3"/>
      <c r="Q15260" s="3"/>
    </row>
    <row r="15261" spans="1:17" ht="15" x14ac:dyDescent="0.25">
      <c r="A15261" s="3">
        <f>15254</f>
        <v>15254</v>
      </c>
      <c r="B15261" s="3" t="s">
        <v>15263</v>
      </c>
      <c r="C15261" s="3" t="s">
        <v>9</v>
      </c>
      <c r="D15261" s="3" t="s">
        <v>10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s="3"/>
      <c r="P15261" s="3"/>
      <c r="Q15261" s="3"/>
    </row>
    <row r="15262" spans="1:17" ht="15" x14ac:dyDescent="0.25">
      <c r="A15262" s="3">
        <f>15255</f>
        <v>15255</v>
      </c>
      <c r="B15262" s="3" t="s">
        <v>15264</v>
      </c>
      <c r="C15262" s="3" t="s">
        <v>9</v>
      </c>
      <c r="D15262" s="3" t="s">
        <v>10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s="3"/>
      <c r="P15262" s="3"/>
      <c r="Q15262" s="3"/>
    </row>
    <row r="15263" spans="1:17" ht="15" x14ac:dyDescent="0.25">
      <c r="A15263" s="3">
        <f>15256</f>
        <v>15256</v>
      </c>
      <c r="B15263" s="3" t="s">
        <v>15265</v>
      </c>
      <c r="C15263" s="3" t="s">
        <v>9</v>
      </c>
      <c r="D15263" s="3" t="s">
        <v>10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  <c r="O15263" s="3"/>
      <c r="P15263" s="3"/>
      <c r="Q15263" s="3"/>
    </row>
    <row r="15264" spans="1:17" ht="15" x14ac:dyDescent="0.25">
      <c r="A15264" s="3">
        <f>15257</f>
        <v>15257</v>
      </c>
      <c r="B15264" s="3" t="s">
        <v>15266</v>
      </c>
      <c r="C15264" s="3" t="s">
        <v>9</v>
      </c>
      <c r="D15264" s="3" t="s">
        <v>10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/>
      <c r="P15264" s="3"/>
      <c r="Q15264" s="3"/>
    </row>
    <row r="15265" spans="1:17" ht="15" x14ac:dyDescent="0.25">
      <c r="A15265" s="3">
        <f>15258</f>
        <v>15258</v>
      </c>
      <c r="B15265" s="3" t="s">
        <v>15267</v>
      </c>
      <c r="C15265" s="3" t="s">
        <v>9</v>
      </c>
      <c r="D15265" s="3" t="s">
        <v>10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  <c r="O15265" s="3"/>
      <c r="P15265" s="3"/>
      <c r="Q15265" s="3"/>
    </row>
    <row r="15266" spans="1:17" ht="15" x14ac:dyDescent="0.25">
      <c r="A15266" s="3">
        <f>15259</f>
        <v>15259</v>
      </c>
      <c r="B15266" s="3" t="s">
        <v>15268</v>
      </c>
      <c r="C15266" s="3" t="s">
        <v>9</v>
      </c>
      <c r="D15266" s="3" t="s">
        <v>10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/>
      <c r="P15266" s="3"/>
      <c r="Q15266" s="3"/>
    </row>
    <row r="15267" spans="1:17" ht="15" x14ac:dyDescent="0.25">
      <c r="A15267" s="3">
        <f>15260</f>
        <v>15260</v>
      </c>
      <c r="B15267" s="3" t="s">
        <v>15269</v>
      </c>
      <c r="C15267" s="3" t="s">
        <v>9</v>
      </c>
      <c r="D15267" s="3" t="s">
        <v>10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s="3"/>
      <c r="P15267" s="3"/>
      <c r="Q15267" s="3"/>
    </row>
    <row r="15268" spans="1:17" ht="15" x14ac:dyDescent="0.25">
      <c r="A15268" s="3">
        <f>15261</f>
        <v>15261</v>
      </c>
      <c r="B15268" s="3" t="s">
        <v>15270</v>
      </c>
      <c r="C15268" s="3" t="s">
        <v>9</v>
      </c>
      <c r="D15268" s="3" t="s">
        <v>10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s="3"/>
      <c r="P15268" s="3"/>
      <c r="Q15268" s="3"/>
    </row>
    <row r="15269" spans="1:17" ht="15" x14ac:dyDescent="0.25">
      <c r="A15269" s="3">
        <f>15262</f>
        <v>15262</v>
      </c>
      <c r="B15269" s="3" t="s">
        <v>15271</v>
      </c>
      <c r="C15269" s="3" t="s">
        <v>9</v>
      </c>
      <c r="D15269" s="3" t="s">
        <v>10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  <c r="O15269" s="3"/>
      <c r="P15269" s="3"/>
      <c r="Q15269" s="3"/>
    </row>
    <row r="15270" spans="1:17" ht="15" x14ac:dyDescent="0.25">
      <c r="A15270" s="3">
        <f>15263</f>
        <v>15263</v>
      </c>
      <c r="B15270" s="3" t="s">
        <v>15272</v>
      </c>
      <c r="C15270" s="3" t="s">
        <v>9</v>
      </c>
      <c r="D15270" s="3" t="s">
        <v>10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s="3"/>
      <c r="P15270" s="3"/>
      <c r="Q15270" s="3"/>
    </row>
    <row r="15271" spans="1:17" ht="15" x14ac:dyDescent="0.25">
      <c r="A15271" s="3">
        <f>15264</f>
        <v>15264</v>
      </c>
      <c r="B15271" s="3" t="s">
        <v>15273</v>
      </c>
      <c r="C15271" s="3" t="s">
        <v>9</v>
      </c>
      <c r="D15271" s="3" t="s">
        <v>10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s="3"/>
      <c r="P15271" s="3"/>
      <c r="Q15271" s="3"/>
    </row>
    <row r="15272" spans="1:17" ht="15" x14ac:dyDescent="0.25">
      <c r="A15272" s="3">
        <f>15265</f>
        <v>15265</v>
      </c>
      <c r="B15272" s="3" t="s">
        <v>15274</v>
      </c>
      <c r="C15272" s="3" t="s">
        <v>9</v>
      </c>
      <c r="D15272" s="3" t="s">
        <v>10</v>
      </c>
      <c r="E15272" s="3">
        <v>0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s="3"/>
      <c r="P15272" s="3"/>
      <c r="Q15272" s="3"/>
    </row>
    <row r="15273" spans="1:17" ht="15" x14ac:dyDescent="0.25">
      <c r="A15273" s="3">
        <f>15266</f>
        <v>15266</v>
      </c>
      <c r="B15273" s="3" t="s">
        <v>15275</v>
      </c>
      <c r="C15273" s="3" t="s">
        <v>9</v>
      </c>
      <c r="D15273" s="3" t="s">
        <v>10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s="3"/>
      <c r="P15273" s="3"/>
      <c r="Q15273" s="3"/>
    </row>
    <row r="15274" spans="1:17" ht="15" x14ac:dyDescent="0.25">
      <c r="A15274" s="3">
        <f>15267</f>
        <v>15267</v>
      </c>
      <c r="B15274" s="3" t="s">
        <v>15276</v>
      </c>
      <c r="C15274" s="3" t="s">
        <v>9</v>
      </c>
      <c r="D15274" s="3" t="s">
        <v>10</v>
      </c>
      <c r="E15274" s="3">
        <v>0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  <c r="O15274" s="3"/>
      <c r="P15274" s="3"/>
      <c r="Q15274" s="3"/>
    </row>
    <row r="15275" spans="1:17" ht="15" x14ac:dyDescent="0.25">
      <c r="A15275" s="3">
        <f>15268</f>
        <v>15268</v>
      </c>
      <c r="B15275" s="3" t="s">
        <v>15277</v>
      </c>
      <c r="C15275" s="3" t="s">
        <v>9</v>
      </c>
      <c r="D15275" s="3" t="s">
        <v>10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s="3"/>
      <c r="P15275" s="3"/>
      <c r="Q15275" s="3"/>
    </row>
    <row r="15276" spans="1:17" ht="15" x14ac:dyDescent="0.25">
      <c r="A15276" s="3">
        <f>15269</f>
        <v>15269</v>
      </c>
      <c r="B15276" s="3" t="s">
        <v>15278</v>
      </c>
      <c r="C15276" s="3" t="s">
        <v>9</v>
      </c>
      <c r="D15276" s="3" t="s">
        <v>10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/>
      <c r="P15276" s="3"/>
      <c r="Q15276" s="3"/>
    </row>
    <row r="15277" spans="1:17" ht="15" x14ac:dyDescent="0.25">
      <c r="A15277" s="3">
        <f>15270</f>
        <v>15270</v>
      </c>
      <c r="B15277" s="3" t="s">
        <v>15279</v>
      </c>
      <c r="C15277" s="3" t="s">
        <v>9</v>
      </c>
      <c r="D15277" s="3" t="s">
        <v>10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/>
      <c r="P15277" s="3"/>
      <c r="Q15277" s="3"/>
    </row>
    <row r="15278" spans="1:17" ht="15" x14ac:dyDescent="0.25">
      <c r="A15278" s="3">
        <f>15271</f>
        <v>15271</v>
      </c>
      <c r="B15278" s="3" t="s">
        <v>15280</v>
      </c>
      <c r="C15278" s="3" t="s">
        <v>9</v>
      </c>
      <c r="D15278" s="3" t="s">
        <v>10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/>
      <c r="P15278" s="3"/>
      <c r="Q15278" s="3"/>
    </row>
    <row r="15279" spans="1:17" ht="15" x14ac:dyDescent="0.25">
      <c r="A15279" s="3">
        <f>15272</f>
        <v>15272</v>
      </c>
      <c r="B15279" s="3" t="s">
        <v>15281</v>
      </c>
      <c r="C15279" s="3" t="s">
        <v>9</v>
      </c>
      <c r="D15279" s="3" t="s">
        <v>10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s="3"/>
      <c r="P15279" s="3"/>
      <c r="Q15279" s="3"/>
    </row>
    <row r="15280" spans="1:17" ht="15" x14ac:dyDescent="0.25">
      <c r="A15280" s="3">
        <f>15273</f>
        <v>15273</v>
      </c>
      <c r="B15280" s="3" t="s">
        <v>15282</v>
      </c>
      <c r="C15280" s="3" t="s">
        <v>9</v>
      </c>
      <c r="D15280" s="3" t="s">
        <v>10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s="3"/>
      <c r="P15280" s="3"/>
      <c r="Q15280" s="3"/>
    </row>
    <row r="15281" spans="1:17" ht="15" x14ac:dyDescent="0.25">
      <c r="A15281" s="3">
        <f>15274</f>
        <v>15274</v>
      </c>
      <c r="B15281" s="3" t="s">
        <v>15283</v>
      </c>
      <c r="C15281" s="3" t="s">
        <v>9</v>
      </c>
      <c r="D15281" s="3" t="s">
        <v>10</v>
      </c>
      <c r="E15281" s="3">
        <v>0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  <c r="O15281" s="3"/>
      <c r="P15281" s="3"/>
      <c r="Q15281" s="3"/>
    </row>
    <row r="15282" spans="1:17" ht="15" x14ac:dyDescent="0.25">
      <c r="A15282" s="3">
        <f>15275</f>
        <v>15275</v>
      </c>
      <c r="B15282" s="3" t="s">
        <v>15284</v>
      </c>
      <c r="C15282" s="3" t="s">
        <v>9</v>
      </c>
      <c r="D15282" s="3" t="s">
        <v>10</v>
      </c>
      <c r="E15282" s="3">
        <v>0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s="3"/>
      <c r="P15282" s="3"/>
      <c r="Q15282" s="3"/>
    </row>
    <row r="15283" spans="1:17" ht="15" x14ac:dyDescent="0.25">
      <c r="A15283" s="3">
        <f>15276</f>
        <v>15276</v>
      </c>
      <c r="B15283" s="3" t="s">
        <v>15285</v>
      </c>
      <c r="C15283" s="3" t="s">
        <v>9</v>
      </c>
      <c r="D15283" s="3" t="s">
        <v>10</v>
      </c>
      <c r="E15283" s="3">
        <v>0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  <c r="O15283" s="3"/>
      <c r="P15283" s="3"/>
      <c r="Q15283" s="3"/>
    </row>
    <row r="15284" spans="1:17" ht="15" x14ac:dyDescent="0.25">
      <c r="A15284" s="3">
        <f>15277</f>
        <v>15277</v>
      </c>
      <c r="B15284" s="3" t="s">
        <v>15286</v>
      </c>
      <c r="C15284" s="3" t="s">
        <v>9</v>
      </c>
      <c r="D15284" s="3" t="s">
        <v>10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s="3"/>
      <c r="P15284" s="3"/>
      <c r="Q15284" s="3"/>
    </row>
    <row r="15285" spans="1:17" ht="15" x14ac:dyDescent="0.25">
      <c r="A15285" s="3">
        <f>15278</f>
        <v>15278</v>
      </c>
      <c r="B15285" s="3" t="s">
        <v>15287</v>
      </c>
      <c r="C15285" s="3" t="s">
        <v>9</v>
      </c>
      <c r="D15285" s="3" t="s">
        <v>10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/>
      <c r="P15285" s="3"/>
      <c r="Q15285" s="3"/>
    </row>
    <row r="15286" spans="1:17" ht="15" x14ac:dyDescent="0.25">
      <c r="A15286" s="3">
        <f>15279</f>
        <v>15279</v>
      </c>
      <c r="B15286" s="3" t="s">
        <v>15288</v>
      </c>
      <c r="C15286" s="3" t="s">
        <v>9</v>
      </c>
      <c r="D15286" s="3" t="s">
        <v>10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  <c r="O15286" s="3"/>
      <c r="P15286" s="3"/>
      <c r="Q15286" s="3"/>
    </row>
    <row r="15287" spans="1:17" ht="15" x14ac:dyDescent="0.25">
      <c r="A15287" s="3">
        <f>15280</f>
        <v>15280</v>
      </c>
      <c r="B15287" s="3" t="s">
        <v>15289</v>
      </c>
      <c r="C15287" s="3" t="s">
        <v>9</v>
      </c>
      <c r="D15287" s="3" t="s">
        <v>10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s="3"/>
      <c r="P15287" s="3"/>
      <c r="Q15287" s="3"/>
    </row>
    <row r="15288" spans="1:17" ht="15" x14ac:dyDescent="0.25">
      <c r="A15288" s="3">
        <f>15281</f>
        <v>15281</v>
      </c>
      <c r="B15288" s="3" t="s">
        <v>15290</v>
      </c>
      <c r="C15288" s="3" t="s">
        <v>9</v>
      </c>
      <c r="D15288" s="3" t="s">
        <v>10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s="3"/>
      <c r="P15288" s="3"/>
      <c r="Q15288" s="3"/>
    </row>
    <row r="15289" spans="1:17" ht="15" x14ac:dyDescent="0.25">
      <c r="A15289" s="3">
        <f>15282</f>
        <v>15282</v>
      </c>
      <c r="B15289" s="3" t="s">
        <v>15291</v>
      </c>
      <c r="C15289" s="3" t="s">
        <v>9</v>
      </c>
      <c r="D15289" s="3" t="s">
        <v>10</v>
      </c>
      <c r="E15289" s="3">
        <v>0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s="3"/>
      <c r="P15289" s="3"/>
      <c r="Q15289" s="3"/>
    </row>
    <row r="15290" spans="1:17" ht="15" x14ac:dyDescent="0.25">
      <c r="A15290" s="3">
        <f>15283</f>
        <v>15283</v>
      </c>
      <c r="B15290" s="3" t="s">
        <v>15292</v>
      </c>
      <c r="C15290" s="3" t="s">
        <v>9</v>
      </c>
      <c r="D15290" s="3" t="s">
        <v>10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  <c r="O15290" s="3"/>
      <c r="P15290" s="3"/>
      <c r="Q15290" s="3"/>
    </row>
    <row r="15291" spans="1:17" ht="15" x14ac:dyDescent="0.25">
      <c r="A15291" s="3">
        <f>15284</f>
        <v>15284</v>
      </c>
      <c r="B15291" s="3" t="s">
        <v>15293</v>
      </c>
      <c r="C15291" s="3" t="s">
        <v>9</v>
      </c>
      <c r="D15291" s="3" t="s">
        <v>10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s="3"/>
      <c r="P15291" s="3"/>
      <c r="Q15291" s="3"/>
    </row>
    <row r="15292" spans="1:17" ht="15" x14ac:dyDescent="0.25">
      <c r="A15292" s="3">
        <f>15285</f>
        <v>15285</v>
      </c>
      <c r="B15292" s="3" t="s">
        <v>15294</v>
      </c>
      <c r="C15292" s="3" t="s">
        <v>9</v>
      </c>
      <c r="D15292" s="3" t="s">
        <v>10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/>
      <c r="P15292" s="3"/>
      <c r="Q15292" s="3"/>
    </row>
    <row r="15293" spans="1:17" ht="15" x14ac:dyDescent="0.25">
      <c r="A15293" s="3">
        <f>15286</f>
        <v>15286</v>
      </c>
      <c r="B15293" s="3" t="s">
        <v>15295</v>
      </c>
      <c r="C15293" s="3" t="s">
        <v>9</v>
      </c>
      <c r="D15293" s="3" t="s">
        <v>10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s="3"/>
      <c r="P15293" s="3"/>
      <c r="Q15293" s="3"/>
    </row>
    <row r="15294" spans="1:17" ht="15" x14ac:dyDescent="0.25">
      <c r="A15294" s="3">
        <f>15287</f>
        <v>15287</v>
      </c>
      <c r="B15294" s="3" t="s">
        <v>15296</v>
      </c>
      <c r="C15294" s="3" t="s">
        <v>9</v>
      </c>
      <c r="D15294" s="3" t="s">
        <v>10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  <c r="O15294" s="3"/>
      <c r="P15294" s="3"/>
      <c r="Q15294" s="3"/>
    </row>
    <row r="15295" spans="1:17" ht="15" x14ac:dyDescent="0.25">
      <c r="A15295" s="3">
        <f>15288</f>
        <v>15288</v>
      </c>
      <c r="B15295" s="3" t="s">
        <v>15297</v>
      </c>
      <c r="C15295" s="3" t="s">
        <v>9</v>
      </c>
      <c r="D15295" s="3" t="s">
        <v>10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s="3"/>
      <c r="P15295" s="3"/>
      <c r="Q15295" s="3"/>
    </row>
    <row r="15296" spans="1:17" ht="15" x14ac:dyDescent="0.25">
      <c r="A15296" s="3">
        <f>15289</f>
        <v>15289</v>
      </c>
      <c r="B15296" s="3" t="s">
        <v>15298</v>
      </c>
      <c r="C15296" s="3" t="s">
        <v>9</v>
      </c>
      <c r="D15296" s="3" t="s">
        <v>10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/>
      <c r="P15296" s="3"/>
      <c r="Q15296" s="3"/>
    </row>
    <row r="15297" spans="1:17" ht="15" x14ac:dyDescent="0.25">
      <c r="A15297" s="3">
        <f>15290</f>
        <v>15290</v>
      </c>
      <c r="B15297" s="3" t="s">
        <v>15299</v>
      </c>
      <c r="C15297" s="3" t="s">
        <v>9</v>
      </c>
      <c r="D15297" s="3" t="s">
        <v>10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/>
      <c r="P15297" s="3"/>
      <c r="Q15297" s="3"/>
    </row>
    <row r="15298" spans="1:17" ht="15" x14ac:dyDescent="0.25">
      <c r="A15298" s="3">
        <f>15291</f>
        <v>15291</v>
      </c>
      <c r="B15298" s="3" t="s">
        <v>15300</v>
      </c>
      <c r="C15298" s="3" t="s">
        <v>9</v>
      </c>
      <c r="D15298" s="3" t="s">
        <v>10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/>
      <c r="P15298" s="3"/>
      <c r="Q15298" s="3"/>
    </row>
    <row r="15299" spans="1:17" ht="15" x14ac:dyDescent="0.25">
      <c r="A15299" s="3">
        <f>15292</f>
        <v>15292</v>
      </c>
      <c r="B15299" s="3" t="s">
        <v>15301</v>
      </c>
      <c r="C15299" s="3" t="s">
        <v>9</v>
      </c>
      <c r="D15299" s="3" t="s">
        <v>10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/>
      <c r="P15299" s="3"/>
      <c r="Q15299" s="3"/>
    </row>
    <row r="15300" spans="1:17" ht="15" x14ac:dyDescent="0.25">
      <c r="A15300" s="3">
        <f>15293</f>
        <v>15293</v>
      </c>
      <c r="B15300" s="3" t="s">
        <v>15302</v>
      </c>
      <c r="C15300" s="3" t="s">
        <v>9</v>
      </c>
      <c r="D15300" s="3" t="s">
        <v>10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  <c r="O15300" s="3"/>
      <c r="P15300" s="3"/>
      <c r="Q15300" s="3"/>
    </row>
    <row r="15301" spans="1:17" ht="15" x14ac:dyDescent="0.25">
      <c r="A15301" s="3">
        <f>15294</f>
        <v>15294</v>
      </c>
      <c r="B15301" s="3" t="s">
        <v>15303</v>
      </c>
      <c r="C15301" s="3" t="s">
        <v>9</v>
      </c>
      <c r="D15301" s="3" t="s">
        <v>10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s="3"/>
      <c r="P15301" s="3"/>
      <c r="Q15301" s="3"/>
    </row>
    <row r="15302" spans="1:17" ht="15" x14ac:dyDescent="0.25">
      <c r="A15302" s="3">
        <f>15295</f>
        <v>15295</v>
      </c>
      <c r="B15302" s="3" t="s">
        <v>15304</v>
      </c>
      <c r="C15302" s="3" t="s">
        <v>9</v>
      </c>
      <c r="D15302" s="3" t="s">
        <v>10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  <c r="O15302" s="3"/>
      <c r="P15302" s="3"/>
      <c r="Q15302" s="3"/>
    </row>
    <row r="15303" spans="1:17" ht="15" x14ac:dyDescent="0.25">
      <c r="A15303" s="3">
        <f>15296</f>
        <v>15296</v>
      </c>
      <c r="B15303" s="3" t="s">
        <v>15305</v>
      </c>
      <c r="C15303" s="3" t="s">
        <v>9</v>
      </c>
      <c r="D15303" s="3" t="s">
        <v>10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s="3"/>
      <c r="P15303" s="3"/>
      <c r="Q15303" s="3"/>
    </row>
    <row r="15304" spans="1:17" ht="15" x14ac:dyDescent="0.25">
      <c r="A15304" s="3">
        <f>15297</f>
        <v>15297</v>
      </c>
      <c r="B15304" s="3" t="s">
        <v>15306</v>
      </c>
      <c r="C15304" s="3" t="s">
        <v>9</v>
      </c>
      <c r="D15304" s="3" t="s">
        <v>10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/>
      <c r="P15304" s="3"/>
      <c r="Q15304" s="3"/>
    </row>
    <row r="15305" spans="1:17" ht="15" x14ac:dyDescent="0.25">
      <c r="A15305" s="3">
        <f>15298</f>
        <v>15298</v>
      </c>
      <c r="B15305" s="3" t="s">
        <v>15307</v>
      </c>
      <c r="C15305" s="3" t="s">
        <v>9</v>
      </c>
      <c r="D15305" s="3" t="s">
        <v>10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s="3"/>
      <c r="P15305" s="3"/>
      <c r="Q15305" s="3"/>
    </row>
    <row r="15306" spans="1:17" ht="15" x14ac:dyDescent="0.25">
      <c r="A15306" s="3">
        <f>15299</f>
        <v>15299</v>
      </c>
      <c r="B15306" s="3" t="s">
        <v>15308</v>
      </c>
      <c r="C15306" s="3" t="s">
        <v>9</v>
      </c>
      <c r="D15306" s="3" t="s">
        <v>10</v>
      </c>
      <c r="E15306" s="3">
        <v>0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  <c r="O15306" s="3"/>
      <c r="P15306" s="3"/>
      <c r="Q15306" s="3"/>
    </row>
    <row r="15307" spans="1:17" ht="15" x14ac:dyDescent="0.25">
      <c r="A15307" s="3">
        <f>15300</f>
        <v>15300</v>
      </c>
      <c r="B15307" s="3" t="s">
        <v>15309</v>
      </c>
      <c r="C15307" s="3" t="s">
        <v>9</v>
      </c>
      <c r="D15307" s="3" t="s">
        <v>10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/>
      <c r="P15307" s="3"/>
      <c r="Q15307" s="3"/>
    </row>
    <row r="15308" spans="1:17" ht="15" x14ac:dyDescent="0.25">
      <c r="A15308" s="3">
        <f>15301</f>
        <v>15301</v>
      </c>
      <c r="B15308" s="3" t="s">
        <v>15310</v>
      </c>
      <c r="C15308" s="3" t="s">
        <v>9</v>
      </c>
      <c r="D15308" s="3" t="s">
        <v>10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0</v>
      </c>
      <c r="O15308" s="3"/>
      <c r="P15308" s="3"/>
      <c r="Q15308" s="3"/>
    </row>
    <row r="15309" spans="1:17" ht="15" x14ac:dyDescent="0.25">
      <c r="A15309" s="3">
        <f>15302</f>
        <v>15302</v>
      </c>
      <c r="B15309" s="3" t="s">
        <v>15311</v>
      </c>
      <c r="C15309" s="3" t="s">
        <v>9</v>
      </c>
      <c r="D15309" s="3" t="s">
        <v>10</v>
      </c>
      <c r="E15309" s="3">
        <v>0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  <c r="O15309" s="3"/>
      <c r="P15309" s="3"/>
      <c r="Q15309" s="3"/>
    </row>
    <row r="15310" spans="1:17" ht="15" x14ac:dyDescent="0.25">
      <c r="A15310" s="3">
        <f>15303</f>
        <v>15303</v>
      </c>
      <c r="B15310" s="3" t="s">
        <v>15312</v>
      </c>
      <c r="C15310" s="3" t="s">
        <v>9</v>
      </c>
      <c r="D15310" s="3" t="s">
        <v>10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/>
      <c r="P15310" s="3"/>
      <c r="Q15310" s="3"/>
    </row>
    <row r="15311" spans="1:17" ht="15" x14ac:dyDescent="0.25">
      <c r="A15311" s="3">
        <f>15304</f>
        <v>15304</v>
      </c>
      <c r="B15311" s="3" t="s">
        <v>15313</v>
      </c>
      <c r="C15311" s="3" t="s">
        <v>9</v>
      </c>
      <c r="D15311" s="3" t="s">
        <v>10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s="3"/>
      <c r="P15311" s="3"/>
      <c r="Q15311" s="3"/>
    </row>
    <row r="15312" spans="1:17" ht="15" x14ac:dyDescent="0.25">
      <c r="A15312" s="3">
        <f>15305</f>
        <v>15305</v>
      </c>
      <c r="B15312" s="3" t="s">
        <v>15314</v>
      </c>
      <c r="C15312" s="3" t="s">
        <v>9</v>
      </c>
      <c r="D15312" s="3" t="s">
        <v>10</v>
      </c>
      <c r="E15312" s="3">
        <v>0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  <c r="O15312" s="3"/>
      <c r="P15312" s="3"/>
      <c r="Q15312" s="3"/>
    </row>
    <row r="15313" spans="1:17" ht="15" x14ac:dyDescent="0.25">
      <c r="A15313" s="3">
        <f>15306</f>
        <v>15306</v>
      </c>
      <c r="B15313" s="3" t="s">
        <v>15315</v>
      </c>
      <c r="C15313" s="3" t="s">
        <v>9</v>
      </c>
      <c r="D15313" s="3" t="s">
        <v>10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  <c r="O15313" s="3"/>
      <c r="P15313" s="3"/>
      <c r="Q15313" s="3"/>
    </row>
    <row r="15314" spans="1:17" ht="15" x14ac:dyDescent="0.25">
      <c r="A15314" s="3">
        <f>15307</f>
        <v>15307</v>
      </c>
      <c r="B15314" s="3" t="s">
        <v>15316</v>
      </c>
      <c r="C15314" s="3" t="s">
        <v>9</v>
      </c>
      <c r="D15314" s="3" t="s">
        <v>10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s="3"/>
      <c r="P15314" s="3"/>
      <c r="Q15314" s="3"/>
    </row>
    <row r="15315" spans="1:17" ht="15" x14ac:dyDescent="0.25">
      <c r="A15315" s="3">
        <f>15308</f>
        <v>15308</v>
      </c>
      <c r="B15315" s="3" t="s">
        <v>15317</v>
      </c>
      <c r="C15315" s="3" t="s">
        <v>9</v>
      </c>
      <c r="D15315" s="3" t="s">
        <v>10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/>
      <c r="P15315" s="3"/>
      <c r="Q15315" s="3"/>
    </row>
    <row r="15316" spans="1:17" ht="15" x14ac:dyDescent="0.25">
      <c r="A15316" s="3">
        <f>15309</f>
        <v>15309</v>
      </c>
      <c r="B15316" s="3" t="s">
        <v>15318</v>
      </c>
      <c r="C15316" s="3" t="s">
        <v>9</v>
      </c>
      <c r="D15316" s="3" t="s">
        <v>10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/>
      <c r="P15316" s="3"/>
      <c r="Q15316" s="3"/>
    </row>
    <row r="15317" spans="1:17" ht="15" x14ac:dyDescent="0.25">
      <c r="A15317" s="3">
        <f>15310</f>
        <v>15310</v>
      </c>
      <c r="B15317" s="3" t="s">
        <v>15319</v>
      </c>
      <c r="C15317" s="3" t="s">
        <v>9</v>
      </c>
      <c r="D15317" s="3" t="s">
        <v>10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/>
      <c r="P15317" s="3"/>
      <c r="Q15317" s="3"/>
    </row>
    <row r="15318" spans="1:17" ht="15" x14ac:dyDescent="0.25">
      <c r="A15318" s="3">
        <f>15311</f>
        <v>15311</v>
      </c>
      <c r="B15318" s="3" t="s">
        <v>15320</v>
      </c>
      <c r="C15318" s="3" t="s">
        <v>9</v>
      </c>
      <c r="D15318" s="3" t="s">
        <v>10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/>
      <c r="P15318" s="3"/>
      <c r="Q15318" s="3"/>
    </row>
    <row r="15319" spans="1:17" ht="15" x14ac:dyDescent="0.25">
      <c r="A15319" s="3">
        <f>15312</f>
        <v>15312</v>
      </c>
      <c r="B15319" s="3" t="s">
        <v>15321</v>
      </c>
      <c r="C15319" s="3" t="s">
        <v>9</v>
      </c>
      <c r="D15319" s="3" t="s">
        <v>10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/>
      <c r="P15319" s="3"/>
      <c r="Q15319" s="3"/>
    </row>
    <row r="15320" spans="1:17" ht="15" x14ac:dyDescent="0.25">
      <c r="A15320" s="3">
        <f>15313</f>
        <v>15313</v>
      </c>
      <c r="B15320" s="3" t="s">
        <v>15322</v>
      </c>
      <c r="C15320" s="3" t="s">
        <v>9</v>
      </c>
      <c r="D15320" s="3" t="s">
        <v>10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s="3"/>
      <c r="P15320" s="3"/>
      <c r="Q15320" s="3"/>
    </row>
    <row r="15321" spans="1:17" ht="15" x14ac:dyDescent="0.25">
      <c r="A15321" s="3">
        <f>15314</f>
        <v>15314</v>
      </c>
      <c r="B15321" s="3" t="s">
        <v>15323</v>
      </c>
      <c r="C15321" s="3" t="s">
        <v>9</v>
      </c>
      <c r="D15321" s="3" t="s">
        <v>10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/>
      <c r="P15321" s="3"/>
      <c r="Q15321" s="3"/>
    </row>
    <row r="15322" spans="1:17" ht="15" x14ac:dyDescent="0.25">
      <c r="A15322" s="3">
        <f>15315</f>
        <v>15315</v>
      </c>
      <c r="B15322" s="3" t="s">
        <v>15324</v>
      </c>
      <c r="C15322" s="3" t="s">
        <v>9</v>
      </c>
      <c r="D15322" s="3" t="s">
        <v>10</v>
      </c>
      <c r="E15322" s="3">
        <v>0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  <c r="O15322" s="3"/>
      <c r="P15322" s="3"/>
      <c r="Q15322" s="3"/>
    </row>
    <row r="15323" spans="1:17" ht="15" x14ac:dyDescent="0.25">
      <c r="A15323" s="3">
        <f>15316</f>
        <v>15316</v>
      </c>
      <c r="B15323" s="3" t="s">
        <v>15325</v>
      </c>
      <c r="C15323" s="3" t="s">
        <v>9</v>
      </c>
      <c r="D15323" s="3" t="s">
        <v>10</v>
      </c>
      <c r="E15323" s="3">
        <v>0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s="3"/>
      <c r="P15323" s="3"/>
      <c r="Q15323" s="3"/>
    </row>
    <row r="15324" spans="1:17" ht="15" x14ac:dyDescent="0.25">
      <c r="A15324" s="3">
        <f>15317</f>
        <v>15317</v>
      </c>
      <c r="B15324" s="3" t="s">
        <v>15326</v>
      </c>
      <c r="C15324" s="3" t="s">
        <v>9</v>
      </c>
      <c r="D15324" s="3" t="s">
        <v>10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s="3"/>
      <c r="P15324" s="3"/>
      <c r="Q15324" s="3"/>
    </row>
    <row r="15325" spans="1:17" ht="15" x14ac:dyDescent="0.25">
      <c r="A15325" s="3">
        <f>15318</f>
        <v>15318</v>
      </c>
      <c r="B15325" s="3" t="s">
        <v>15327</v>
      </c>
      <c r="C15325" s="3" t="s">
        <v>9</v>
      </c>
      <c r="D15325" s="3" t="s">
        <v>10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/>
      <c r="P15325" s="3"/>
      <c r="Q15325" s="3"/>
    </row>
    <row r="15326" spans="1:17" ht="15" x14ac:dyDescent="0.25">
      <c r="A15326" s="3">
        <f>15319</f>
        <v>15319</v>
      </c>
      <c r="B15326" s="3" t="s">
        <v>15328</v>
      </c>
      <c r="C15326" s="3" t="s">
        <v>9</v>
      </c>
      <c r="D15326" s="3" t="s">
        <v>10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/>
      <c r="P15326" s="3"/>
      <c r="Q15326" s="3"/>
    </row>
    <row r="15327" spans="1:17" ht="15" x14ac:dyDescent="0.25">
      <c r="A15327" s="3">
        <f>15320</f>
        <v>15320</v>
      </c>
      <c r="B15327" s="3" t="s">
        <v>15329</v>
      </c>
      <c r="C15327" s="3" t="s">
        <v>9</v>
      </c>
      <c r="D15327" s="3" t="s">
        <v>10</v>
      </c>
      <c r="E15327" s="3">
        <v>0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/>
      <c r="P15327" s="3"/>
      <c r="Q15327" s="3"/>
    </row>
    <row r="15328" spans="1:17" ht="15" x14ac:dyDescent="0.25">
      <c r="A15328" s="3">
        <f>15321</f>
        <v>15321</v>
      </c>
      <c r="B15328" s="3" t="s">
        <v>15330</v>
      </c>
      <c r="C15328" s="3" t="s">
        <v>9</v>
      </c>
      <c r="D15328" s="3" t="s">
        <v>10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/>
      <c r="P15328" s="3"/>
      <c r="Q15328" s="3"/>
    </row>
    <row r="15329" spans="1:17" ht="15" x14ac:dyDescent="0.25">
      <c r="A15329" s="3">
        <f>15322</f>
        <v>15322</v>
      </c>
      <c r="B15329" s="3" t="s">
        <v>15331</v>
      </c>
      <c r="C15329" s="3" t="s">
        <v>9</v>
      </c>
      <c r="D15329" s="3" t="s">
        <v>10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0</v>
      </c>
      <c r="O15329" s="3"/>
      <c r="P15329" s="3"/>
      <c r="Q15329" s="3"/>
    </row>
    <row r="15330" spans="1:17" ht="15" x14ac:dyDescent="0.25">
      <c r="A15330" s="3">
        <f>15323</f>
        <v>15323</v>
      </c>
      <c r="B15330" s="3" t="s">
        <v>15332</v>
      </c>
      <c r="C15330" s="3" t="s">
        <v>9</v>
      </c>
      <c r="D15330" s="3" t="s">
        <v>10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  <c r="O15330" s="3"/>
      <c r="P15330" s="3"/>
      <c r="Q15330" s="3"/>
    </row>
    <row r="15331" spans="1:17" ht="15" x14ac:dyDescent="0.25">
      <c r="A15331" s="3">
        <f>15324</f>
        <v>15324</v>
      </c>
      <c r="B15331" s="3" t="s">
        <v>15333</v>
      </c>
      <c r="C15331" s="3" t="s">
        <v>9</v>
      </c>
      <c r="D15331" s="3" t="s">
        <v>10</v>
      </c>
      <c r="E15331" s="3">
        <v>0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s="3"/>
      <c r="P15331" s="3"/>
      <c r="Q15331" s="3"/>
    </row>
    <row r="15332" spans="1:17" ht="15" x14ac:dyDescent="0.25">
      <c r="A15332" s="3">
        <f>15325</f>
        <v>15325</v>
      </c>
      <c r="B15332" s="3" t="s">
        <v>15334</v>
      </c>
      <c r="C15332" s="3" t="s">
        <v>9</v>
      </c>
      <c r="D15332" s="3" t="s">
        <v>10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s="3"/>
      <c r="P15332" s="3"/>
      <c r="Q15332" s="3"/>
    </row>
    <row r="15333" spans="1:17" ht="15" x14ac:dyDescent="0.25">
      <c r="A15333" s="3">
        <f>15326</f>
        <v>15326</v>
      </c>
      <c r="B15333" s="3" t="s">
        <v>15335</v>
      </c>
      <c r="C15333" s="3" t="s">
        <v>9</v>
      </c>
      <c r="D15333" s="3" t="s">
        <v>10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s="3"/>
      <c r="P15333" s="3"/>
      <c r="Q15333" s="3"/>
    </row>
    <row r="15334" spans="1:17" ht="15" x14ac:dyDescent="0.25">
      <c r="A15334" s="3">
        <f>15327</f>
        <v>15327</v>
      </c>
      <c r="B15334" s="3" t="s">
        <v>15336</v>
      </c>
      <c r="C15334" s="3" t="s">
        <v>9</v>
      </c>
      <c r="D15334" s="3" t="s">
        <v>10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/>
      <c r="P15334" s="3"/>
      <c r="Q15334" s="3"/>
    </row>
    <row r="15335" spans="1:17" ht="15" x14ac:dyDescent="0.25">
      <c r="A15335" s="3">
        <f>15328</f>
        <v>15328</v>
      </c>
      <c r="B15335" s="3" t="s">
        <v>15337</v>
      </c>
      <c r="C15335" s="3" t="s">
        <v>9</v>
      </c>
      <c r="D15335" s="3" t="s">
        <v>10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s="3"/>
      <c r="P15335" s="3"/>
      <c r="Q15335" s="3"/>
    </row>
    <row r="15336" spans="1:17" ht="15" x14ac:dyDescent="0.25">
      <c r="A15336" s="3">
        <f>15329</f>
        <v>15329</v>
      </c>
      <c r="B15336" s="3" t="s">
        <v>15338</v>
      </c>
      <c r="C15336" s="3" t="s">
        <v>9</v>
      </c>
      <c r="D15336" s="3" t="s">
        <v>10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s="3"/>
      <c r="P15336" s="3"/>
      <c r="Q15336" s="3"/>
    </row>
    <row r="15337" spans="1:17" ht="15" x14ac:dyDescent="0.25">
      <c r="A15337" s="3">
        <f>15330</f>
        <v>15330</v>
      </c>
      <c r="B15337" s="3" t="s">
        <v>15339</v>
      </c>
      <c r="C15337" s="3" t="s">
        <v>9</v>
      </c>
      <c r="D15337" s="3" t="s">
        <v>10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/>
      <c r="P15337" s="3"/>
      <c r="Q15337" s="3"/>
    </row>
    <row r="15338" spans="1:17" ht="15" x14ac:dyDescent="0.25">
      <c r="A15338" s="3">
        <f>15331</f>
        <v>15331</v>
      </c>
      <c r="B15338" s="3" t="s">
        <v>15340</v>
      </c>
      <c r="C15338" s="3" t="s">
        <v>9</v>
      </c>
      <c r="D15338" s="3" t="s">
        <v>10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s="3"/>
      <c r="P15338" s="3"/>
      <c r="Q15338" s="3"/>
    </row>
    <row r="15339" spans="1:17" ht="15" x14ac:dyDescent="0.25">
      <c r="A15339" s="3">
        <f>15332</f>
        <v>15332</v>
      </c>
      <c r="B15339" s="3" t="s">
        <v>15341</v>
      </c>
      <c r="C15339" s="3" t="s">
        <v>9</v>
      </c>
      <c r="D15339" s="3" t="s">
        <v>10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/>
      <c r="P15339" s="3"/>
      <c r="Q15339" s="3"/>
    </row>
    <row r="15340" spans="1:17" ht="15" x14ac:dyDescent="0.25">
      <c r="A15340" s="3">
        <f>15333</f>
        <v>15333</v>
      </c>
      <c r="B15340" s="3" t="s">
        <v>15342</v>
      </c>
      <c r="C15340" s="3" t="s">
        <v>9</v>
      </c>
      <c r="D15340" s="3" t="s">
        <v>10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  <c r="O15340" s="3"/>
      <c r="P15340" s="3"/>
      <c r="Q15340" s="3"/>
    </row>
    <row r="15341" spans="1:17" ht="15" x14ac:dyDescent="0.25">
      <c r="A15341" s="3">
        <f>15334</f>
        <v>15334</v>
      </c>
      <c r="B15341" s="3" t="s">
        <v>15343</v>
      </c>
      <c r="C15341" s="3" t="s">
        <v>9</v>
      </c>
      <c r="D15341" s="3" t="s">
        <v>10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s="3"/>
      <c r="P15341" s="3"/>
      <c r="Q15341" s="3"/>
    </row>
    <row r="15342" spans="1:17" ht="15" x14ac:dyDescent="0.25">
      <c r="A15342" s="3">
        <f>15335</f>
        <v>15335</v>
      </c>
      <c r="B15342" s="3" t="s">
        <v>15344</v>
      </c>
      <c r="C15342" s="3" t="s">
        <v>9</v>
      </c>
      <c r="D15342" s="3" t="s">
        <v>10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  <c r="O15342" s="3"/>
      <c r="P15342" s="3"/>
      <c r="Q15342" s="3"/>
    </row>
    <row r="15343" spans="1:17" ht="15" x14ac:dyDescent="0.25">
      <c r="A15343" s="3">
        <f>15336</f>
        <v>15336</v>
      </c>
      <c r="B15343" s="3" t="s">
        <v>15345</v>
      </c>
      <c r="C15343" s="3" t="s">
        <v>9</v>
      </c>
      <c r="D15343" s="3" t="s">
        <v>10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  <c r="O15343" s="3"/>
      <c r="P15343" s="3"/>
      <c r="Q15343" s="3"/>
    </row>
    <row r="15344" spans="1:17" ht="15" x14ac:dyDescent="0.25">
      <c r="A15344" s="3">
        <f>15337</f>
        <v>15337</v>
      </c>
      <c r="B15344" s="3" t="s">
        <v>15346</v>
      </c>
      <c r="C15344" s="3" t="s">
        <v>9</v>
      </c>
      <c r="D15344" s="3" t="s">
        <v>10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/>
      <c r="P15344" s="3"/>
      <c r="Q15344" s="3"/>
    </row>
    <row r="15345" spans="1:17" ht="15" x14ac:dyDescent="0.25">
      <c r="A15345" s="3">
        <f>15338</f>
        <v>15338</v>
      </c>
      <c r="B15345" s="3" t="s">
        <v>15347</v>
      </c>
      <c r="C15345" s="3" t="s">
        <v>9</v>
      </c>
      <c r="D15345" s="3" t="s">
        <v>10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/>
      <c r="P15345" s="3"/>
      <c r="Q15345" s="3"/>
    </row>
    <row r="15346" spans="1:17" ht="15" x14ac:dyDescent="0.25">
      <c r="A15346" s="3">
        <f>15339</f>
        <v>15339</v>
      </c>
      <c r="B15346" s="3" t="s">
        <v>15348</v>
      </c>
      <c r="C15346" s="3" t="s">
        <v>9</v>
      </c>
      <c r="D15346" s="3" t="s">
        <v>10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/>
      <c r="P15346" s="3"/>
      <c r="Q15346" s="3"/>
    </row>
    <row r="15347" spans="1:17" ht="15" x14ac:dyDescent="0.25">
      <c r="A15347" s="3">
        <f>15340</f>
        <v>15340</v>
      </c>
      <c r="B15347" s="3" t="s">
        <v>15349</v>
      </c>
      <c r="C15347" s="3" t="s">
        <v>9</v>
      </c>
      <c r="D15347" s="3" t="s">
        <v>10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/>
      <c r="P15347" s="3"/>
      <c r="Q15347" s="3"/>
    </row>
    <row r="15348" spans="1:17" ht="15" x14ac:dyDescent="0.25">
      <c r="A15348" s="3">
        <f>15341</f>
        <v>15341</v>
      </c>
      <c r="B15348" s="3" t="s">
        <v>15350</v>
      </c>
      <c r="C15348" s="3" t="s">
        <v>9</v>
      </c>
      <c r="D15348" s="3" t="s">
        <v>10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/>
      <c r="P15348" s="3"/>
      <c r="Q15348" s="3"/>
    </row>
    <row r="15349" spans="1:17" ht="15" x14ac:dyDescent="0.25">
      <c r="A15349" s="3">
        <f>15342</f>
        <v>15342</v>
      </c>
      <c r="B15349" s="3" t="s">
        <v>15351</v>
      </c>
      <c r="C15349" s="3" t="s">
        <v>9</v>
      </c>
      <c r="D15349" s="3" t="s">
        <v>10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s="3"/>
      <c r="P15349" s="3"/>
      <c r="Q15349" s="3"/>
    </row>
    <row r="15350" spans="1:17" ht="15" x14ac:dyDescent="0.25">
      <c r="A15350" s="3">
        <f>15343</f>
        <v>15343</v>
      </c>
      <c r="B15350" s="3" t="s">
        <v>15352</v>
      </c>
      <c r="C15350" s="3" t="s">
        <v>9</v>
      </c>
      <c r="D15350" s="3" t="s">
        <v>10</v>
      </c>
      <c r="E15350" s="3">
        <v>0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s="3"/>
      <c r="P15350" s="3"/>
      <c r="Q15350" s="3"/>
    </row>
    <row r="15351" spans="1:17" ht="15" x14ac:dyDescent="0.25">
      <c r="A15351" s="3">
        <f>15344</f>
        <v>15344</v>
      </c>
      <c r="B15351" s="3" t="s">
        <v>15353</v>
      </c>
      <c r="C15351" s="3" t="s">
        <v>9</v>
      </c>
      <c r="D15351" s="3" t="s">
        <v>10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/>
      <c r="P15351" s="3"/>
      <c r="Q15351" s="3"/>
    </row>
    <row r="15352" spans="1:17" ht="15" x14ac:dyDescent="0.25">
      <c r="A15352" s="3">
        <f>15345</f>
        <v>15345</v>
      </c>
      <c r="B15352" s="3" t="s">
        <v>15354</v>
      </c>
      <c r="C15352" s="3" t="s">
        <v>9</v>
      </c>
      <c r="D15352" s="3" t="s">
        <v>10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  <c r="O15352" s="3"/>
      <c r="P15352" s="3"/>
      <c r="Q15352" s="3"/>
    </row>
    <row r="15353" spans="1:17" ht="15" x14ac:dyDescent="0.25">
      <c r="A15353" s="3">
        <f>15346</f>
        <v>15346</v>
      </c>
      <c r="B15353" s="3" t="s">
        <v>15355</v>
      </c>
      <c r="C15353" s="3" t="s">
        <v>9</v>
      </c>
      <c r="D15353" s="3" t="s">
        <v>10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s="3"/>
      <c r="P15353" s="3"/>
      <c r="Q15353" s="3"/>
    </row>
    <row r="15354" spans="1:17" ht="15" x14ac:dyDescent="0.25">
      <c r="A15354" s="3">
        <f>15347</f>
        <v>15347</v>
      </c>
      <c r="B15354" s="3" t="s">
        <v>15356</v>
      </c>
      <c r="C15354" s="3" t="s">
        <v>9</v>
      </c>
      <c r="D15354" s="3" t="s">
        <v>10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/>
      <c r="P15354" s="3"/>
      <c r="Q15354" s="3"/>
    </row>
    <row r="15355" spans="1:17" ht="15" x14ac:dyDescent="0.25">
      <c r="A15355" s="3">
        <f>15348</f>
        <v>15348</v>
      </c>
      <c r="B15355" s="3" t="s">
        <v>15357</v>
      </c>
      <c r="C15355" s="3" t="s">
        <v>9</v>
      </c>
      <c r="D15355" s="3" t="s">
        <v>10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/>
      <c r="P15355" s="3"/>
      <c r="Q15355" s="3"/>
    </row>
    <row r="15356" spans="1:17" ht="15" x14ac:dyDescent="0.25">
      <c r="A15356" s="3">
        <f>15349</f>
        <v>15349</v>
      </c>
      <c r="B15356" s="3" t="s">
        <v>15358</v>
      </c>
      <c r="C15356" s="3" t="s">
        <v>9</v>
      </c>
      <c r="D15356" s="3" t="s">
        <v>10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s="3"/>
      <c r="P15356" s="3"/>
      <c r="Q15356" s="3"/>
    </row>
    <row r="15357" spans="1:17" ht="15" x14ac:dyDescent="0.25">
      <c r="A15357" s="3">
        <f>15350</f>
        <v>15350</v>
      </c>
      <c r="B15357" s="3" t="s">
        <v>15359</v>
      </c>
      <c r="C15357" s="3" t="s">
        <v>9</v>
      </c>
      <c r="D15357" s="3" t="s">
        <v>10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s="3"/>
      <c r="P15357" s="3"/>
      <c r="Q15357" s="3"/>
    </row>
    <row r="15358" spans="1:17" ht="15" x14ac:dyDescent="0.25">
      <c r="A15358" s="3">
        <f>15351</f>
        <v>15351</v>
      </c>
      <c r="B15358" s="3" t="s">
        <v>15360</v>
      </c>
      <c r="C15358" s="3" t="s">
        <v>9</v>
      </c>
      <c r="D15358" s="3" t="s">
        <v>10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/>
      <c r="P15358" s="3"/>
      <c r="Q15358" s="3"/>
    </row>
    <row r="15359" spans="1:17" ht="15" x14ac:dyDescent="0.25">
      <c r="A15359" s="3">
        <f>15352</f>
        <v>15352</v>
      </c>
      <c r="B15359" s="3" t="s">
        <v>15361</v>
      </c>
      <c r="C15359" s="3" t="s">
        <v>9</v>
      </c>
      <c r="D15359" s="3" t="s">
        <v>10</v>
      </c>
      <c r="E15359" s="3">
        <v>0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s="3"/>
      <c r="P15359" s="3"/>
      <c r="Q15359" s="3"/>
    </row>
    <row r="15360" spans="1:17" ht="15" x14ac:dyDescent="0.25">
      <c r="A15360" s="3">
        <f>15353</f>
        <v>15353</v>
      </c>
      <c r="B15360" s="3" t="s">
        <v>15362</v>
      </c>
      <c r="C15360" s="3" t="s">
        <v>9</v>
      </c>
      <c r="D15360" s="3" t="s">
        <v>10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s="3"/>
      <c r="P15360" s="3"/>
      <c r="Q15360" s="3"/>
    </row>
    <row r="15361" spans="1:17" ht="15" x14ac:dyDescent="0.25">
      <c r="A15361" s="3">
        <f>15354</f>
        <v>15354</v>
      </c>
      <c r="B15361" s="3" t="s">
        <v>15363</v>
      </c>
      <c r="C15361" s="3" t="s">
        <v>9</v>
      </c>
      <c r="D15361" s="3" t="s">
        <v>10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/>
      <c r="P15361" s="3"/>
      <c r="Q15361" s="3"/>
    </row>
    <row r="15362" spans="1:17" ht="15" x14ac:dyDescent="0.25">
      <c r="A15362" s="3">
        <f>15355</f>
        <v>15355</v>
      </c>
      <c r="B15362" s="3" t="s">
        <v>15364</v>
      </c>
      <c r="C15362" s="3" t="s">
        <v>9</v>
      </c>
      <c r="D15362" s="3" t="s">
        <v>10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/>
      <c r="P15362" s="3"/>
      <c r="Q15362" s="3"/>
    </row>
    <row r="15363" spans="1:17" ht="15" x14ac:dyDescent="0.25">
      <c r="A15363" s="3">
        <f>15356</f>
        <v>15356</v>
      </c>
      <c r="B15363" s="3" t="s">
        <v>15365</v>
      </c>
      <c r="C15363" s="3" t="s">
        <v>9</v>
      </c>
      <c r="D15363" s="3" t="s">
        <v>10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/>
      <c r="P15363" s="3"/>
      <c r="Q15363" s="3"/>
    </row>
    <row r="15364" spans="1:17" ht="15" x14ac:dyDescent="0.25">
      <c r="A15364" s="3">
        <f>15357</f>
        <v>15357</v>
      </c>
      <c r="B15364" s="3" t="s">
        <v>15366</v>
      </c>
      <c r="C15364" s="3" t="s">
        <v>9</v>
      </c>
      <c r="D15364" s="3" t="s">
        <v>10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/>
      <c r="P15364" s="3"/>
      <c r="Q15364" s="3"/>
    </row>
    <row r="15365" spans="1:17" ht="15" x14ac:dyDescent="0.25">
      <c r="A15365" s="3">
        <f>15358</f>
        <v>15358</v>
      </c>
      <c r="B15365" s="3" t="s">
        <v>15367</v>
      </c>
      <c r="C15365" s="3" t="s">
        <v>9</v>
      </c>
      <c r="D15365" s="3" t="s">
        <v>10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  <c r="O15365" s="3"/>
      <c r="P15365" s="3"/>
      <c r="Q15365" s="3"/>
    </row>
    <row r="15366" spans="1:17" ht="15" x14ac:dyDescent="0.25">
      <c r="A15366" s="3">
        <f>15359</f>
        <v>15359</v>
      </c>
      <c r="B15366" s="3" t="s">
        <v>15368</v>
      </c>
      <c r="C15366" s="3" t="s">
        <v>9</v>
      </c>
      <c r="D15366" s="3" t="s">
        <v>10</v>
      </c>
      <c r="E15366" s="3">
        <v>0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  <c r="O15366" s="3"/>
      <c r="P15366" s="3"/>
      <c r="Q15366" s="3"/>
    </row>
    <row r="15367" spans="1:17" ht="15" x14ac:dyDescent="0.25">
      <c r="A15367" s="3">
        <f>15360</f>
        <v>15360</v>
      </c>
      <c r="B15367" s="3" t="s">
        <v>15369</v>
      </c>
      <c r="C15367" s="3" t="s">
        <v>9</v>
      </c>
      <c r="D15367" s="3" t="s">
        <v>10</v>
      </c>
      <c r="E15367" s="3">
        <v>0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  <c r="O15367" s="3"/>
      <c r="P15367" s="3"/>
      <c r="Q15367" s="3"/>
    </row>
    <row r="15368" spans="1:17" ht="15" x14ac:dyDescent="0.25">
      <c r="A15368" s="3">
        <f>15361</f>
        <v>15361</v>
      </c>
      <c r="B15368" s="3" t="s">
        <v>15370</v>
      </c>
      <c r="C15368" s="3" t="s">
        <v>9</v>
      </c>
      <c r="D15368" s="3" t="s">
        <v>10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/>
      <c r="P15368" s="3"/>
      <c r="Q15368" s="3"/>
    </row>
    <row r="15369" spans="1:17" ht="15" x14ac:dyDescent="0.25">
      <c r="A15369" s="3">
        <f>15362</f>
        <v>15362</v>
      </c>
      <c r="B15369" s="3" t="s">
        <v>15371</v>
      </c>
      <c r="C15369" s="3" t="s">
        <v>9</v>
      </c>
      <c r="D15369" s="3" t="s">
        <v>10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/>
      <c r="P15369" s="3"/>
      <c r="Q15369" s="3"/>
    </row>
    <row r="15370" spans="1:17" ht="15" x14ac:dyDescent="0.25">
      <c r="A15370" s="3">
        <f>15363</f>
        <v>15363</v>
      </c>
      <c r="B15370" s="3" t="s">
        <v>15372</v>
      </c>
      <c r="C15370" s="3" t="s">
        <v>9</v>
      </c>
      <c r="D15370" s="3" t="s">
        <v>10</v>
      </c>
      <c r="E15370" s="3">
        <v>0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s="3"/>
      <c r="P15370" s="3"/>
      <c r="Q15370" s="3"/>
    </row>
    <row r="15371" spans="1:17" ht="15" x14ac:dyDescent="0.25">
      <c r="A15371" s="3">
        <f>15364</f>
        <v>15364</v>
      </c>
      <c r="B15371" s="3" t="s">
        <v>15373</v>
      </c>
      <c r="C15371" s="3" t="s">
        <v>9</v>
      </c>
      <c r="D15371" s="3" t="s">
        <v>10</v>
      </c>
      <c r="E15371" s="3">
        <v>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s="3"/>
      <c r="P15371" s="3"/>
      <c r="Q15371" s="3"/>
    </row>
    <row r="15372" spans="1:17" ht="15" x14ac:dyDescent="0.25">
      <c r="A15372" s="3">
        <f>15365</f>
        <v>15365</v>
      </c>
      <c r="B15372" s="3" t="s">
        <v>15374</v>
      </c>
      <c r="C15372" s="3" t="s">
        <v>9</v>
      </c>
      <c r="D15372" s="3" t="s">
        <v>10</v>
      </c>
      <c r="E15372" s="3">
        <v>0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  <c r="O15372" s="3"/>
      <c r="P15372" s="3"/>
      <c r="Q15372" s="3"/>
    </row>
    <row r="15373" spans="1:17" ht="15" x14ac:dyDescent="0.25">
      <c r="A15373" s="3">
        <f>15366</f>
        <v>15366</v>
      </c>
      <c r="B15373" s="3" t="s">
        <v>15375</v>
      </c>
      <c r="C15373" s="3" t="s">
        <v>9</v>
      </c>
      <c r="D15373" s="3" t="s">
        <v>10</v>
      </c>
      <c r="E15373" s="3">
        <v>0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s="3"/>
      <c r="P15373" s="3"/>
      <c r="Q15373" s="3"/>
    </row>
    <row r="15374" spans="1:17" ht="15" x14ac:dyDescent="0.25">
      <c r="A15374" s="3">
        <f>15367</f>
        <v>15367</v>
      </c>
      <c r="B15374" s="3" t="s">
        <v>15376</v>
      </c>
      <c r="C15374" s="3" t="s">
        <v>9</v>
      </c>
      <c r="D15374" s="3" t="s">
        <v>10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0</v>
      </c>
      <c r="O15374" s="3"/>
      <c r="P15374" s="3"/>
      <c r="Q15374" s="3"/>
    </row>
    <row r="15375" spans="1:17" ht="15" x14ac:dyDescent="0.25">
      <c r="A15375" s="3">
        <f>15368</f>
        <v>15368</v>
      </c>
      <c r="B15375" s="3" t="s">
        <v>15377</v>
      </c>
      <c r="C15375" s="3" t="s">
        <v>9</v>
      </c>
      <c r="D15375" s="3" t="s">
        <v>10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s="3"/>
      <c r="P15375" s="3"/>
      <c r="Q15375" s="3"/>
    </row>
    <row r="15376" spans="1:17" ht="15" x14ac:dyDescent="0.25">
      <c r="A15376" s="3">
        <f>15369</f>
        <v>15369</v>
      </c>
      <c r="B15376" s="3" t="s">
        <v>15378</v>
      </c>
      <c r="C15376" s="3" t="s">
        <v>9</v>
      </c>
      <c r="D15376" s="3" t="s">
        <v>10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/>
      <c r="P15376" s="3"/>
      <c r="Q15376" s="3"/>
    </row>
    <row r="15377" spans="1:17" ht="15" x14ac:dyDescent="0.25">
      <c r="A15377" s="3">
        <f>15370</f>
        <v>15370</v>
      </c>
      <c r="B15377" s="3" t="s">
        <v>15379</v>
      </c>
      <c r="C15377" s="3" t="s">
        <v>9</v>
      </c>
      <c r="D15377" s="3" t="s">
        <v>10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s="3"/>
      <c r="P15377" s="3"/>
      <c r="Q15377" s="3"/>
    </row>
    <row r="15378" spans="1:17" ht="15" x14ac:dyDescent="0.25">
      <c r="A15378" s="3">
        <f>15371</f>
        <v>15371</v>
      </c>
      <c r="B15378" s="3" t="s">
        <v>15380</v>
      </c>
      <c r="C15378" s="3" t="s">
        <v>9</v>
      </c>
      <c r="D15378" s="3" t="s">
        <v>10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s="3"/>
      <c r="P15378" s="3"/>
      <c r="Q15378" s="3"/>
    </row>
    <row r="15379" spans="1:17" ht="15" x14ac:dyDescent="0.25">
      <c r="A15379" s="3">
        <f>15372</f>
        <v>15372</v>
      </c>
      <c r="B15379" s="3" t="s">
        <v>15381</v>
      </c>
      <c r="C15379" s="3" t="s">
        <v>9</v>
      </c>
      <c r="D15379" s="3" t="s">
        <v>10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s="3"/>
      <c r="P15379" s="3"/>
      <c r="Q15379" s="3"/>
    </row>
    <row r="15380" spans="1:17" ht="15" x14ac:dyDescent="0.25">
      <c r="A15380" s="3">
        <f>15373</f>
        <v>15373</v>
      </c>
      <c r="B15380" s="3" t="s">
        <v>15382</v>
      </c>
      <c r="C15380" s="3" t="s">
        <v>9</v>
      </c>
      <c r="D15380" s="3" t="s">
        <v>10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/>
      <c r="P15380" s="3"/>
      <c r="Q15380" s="3"/>
    </row>
    <row r="15381" spans="1:17" ht="15" x14ac:dyDescent="0.25">
      <c r="A15381" s="3">
        <f>15374</f>
        <v>15374</v>
      </c>
      <c r="B15381" s="3" t="s">
        <v>15383</v>
      </c>
      <c r="C15381" s="3" t="s">
        <v>9</v>
      </c>
      <c r="D15381" s="3" t="s">
        <v>10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s="3"/>
      <c r="P15381" s="3"/>
      <c r="Q15381" s="3"/>
    </row>
    <row r="15382" spans="1:17" ht="15" x14ac:dyDescent="0.25">
      <c r="A15382" s="3">
        <f>15375</f>
        <v>15375</v>
      </c>
      <c r="B15382" s="3" t="s">
        <v>15384</v>
      </c>
      <c r="C15382" s="3" t="s">
        <v>9</v>
      </c>
      <c r="D15382" s="3" t="s">
        <v>10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s="3"/>
      <c r="P15382" s="3"/>
      <c r="Q15382" s="3"/>
    </row>
    <row r="15383" spans="1:17" ht="15" x14ac:dyDescent="0.25">
      <c r="A15383" s="3">
        <f>15376</f>
        <v>15376</v>
      </c>
      <c r="B15383" s="3" t="s">
        <v>15385</v>
      </c>
      <c r="C15383" s="3" t="s">
        <v>9</v>
      </c>
      <c r="D15383" s="3" t="s">
        <v>10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s="3"/>
      <c r="P15383" s="3"/>
      <c r="Q15383" s="3"/>
    </row>
    <row r="15384" spans="1:17" ht="15" x14ac:dyDescent="0.25">
      <c r="A15384" s="3">
        <f>15377</f>
        <v>15377</v>
      </c>
      <c r="B15384" s="3" t="s">
        <v>15386</v>
      </c>
      <c r="C15384" s="3" t="s">
        <v>9</v>
      </c>
      <c r="D15384" s="3" t="s">
        <v>10</v>
      </c>
      <c r="E15384" s="3">
        <v>0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  <c r="O15384" s="3"/>
      <c r="P15384" s="3"/>
      <c r="Q15384" s="3"/>
    </row>
    <row r="15385" spans="1:17" ht="15" x14ac:dyDescent="0.25">
      <c r="A15385" s="3">
        <f>15378</f>
        <v>15378</v>
      </c>
      <c r="B15385" s="3" t="s">
        <v>15387</v>
      </c>
      <c r="C15385" s="3" t="s">
        <v>9</v>
      </c>
      <c r="D15385" s="3" t="s">
        <v>10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s="3"/>
      <c r="P15385" s="3"/>
      <c r="Q15385" s="3"/>
    </row>
    <row r="15386" spans="1:17" ht="15" x14ac:dyDescent="0.25">
      <c r="A15386" s="3">
        <f>15379</f>
        <v>15379</v>
      </c>
      <c r="B15386" s="3" t="s">
        <v>15388</v>
      </c>
      <c r="C15386" s="3" t="s">
        <v>9</v>
      </c>
      <c r="D15386" s="3" t="s">
        <v>10</v>
      </c>
      <c r="E15386" s="3">
        <v>0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  <c r="O15386" s="3"/>
      <c r="P15386" s="3"/>
      <c r="Q15386" s="3"/>
    </row>
    <row r="15387" spans="1:17" ht="15" x14ac:dyDescent="0.25">
      <c r="A15387" s="3">
        <f>15380</f>
        <v>15380</v>
      </c>
      <c r="B15387" s="3" t="s">
        <v>15389</v>
      </c>
      <c r="C15387" s="3" t="s">
        <v>9</v>
      </c>
      <c r="D15387" s="3" t="s">
        <v>10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0</v>
      </c>
      <c r="O15387" s="3"/>
      <c r="P15387" s="3"/>
      <c r="Q15387" s="3"/>
    </row>
    <row r="15388" spans="1:17" ht="15" x14ac:dyDescent="0.25">
      <c r="A15388" s="3">
        <f>15381</f>
        <v>15381</v>
      </c>
      <c r="B15388" s="3" t="s">
        <v>15390</v>
      </c>
      <c r="C15388" s="3" t="s">
        <v>9</v>
      </c>
      <c r="D15388" s="3" t="s">
        <v>10</v>
      </c>
      <c r="E15388" s="3">
        <v>0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s="3"/>
      <c r="P15388" s="3"/>
      <c r="Q15388" s="3"/>
    </row>
    <row r="15389" spans="1:17" ht="15" x14ac:dyDescent="0.25">
      <c r="A15389" s="3">
        <f>15382</f>
        <v>15382</v>
      </c>
      <c r="B15389" s="3" t="s">
        <v>15391</v>
      </c>
      <c r="C15389" s="3" t="s">
        <v>9</v>
      </c>
      <c r="D15389" s="3" t="s">
        <v>10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s="3"/>
      <c r="P15389" s="3"/>
      <c r="Q15389" s="3"/>
    </row>
    <row r="15390" spans="1:17" ht="15" x14ac:dyDescent="0.25">
      <c r="A15390" s="3">
        <f>15383</f>
        <v>15383</v>
      </c>
      <c r="B15390" s="3" t="s">
        <v>15392</v>
      </c>
      <c r="C15390" s="3" t="s">
        <v>9</v>
      </c>
      <c r="D15390" s="3" t="s">
        <v>10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s="3"/>
      <c r="P15390" s="3"/>
      <c r="Q15390" s="3"/>
    </row>
    <row r="15391" spans="1:17" ht="15" x14ac:dyDescent="0.25">
      <c r="A15391" s="3">
        <f>15384</f>
        <v>15384</v>
      </c>
      <c r="B15391" s="3" t="s">
        <v>15393</v>
      </c>
      <c r="C15391" s="3" t="s">
        <v>9</v>
      </c>
      <c r="D15391" s="3" t="s">
        <v>10</v>
      </c>
      <c r="E15391" s="3">
        <v>0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s="3"/>
      <c r="P15391" s="3"/>
      <c r="Q15391" s="3"/>
    </row>
    <row r="15392" spans="1:17" ht="15" x14ac:dyDescent="0.25">
      <c r="A15392" s="3">
        <f>15385</f>
        <v>15385</v>
      </c>
      <c r="B15392" s="3" t="s">
        <v>15394</v>
      </c>
      <c r="C15392" s="3" t="s">
        <v>9</v>
      </c>
      <c r="D15392" s="3" t="s">
        <v>10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/>
      <c r="P15392" s="3"/>
      <c r="Q15392" s="3"/>
    </row>
    <row r="15393" spans="1:17" ht="15" x14ac:dyDescent="0.25">
      <c r="A15393" s="3">
        <f>15386</f>
        <v>15386</v>
      </c>
      <c r="B15393" s="3" t="s">
        <v>15395</v>
      </c>
      <c r="C15393" s="3" t="s">
        <v>9</v>
      </c>
      <c r="D15393" s="3" t="s">
        <v>10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/>
      <c r="P15393" s="3"/>
      <c r="Q15393" s="3"/>
    </row>
    <row r="15394" spans="1:17" ht="15" x14ac:dyDescent="0.25">
      <c r="A15394" s="3">
        <f>15387</f>
        <v>15387</v>
      </c>
      <c r="B15394" s="3" t="s">
        <v>15396</v>
      </c>
      <c r="C15394" s="3" t="s">
        <v>9</v>
      </c>
      <c r="D15394" s="3" t="s">
        <v>10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/>
      <c r="P15394" s="3"/>
      <c r="Q15394" s="3"/>
    </row>
    <row r="15395" spans="1:17" ht="15" x14ac:dyDescent="0.25">
      <c r="A15395" s="3">
        <f>15388</f>
        <v>15388</v>
      </c>
      <c r="B15395" s="3" t="s">
        <v>15397</v>
      </c>
      <c r="C15395" s="3" t="s">
        <v>9</v>
      </c>
      <c r="D15395" s="3" t="s">
        <v>10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/>
      <c r="P15395" s="3"/>
      <c r="Q15395" s="3"/>
    </row>
    <row r="15396" spans="1:17" ht="15" x14ac:dyDescent="0.25">
      <c r="A15396" s="3">
        <f>15389</f>
        <v>15389</v>
      </c>
      <c r="B15396" s="3" t="s">
        <v>15398</v>
      </c>
      <c r="C15396" s="3" t="s">
        <v>9</v>
      </c>
      <c r="D15396" s="3" t="s">
        <v>10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s="3"/>
      <c r="P15396" s="3"/>
      <c r="Q15396" s="3"/>
    </row>
    <row r="15397" spans="1:17" ht="15" x14ac:dyDescent="0.25">
      <c r="A15397" s="3">
        <f>15390</f>
        <v>15390</v>
      </c>
      <c r="B15397" s="3" t="s">
        <v>15399</v>
      </c>
      <c r="C15397" s="3" t="s">
        <v>9</v>
      </c>
      <c r="D15397" s="3" t="s">
        <v>10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s="3"/>
      <c r="P15397" s="3"/>
      <c r="Q15397" s="3"/>
    </row>
    <row r="15398" spans="1:17" ht="15" x14ac:dyDescent="0.25">
      <c r="A15398" s="3">
        <f>15391</f>
        <v>15391</v>
      </c>
      <c r="B15398" s="3" t="s">
        <v>15400</v>
      </c>
      <c r="C15398" s="3" t="s">
        <v>9</v>
      </c>
      <c r="D15398" s="3" t="s">
        <v>10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  <c r="O15398" s="3"/>
      <c r="P15398" s="3"/>
      <c r="Q15398" s="3"/>
    </row>
    <row r="15399" spans="1:17" ht="15" x14ac:dyDescent="0.25">
      <c r="A15399" s="3">
        <f>15392</f>
        <v>15392</v>
      </c>
      <c r="B15399" s="3" t="s">
        <v>15401</v>
      </c>
      <c r="C15399" s="3" t="s">
        <v>9</v>
      </c>
      <c r="D15399" s="3" t="s">
        <v>10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0</v>
      </c>
      <c r="O15399" s="3"/>
      <c r="P15399" s="3"/>
      <c r="Q15399" s="3"/>
    </row>
    <row r="15400" spans="1:17" ht="15" x14ac:dyDescent="0.25">
      <c r="A15400" s="3">
        <f>15393</f>
        <v>15393</v>
      </c>
      <c r="B15400" s="3" t="s">
        <v>15402</v>
      </c>
      <c r="C15400" s="3" t="s">
        <v>9</v>
      </c>
      <c r="D15400" s="3" t="s">
        <v>10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  <c r="O15400" s="3"/>
      <c r="P15400" s="3"/>
      <c r="Q15400" s="3"/>
    </row>
    <row r="15401" spans="1:17" ht="15" x14ac:dyDescent="0.25">
      <c r="A15401" s="3">
        <f>15394</f>
        <v>15394</v>
      </c>
      <c r="B15401" s="3" t="s">
        <v>15403</v>
      </c>
      <c r="C15401" s="3" t="s">
        <v>9</v>
      </c>
      <c r="D15401" s="3" t="s">
        <v>10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/>
      <c r="P15401" s="3"/>
      <c r="Q15401" s="3"/>
    </row>
    <row r="15402" spans="1:17" ht="15" x14ac:dyDescent="0.25">
      <c r="A15402" s="3">
        <f>15395</f>
        <v>15395</v>
      </c>
      <c r="B15402" s="3" t="s">
        <v>15404</v>
      </c>
      <c r="C15402" s="3" t="s">
        <v>9</v>
      </c>
      <c r="D15402" s="3" t="s">
        <v>10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/>
      <c r="P15402" s="3"/>
      <c r="Q15402" s="3"/>
    </row>
    <row r="15403" spans="1:17" ht="15" x14ac:dyDescent="0.25">
      <c r="A15403" s="3">
        <f>15396</f>
        <v>15396</v>
      </c>
      <c r="B15403" s="3" t="s">
        <v>15405</v>
      </c>
      <c r="C15403" s="3" t="s">
        <v>9</v>
      </c>
      <c r="D15403" s="3" t="s">
        <v>10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s="3"/>
      <c r="P15403" s="3"/>
      <c r="Q15403" s="3"/>
    </row>
    <row r="15404" spans="1:17" ht="15" x14ac:dyDescent="0.25">
      <c r="A15404" s="3">
        <f>15397</f>
        <v>15397</v>
      </c>
      <c r="B15404" s="3" t="s">
        <v>15406</v>
      </c>
      <c r="C15404" s="3" t="s">
        <v>10</v>
      </c>
      <c r="D15404" s="3" t="s">
        <v>9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/>
      <c r="P15404" s="3"/>
      <c r="Q15404" s="3"/>
    </row>
    <row r="15405" spans="1:17" ht="15" x14ac:dyDescent="0.25">
      <c r="A15405" s="3">
        <f>15398</f>
        <v>15398</v>
      </c>
      <c r="B15405" s="3" t="s">
        <v>15407</v>
      </c>
      <c r="C15405" s="3" t="s">
        <v>10</v>
      </c>
      <c r="D15405" s="3" t="s">
        <v>9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/>
      <c r="P15405" s="3"/>
      <c r="Q15405" s="3"/>
    </row>
    <row r="15406" spans="1:17" ht="15" x14ac:dyDescent="0.25">
      <c r="A15406" s="3">
        <f>15399</f>
        <v>15399</v>
      </c>
      <c r="B15406" s="3" t="s">
        <v>15408</v>
      </c>
      <c r="C15406" s="3" t="s">
        <v>10</v>
      </c>
      <c r="D15406" s="3" t="s">
        <v>9</v>
      </c>
      <c r="E15406" s="3">
        <v>0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/>
      <c r="P15406" s="3"/>
      <c r="Q15406" s="3"/>
    </row>
    <row r="15407" spans="1:17" ht="15" x14ac:dyDescent="0.25">
      <c r="A15407" s="3">
        <f>15400</f>
        <v>15400</v>
      </c>
      <c r="B15407" s="3" t="s">
        <v>15409</v>
      </c>
      <c r="C15407" s="3" t="s">
        <v>10</v>
      </c>
      <c r="D15407" s="3" t="s">
        <v>9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/>
      <c r="P15407" s="3"/>
      <c r="Q15407" s="3"/>
    </row>
    <row r="15408" spans="1:17" ht="15" x14ac:dyDescent="0.25">
      <c r="A15408" s="3">
        <f>15401</f>
        <v>15401</v>
      </c>
      <c r="B15408" s="3" t="s">
        <v>15410</v>
      </c>
      <c r="C15408" s="3" t="s">
        <v>10</v>
      </c>
      <c r="D15408" s="3" t="s">
        <v>9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s="3"/>
      <c r="P15408" s="3"/>
      <c r="Q15408" s="3"/>
    </row>
    <row r="15409" spans="1:17" ht="15" x14ac:dyDescent="0.25">
      <c r="A15409" s="3">
        <f>15402</f>
        <v>15402</v>
      </c>
      <c r="B15409" s="3" t="s">
        <v>15411</v>
      </c>
      <c r="C15409" s="3" t="s">
        <v>10</v>
      </c>
      <c r="D15409" s="3" t="s">
        <v>9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/>
      <c r="P15409" s="3"/>
      <c r="Q15409" s="3"/>
    </row>
    <row r="15410" spans="1:17" ht="15" x14ac:dyDescent="0.25">
      <c r="A15410" s="3">
        <f>15403</f>
        <v>15403</v>
      </c>
      <c r="B15410" s="3" t="s">
        <v>15412</v>
      </c>
      <c r="C15410" s="3" t="s">
        <v>10</v>
      </c>
      <c r="D15410" s="3" t="s">
        <v>9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/>
      <c r="P15410" s="3"/>
      <c r="Q15410" s="3"/>
    </row>
    <row r="15411" spans="1:17" ht="15" x14ac:dyDescent="0.25">
      <c r="A15411" s="3">
        <f>15404</f>
        <v>15404</v>
      </c>
      <c r="B15411" s="3" t="s">
        <v>15413</v>
      </c>
      <c r="C15411" s="3" t="s">
        <v>10</v>
      </c>
      <c r="D15411" s="3" t="s">
        <v>9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/>
      <c r="P15411" s="3"/>
      <c r="Q15411" s="3"/>
    </row>
    <row r="15412" spans="1:17" ht="15" x14ac:dyDescent="0.25">
      <c r="A15412" s="3">
        <f>15405</f>
        <v>15405</v>
      </c>
      <c r="B15412" s="3" t="s">
        <v>15414</v>
      </c>
      <c r="C15412" s="3" t="s">
        <v>10</v>
      </c>
      <c r="D15412" s="3" t="s">
        <v>9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/>
      <c r="P15412" s="3"/>
      <c r="Q15412" s="3"/>
    </row>
    <row r="15413" spans="1:17" ht="15" x14ac:dyDescent="0.25">
      <c r="A15413" s="3">
        <f>15406</f>
        <v>15406</v>
      </c>
      <c r="B15413" s="3" t="s">
        <v>15415</v>
      </c>
      <c r="C15413" s="3" t="s">
        <v>10</v>
      </c>
      <c r="D15413" s="3" t="s">
        <v>9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0</v>
      </c>
      <c r="O15413" s="3"/>
      <c r="P15413" s="3"/>
      <c r="Q15413" s="3"/>
    </row>
    <row r="15414" spans="1:17" ht="15" x14ac:dyDescent="0.25">
      <c r="A15414" s="3">
        <f>15407</f>
        <v>15407</v>
      </c>
      <c r="B15414" s="3" t="s">
        <v>15416</v>
      </c>
      <c r="C15414" s="3" t="s">
        <v>10</v>
      </c>
      <c r="D15414" s="3" t="s">
        <v>9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s="3"/>
      <c r="P15414" s="3"/>
      <c r="Q15414" s="3"/>
    </row>
    <row r="15415" spans="1:17" ht="15" x14ac:dyDescent="0.25">
      <c r="A15415" s="3">
        <f>15408</f>
        <v>15408</v>
      </c>
      <c r="B15415" s="3" t="s">
        <v>15417</v>
      </c>
      <c r="C15415" s="3" t="s">
        <v>10</v>
      </c>
      <c r="D15415" s="3" t="s">
        <v>9</v>
      </c>
      <c r="E15415" s="3">
        <v>0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/>
      <c r="P15415" s="3"/>
      <c r="Q15415" s="3"/>
    </row>
    <row r="15416" spans="1:17" ht="15" x14ac:dyDescent="0.25">
      <c r="A15416" s="3">
        <f>15409</f>
        <v>15409</v>
      </c>
      <c r="B15416" s="3" t="s">
        <v>15418</v>
      </c>
      <c r="C15416" s="3" t="s">
        <v>10</v>
      </c>
      <c r="D15416" s="3" t="s">
        <v>9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/>
      <c r="P15416" s="3"/>
      <c r="Q15416" s="3"/>
    </row>
    <row r="15417" spans="1:17" ht="15" x14ac:dyDescent="0.25">
      <c r="A15417" s="3">
        <f>15410</f>
        <v>15410</v>
      </c>
      <c r="B15417" s="3" t="s">
        <v>15419</v>
      </c>
      <c r="C15417" s="3" t="s">
        <v>10</v>
      </c>
      <c r="D15417" s="3" t="s">
        <v>9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/>
      <c r="P15417" s="3"/>
      <c r="Q15417" s="3"/>
    </row>
    <row r="15418" spans="1:17" ht="15" x14ac:dyDescent="0.25">
      <c r="A15418" s="3">
        <f>15411</f>
        <v>15411</v>
      </c>
      <c r="B15418" s="3" t="s">
        <v>15420</v>
      </c>
      <c r="C15418" s="3" t="s">
        <v>10</v>
      </c>
      <c r="D15418" s="3" t="s">
        <v>9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s="3"/>
      <c r="P15418" s="3"/>
      <c r="Q15418" s="3"/>
    </row>
    <row r="15419" spans="1:17" ht="15" x14ac:dyDescent="0.25">
      <c r="A15419" s="3">
        <f>15412</f>
        <v>15412</v>
      </c>
      <c r="B15419" s="3" t="s">
        <v>15421</v>
      </c>
      <c r="C15419" s="3" t="s">
        <v>10</v>
      </c>
      <c r="D15419" s="3" t="s">
        <v>9</v>
      </c>
      <c r="E15419" s="3">
        <v>0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s="3"/>
      <c r="P15419" s="3"/>
      <c r="Q15419" s="3"/>
    </row>
    <row r="15420" spans="1:17" ht="15" x14ac:dyDescent="0.25">
      <c r="A15420" s="3">
        <f>15413</f>
        <v>15413</v>
      </c>
      <c r="B15420" s="3" t="s">
        <v>15422</v>
      </c>
      <c r="C15420" s="3" t="s">
        <v>10</v>
      </c>
      <c r="D15420" s="3" t="s">
        <v>9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  <c r="O15420" s="3"/>
      <c r="P15420" s="3"/>
      <c r="Q15420" s="3"/>
    </row>
    <row r="15421" spans="1:17" ht="15" x14ac:dyDescent="0.25">
      <c r="A15421" s="3">
        <f>15414</f>
        <v>15414</v>
      </c>
      <c r="B15421" s="3" t="s">
        <v>15423</v>
      </c>
      <c r="C15421" s="3" t="s">
        <v>10</v>
      </c>
      <c r="D15421" s="3" t="s">
        <v>9</v>
      </c>
      <c r="E15421" s="3">
        <v>0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  <c r="O15421" s="3"/>
      <c r="P15421" s="3"/>
      <c r="Q15421" s="3"/>
    </row>
    <row r="15422" spans="1:17" ht="15" x14ac:dyDescent="0.25">
      <c r="A15422" s="3">
        <f>15415</f>
        <v>15415</v>
      </c>
      <c r="B15422" s="3" t="s">
        <v>15424</v>
      </c>
      <c r="C15422" s="3" t="s">
        <v>10</v>
      </c>
      <c r="D15422" s="3" t="s">
        <v>9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0</v>
      </c>
      <c r="O15422" s="3"/>
      <c r="P15422" s="3"/>
      <c r="Q15422" s="3"/>
    </row>
    <row r="15423" spans="1:17" ht="15" x14ac:dyDescent="0.25">
      <c r="A15423" s="3">
        <f>15416</f>
        <v>15416</v>
      </c>
      <c r="B15423" s="3" t="s">
        <v>15425</v>
      </c>
      <c r="C15423" s="3" t="s">
        <v>10</v>
      </c>
      <c r="D15423" s="3" t="s">
        <v>9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0</v>
      </c>
      <c r="O15423" s="3"/>
      <c r="P15423" s="3"/>
      <c r="Q15423" s="3"/>
    </row>
    <row r="15424" spans="1:17" ht="15" x14ac:dyDescent="0.25">
      <c r="A15424" s="3">
        <f>15417</f>
        <v>15417</v>
      </c>
      <c r="B15424" s="3" t="s">
        <v>15426</v>
      </c>
      <c r="C15424" s="3" t="s">
        <v>10</v>
      </c>
      <c r="D15424" s="3" t="s">
        <v>9</v>
      </c>
      <c r="E15424" s="3">
        <v>0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  <c r="O15424" s="3"/>
      <c r="P15424" s="3"/>
      <c r="Q15424" s="3"/>
    </row>
    <row r="15425" spans="1:17" ht="15" x14ac:dyDescent="0.25">
      <c r="A15425" s="3">
        <f>15418</f>
        <v>15418</v>
      </c>
      <c r="B15425" s="3" t="s">
        <v>15427</v>
      </c>
      <c r="C15425" s="3" t="s">
        <v>10</v>
      </c>
      <c r="D15425" s="3" t="s">
        <v>9</v>
      </c>
      <c r="E15425" s="3">
        <v>0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s="3"/>
      <c r="P15425" s="3"/>
      <c r="Q15425" s="3"/>
    </row>
    <row r="15426" spans="1:17" ht="15" x14ac:dyDescent="0.25">
      <c r="A15426" s="3">
        <f>15419</f>
        <v>15419</v>
      </c>
      <c r="B15426" s="3" t="s">
        <v>15428</v>
      </c>
      <c r="C15426" s="3" t="s">
        <v>10</v>
      </c>
      <c r="D15426" s="3" t="s">
        <v>9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s="3"/>
      <c r="P15426" s="3"/>
      <c r="Q15426" s="3"/>
    </row>
    <row r="15427" spans="1:17" ht="15" x14ac:dyDescent="0.25">
      <c r="A15427" s="3">
        <f>15420</f>
        <v>15420</v>
      </c>
      <c r="B15427" s="3" t="s">
        <v>15429</v>
      </c>
      <c r="C15427" s="3" t="s">
        <v>10</v>
      </c>
      <c r="D15427" s="3" t="s">
        <v>9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/>
      <c r="P15427" s="3"/>
      <c r="Q15427" s="3"/>
    </row>
    <row r="15428" spans="1:17" ht="15" x14ac:dyDescent="0.25">
      <c r="A15428" s="3">
        <f>15421</f>
        <v>15421</v>
      </c>
      <c r="B15428" s="3" t="s">
        <v>15430</v>
      </c>
      <c r="C15428" s="3" t="s">
        <v>10</v>
      </c>
      <c r="D15428" s="3" t="s">
        <v>9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s="3"/>
      <c r="P15428" s="3"/>
      <c r="Q15428" s="3"/>
    </row>
    <row r="15429" spans="1:17" ht="15" x14ac:dyDescent="0.25">
      <c r="A15429" s="3">
        <f>15422</f>
        <v>15422</v>
      </c>
      <c r="B15429" s="3" t="s">
        <v>15431</v>
      </c>
      <c r="C15429" s="3" t="s">
        <v>10</v>
      </c>
      <c r="D15429" s="3" t="s">
        <v>9</v>
      </c>
      <c r="E15429" s="3">
        <v>0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s="3"/>
      <c r="P15429" s="3"/>
      <c r="Q15429" s="3"/>
    </row>
    <row r="15430" spans="1:17" ht="15" x14ac:dyDescent="0.25">
      <c r="A15430" s="3">
        <f>15423</f>
        <v>15423</v>
      </c>
      <c r="B15430" s="3" t="s">
        <v>15432</v>
      </c>
      <c r="C15430" s="3" t="s">
        <v>10</v>
      </c>
      <c r="D15430" s="3" t="s">
        <v>9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/>
      <c r="P15430" s="3"/>
      <c r="Q15430" s="3"/>
    </row>
    <row r="15431" spans="1:17" ht="15" x14ac:dyDescent="0.25">
      <c r="A15431" s="3">
        <f>15424</f>
        <v>15424</v>
      </c>
      <c r="B15431" s="3" t="s">
        <v>15433</v>
      </c>
      <c r="C15431" s="3" t="s">
        <v>10</v>
      </c>
      <c r="D15431" s="3" t="s">
        <v>9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/>
      <c r="P15431" s="3"/>
      <c r="Q15431" s="3"/>
    </row>
    <row r="15432" spans="1:17" ht="15" x14ac:dyDescent="0.25">
      <c r="A15432" s="3">
        <f>15425</f>
        <v>15425</v>
      </c>
      <c r="B15432" s="3" t="s">
        <v>15434</v>
      </c>
      <c r="C15432" s="3" t="s">
        <v>10</v>
      </c>
      <c r="D15432" s="3" t="s">
        <v>9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/>
      <c r="P15432" s="3"/>
      <c r="Q15432" s="3"/>
    </row>
    <row r="15433" spans="1:17" ht="15" x14ac:dyDescent="0.25">
      <c r="A15433" s="3">
        <f>15426</f>
        <v>15426</v>
      </c>
      <c r="B15433" s="3" t="s">
        <v>15435</v>
      </c>
      <c r="C15433" s="3" t="s">
        <v>10</v>
      </c>
      <c r="D15433" s="3" t="s">
        <v>9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s="3"/>
      <c r="P15433" s="3"/>
      <c r="Q15433" s="3"/>
    </row>
    <row r="15434" spans="1:17" ht="15" x14ac:dyDescent="0.25">
      <c r="A15434" s="3">
        <f>15427</f>
        <v>15427</v>
      </c>
      <c r="B15434" s="3" t="s">
        <v>15436</v>
      </c>
      <c r="C15434" s="3" t="s">
        <v>10</v>
      </c>
      <c r="D15434" s="3" t="s">
        <v>9</v>
      </c>
      <c r="E15434" s="3">
        <v>0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  <c r="O15434" s="3"/>
      <c r="P15434" s="3"/>
      <c r="Q15434" s="3"/>
    </row>
    <row r="15435" spans="1:17" ht="15" x14ac:dyDescent="0.25">
      <c r="A15435" s="3">
        <f>15428</f>
        <v>15428</v>
      </c>
      <c r="B15435" s="3" t="s">
        <v>15437</v>
      </c>
      <c r="C15435" s="3" t="s">
        <v>10</v>
      </c>
      <c r="D15435" s="3" t="s">
        <v>9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0</v>
      </c>
      <c r="O15435" s="3"/>
      <c r="P15435" s="3"/>
      <c r="Q15435" s="3"/>
    </row>
    <row r="15436" spans="1:17" ht="15" x14ac:dyDescent="0.25">
      <c r="A15436" s="3">
        <f>15429</f>
        <v>15429</v>
      </c>
      <c r="B15436" s="3" t="s">
        <v>15438</v>
      </c>
      <c r="C15436" s="3" t="s">
        <v>10</v>
      </c>
      <c r="D15436" s="3" t="s">
        <v>9</v>
      </c>
      <c r="E15436" s="3">
        <v>0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  <c r="O15436" s="3"/>
      <c r="P15436" s="3"/>
      <c r="Q15436" s="3"/>
    </row>
    <row r="15437" spans="1:17" ht="15" x14ac:dyDescent="0.25">
      <c r="A15437" s="3">
        <f>15430</f>
        <v>15430</v>
      </c>
      <c r="B15437" s="3" t="s">
        <v>15439</v>
      </c>
      <c r="C15437" s="3" t="s">
        <v>10</v>
      </c>
      <c r="D15437" s="3" t="s">
        <v>9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s="3"/>
      <c r="P15437" s="3"/>
      <c r="Q15437" s="3"/>
    </row>
    <row r="15438" spans="1:17" ht="15" x14ac:dyDescent="0.25">
      <c r="A15438" s="3">
        <f>15431</f>
        <v>15431</v>
      </c>
      <c r="B15438" s="3" t="s">
        <v>15440</v>
      </c>
      <c r="C15438" s="3" t="s">
        <v>10</v>
      </c>
      <c r="D15438" s="3" t="s">
        <v>9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s="3"/>
      <c r="P15438" s="3"/>
      <c r="Q15438" s="3"/>
    </row>
    <row r="15439" spans="1:17" ht="15" x14ac:dyDescent="0.25">
      <c r="A15439" s="3">
        <f>15432</f>
        <v>15432</v>
      </c>
      <c r="B15439" s="3" t="s">
        <v>15441</v>
      </c>
      <c r="C15439" s="3" t="s">
        <v>10</v>
      </c>
      <c r="D15439" s="3" t="s">
        <v>9</v>
      </c>
      <c r="E15439" s="3">
        <v>0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  <c r="O15439" s="3"/>
      <c r="P15439" s="3"/>
      <c r="Q15439" s="3"/>
    </row>
    <row r="15440" spans="1:17" ht="15" x14ac:dyDescent="0.25">
      <c r="A15440" s="3">
        <f>15433</f>
        <v>15433</v>
      </c>
      <c r="B15440" s="3" t="s">
        <v>15442</v>
      </c>
      <c r="C15440" s="3" t="s">
        <v>10</v>
      </c>
      <c r="D15440" s="3" t="s">
        <v>9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s="3"/>
      <c r="P15440" s="3"/>
      <c r="Q15440" s="3"/>
    </row>
    <row r="15441" spans="1:17" ht="15" x14ac:dyDescent="0.25">
      <c r="A15441" s="3">
        <f>15434</f>
        <v>15434</v>
      </c>
      <c r="B15441" s="3" t="s">
        <v>15443</v>
      </c>
      <c r="C15441" s="3" t="s">
        <v>10</v>
      </c>
      <c r="D15441" s="3" t="s">
        <v>9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/>
      <c r="P15441" s="3"/>
      <c r="Q15441" s="3"/>
    </row>
    <row r="15442" spans="1:17" ht="15" x14ac:dyDescent="0.25">
      <c r="A15442" s="3">
        <f>15435</f>
        <v>15435</v>
      </c>
      <c r="B15442" s="3" t="s">
        <v>15444</v>
      </c>
      <c r="C15442" s="3" t="s">
        <v>10</v>
      </c>
      <c r="D15442" s="3" t="s">
        <v>9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s="3"/>
      <c r="P15442" s="3"/>
      <c r="Q15442" s="3"/>
    </row>
    <row r="15443" spans="1:17" ht="15" x14ac:dyDescent="0.25">
      <c r="A15443" s="3">
        <f>15436</f>
        <v>15436</v>
      </c>
      <c r="B15443" s="3" t="s">
        <v>15445</v>
      </c>
      <c r="C15443" s="3" t="s">
        <v>10</v>
      </c>
      <c r="D15443" s="3" t="s">
        <v>9</v>
      </c>
      <c r="E15443" s="3">
        <v>0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s="3"/>
      <c r="P15443" s="3"/>
      <c r="Q15443" s="3"/>
    </row>
    <row r="15444" spans="1:17" ht="15" x14ac:dyDescent="0.25">
      <c r="A15444" s="3">
        <f>15437</f>
        <v>15437</v>
      </c>
      <c r="B15444" s="3" t="s">
        <v>15446</v>
      </c>
      <c r="C15444" s="3" t="s">
        <v>10</v>
      </c>
      <c r="D15444" s="3" t="s">
        <v>9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s="3"/>
      <c r="P15444" s="3"/>
      <c r="Q15444" s="3"/>
    </row>
    <row r="15445" spans="1:17" ht="15" x14ac:dyDescent="0.25">
      <c r="A15445" s="3">
        <f>15438</f>
        <v>15438</v>
      </c>
      <c r="B15445" s="3" t="s">
        <v>15447</v>
      </c>
      <c r="C15445" s="3" t="s">
        <v>10</v>
      </c>
      <c r="D15445" s="3" t="s">
        <v>9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s="3"/>
      <c r="P15445" s="3"/>
      <c r="Q15445" s="3"/>
    </row>
    <row r="15446" spans="1:17" ht="15" x14ac:dyDescent="0.25">
      <c r="A15446" s="3">
        <f>15439</f>
        <v>15439</v>
      </c>
      <c r="B15446" s="3" t="s">
        <v>15448</v>
      </c>
      <c r="C15446" s="3" t="s">
        <v>10</v>
      </c>
      <c r="D15446" s="3" t="s">
        <v>9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s="3"/>
      <c r="P15446" s="3"/>
      <c r="Q15446" s="3"/>
    </row>
    <row r="15447" spans="1:17" ht="15" x14ac:dyDescent="0.25">
      <c r="A15447" s="3">
        <f>15440</f>
        <v>15440</v>
      </c>
      <c r="B15447" s="3" t="s">
        <v>15449</v>
      </c>
      <c r="C15447" s="3" t="s">
        <v>10</v>
      </c>
      <c r="D15447" s="3" t="s">
        <v>9</v>
      </c>
      <c r="E15447" s="3">
        <v>0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s="3"/>
      <c r="P15447" s="3"/>
      <c r="Q15447" s="3"/>
    </row>
    <row r="15448" spans="1:17" ht="15" x14ac:dyDescent="0.25">
      <c r="A15448" s="3">
        <f>15441</f>
        <v>15441</v>
      </c>
      <c r="B15448" s="3" t="s">
        <v>15450</v>
      </c>
      <c r="C15448" s="3" t="s">
        <v>10</v>
      </c>
      <c r="D15448" s="3" t="s">
        <v>9</v>
      </c>
      <c r="E15448" s="3">
        <v>0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  <c r="O15448" s="3"/>
      <c r="P15448" s="3"/>
      <c r="Q15448" s="3"/>
    </row>
    <row r="15449" spans="1:17" ht="15" x14ac:dyDescent="0.25">
      <c r="A15449" s="3">
        <f>15442</f>
        <v>15442</v>
      </c>
      <c r="B15449" s="3" t="s">
        <v>15451</v>
      </c>
      <c r="C15449" s="3" t="s">
        <v>10</v>
      </c>
      <c r="D15449" s="3" t="s">
        <v>9</v>
      </c>
      <c r="E15449" s="3">
        <v>0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s="3"/>
      <c r="P15449" s="3"/>
      <c r="Q15449" s="3"/>
    </row>
    <row r="15450" spans="1:17" ht="15" x14ac:dyDescent="0.25">
      <c r="A15450" s="3">
        <f>15443</f>
        <v>15443</v>
      </c>
      <c r="B15450" s="3" t="s">
        <v>15452</v>
      </c>
      <c r="C15450" s="3" t="s">
        <v>10</v>
      </c>
      <c r="D15450" s="3" t="s">
        <v>9</v>
      </c>
      <c r="E15450" s="3">
        <v>0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s="3"/>
      <c r="P15450" s="3"/>
      <c r="Q15450" s="3"/>
    </row>
    <row r="15451" spans="1:17" ht="15" x14ac:dyDescent="0.25">
      <c r="A15451" s="3">
        <f>15444</f>
        <v>15444</v>
      </c>
      <c r="B15451" s="3" t="s">
        <v>15453</v>
      </c>
      <c r="C15451" s="3" t="s">
        <v>10</v>
      </c>
      <c r="D15451" s="3" t="s">
        <v>9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/>
      <c r="P15451" s="3"/>
      <c r="Q15451" s="3"/>
    </row>
    <row r="15452" spans="1:17" ht="15" x14ac:dyDescent="0.25">
      <c r="A15452" s="3">
        <f>15445</f>
        <v>15445</v>
      </c>
      <c r="B15452" s="3" t="s">
        <v>15454</v>
      </c>
      <c r="C15452" s="3" t="s">
        <v>10</v>
      </c>
      <c r="D15452" s="3" t="s">
        <v>9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s="3"/>
      <c r="P15452" s="3"/>
      <c r="Q15452" s="3"/>
    </row>
    <row r="15453" spans="1:17" ht="15" x14ac:dyDescent="0.25">
      <c r="A15453" s="3">
        <f>15446</f>
        <v>15446</v>
      </c>
      <c r="B15453" s="3" t="s">
        <v>15455</v>
      </c>
      <c r="C15453" s="3" t="s">
        <v>10</v>
      </c>
      <c r="D15453" s="3" t="s">
        <v>9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/>
      <c r="P15453" s="3"/>
      <c r="Q15453" s="3"/>
    </row>
    <row r="15454" spans="1:17" ht="15" x14ac:dyDescent="0.25">
      <c r="A15454" s="3">
        <f>15447</f>
        <v>15447</v>
      </c>
      <c r="B15454" s="3" t="s">
        <v>15456</v>
      </c>
      <c r="C15454" s="3" t="s">
        <v>10</v>
      </c>
      <c r="D15454" s="3" t="s">
        <v>9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/>
      <c r="P15454" s="3"/>
      <c r="Q15454" s="3"/>
    </row>
    <row r="15455" spans="1:17" ht="15" x14ac:dyDescent="0.25">
      <c r="A15455" s="3">
        <f>15448</f>
        <v>15448</v>
      </c>
      <c r="B15455" s="3" t="s">
        <v>15457</v>
      </c>
      <c r="C15455" s="3" t="s">
        <v>10</v>
      </c>
      <c r="D15455" s="3" t="s">
        <v>9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s="3"/>
      <c r="P15455" s="3"/>
      <c r="Q15455" s="3"/>
    </row>
    <row r="15456" spans="1:17" ht="15" x14ac:dyDescent="0.25">
      <c r="A15456" s="3">
        <f>15449</f>
        <v>15449</v>
      </c>
      <c r="B15456" s="3" t="s">
        <v>15458</v>
      </c>
      <c r="C15456" s="3" t="s">
        <v>10</v>
      </c>
      <c r="D15456" s="3" t="s">
        <v>9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/>
      <c r="P15456" s="3"/>
      <c r="Q15456" s="3"/>
    </row>
    <row r="15457" spans="1:17" ht="15" x14ac:dyDescent="0.25">
      <c r="A15457" s="3">
        <f>15450</f>
        <v>15450</v>
      </c>
      <c r="B15457" s="3" t="s">
        <v>15459</v>
      </c>
      <c r="C15457" s="3" t="s">
        <v>10</v>
      </c>
      <c r="D15457" s="3" t="s">
        <v>9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  <c r="O15457" s="3"/>
      <c r="P15457" s="3"/>
      <c r="Q15457" s="3"/>
    </row>
    <row r="15458" spans="1:17" ht="15" x14ac:dyDescent="0.25">
      <c r="A15458" s="3">
        <f>15451</f>
        <v>15451</v>
      </c>
      <c r="B15458" s="3" t="s">
        <v>15460</v>
      </c>
      <c r="C15458" s="3" t="s">
        <v>10</v>
      </c>
      <c r="D15458" s="3" t="s">
        <v>9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s="3"/>
      <c r="P15458" s="3"/>
      <c r="Q15458" s="3"/>
    </row>
    <row r="15459" spans="1:17" ht="15" x14ac:dyDescent="0.25">
      <c r="A15459" s="3">
        <f>15452</f>
        <v>15452</v>
      </c>
      <c r="B15459" s="3" t="s">
        <v>15461</v>
      </c>
      <c r="C15459" s="3" t="s">
        <v>10</v>
      </c>
      <c r="D15459" s="3" t="s">
        <v>9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s="3"/>
      <c r="P15459" s="3"/>
      <c r="Q15459" s="3"/>
    </row>
    <row r="15460" spans="1:17" ht="15" x14ac:dyDescent="0.25">
      <c r="A15460" s="3">
        <f>15453</f>
        <v>15453</v>
      </c>
      <c r="B15460" s="3" t="s">
        <v>15462</v>
      </c>
      <c r="C15460" s="3" t="s">
        <v>10</v>
      </c>
      <c r="D15460" s="3" t="s">
        <v>9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/>
      <c r="P15460" s="3"/>
      <c r="Q15460" s="3"/>
    </row>
    <row r="15461" spans="1:17" ht="15" x14ac:dyDescent="0.25">
      <c r="A15461" s="3">
        <f>15454</f>
        <v>15454</v>
      </c>
      <c r="B15461" s="3" t="s">
        <v>15463</v>
      </c>
      <c r="C15461" s="3" t="s">
        <v>10</v>
      </c>
      <c r="D15461" s="3" t="s">
        <v>9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  <c r="O15461" s="3"/>
      <c r="P15461" s="3"/>
      <c r="Q15461" s="3"/>
    </row>
    <row r="15462" spans="1:17" ht="15" x14ac:dyDescent="0.25">
      <c r="A15462" s="3">
        <f>15455</f>
        <v>15455</v>
      </c>
      <c r="B15462" s="3" t="s">
        <v>15464</v>
      </c>
      <c r="C15462" s="3" t="s">
        <v>10</v>
      </c>
      <c r="D15462" s="3" t="s">
        <v>9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s="3"/>
      <c r="P15462" s="3"/>
      <c r="Q15462" s="3"/>
    </row>
    <row r="15463" spans="1:17" ht="15" x14ac:dyDescent="0.25">
      <c r="A15463" s="3">
        <f>15456</f>
        <v>15456</v>
      </c>
      <c r="B15463" s="3" t="s">
        <v>15465</v>
      </c>
      <c r="C15463" s="3" t="s">
        <v>10</v>
      </c>
      <c r="D15463" s="3" t="s">
        <v>9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s="3"/>
      <c r="P15463" s="3"/>
      <c r="Q15463" s="3"/>
    </row>
    <row r="15464" spans="1:17" ht="15" x14ac:dyDescent="0.25">
      <c r="A15464" s="3">
        <f>15457</f>
        <v>15457</v>
      </c>
      <c r="B15464" s="3" t="s">
        <v>15466</v>
      </c>
      <c r="C15464" s="3" t="s">
        <v>9</v>
      </c>
      <c r="D15464" s="3" t="s">
        <v>10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/>
      <c r="P15464" s="3"/>
      <c r="Q15464" s="3"/>
    </row>
    <row r="15465" spans="1:17" ht="15" x14ac:dyDescent="0.25">
      <c r="A15465" s="3">
        <f>15458</f>
        <v>15458</v>
      </c>
      <c r="B15465" s="3" t="s">
        <v>15467</v>
      </c>
      <c r="C15465" s="3" t="s">
        <v>9</v>
      </c>
      <c r="D15465" s="3" t="s">
        <v>10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/>
      <c r="P15465" s="3"/>
      <c r="Q15465" s="3"/>
    </row>
    <row r="15466" spans="1:17" ht="15" x14ac:dyDescent="0.25">
      <c r="A15466" s="3">
        <f>15459</f>
        <v>15459</v>
      </c>
      <c r="B15466" s="3" t="s">
        <v>15468</v>
      </c>
      <c r="C15466" s="3" t="s">
        <v>9</v>
      </c>
      <c r="D15466" s="3" t="s">
        <v>10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  <c r="O15466" s="3"/>
      <c r="P15466" s="3"/>
      <c r="Q15466" s="3"/>
    </row>
    <row r="15467" spans="1:17" ht="15" x14ac:dyDescent="0.25">
      <c r="A15467" s="3">
        <f>15460</f>
        <v>15460</v>
      </c>
      <c r="B15467" s="3" t="s">
        <v>15469</v>
      </c>
      <c r="C15467" s="3" t="s">
        <v>9</v>
      </c>
      <c r="D15467" s="3" t="s">
        <v>10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s="3"/>
      <c r="P15467" s="3"/>
      <c r="Q15467" s="3"/>
    </row>
    <row r="15468" spans="1:17" ht="15" x14ac:dyDescent="0.25">
      <c r="A15468" s="3">
        <f>15461</f>
        <v>15461</v>
      </c>
      <c r="B15468" s="3" t="s">
        <v>15470</v>
      </c>
      <c r="C15468" s="3" t="s">
        <v>9</v>
      </c>
      <c r="D15468" s="3" t="s">
        <v>10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/>
      <c r="P15468" s="3"/>
      <c r="Q15468" s="3"/>
    </row>
    <row r="15469" spans="1:17" ht="15" x14ac:dyDescent="0.25">
      <c r="A15469" s="3">
        <f>15462</f>
        <v>15462</v>
      </c>
      <c r="B15469" s="3" t="s">
        <v>15471</v>
      </c>
      <c r="C15469" s="3" t="s">
        <v>9</v>
      </c>
      <c r="D15469" s="3" t="s">
        <v>10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/>
      <c r="P15469" s="3"/>
      <c r="Q15469" s="3"/>
    </row>
    <row r="15470" spans="1:17" ht="15" x14ac:dyDescent="0.25">
      <c r="A15470" s="3">
        <f>15463</f>
        <v>15463</v>
      </c>
      <c r="B15470" s="3" t="s">
        <v>15472</v>
      </c>
      <c r="C15470" s="3" t="s">
        <v>9</v>
      </c>
      <c r="D15470" s="3" t="s">
        <v>10</v>
      </c>
      <c r="E15470" s="3">
        <v>0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s="3"/>
      <c r="P15470" s="3"/>
      <c r="Q15470" s="3"/>
    </row>
    <row r="15471" spans="1:17" ht="15" x14ac:dyDescent="0.25">
      <c r="A15471" s="3">
        <f>15464</f>
        <v>15464</v>
      </c>
      <c r="B15471" s="3" t="s">
        <v>15473</v>
      </c>
      <c r="C15471" s="3" t="s">
        <v>9</v>
      </c>
      <c r="D15471" s="3" t="s">
        <v>10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s="3"/>
      <c r="P15471" s="3"/>
      <c r="Q15471" s="3"/>
    </row>
    <row r="15472" spans="1:17" ht="15" x14ac:dyDescent="0.25">
      <c r="A15472" s="3">
        <f>15465</f>
        <v>15465</v>
      </c>
      <c r="B15472" s="3" t="s">
        <v>15474</v>
      </c>
      <c r="C15472" s="3" t="s">
        <v>9</v>
      </c>
      <c r="D15472" s="3" t="s">
        <v>10</v>
      </c>
      <c r="E15472" s="3">
        <v>0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  <c r="O15472" s="3"/>
      <c r="P15472" s="3"/>
      <c r="Q15472" s="3"/>
    </row>
    <row r="15473" spans="1:17" ht="15" x14ac:dyDescent="0.25">
      <c r="A15473" s="3">
        <f>15466</f>
        <v>15466</v>
      </c>
      <c r="B15473" s="3" t="s">
        <v>15475</v>
      </c>
      <c r="C15473" s="3" t="s">
        <v>9</v>
      </c>
      <c r="D15473" s="3" t="s">
        <v>10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  <c r="O15473" s="3"/>
      <c r="P15473" s="3"/>
      <c r="Q15473" s="3"/>
    </row>
    <row r="15474" spans="1:17" ht="15" x14ac:dyDescent="0.25">
      <c r="A15474" s="3">
        <f>15467</f>
        <v>15467</v>
      </c>
      <c r="B15474" s="3" t="s">
        <v>15476</v>
      </c>
      <c r="C15474" s="3" t="s">
        <v>9</v>
      </c>
      <c r="D15474" s="3" t="s">
        <v>10</v>
      </c>
      <c r="E15474" s="3">
        <v>0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  <c r="O15474" s="3"/>
      <c r="P15474" s="3"/>
      <c r="Q15474" s="3"/>
    </row>
    <row r="15475" spans="1:17" ht="15" x14ac:dyDescent="0.25">
      <c r="A15475" s="3">
        <f>15468</f>
        <v>15468</v>
      </c>
      <c r="B15475" s="3" t="s">
        <v>15477</v>
      </c>
      <c r="C15475" s="3" t="s">
        <v>10</v>
      </c>
      <c r="D15475" s="3" t="s">
        <v>9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s="3"/>
      <c r="P15475" s="3"/>
      <c r="Q15475" s="3"/>
    </row>
    <row r="15476" spans="1:17" ht="15" x14ac:dyDescent="0.25">
      <c r="A15476" s="3">
        <f>15469</f>
        <v>15469</v>
      </c>
      <c r="B15476" s="3" t="s">
        <v>15478</v>
      </c>
      <c r="C15476" s="3" t="s">
        <v>10</v>
      </c>
      <c r="D15476" s="3" t="s">
        <v>9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s="3"/>
      <c r="P15476" s="3"/>
      <c r="Q15476" s="3"/>
    </row>
    <row r="15477" spans="1:17" ht="15" x14ac:dyDescent="0.25">
      <c r="A15477" s="3">
        <f>15470</f>
        <v>15470</v>
      </c>
      <c r="B15477" s="3" t="s">
        <v>15479</v>
      </c>
      <c r="C15477" s="3" t="s">
        <v>10</v>
      </c>
      <c r="D15477" s="3" t="s">
        <v>9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s="3"/>
      <c r="P15477" s="3"/>
      <c r="Q15477" s="3"/>
    </row>
    <row r="15478" spans="1:17" ht="15" x14ac:dyDescent="0.25">
      <c r="A15478" s="3">
        <f>15471</f>
        <v>15471</v>
      </c>
      <c r="B15478" s="3" t="s">
        <v>15480</v>
      </c>
      <c r="C15478" s="3" t="s">
        <v>10</v>
      </c>
      <c r="D15478" s="3" t="s">
        <v>9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s="3"/>
      <c r="P15478" s="3"/>
      <c r="Q15478" s="3"/>
    </row>
    <row r="15479" spans="1:17" ht="15" x14ac:dyDescent="0.25">
      <c r="A15479" s="3">
        <f>15472</f>
        <v>15472</v>
      </c>
      <c r="B15479" s="3" t="s">
        <v>15481</v>
      </c>
      <c r="C15479" s="3" t="s">
        <v>10</v>
      </c>
      <c r="D15479" s="3" t="s">
        <v>9</v>
      </c>
      <c r="E15479" s="3">
        <v>0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  <c r="O15479" s="3"/>
      <c r="P15479" s="3"/>
      <c r="Q15479" s="3"/>
    </row>
    <row r="15480" spans="1:17" ht="15" x14ac:dyDescent="0.25">
      <c r="A15480" s="3">
        <f>15473</f>
        <v>15473</v>
      </c>
      <c r="B15480" s="3" t="s">
        <v>15482</v>
      </c>
      <c r="C15480" s="3" t="s">
        <v>10</v>
      </c>
      <c r="D15480" s="3" t="s">
        <v>9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  <c r="O15480" s="3"/>
      <c r="P15480" s="3"/>
      <c r="Q15480" s="3"/>
    </row>
    <row r="15481" spans="1:17" ht="15" x14ac:dyDescent="0.25">
      <c r="A15481" s="3">
        <f>15474</f>
        <v>15474</v>
      </c>
      <c r="B15481" s="3" t="s">
        <v>15483</v>
      </c>
      <c r="C15481" s="3" t="s">
        <v>10</v>
      </c>
      <c r="D15481" s="3" t="s">
        <v>9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s="3"/>
      <c r="P15481" s="3"/>
      <c r="Q15481" s="3"/>
    </row>
    <row r="15482" spans="1:17" ht="15" x14ac:dyDescent="0.25">
      <c r="A15482" s="3">
        <f>15475</f>
        <v>15475</v>
      </c>
      <c r="B15482" s="3" t="s">
        <v>15484</v>
      </c>
      <c r="C15482" s="3" t="s">
        <v>9</v>
      </c>
      <c r="D15482" s="3" t="s">
        <v>10</v>
      </c>
      <c r="E15482" s="3">
        <v>0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  <c r="O15482" s="3"/>
      <c r="P15482" s="3"/>
      <c r="Q15482" s="3"/>
    </row>
    <row r="15483" spans="1:17" ht="15" x14ac:dyDescent="0.25">
      <c r="A15483" s="3">
        <f>15476</f>
        <v>15476</v>
      </c>
      <c r="B15483" s="3" t="s">
        <v>15485</v>
      </c>
      <c r="C15483" s="3" t="s">
        <v>10</v>
      </c>
      <c r="D15483" s="3" t="s">
        <v>9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0</v>
      </c>
      <c r="O15483" s="3"/>
      <c r="P15483" s="3"/>
      <c r="Q15483" s="3"/>
    </row>
    <row r="15484" spans="1:17" ht="15" x14ac:dyDescent="0.25">
      <c r="A15484" s="3">
        <f>15477</f>
        <v>15477</v>
      </c>
      <c r="B15484" s="3" t="s">
        <v>15486</v>
      </c>
      <c r="C15484" s="3" t="s">
        <v>9</v>
      </c>
      <c r="D15484" s="3" t="s">
        <v>10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s="3"/>
      <c r="P15484" s="3"/>
      <c r="Q15484" s="3"/>
    </row>
    <row r="15485" spans="1:17" ht="15" x14ac:dyDescent="0.25">
      <c r="A15485" s="3">
        <f>15478</f>
        <v>15478</v>
      </c>
      <c r="B15485" s="3" t="s">
        <v>15487</v>
      </c>
      <c r="C15485" s="3" t="s">
        <v>10</v>
      </c>
      <c r="D15485" s="3" t="s">
        <v>9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0</v>
      </c>
      <c r="O15485" s="3"/>
      <c r="P15485" s="3"/>
      <c r="Q15485" s="3"/>
    </row>
    <row r="15486" spans="1:17" ht="15" x14ac:dyDescent="0.25">
      <c r="A15486" s="3">
        <f>15479</f>
        <v>15479</v>
      </c>
      <c r="B15486" s="3" t="s">
        <v>15488</v>
      </c>
      <c r="C15486" s="3" t="s">
        <v>10</v>
      </c>
      <c r="D15486" s="3" t="s">
        <v>9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s="3"/>
      <c r="P15486" s="3"/>
      <c r="Q15486" s="3"/>
    </row>
    <row r="15487" spans="1:17" ht="15" x14ac:dyDescent="0.25">
      <c r="A15487" s="3">
        <f>15480</f>
        <v>15480</v>
      </c>
      <c r="B15487" s="3" t="s">
        <v>15489</v>
      </c>
      <c r="C15487" s="3" t="s">
        <v>10</v>
      </c>
      <c r="D15487" s="3" t="s">
        <v>9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/>
      <c r="P15487" s="3"/>
      <c r="Q15487" s="3"/>
    </row>
    <row r="15488" spans="1:17" ht="15" x14ac:dyDescent="0.25">
      <c r="A15488" s="3">
        <f>15481</f>
        <v>15481</v>
      </c>
      <c r="B15488" s="3" t="s">
        <v>15490</v>
      </c>
      <c r="C15488" s="3" t="s">
        <v>10</v>
      </c>
      <c r="D15488" s="3" t="s">
        <v>9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  <c r="O15488" s="3"/>
      <c r="P15488" s="3"/>
      <c r="Q15488" s="3"/>
    </row>
    <row r="15489" spans="1:17" ht="15" x14ac:dyDescent="0.25">
      <c r="A15489" s="3">
        <f>15482</f>
        <v>15482</v>
      </c>
      <c r="B15489" s="3" t="s">
        <v>15491</v>
      </c>
      <c r="C15489" s="3" t="s">
        <v>10</v>
      </c>
      <c r="D15489" s="3" t="s">
        <v>9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0</v>
      </c>
      <c r="O15489" s="3"/>
      <c r="P15489" s="3"/>
      <c r="Q15489" s="3"/>
    </row>
    <row r="15490" spans="1:17" ht="15" x14ac:dyDescent="0.25">
      <c r="A15490" s="3">
        <f>15483</f>
        <v>15483</v>
      </c>
      <c r="B15490" s="3" t="s">
        <v>15492</v>
      </c>
      <c r="C15490" s="3" t="s">
        <v>9</v>
      </c>
      <c r="D15490" s="3" t="s">
        <v>10</v>
      </c>
      <c r="E15490" s="3">
        <v>0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  <c r="O15490" s="3"/>
      <c r="P15490" s="3"/>
      <c r="Q15490" s="3"/>
    </row>
    <row r="15491" spans="1:17" ht="15" x14ac:dyDescent="0.25">
      <c r="A15491" s="3">
        <f>15484</f>
        <v>15484</v>
      </c>
      <c r="B15491" s="3" t="s">
        <v>15493</v>
      </c>
      <c r="C15491" s="3" t="s">
        <v>9</v>
      </c>
      <c r="D15491" s="3" t="s">
        <v>10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0</v>
      </c>
      <c r="O15491" s="3"/>
      <c r="P15491" s="3"/>
      <c r="Q15491" s="3"/>
    </row>
    <row r="15492" spans="1:17" ht="15" x14ac:dyDescent="0.25">
      <c r="A15492" s="3">
        <f>15485</f>
        <v>15485</v>
      </c>
      <c r="B15492" s="3" t="s">
        <v>15494</v>
      </c>
      <c r="C15492" s="3" t="s">
        <v>9</v>
      </c>
      <c r="D15492" s="3" t="s">
        <v>10</v>
      </c>
      <c r="E15492" s="3">
        <v>0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s="3"/>
      <c r="P15492" s="3"/>
      <c r="Q15492" s="3"/>
    </row>
    <row r="15493" spans="1:17" ht="15" x14ac:dyDescent="0.25">
      <c r="A15493" s="3">
        <f>15486</f>
        <v>15486</v>
      </c>
      <c r="B15493" s="3" t="s">
        <v>15495</v>
      </c>
      <c r="C15493" s="3" t="s">
        <v>9</v>
      </c>
      <c r="D15493" s="3" t="s">
        <v>10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0</v>
      </c>
      <c r="O15493" s="3"/>
      <c r="P15493" s="3"/>
      <c r="Q15493" s="3"/>
    </row>
    <row r="15494" spans="1:17" ht="15" x14ac:dyDescent="0.25">
      <c r="A15494" s="3">
        <f>15487</f>
        <v>15487</v>
      </c>
      <c r="B15494" s="3" t="s">
        <v>15496</v>
      </c>
      <c r="C15494" s="3" t="s">
        <v>9</v>
      </c>
      <c r="D15494" s="3" t="s">
        <v>10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s="3"/>
      <c r="P15494" s="3"/>
      <c r="Q15494" s="3"/>
    </row>
    <row r="15495" spans="1:17" ht="15" x14ac:dyDescent="0.25">
      <c r="A15495" s="3">
        <f>15488</f>
        <v>15488</v>
      </c>
      <c r="B15495" s="3" t="s">
        <v>15497</v>
      </c>
      <c r="C15495" s="3" t="s">
        <v>9</v>
      </c>
      <c r="D15495" s="3" t="s">
        <v>10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s="3"/>
      <c r="P15495" s="3"/>
      <c r="Q15495" s="3"/>
    </row>
    <row r="15496" spans="1:17" ht="15" x14ac:dyDescent="0.25">
      <c r="A15496" s="3">
        <f>15489</f>
        <v>15489</v>
      </c>
      <c r="B15496" s="3" t="s">
        <v>15498</v>
      </c>
      <c r="C15496" s="3" t="s">
        <v>9</v>
      </c>
      <c r="D15496" s="3" t="s">
        <v>10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0</v>
      </c>
      <c r="O15496" s="3"/>
      <c r="P15496" s="3"/>
      <c r="Q15496" s="3"/>
    </row>
    <row r="15497" spans="1:17" ht="15" x14ac:dyDescent="0.25">
      <c r="A15497" s="3">
        <f>15490</f>
        <v>15490</v>
      </c>
      <c r="B15497" s="3" t="s">
        <v>15499</v>
      </c>
      <c r="C15497" s="3" t="s">
        <v>9</v>
      </c>
      <c r="D15497" s="3" t="s">
        <v>10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0</v>
      </c>
      <c r="O15497" s="3"/>
      <c r="P15497" s="3"/>
      <c r="Q15497" s="3"/>
    </row>
    <row r="15498" spans="1:17" ht="15" x14ac:dyDescent="0.25">
      <c r="A15498" s="3">
        <f>15491</f>
        <v>15491</v>
      </c>
      <c r="B15498" s="3" t="s">
        <v>15500</v>
      </c>
      <c r="C15498" s="3" t="s">
        <v>9</v>
      </c>
      <c r="D15498" s="3" t="s">
        <v>10</v>
      </c>
      <c r="E15498" s="3">
        <v>0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  <c r="O15498" s="3"/>
      <c r="P15498" s="3"/>
      <c r="Q15498" s="3"/>
    </row>
    <row r="15499" spans="1:17" ht="15" x14ac:dyDescent="0.25">
      <c r="A15499" s="3">
        <f>15492</f>
        <v>15492</v>
      </c>
      <c r="B15499" s="3" t="s">
        <v>15501</v>
      </c>
      <c r="C15499" s="3" t="s">
        <v>9</v>
      </c>
      <c r="D15499" s="3" t="s">
        <v>10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s="3"/>
      <c r="P15499" s="3"/>
      <c r="Q15499" s="3"/>
    </row>
    <row r="15500" spans="1:17" ht="15" x14ac:dyDescent="0.25">
      <c r="A15500" s="3">
        <f>15493</f>
        <v>15493</v>
      </c>
      <c r="B15500" s="3" t="s">
        <v>15502</v>
      </c>
      <c r="C15500" s="3" t="s">
        <v>9</v>
      </c>
      <c r="D15500" s="3" t="s">
        <v>10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  <c r="O15500" s="3"/>
      <c r="P15500" s="3"/>
      <c r="Q15500" s="3"/>
    </row>
    <row r="15501" spans="1:17" ht="15" x14ac:dyDescent="0.25">
      <c r="A15501" s="3">
        <f>15494</f>
        <v>15494</v>
      </c>
      <c r="B15501" s="3" t="s">
        <v>15503</v>
      </c>
      <c r="C15501" s="3" t="s">
        <v>9</v>
      </c>
      <c r="D15501" s="3" t="s">
        <v>10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/>
      <c r="P15501" s="3"/>
      <c r="Q15501" s="3"/>
    </row>
    <row r="15502" spans="1:17" ht="15" x14ac:dyDescent="0.25">
      <c r="A15502" s="3">
        <f>15495</f>
        <v>15495</v>
      </c>
      <c r="B15502" s="3" t="s">
        <v>15504</v>
      </c>
      <c r="C15502" s="3" t="s">
        <v>10</v>
      </c>
      <c r="D15502" s="3" t="s">
        <v>9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  <c r="O15502" s="3"/>
      <c r="P15502" s="3"/>
      <c r="Q15502" s="3"/>
    </row>
    <row r="15503" spans="1:17" ht="15" x14ac:dyDescent="0.25">
      <c r="A15503" s="3">
        <f>15496</f>
        <v>15496</v>
      </c>
      <c r="B15503" s="3" t="s">
        <v>15505</v>
      </c>
      <c r="C15503" s="3" t="s">
        <v>10</v>
      </c>
      <c r="D15503" s="3" t="s">
        <v>9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  <c r="O15503" s="3"/>
      <c r="P15503" s="3"/>
      <c r="Q15503" s="3"/>
    </row>
    <row r="15504" spans="1:17" ht="15" x14ac:dyDescent="0.25">
      <c r="A15504" s="3">
        <f>15497</f>
        <v>15497</v>
      </c>
      <c r="B15504" s="3" t="s">
        <v>15506</v>
      </c>
      <c r="C15504" s="3" t="s">
        <v>10</v>
      </c>
      <c r="D15504" s="3" t="s">
        <v>9</v>
      </c>
      <c r="E15504" s="3">
        <v>0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  <c r="O15504" s="3"/>
      <c r="P15504" s="3"/>
      <c r="Q15504" s="3"/>
    </row>
    <row r="15505" spans="1:17" ht="15" x14ac:dyDescent="0.25">
      <c r="A15505" s="3">
        <f>15498</f>
        <v>15498</v>
      </c>
      <c r="B15505" s="3" t="s">
        <v>15507</v>
      </c>
      <c r="C15505" s="3" t="s">
        <v>10</v>
      </c>
      <c r="D15505" s="3" t="s">
        <v>9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s="3"/>
      <c r="P15505" s="3"/>
      <c r="Q15505" s="3"/>
    </row>
    <row r="15506" spans="1:17" ht="15" x14ac:dyDescent="0.25">
      <c r="A15506" s="3">
        <f>15499</f>
        <v>15499</v>
      </c>
      <c r="B15506" s="3" t="s">
        <v>15508</v>
      </c>
      <c r="C15506" s="3" t="s">
        <v>10</v>
      </c>
      <c r="D15506" s="3" t="s">
        <v>9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0</v>
      </c>
      <c r="O15506" s="3"/>
      <c r="P15506" s="3"/>
      <c r="Q15506" s="3"/>
    </row>
    <row r="15507" spans="1:17" ht="15" x14ac:dyDescent="0.25">
      <c r="A15507" s="3">
        <f>15500</f>
        <v>15500</v>
      </c>
      <c r="B15507" s="3" t="s">
        <v>15509</v>
      </c>
      <c r="C15507" s="3" t="s">
        <v>10</v>
      </c>
      <c r="D15507" s="3" t="s">
        <v>9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s="3"/>
      <c r="P15507" s="3"/>
      <c r="Q15507" s="3"/>
    </row>
    <row r="15508" spans="1:17" ht="15" x14ac:dyDescent="0.25">
      <c r="A15508" s="3">
        <f>15501</f>
        <v>15501</v>
      </c>
      <c r="B15508" s="3" t="s">
        <v>15510</v>
      </c>
      <c r="C15508" s="3" t="s">
        <v>10</v>
      </c>
      <c r="D15508" s="3" t="s">
        <v>9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s="3"/>
      <c r="P15508" s="3"/>
      <c r="Q15508" s="3"/>
    </row>
    <row r="15509" spans="1:17" ht="15" x14ac:dyDescent="0.25">
      <c r="A15509" s="3">
        <f>15502</f>
        <v>15502</v>
      </c>
      <c r="B15509" s="3" t="s">
        <v>15511</v>
      </c>
      <c r="C15509" s="3" t="s">
        <v>10</v>
      </c>
      <c r="D15509" s="3" t="s">
        <v>9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0</v>
      </c>
      <c r="O15509" s="3"/>
      <c r="P15509" s="3"/>
      <c r="Q15509" s="3"/>
    </row>
    <row r="15510" spans="1:17" ht="15" x14ac:dyDescent="0.25">
      <c r="A15510" s="3">
        <f>15503</f>
        <v>15503</v>
      </c>
      <c r="B15510" s="3" t="s">
        <v>15512</v>
      </c>
      <c r="C15510" s="3" t="s">
        <v>10</v>
      </c>
      <c r="D15510" s="3" t="s">
        <v>9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s="3"/>
      <c r="P15510" s="3"/>
      <c r="Q15510" s="3"/>
    </row>
    <row r="15511" spans="1:17" ht="15" x14ac:dyDescent="0.25">
      <c r="A15511" s="3">
        <f>15504</f>
        <v>15504</v>
      </c>
      <c r="B15511" s="3" t="s">
        <v>15513</v>
      </c>
      <c r="C15511" s="3" t="s">
        <v>10</v>
      </c>
      <c r="D15511" s="3" t="s">
        <v>9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s="3"/>
      <c r="P15511" s="3"/>
      <c r="Q15511" s="3"/>
    </row>
    <row r="15512" spans="1:17" ht="15" x14ac:dyDescent="0.25">
      <c r="A15512" s="3">
        <f>15505</f>
        <v>15505</v>
      </c>
      <c r="B15512" s="3" t="s">
        <v>15514</v>
      </c>
      <c r="C15512" s="3" t="s">
        <v>10</v>
      </c>
      <c r="D15512" s="3" t="s">
        <v>9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0</v>
      </c>
      <c r="O15512" s="3"/>
      <c r="P15512" s="3"/>
      <c r="Q15512" s="3"/>
    </row>
    <row r="15513" spans="1:17" ht="15" x14ac:dyDescent="0.25">
      <c r="A15513" s="3">
        <f>15506</f>
        <v>15506</v>
      </c>
      <c r="B15513" s="3" t="s">
        <v>15515</v>
      </c>
      <c r="C15513" s="3" t="s">
        <v>10</v>
      </c>
      <c r="D15513" s="3" t="s">
        <v>9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s="3"/>
      <c r="P15513" s="3"/>
      <c r="Q15513" s="3"/>
    </row>
    <row r="15514" spans="1:17" ht="15" x14ac:dyDescent="0.25">
      <c r="A15514" s="3">
        <f>15507</f>
        <v>15507</v>
      </c>
      <c r="B15514" s="3" t="s">
        <v>15516</v>
      </c>
      <c r="C15514" s="3" t="s">
        <v>10</v>
      </c>
      <c r="D15514" s="3" t="s">
        <v>9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  <c r="O15514" s="3"/>
      <c r="P15514" s="3"/>
      <c r="Q15514" s="3"/>
    </row>
    <row r="15515" spans="1:17" ht="15" x14ac:dyDescent="0.25">
      <c r="A15515" s="3">
        <f>15508</f>
        <v>15508</v>
      </c>
      <c r="B15515" s="3" t="s">
        <v>15517</v>
      </c>
      <c r="C15515" s="3" t="s">
        <v>9</v>
      </c>
      <c r="D15515" s="3" t="s">
        <v>10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  <c r="O15515" s="3"/>
      <c r="P15515" s="3"/>
      <c r="Q15515" s="3"/>
    </row>
    <row r="15516" spans="1:17" ht="15" x14ac:dyDescent="0.25">
      <c r="A15516" s="3">
        <f>15509</f>
        <v>15509</v>
      </c>
      <c r="B15516" s="3" t="s">
        <v>15518</v>
      </c>
      <c r="C15516" s="3" t="s">
        <v>9</v>
      </c>
      <c r="D15516" s="3" t="s">
        <v>10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s="3"/>
      <c r="P15516" s="3"/>
      <c r="Q15516" s="3"/>
    </row>
    <row r="15517" spans="1:17" ht="15" x14ac:dyDescent="0.25">
      <c r="A15517" s="3">
        <f>15510</f>
        <v>15510</v>
      </c>
      <c r="B15517" s="3" t="s">
        <v>15519</v>
      </c>
      <c r="C15517" s="3" t="s">
        <v>10</v>
      </c>
      <c r="D15517" s="3" t="s">
        <v>9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  <c r="O15517" s="3"/>
      <c r="P15517" s="3"/>
      <c r="Q15517" s="3"/>
    </row>
    <row r="15518" spans="1:17" ht="15" x14ac:dyDescent="0.25">
      <c r="A15518" s="3">
        <f>15511</f>
        <v>15511</v>
      </c>
      <c r="B15518" s="3" t="s">
        <v>15520</v>
      </c>
      <c r="C15518" s="3" t="s">
        <v>9</v>
      </c>
      <c r="D15518" s="3" t="s">
        <v>10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s="3"/>
      <c r="P15518" s="3"/>
      <c r="Q15518" s="3"/>
    </row>
    <row r="15519" spans="1:17" ht="15" x14ac:dyDescent="0.25">
      <c r="A15519" s="3">
        <f>15512</f>
        <v>15512</v>
      </c>
      <c r="B15519" s="3" t="s">
        <v>15521</v>
      </c>
      <c r="C15519" s="3" t="s">
        <v>9</v>
      </c>
      <c r="D15519" s="3" t="s">
        <v>10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s="3"/>
      <c r="P15519" s="3"/>
      <c r="Q15519" s="3"/>
    </row>
    <row r="15520" spans="1:17" ht="15" x14ac:dyDescent="0.25">
      <c r="A15520" s="3">
        <f>15513</f>
        <v>15513</v>
      </c>
      <c r="B15520" s="3" t="s">
        <v>15522</v>
      </c>
      <c r="C15520" s="3" t="s">
        <v>9</v>
      </c>
      <c r="D15520" s="3" t="s">
        <v>10</v>
      </c>
      <c r="E15520" s="3">
        <v>0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  <c r="O15520" s="3"/>
      <c r="P15520" s="3"/>
      <c r="Q15520" s="3"/>
    </row>
    <row r="15521" spans="1:17" ht="15" x14ac:dyDescent="0.25">
      <c r="A15521" s="3">
        <f>15514</f>
        <v>15514</v>
      </c>
      <c r="B15521" s="3" t="s">
        <v>15523</v>
      </c>
      <c r="C15521" s="3" t="s">
        <v>9</v>
      </c>
      <c r="D15521" s="3" t="s">
        <v>10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  <c r="O15521" s="3"/>
      <c r="P15521" s="3"/>
      <c r="Q15521" s="3"/>
    </row>
    <row r="15522" spans="1:17" ht="15" x14ac:dyDescent="0.25">
      <c r="A15522" s="3">
        <f>15515</f>
        <v>15515</v>
      </c>
      <c r="B15522" s="3" t="s">
        <v>15524</v>
      </c>
      <c r="C15522" s="3" t="s">
        <v>9</v>
      </c>
      <c r="D15522" s="3" t="s">
        <v>10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s="3"/>
      <c r="P15522" s="3"/>
      <c r="Q15522" s="3"/>
    </row>
    <row r="15523" spans="1:17" ht="15" x14ac:dyDescent="0.25">
      <c r="A15523" s="3">
        <f>15516</f>
        <v>15516</v>
      </c>
      <c r="B15523" s="3" t="s">
        <v>15525</v>
      </c>
      <c r="C15523" s="3" t="s">
        <v>9</v>
      </c>
      <c r="D15523" s="3" t="s">
        <v>10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/>
      <c r="P15523" s="3"/>
      <c r="Q15523" s="3"/>
    </row>
    <row r="15524" spans="1:17" ht="15" x14ac:dyDescent="0.25">
      <c r="A15524" s="3">
        <f>15517</f>
        <v>15517</v>
      </c>
      <c r="B15524" s="3" t="s">
        <v>15526</v>
      </c>
      <c r="C15524" s="3" t="s">
        <v>9</v>
      </c>
      <c r="D15524" s="3" t="s">
        <v>10</v>
      </c>
      <c r="E15524" s="3">
        <v>0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s="3"/>
      <c r="P15524" s="3"/>
      <c r="Q15524" s="3"/>
    </row>
    <row r="15525" spans="1:17" ht="15" x14ac:dyDescent="0.25">
      <c r="A15525" s="3">
        <f>15518</f>
        <v>15518</v>
      </c>
      <c r="B15525" s="3" t="s">
        <v>15527</v>
      </c>
      <c r="C15525" s="3" t="s">
        <v>9</v>
      </c>
      <c r="D15525" s="3" t="s">
        <v>10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0</v>
      </c>
      <c r="O15525" s="3"/>
      <c r="P15525" s="3"/>
      <c r="Q15525" s="3"/>
    </row>
    <row r="15526" spans="1:17" ht="15" x14ac:dyDescent="0.25">
      <c r="A15526" s="3">
        <f>15519</f>
        <v>15519</v>
      </c>
      <c r="B15526" s="3" t="s">
        <v>15528</v>
      </c>
      <c r="C15526" s="3" t="s">
        <v>9</v>
      </c>
      <c r="D15526" s="3" t="s">
        <v>10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/>
      <c r="P15526" s="3"/>
      <c r="Q15526" s="3"/>
    </row>
    <row r="15527" spans="1:17" ht="15" x14ac:dyDescent="0.25">
      <c r="A15527" s="3">
        <f>15520</f>
        <v>15520</v>
      </c>
      <c r="B15527" s="3" t="s">
        <v>15529</v>
      </c>
      <c r="C15527" s="3" t="s">
        <v>9</v>
      </c>
      <c r="D15527" s="3" t="s">
        <v>10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  <c r="O15527" s="3"/>
      <c r="P15527" s="3"/>
      <c r="Q15527" s="3"/>
    </row>
    <row r="15528" spans="1:17" ht="15" x14ac:dyDescent="0.25">
      <c r="A15528" s="3">
        <f>15521</f>
        <v>15521</v>
      </c>
      <c r="B15528" s="3" t="s">
        <v>15530</v>
      </c>
      <c r="C15528" s="3" t="s">
        <v>9</v>
      </c>
      <c r="D15528" s="3" t="s">
        <v>10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/>
      <c r="P15528" s="3"/>
      <c r="Q15528" s="3"/>
    </row>
    <row r="15529" spans="1:17" ht="15" x14ac:dyDescent="0.25">
      <c r="A15529" s="3">
        <f>15522</f>
        <v>15522</v>
      </c>
      <c r="B15529" s="3" t="s">
        <v>15531</v>
      </c>
      <c r="C15529" s="3" t="s">
        <v>9</v>
      </c>
      <c r="D15529" s="3" t="s">
        <v>10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/>
      <c r="P15529" s="3"/>
      <c r="Q15529" s="3"/>
    </row>
    <row r="15530" spans="1:17" ht="15" x14ac:dyDescent="0.25">
      <c r="A15530" s="3">
        <f>15523</f>
        <v>15523</v>
      </c>
      <c r="B15530" s="3" t="s">
        <v>15532</v>
      </c>
      <c r="C15530" s="3" t="s">
        <v>9</v>
      </c>
      <c r="D15530" s="3" t="s">
        <v>10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s="3"/>
      <c r="P15530" s="3"/>
      <c r="Q15530" s="3"/>
    </row>
    <row r="15531" spans="1:17" ht="15" x14ac:dyDescent="0.25">
      <c r="A15531" s="3">
        <f>15524</f>
        <v>15524</v>
      </c>
      <c r="B15531" s="3" t="s">
        <v>15533</v>
      </c>
      <c r="C15531" s="3" t="s">
        <v>9</v>
      </c>
      <c r="D15531" s="3" t="s">
        <v>10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s="3"/>
      <c r="P15531" s="3"/>
      <c r="Q15531" s="3"/>
    </row>
    <row r="15532" spans="1:17" ht="15" x14ac:dyDescent="0.25">
      <c r="A15532" s="3">
        <f>15525</f>
        <v>15525</v>
      </c>
      <c r="B15532" s="3" t="s">
        <v>15534</v>
      </c>
      <c r="C15532" s="3" t="s">
        <v>9</v>
      </c>
      <c r="D15532" s="3" t="s">
        <v>10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/>
      <c r="P15532" s="3"/>
      <c r="Q15532" s="3"/>
    </row>
    <row r="15533" spans="1:17" ht="15" x14ac:dyDescent="0.25">
      <c r="A15533" s="3">
        <f>15526</f>
        <v>15526</v>
      </c>
      <c r="B15533" s="3" t="s">
        <v>15535</v>
      </c>
      <c r="C15533" s="3" t="s">
        <v>9</v>
      </c>
      <c r="D15533" s="3" t="s">
        <v>10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/>
      <c r="P15533" s="3"/>
      <c r="Q15533" s="3"/>
    </row>
    <row r="15534" spans="1:17" ht="15" x14ac:dyDescent="0.25">
      <c r="A15534" s="3">
        <f>15527</f>
        <v>15527</v>
      </c>
      <c r="B15534" s="3" t="s">
        <v>15536</v>
      </c>
      <c r="C15534" s="3" t="s">
        <v>9</v>
      </c>
      <c r="D15534" s="3" t="s">
        <v>10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s="3"/>
      <c r="P15534" s="3"/>
      <c r="Q15534" s="3"/>
    </row>
    <row r="15535" spans="1:17" ht="15" x14ac:dyDescent="0.25">
      <c r="A15535" s="3">
        <f>15528</f>
        <v>15528</v>
      </c>
      <c r="B15535" s="3" t="s">
        <v>15537</v>
      </c>
      <c r="C15535" s="3" t="s">
        <v>9</v>
      </c>
      <c r="D15535" s="3" t="s">
        <v>10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  <c r="O15535" s="3"/>
      <c r="P15535" s="3"/>
      <c r="Q15535" s="3"/>
    </row>
    <row r="15536" spans="1:17" ht="15" x14ac:dyDescent="0.25">
      <c r="A15536" s="3">
        <f>15529</f>
        <v>15529</v>
      </c>
      <c r="B15536" s="3" t="s">
        <v>15538</v>
      </c>
      <c r="C15536" s="3" t="s">
        <v>9</v>
      </c>
      <c r="D15536" s="3" t="s">
        <v>10</v>
      </c>
      <c r="E15536" s="3">
        <v>0</v>
      </c>
      <c r="F15536" s="3">
        <v>0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  <c r="O15536" s="3"/>
      <c r="P15536" s="3"/>
      <c r="Q15536" s="3"/>
    </row>
    <row r="15537" spans="1:17" ht="15" x14ac:dyDescent="0.25">
      <c r="A15537" s="3">
        <f>15530</f>
        <v>15530</v>
      </c>
      <c r="B15537" s="3" t="s">
        <v>15539</v>
      </c>
      <c r="C15537" s="3" t="s">
        <v>9</v>
      </c>
      <c r="D15537" s="3" t="s">
        <v>10</v>
      </c>
      <c r="E15537" s="3">
        <v>0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>
        <v>0</v>
      </c>
      <c r="O15537" s="3"/>
      <c r="P15537" s="3"/>
      <c r="Q15537" s="3"/>
    </row>
    <row r="15538" spans="1:17" ht="15" x14ac:dyDescent="0.25">
      <c r="A15538" s="3">
        <f>15531</f>
        <v>15531</v>
      </c>
      <c r="B15538" s="3" t="s">
        <v>15540</v>
      </c>
      <c r="C15538" s="3" t="s">
        <v>9</v>
      </c>
      <c r="D15538" s="3" t="s">
        <v>10</v>
      </c>
      <c r="E15538" s="3">
        <v>0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0</v>
      </c>
      <c r="O15538" s="3"/>
      <c r="P15538" s="3"/>
      <c r="Q15538" s="3"/>
    </row>
    <row r="15539" spans="1:17" ht="15" x14ac:dyDescent="0.25">
      <c r="A15539" s="3">
        <f>15532</f>
        <v>15532</v>
      </c>
      <c r="B15539" s="3" t="s">
        <v>15541</v>
      </c>
      <c r="C15539" s="3" t="s">
        <v>9</v>
      </c>
      <c r="D15539" s="3" t="s">
        <v>10</v>
      </c>
      <c r="E15539" s="3">
        <v>0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s="3"/>
      <c r="P15539" s="3"/>
      <c r="Q15539" s="3"/>
    </row>
    <row r="15540" spans="1:17" ht="15" x14ac:dyDescent="0.25">
      <c r="A15540" s="3">
        <f>15533</f>
        <v>15533</v>
      </c>
      <c r="B15540" s="3" t="s">
        <v>15542</v>
      </c>
      <c r="C15540" s="3" t="s">
        <v>9</v>
      </c>
      <c r="D15540" s="3" t="s">
        <v>10</v>
      </c>
      <c r="E15540" s="3">
        <v>0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0</v>
      </c>
      <c r="O15540" s="3"/>
      <c r="P15540" s="3"/>
      <c r="Q15540" s="3"/>
    </row>
    <row r="15541" spans="1:17" ht="15" x14ac:dyDescent="0.25">
      <c r="A15541" s="3">
        <f>15534</f>
        <v>15534</v>
      </c>
      <c r="B15541" s="3" t="s">
        <v>15543</v>
      </c>
      <c r="C15541" s="3" t="s">
        <v>9</v>
      </c>
      <c r="D15541" s="3" t="s">
        <v>10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s="3"/>
      <c r="P15541" s="3"/>
      <c r="Q15541" s="3"/>
    </row>
    <row r="15542" spans="1:17" ht="15" x14ac:dyDescent="0.25">
      <c r="A15542" s="3">
        <f>15535</f>
        <v>15535</v>
      </c>
      <c r="B15542" s="3" t="s">
        <v>15544</v>
      </c>
      <c r="C15542" s="3" t="s">
        <v>9</v>
      </c>
      <c r="D15542" s="3" t="s">
        <v>10</v>
      </c>
      <c r="E15542" s="3">
        <v>0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s="3"/>
      <c r="P15542" s="3"/>
      <c r="Q15542" s="3"/>
    </row>
    <row r="15543" spans="1:17" ht="15" x14ac:dyDescent="0.25">
      <c r="A15543" s="3">
        <f>15536</f>
        <v>15536</v>
      </c>
      <c r="B15543" s="3" t="s">
        <v>15545</v>
      </c>
      <c r="C15543" s="3" t="s">
        <v>9</v>
      </c>
      <c r="D15543" s="3" t="s">
        <v>10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s="3"/>
      <c r="P15543" s="3"/>
      <c r="Q15543" s="3"/>
    </row>
    <row r="15544" spans="1:17" ht="15" x14ac:dyDescent="0.25">
      <c r="A15544" s="3">
        <f>15537</f>
        <v>15537</v>
      </c>
      <c r="B15544" s="3" t="s">
        <v>15546</v>
      </c>
      <c r="C15544" s="3" t="s">
        <v>9</v>
      </c>
      <c r="D15544" s="3" t="s">
        <v>10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s="3"/>
      <c r="P15544" s="3"/>
      <c r="Q15544" s="3"/>
    </row>
    <row r="15545" spans="1:17" ht="15" x14ac:dyDescent="0.25">
      <c r="A15545" s="3">
        <f>15538</f>
        <v>15538</v>
      </c>
      <c r="B15545" s="3" t="s">
        <v>15547</v>
      </c>
      <c r="C15545" s="3" t="s">
        <v>9</v>
      </c>
      <c r="D15545" s="3" t="s">
        <v>10</v>
      </c>
      <c r="E15545" s="3">
        <v>0</v>
      </c>
      <c r="F15545" s="3">
        <v>0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>
        <v>0</v>
      </c>
      <c r="O15545" s="3"/>
      <c r="P15545" s="3"/>
      <c r="Q15545" s="3"/>
    </row>
    <row r="15546" spans="1:17" ht="15" x14ac:dyDescent="0.25">
      <c r="A15546" s="3">
        <f>15539</f>
        <v>15539</v>
      </c>
      <c r="B15546" s="3" t="s">
        <v>15548</v>
      </c>
      <c r="C15546" s="3" t="s">
        <v>9</v>
      </c>
      <c r="D15546" s="3" t="s">
        <v>10</v>
      </c>
      <c r="E15546" s="3">
        <v>0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s="3"/>
      <c r="P15546" s="3"/>
      <c r="Q15546" s="3"/>
    </row>
    <row r="15547" spans="1:17" ht="15" x14ac:dyDescent="0.25">
      <c r="A15547" s="3">
        <f>15540</f>
        <v>15540</v>
      </c>
      <c r="B15547" s="3" t="s">
        <v>15549</v>
      </c>
      <c r="C15547" s="3" t="s">
        <v>9</v>
      </c>
      <c r="D15547" s="3" t="s">
        <v>10</v>
      </c>
      <c r="E15547" s="3">
        <v>0</v>
      </c>
      <c r="F15547" s="3">
        <v>0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0</v>
      </c>
      <c r="O15547" s="3"/>
      <c r="P15547" s="3"/>
      <c r="Q15547" s="3"/>
    </row>
    <row r="15548" spans="1:17" ht="15" x14ac:dyDescent="0.25">
      <c r="A15548" s="3">
        <f>15541</f>
        <v>15541</v>
      </c>
      <c r="B15548" s="3" t="s">
        <v>15550</v>
      </c>
      <c r="C15548" s="3" t="s">
        <v>9</v>
      </c>
      <c r="D15548" s="3" t="s">
        <v>10</v>
      </c>
      <c r="E15548" s="3">
        <v>0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0</v>
      </c>
      <c r="O15548" s="3"/>
      <c r="P15548" s="3"/>
      <c r="Q15548" s="3"/>
    </row>
    <row r="15549" spans="1:17" ht="15" x14ac:dyDescent="0.25">
      <c r="A15549" s="3">
        <f>15542</f>
        <v>15542</v>
      </c>
      <c r="B15549" s="3" t="s">
        <v>15551</v>
      </c>
      <c r="C15549" s="3" t="s">
        <v>9</v>
      </c>
      <c r="D15549" s="3" t="s">
        <v>10</v>
      </c>
      <c r="E15549" s="3">
        <v>0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  <c r="O15549" s="3"/>
      <c r="P15549" s="3"/>
      <c r="Q15549" s="3"/>
    </row>
    <row r="15550" spans="1:17" ht="15" x14ac:dyDescent="0.25">
      <c r="A15550" s="3">
        <f>15543</f>
        <v>15543</v>
      </c>
      <c r="B15550" s="3" t="s">
        <v>15552</v>
      </c>
      <c r="C15550" s="3" t="s">
        <v>9</v>
      </c>
      <c r="D15550" s="3" t="s">
        <v>10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s="3"/>
      <c r="P15550" s="3"/>
      <c r="Q15550" s="3"/>
    </row>
    <row r="15551" spans="1:17" ht="15" x14ac:dyDescent="0.25">
      <c r="A15551" s="3">
        <f>15544</f>
        <v>15544</v>
      </c>
      <c r="B15551" s="3" t="s">
        <v>15553</v>
      </c>
      <c r="C15551" s="3" t="s">
        <v>9</v>
      </c>
      <c r="D15551" s="3" t="s">
        <v>10</v>
      </c>
      <c r="E15551" s="3">
        <v>0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s="3"/>
      <c r="P15551" s="3"/>
      <c r="Q15551" s="3"/>
    </row>
    <row r="15552" spans="1:17" ht="15" x14ac:dyDescent="0.25">
      <c r="A15552" s="3">
        <f>15545</f>
        <v>15545</v>
      </c>
      <c r="B15552" s="3" t="s">
        <v>15554</v>
      </c>
      <c r="C15552" s="3" t="s">
        <v>9</v>
      </c>
      <c r="D15552" s="3" t="s">
        <v>10</v>
      </c>
      <c r="E15552" s="3">
        <v>0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0</v>
      </c>
      <c r="O15552" s="3"/>
      <c r="P15552" s="3"/>
      <c r="Q15552" s="3"/>
    </row>
    <row r="15553" spans="1:17" ht="15" x14ac:dyDescent="0.25">
      <c r="A15553" s="3">
        <f>15546</f>
        <v>15546</v>
      </c>
      <c r="B15553" s="3" t="s">
        <v>15555</v>
      </c>
      <c r="C15553" s="3" t="s">
        <v>9</v>
      </c>
      <c r="D15553" s="3" t="s">
        <v>10</v>
      </c>
      <c r="E15553" s="3">
        <v>0</v>
      </c>
      <c r="F15553" s="3">
        <v>0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>
        <v>0</v>
      </c>
      <c r="O15553" s="3"/>
      <c r="P15553" s="3"/>
      <c r="Q15553" s="3"/>
    </row>
    <row r="15554" spans="1:17" ht="15" x14ac:dyDescent="0.25">
      <c r="A15554" s="3">
        <f>15547</f>
        <v>15547</v>
      </c>
      <c r="B15554" s="3" t="s">
        <v>15556</v>
      </c>
      <c r="C15554" s="3" t="s">
        <v>9</v>
      </c>
      <c r="D15554" s="3" t="s">
        <v>10</v>
      </c>
      <c r="E15554" s="3">
        <v>0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s="3"/>
      <c r="P15554" s="3"/>
      <c r="Q15554" s="3"/>
    </row>
    <row r="15555" spans="1:17" ht="15" x14ac:dyDescent="0.25">
      <c r="A15555" s="3">
        <f>15548</f>
        <v>15548</v>
      </c>
      <c r="B15555" s="3" t="s">
        <v>15557</v>
      </c>
      <c r="C15555" s="3" t="s">
        <v>9</v>
      </c>
      <c r="D15555" s="3" t="s">
        <v>10</v>
      </c>
      <c r="E15555" s="3">
        <v>0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>
        <v>0</v>
      </c>
      <c r="O15555" s="3"/>
      <c r="P15555" s="3"/>
      <c r="Q15555" s="3"/>
    </row>
    <row r="15556" spans="1:17" ht="15" x14ac:dyDescent="0.25">
      <c r="A15556" s="3">
        <f>15549</f>
        <v>15549</v>
      </c>
      <c r="B15556" s="3" t="s">
        <v>15558</v>
      </c>
      <c r="C15556" s="3" t="s">
        <v>9</v>
      </c>
      <c r="D15556" s="3" t="s">
        <v>10</v>
      </c>
      <c r="E15556" s="3">
        <v>0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s="3"/>
      <c r="P15556" s="3"/>
      <c r="Q15556" s="3"/>
    </row>
    <row r="15557" spans="1:17" ht="15" x14ac:dyDescent="0.25">
      <c r="A15557" s="3">
        <f>15550</f>
        <v>15550</v>
      </c>
      <c r="B15557" s="3" t="s">
        <v>15559</v>
      </c>
      <c r="C15557" s="3" t="s">
        <v>9</v>
      </c>
      <c r="D15557" s="3" t="s">
        <v>10</v>
      </c>
      <c r="E15557" s="3">
        <v>0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>
        <v>0</v>
      </c>
      <c r="O15557" s="3"/>
      <c r="P15557" s="3"/>
      <c r="Q15557" s="3"/>
    </row>
    <row r="15558" spans="1:17" ht="15" x14ac:dyDescent="0.25">
      <c r="A15558" s="3">
        <f>15551</f>
        <v>15551</v>
      </c>
      <c r="B15558" s="3" t="s">
        <v>15560</v>
      </c>
      <c r="C15558" s="3" t="s">
        <v>9</v>
      </c>
      <c r="D15558" s="3" t="s">
        <v>10</v>
      </c>
      <c r="E15558" s="3">
        <v>0</v>
      </c>
      <c r="F15558" s="3">
        <v>0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0</v>
      </c>
      <c r="O15558" s="3"/>
      <c r="P15558" s="3"/>
      <c r="Q15558" s="3"/>
    </row>
    <row r="15559" spans="1:17" ht="15" x14ac:dyDescent="0.25">
      <c r="A15559" s="3">
        <f>15552</f>
        <v>15552</v>
      </c>
      <c r="B15559" s="3" t="s">
        <v>15561</v>
      </c>
      <c r="C15559" s="3" t="s">
        <v>10</v>
      </c>
      <c r="D15559" s="3" t="s">
        <v>9</v>
      </c>
      <c r="E15559" s="3">
        <v>0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/>
      <c r="P15559" s="3"/>
      <c r="Q15559" s="3"/>
    </row>
    <row r="15560" spans="1:17" ht="15" x14ac:dyDescent="0.25">
      <c r="A15560" s="3">
        <f>15553</f>
        <v>15553</v>
      </c>
      <c r="B15560" s="3" t="s">
        <v>15562</v>
      </c>
      <c r="C15560" s="3" t="s">
        <v>10</v>
      </c>
      <c r="D15560" s="3" t="s">
        <v>9</v>
      </c>
      <c r="E15560" s="3">
        <v>0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/>
      <c r="P15560" s="3"/>
      <c r="Q15560" s="3"/>
    </row>
    <row r="15561" spans="1:17" ht="15" x14ac:dyDescent="0.25">
      <c r="A15561" s="3">
        <f>15554</f>
        <v>15554</v>
      </c>
      <c r="B15561" s="3" t="s">
        <v>15563</v>
      </c>
      <c r="C15561" s="3" t="s">
        <v>10</v>
      </c>
      <c r="D15561" s="3" t="s">
        <v>9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/>
      <c r="P15561" s="3"/>
      <c r="Q15561" s="3"/>
    </row>
    <row r="15562" spans="1:17" ht="15" x14ac:dyDescent="0.25">
      <c r="A15562" s="3">
        <f>15555</f>
        <v>15555</v>
      </c>
      <c r="B15562" s="3" t="s">
        <v>15564</v>
      </c>
      <c r="C15562" s="3" t="s">
        <v>10</v>
      </c>
      <c r="D15562" s="3" t="s">
        <v>9</v>
      </c>
      <c r="E15562" s="3">
        <v>0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s="3"/>
      <c r="P15562" s="3"/>
      <c r="Q15562" s="3"/>
    </row>
    <row r="15563" spans="1:17" ht="15" x14ac:dyDescent="0.25">
      <c r="A15563" s="3">
        <f>15556</f>
        <v>15556</v>
      </c>
      <c r="B15563" s="3" t="s">
        <v>15565</v>
      </c>
      <c r="C15563" s="3" t="s">
        <v>10</v>
      </c>
      <c r="D15563" s="3" t="s">
        <v>9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/>
      <c r="P15563" s="3"/>
      <c r="Q15563" s="3"/>
    </row>
    <row r="15564" spans="1:17" ht="15" x14ac:dyDescent="0.25">
      <c r="A15564" s="3">
        <f>15557</f>
        <v>15557</v>
      </c>
      <c r="B15564" s="3" t="s">
        <v>15566</v>
      </c>
      <c r="C15564" s="3" t="s">
        <v>10</v>
      </c>
      <c r="D15564" s="3" t="s">
        <v>9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/>
      <c r="P15564" s="3"/>
      <c r="Q15564" s="3"/>
    </row>
    <row r="15565" spans="1:17" ht="15" x14ac:dyDescent="0.25">
      <c r="A15565" s="3">
        <f>15558</f>
        <v>15558</v>
      </c>
      <c r="B15565" s="3" t="s">
        <v>15567</v>
      </c>
      <c r="C15565" s="3" t="s">
        <v>10</v>
      </c>
      <c r="D15565" s="3" t="s">
        <v>9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0</v>
      </c>
      <c r="O15565" s="3"/>
      <c r="P15565" s="3"/>
      <c r="Q15565" s="3"/>
    </row>
    <row r="15566" spans="1:17" ht="15" x14ac:dyDescent="0.25">
      <c r="A15566" s="3">
        <f>15559</f>
        <v>15559</v>
      </c>
      <c r="B15566" s="3" t="s">
        <v>15568</v>
      </c>
      <c r="C15566" s="3" t="s">
        <v>10</v>
      </c>
      <c r="D15566" s="3" t="s">
        <v>9</v>
      </c>
      <c r="E15566" s="3">
        <v>0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0</v>
      </c>
      <c r="O15566" s="3"/>
      <c r="P15566" s="3"/>
      <c r="Q15566" s="3"/>
    </row>
    <row r="15567" spans="1:17" ht="15" x14ac:dyDescent="0.25">
      <c r="A15567" s="3">
        <f>15560</f>
        <v>15560</v>
      </c>
      <c r="B15567" s="3" t="s">
        <v>15569</v>
      </c>
      <c r="C15567" s="3" t="s">
        <v>10</v>
      </c>
      <c r="D15567" s="3" t="s">
        <v>9</v>
      </c>
      <c r="E15567" s="3">
        <v>0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s="3"/>
      <c r="P15567" s="3"/>
      <c r="Q15567" s="3"/>
    </row>
    <row r="15568" spans="1:17" ht="15" x14ac:dyDescent="0.25">
      <c r="A15568" s="3">
        <f>15561</f>
        <v>15561</v>
      </c>
      <c r="B15568" s="3" t="s">
        <v>15570</v>
      </c>
      <c r="C15568" s="3" t="s">
        <v>10</v>
      </c>
      <c r="D15568" s="3" t="s">
        <v>9</v>
      </c>
      <c r="E15568" s="3">
        <v>0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0</v>
      </c>
      <c r="O15568" s="3"/>
      <c r="P15568" s="3"/>
      <c r="Q15568" s="3"/>
    </row>
    <row r="15569" spans="1:17" ht="15" x14ac:dyDescent="0.25">
      <c r="A15569" s="3">
        <f>15562</f>
        <v>15562</v>
      </c>
      <c r="B15569" s="3" t="s">
        <v>15571</v>
      </c>
      <c r="C15569" s="3" t="s">
        <v>10</v>
      </c>
      <c r="D15569" s="3" t="s">
        <v>9</v>
      </c>
      <c r="E15569" s="3">
        <v>0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>
        <v>0</v>
      </c>
      <c r="O15569" s="3"/>
      <c r="P15569" s="3"/>
      <c r="Q15569" s="3"/>
    </row>
    <row r="15570" spans="1:17" ht="15" x14ac:dyDescent="0.25">
      <c r="A15570" s="3">
        <f>15563</f>
        <v>15563</v>
      </c>
      <c r="B15570" s="3" t="s">
        <v>15572</v>
      </c>
      <c r="C15570" s="3" t="s">
        <v>9</v>
      </c>
      <c r="D15570" s="3" t="s">
        <v>10</v>
      </c>
      <c r="E15570" s="3">
        <v>0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s="3"/>
      <c r="P15570" s="3"/>
      <c r="Q15570" s="3"/>
    </row>
    <row r="15571" spans="1:17" ht="15" x14ac:dyDescent="0.25">
      <c r="A15571" s="3">
        <f>15564</f>
        <v>15564</v>
      </c>
      <c r="B15571" s="3" t="s">
        <v>15573</v>
      </c>
      <c r="C15571" s="3" t="s">
        <v>10</v>
      </c>
      <c r="D15571" s="3" t="s">
        <v>9</v>
      </c>
      <c r="E15571" s="3">
        <v>0</v>
      </c>
      <c r="F15571" s="3">
        <v>0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0</v>
      </c>
      <c r="O15571" s="3"/>
      <c r="P15571" s="3"/>
      <c r="Q15571" s="3"/>
    </row>
    <row r="15572" spans="1:17" ht="15" x14ac:dyDescent="0.25">
      <c r="A15572" s="3">
        <f>15565</f>
        <v>15565</v>
      </c>
      <c r="B15572" s="3" t="s">
        <v>15574</v>
      </c>
      <c r="C15572" s="3" t="s">
        <v>10</v>
      </c>
      <c r="D15572" s="3" t="s">
        <v>9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s="3"/>
      <c r="P15572" s="3"/>
      <c r="Q15572" s="3"/>
    </row>
    <row r="15573" spans="1:17" ht="15" x14ac:dyDescent="0.25">
      <c r="A15573" s="3">
        <f>15566</f>
        <v>15566</v>
      </c>
      <c r="B15573" s="3" t="s">
        <v>15575</v>
      </c>
      <c r="C15573" s="3" t="s">
        <v>10</v>
      </c>
      <c r="D15573" s="3" t="s">
        <v>9</v>
      </c>
      <c r="E15573" s="3">
        <v>0</v>
      </c>
      <c r="F15573" s="3">
        <v>0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>
        <v>0</v>
      </c>
      <c r="O15573" s="3"/>
      <c r="P15573" s="3"/>
      <c r="Q15573" s="3"/>
    </row>
    <row r="15574" spans="1:17" ht="15" x14ac:dyDescent="0.25">
      <c r="A15574" s="3">
        <f>15567</f>
        <v>15567</v>
      </c>
      <c r="B15574" s="3" t="s">
        <v>15576</v>
      </c>
      <c r="C15574" s="3" t="s">
        <v>10</v>
      </c>
      <c r="D15574" s="3" t="s">
        <v>9</v>
      </c>
      <c r="E15574" s="3">
        <v>0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>
        <v>0</v>
      </c>
      <c r="O15574" s="3"/>
      <c r="P15574" s="3"/>
      <c r="Q15574" s="3"/>
    </row>
    <row r="15575" spans="1:17" ht="15" x14ac:dyDescent="0.25">
      <c r="A15575" s="3">
        <f>15568</f>
        <v>15568</v>
      </c>
      <c r="B15575" s="3" t="s">
        <v>15577</v>
      </c>
      <c r="C15575" s="3" t="s">
        <v>9</v>
      </c>
      <c r="D15575" s="3" t="s">
        <v>10</v>
      </c>
      <c r="E15575" s="3">
        <v>0</v>
      </c>
      <c r="F15575" s="3">
        <v>0</v>
      </c>
      <c r="G15575" s="3">
        <v>0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>
        <v>0</v>
      </c>
      <c r="O15575" s="3"/>
      <c r="P15575" s="3"/>
      <c r="Q15575" s="3"/>
    </row>
    <row r="15576" spans="1:17" ht="15" x14ac:dyDescent="0.25">
      <c r="A15576" s="3">
        <f>15569</f>
        <v>15569</v>
      </c>
      <c r="B15576" s="3" t="s">
        <v>15578</v>
      </c>
      <c r="C15576" s="3" t="s">
        <v>9</v>
      </c>
      <c r="D15576" s="3" t="s">
        <v>10</v>
      </c>
      <c r="E15576" s="3">
        <v>0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s="3"/>
      <c r="P15576" s="3"/>
      <c r="Q15576" s="3"/>
    </row>
    <row r="15577" spans="1:17" ht="15" x14ac:dyDescent="0.25">
      <c r="A15577" s="3">
        <f>15570</f>
        <v>15570</v>
      </c>
      <c r="B15577" s="3" t="s">
        <v>15579</v>
      </c>
      <c r="C15577" s="3" t="s">
        <v>9</v>
      </c>
      <c r="D15577" s="3" t="s">
        <v>10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s="3"/>
      <c r="P15577" s="3"/>
      <c r="Q15577" s="3"/>
    </row>
    <row r="15578" spans="1:17" ht="15" x14ac:dyDescent="0.25">
      <c r="A15578" s="3">
        <f>15571</f>
        <v>15571</v>
      </c>
      <c r="B15578" s="3" t="s">
        <v>15580</v>
      </c>
      <c r="C15578" s="3" t="s">
        <v>9</v>
      </c>
      <c r="D15578" s="3" t="s">
        <v>10</v>
      </c>
      <c r="E15578" s="3">
        <v>0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>
        <v>0</v>
      </c>
      <c r="O15578" s="3"/>
      <c r="P15578" s="3"/>
      <c r="Q15578" s="3"/>
    </row>
    <row r="15579" spans="1:17" ht="15" x14ac:dyDescent="0.25">
      <c r="A15579" s="3">
        <f>15572</f>
        <v>15572</v>
      </c>
      <c r="B15579" s="3" t="s">
        <v>15581</v>
      </c>
      <c r="C15579" s="3" t="s">
        <v>9</v>
      </c>
      <c r="D15579" s="3" t="s">
        <v>10</v>
      </c>
      <c r="E15579" s="3">
        <v>0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/>
      <c r="P15579" s="3"/>
      <c r="Q15579" s="3"/>
    </row>
    <row r="15580" spans="1:17" ht="15" x14ac:dyDescent="0.25">
      <c r="A15580" s="3">
        <f>15573</f>
        <v>15573</v>
      </c>
      <c r="B15580" s="3" t="s">
        <v>15582</v>
      </c>
      <c r="C15580" s="3" t="s">
        <v>9</v>
      </c>
      <c r="D15580" s="3" t="s">
        <v>10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/>
      <c r="P15580" s="3"/>
      <c r="Q15580" s="3"/>
    </row>
    <row r="15581" spans="1:17" ht="15" x14ac:dyDescent="0.25">
      <c r="A15581" s="3">
        <f>15574</f>
        <v>15574</v>
      </c>
      <c r="B15581" s="3" t="s">
        <v>15583</v>
      </c>
      <c r="C15581" s="3" t="s">
        <v>9</v>
      </c>
      <c r="D15581" s="3" t="s">
        <v>10</v>
      </c>
      <c r="E15581" s="3">
        <v>0</v>
      </c>
      <c r="F15581" s="3">
        <v>0</v>
      </c>
      <c r="G15581" s="3">
        <v>0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0</v>
      </c>
      <c r="O15581" s="3"/>
      <c r="P15581" s="3"/>
      <c r="Q15581" s="3"/>
    </row>
    <row r="15582" spans="1:17" ht="15" x14ac:dyDescent="0.25">
      <c r="A15582" s="3">
        <f>15575</f>
        <v>15575</v>
      </c>
      <c r="B15582" s="3" t="s">
        <v>15584</v>
      </c>
      <c r="C15582" s="3" t="s">
        <v>9</v>
      </c>
      <c r="D15582" s="3" t="s">
        <v>10</v>
      </c>
      <c r="E15582" s="3">
        <v>0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0</v>
      </c>
      <c r="O15582" s="3"/>
      <c r="P15582" s="3"/>
      <c r="Q15582" s="3"/>
    </row>
    <row r="15583" spans="1:17" ht="15" x14ac:dyDescent="0.25">
      <c r="A15583" s="3">
        <f>15576</f>
        <v>15576</v>
      </c>
      <c r="B15583" s="3" t="s">
        <v>15585</v>
      </c>
      <c r="C15583" s="3" t="s">
        <v>9</v>
      </c>
      <c r="D15583" s="3" t="s">
        <v>10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/>
      <c r="P15583" s="3"/>
      <c r="Q15583" s="3"/>
    </row>
    <row r="15584" spans="1:17" ht="15" x14ac:dyDescent="0.25">
      <c r="A15584" s="3">
        <f>15577</f>
        <v>15577</v>
      </c>
      <c r="B15584" s="3" t="s">
        <v>15586</v>
      </c>
      <c r="C15584" s="3" t="s">
        <v>9</v>
      </c>
      <c r="D15584" s="3" t="s">
        <v>10</v>
      </c>
      <c r="E15584" s="3">
        <v>0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0</v>
      </c>
      <c r="O15584" s="3"/>
      <c r="P15584" s="3"/>
      <c r="Q15584" s="3"/>
    </row>
    <row r="15585" spans="1:17" ht="15" x14ac:dyDescent="0.25">
      <c r="A15585" s="3">
        <f>15578</f>
        <v>15578</v>
      </c>
      <c r="B15585" s="3" t="s">
        <v>15587</v>
      </c>
      <c r="C15585" s="3" t="s">
        <v>9</v>
      </c>
      <c r="D15585" s="3" t="s">
        <v>10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s="3"/>
      <c r="P15585" s="3"/>
      <c r="Q15585" s="3"/>
    </row>
    <row r="15586" spans="1:17" ht="15" x14ac:dyDescent="0.25">
      <c r="A15586" s="3">
        <f>15579</f>
        <v>15579</v>
      </c>
      <c r="B15586" s="3" t="s">
        <v>15588</v>
      </c>
      <c r="C15586" s="3" t="s">
        <v>9</v>
      </c>
      <c r="D15586" s="3" t="s">
        <v>10</v>
      </c>
      <c r="E15586" s="3">
        <v>0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0</v>
      </c>
      <c r="O15586" s="3"/>
      <c r="P15586" s="3"/>
      <c r="Q15586" s="3"/>
    </row>
    <row r="15587" spans="1:17" ht="15" x14ac:dyDescent="0.25">
      <c r="A15587" s="3">
        <f>15580</f>
        <v>15580</v>
      </c>
      <c r="B15587" s="3" t="s">
        <v>15589</v>
      </c>
      <c r="C15587" s="3" t="s">
        <v>9</v>
      </c>
      <c r="D15587" s="3" t="s">
        <v>10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0</v>
      </c>
      <c r="O15587" s="3"/>
      <c r="P15587" s="3"/>
      <c r="Q15587" s="3"/>
    </row>
    <row r="15588" spans="1:17" ht="15" x14ac:dyDescent="0.25">
      <c r="A15588" s="3">
        <f>15581</f>
        <v>15581</v>
      </c>
      <c r="B15588" s="3" t="s">
        <v>15590</v>
      </c>
      <c r="C15588" s="3" t="s">
        <v>9</v>
      </c>
      <c r="D15588" s="3" t="s">
        <v>10</v>
      </c>
      <c r="E15588" s="3">
        <v>0</v>
      </c>
      <c r="F15588" s="3">
        <v>0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0</v>
      </c>
      <c r="O15588" s="3"/>
      <c r="P15588" s="3"/>
      <c r="Q15588" s="3"/>
    </row>
    <row r="15589" spans="1:17" ht="15" x14ac:dyDescent="0.25">
      <c r="A15589" s="3">
        <f>15582</f>
        <v>15582</v>
      </c>
      <c r="B15589" s="3" t="s">
        <v>15591</v>
      </c>
      <c r="C15589" s="3" t="s">
        <v>9</v>
      </c>
      <c r="D15589" s="3" t="s">
        <v>10</v>
      </c>
      <c r="E15589" s="3">
        <v>0</v>
      </c>
      <c r="F15589" s="3">
        <v>0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s="3"/>
      <c r="P15589" s="3"/>
      <c r="Q15589" s="3"/>
    </row>
    <row r="15590" spans="1:17" ht="15" x14ac:dyDescent="0.25">
      <c r="A15590" s="3">
        <f>15583</f>
        <v>15583</v>
      </c>
      <c r="B15590" s="3" t="s">
        <v>15592</v>
      </c>
      <c r="C15590" s="3" t="s">
        <v>9</v>
      </c>
      <c r="D15590" s="3" t="s">
        <v>10</v>
      </c>
      <c r="E15590" s="3">
        <v>0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0</v>
      </c>
      <c r="O15590" s="3"/>
      <c r="P15590" s="3"/>
      <c r="Q15590" s="3"/>
    </row>
    <row r="15591" spans="1:17" ht="15" x14ac:dyDescent="0.25">
      <c r="A15591" s="3">
        <f>15584</f>
        <v>15584</v>
      </c>
      <c r="B15591" s="3" t="s">
        <v>15593</v>
      </c>
      <c r="C15591" s="3" t="s">
        <v>9</v>
      </c>
      <c r="D15591" s="3" t="s">
        <v>10</v>
      </c>
      <c r="E15591" s="3">
        <v>0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/>
      <c r="P15591" s="3"/>
      <c r="Q15591" s="3"/>
    </row>
    <row r="15592" spans="1:17" ht="15" x14ac:dyDescent="0.25">
      <c r="A15592" s="3">
        <f>15585</f>
        <v>15585</v>
      </c>
      <c r="B15592" s="3" t="s">
        <v>15594</v>
      </c>
      <c r="C15592" s="3" t="s">
        <v>9</v>
      </c>
      <c r="D15592" s="3" t="s">
        <v>10</v>
      </c>
      <c r="E15592" s="3">
        <v>0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s="3"/>
      <c r="P15592" s="3"/>
      <c r="Q15592" s="3"/>
    </row>
    <row r="15593" spans="1:17" ht="15" x14ac:dyDescent="0.25">
      <c r="A15593" s="3">
        <f>15586</f>
        <v>15586</v>
      </c>
      <c r="B15593" s="3" t="s">
        <v>15595</v>
      </c>
      <c r="C15593" s="3" t="s">
        <v>9</v>
      </c>
      <c r="D15593" s="3" t="s">
        <v>10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s="3"/>
      <c r="P15593" s="3"/>
      <c r="Q15593" s="3"/>
    </row>
    <row r="15594" spans="1:17" ht="15" x14ac:dyDescent="0.25">
      <c r="A15594" s="3">
        <f>15587</f>
        <v>15587</v>
      </c>
      <c r="B15594" s="3" t="s">
        <v>15596</v>
      </c>
      <c r="C15594" s="3" t="s">
        <v>9</v>
      </c>
      <c r="D15594" s="3" t="s">
        <v>10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s="3"/>
      <c r="P15594" s="3"/>
      <c r="Q15594" s="3"/>
    </row>
    <row r="15595" spans="1:17" ht="15" x14ac:dyDescent="0.25">
      <c r="A15595" s="3">
        <f>15588</f>
        <v>15588</v>
      </c>
      <c r="B15595" s="3" t="s">
        <v>15597</v>
      </c>
      <c r="C15595" s="3" t="s">
        <v>9</v>
      </c>
      <c r="D15595" s="3" t="s">
        <v>10</v>
      </c>
      <c r="E15595" s="3">
        <v>0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0</v>
      </c>
      <c r="O15595" s="3"/>
      <c r="P15595" s="3"/>
      <c r="Q15595" s="3"/>
    </row>
    <row r="15596" spans="1:17" ht="15" x14ac:dyDescent="0.25">
      <c r="A15596" s="3">
        <f>15589</f>
        <v>15589</v>
      </c>
      <c r="B15596" s="3" t="s">
        <v>15598</v>
      </c>
      <c r="C15596" s="3" t="s">
        <v>9</v>
      </c>
      <c r="D15596" s="3" t="s">
        <v>9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 t="s">
        <v>9</v>
      </c>
      <c r="P15596" s="3" t="s">
        <v>9</v>
      </c>
      <c r="Q15596" s="3"/>
    </row>
    <row r="15597" spans="1:17" ht="15" x14ac:dyDescent="0.25">
      <c r="A15597" s="3">
        <f>15590</f>
        <v>15590</v>
      </c>
      <c r="B15597" s="3" t="s">
        <v>15599</v>
      </c>
      <c r="C15597" s="3" t="s">
        <v>9</v>
      </c>
      <c r="D15597" s="3" t="s">
        <v>10</v>
      </c>
      <c r="E15597" s="3">
        <v>0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s="3" t="s">
        <v>9</v>
      </c>
      <c r="P15597" s="3" t="s">
        <v>9</v>
      </c>
      <c r="Q15597" s="3"/>
    </row>
    <row r="15598" spans="1:17" ht="15" x14ac:dyDescent="0.25">
      <c r="A15598" s="3">
        <f>15591</f>
        <v>15591</v>
      </c>
      <c r="B15598" s="3" t="s">
        <v>15600</v>
      </c>
      <c r="C15598" s="3" t="s">
        <v>9</v>
      </c>
      <c r="D15598" s="3" t="s">
        <v>10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s="3" t="s">
        <v>9</v>
      </c>
      <c r="P15598" s="3" t="s">
        <v>9</v>
      </c>
      <c r="Q15598" s="3"/>
    </row>
    <row r="15599" spans="1:17" ht="15" x14ac:dyDescent="0.25">
      <c r="A15599" s="3">
        <f>15592</f>
        <v>15592</v>
      </c>
      <c r="B15599" s="3" t="s">
        <v>15601</v>
      </c>
      <c r="C15599" s="3" t="s">
        <v>9</v>
      </c>
      <c r="D15599" s="3" t="s">
        <v>10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s="3" t="s">
        <v>9</v>
      </c>
      <c r="P15599" s="3" t="s">
        <v>9</v>
      </c>
      <c r="Q15599" s="3"/>
    </row>
    <row r="15600" spans="1:17" ht="15" x14ac:dyDescent="0.25">
      <c r="A15600" s="3">
        <f>15593</f>
        <v>15593</v>
      </c>
      <c r="B15600" s="3" t="s">
        <v>15602</v>
      </c>
      <c r="C15600" s="3" t="s">
        <v>9</v>
      </c>
      <c r="D15600" s="3" t="s">
        <v>10</v>
      </c>
      <c r="E15600" s="3">
        <v>0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>
        <v>0</v>
      </c>
      <c r="O15600" s="3" t="s">
        <v>9</v>
      </c>
      <c r="P15600" s="3" t="s">
        <v>9</v>
      </c>
      <c r="Q15600" s="3"/>
    </row>
    <row r="15601" spans="1:17" ht="15" x14ac:dyDescent="0.25">
      <c r="A15601" s="3">
        <f>15594</f>
        <v>15594</v>
      </c>
      <c r="B15601" s="3" t="s">
        <v>15603</v>
      </c>
      <c r="C15601" s="3" t="s">
        <v>9</v>
      </c>
      <c r="D15601" s="3" t="s">
        <v>10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s="3" t="s">
        <v>9</v>
      </c>
      <c r="P15601" s="3" t="s">
        <v>9</v>
      </c>
      <c r="Q15601" s="3"/>
    </row>
    <row r="15602" spans="1:17" ht="15" x14ac:dyDescent="0.25">
      <c r="A15602" s="3">
        <f>15595</f>
        <v>15595</v>
      </c>
      <c r="B15602" s="3" t="s">
        <v>15604</v>
      </c>
      <c r="C15602" s="3" t="s">
        <v>9</v>
      </c>
      <c r="D15602" s="3" t="s">
        <v>10</v>
      </c>
      <c r="E15602" s="3">
        <v>0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s="3" t="s">
        <v>9</v>
      </c>
      <c r="P15602" s="3" t="s">
        <v>9</v>
      </c>
      <c r="Q15602" s="3"/>
    </row>
    <row r="15603" spans="1:17" ht="15" x14ac:dyDescent="0.25">
      <c r="A15603" s="3">
        <f>15596</f>
        <v>15596</v>
      </c>
      <c r="B15603" s="3" t="s">
        <v>15605</v>
      </c>
      <c r="C15603" s="3" t="s">
        <v>9</v>
      </c>
      <c r="D15603" s="3" t="s">
        <v>10</v>
      </c>
      <c r="E15603" s="3">
        <v>0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 t="s">
        <v>9</v>
      </c>
      <c r="P15603" s="3" t="s">
        <v>9</v>
      </c>
      <c r="Q15603" s="3"/>
    </row>
    <row r="15604" spans="1:17" ht="15" x14ac:dyDescent="0.25">
      <c r="A15604" s="3">
        <f>15597</f>
        <v>15597</v>
      </c>
      <c r="B15604" s="3" t="s">
        <v>15606</v>
      </c>
      <c r="C15604" s="3" t="s">
        <v>9</v>
      </c>
      <c r="D15604" s="3" t="s">
        <v>10</v>
      </c>
      <c r="E15604" s="3">
        <v>0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 t="s">
        <v>9</v>
      </c>
      <c r="P15604" s="3" t="s">
        <v>9</v>
      </c>
      <c r="Q15604" s="3"/>
    </row>
    <row r="15605" spans="1:17" ht="15" x14ac:dyDescent="0.25">
      <c r="A15605" s="3">
        <f>15598</f>
        <v>15598</v>
      </c>
      <c r="B15605" s="3" t="s">
        <v>15607</v>
      </c>
      <c r="C15605" s="3" t="s">
        <v>9</v>
      </c>
      <c r="D15605" s="3" t="s">
        <v>10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>
        <v>0</v>
      </c>
      <c r="O15605" s="3" t="s">
        <v>9</v>
      </c>
      <c r="P15605" s="3" t="s">
        <v>9</v>
      </c>
      <c r="Q15605" s="3"/>
    </row>
    <row r="15606" spans="1:17" ht="15" x14ac:dyDescent="0.25">
      <c r="A15606" s="3">
        <f>15599</f>
        <v>15599</v>
      </c>
      <c r="B15606" s="3" t="s">
        <v>15608</v>
      </c>
      <c r="C15606" s="3" t="s">
        <v>9</v>
      </c>
      <c r="D15606" s="3" t="s">
        <v>10</v>
      </c>
      <c r="E15606" s="3">
        <v>0</v>
      </c>
      <c r="F15606" s="3">
        <v>0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  <c r="O15606" s="3" t="s">
        <v>9</v>
      </c>
      <c r="P15606" s="3" t="s">
        <v>9</v>
      </c>
      <c r="Q15606" s="3"/>
    </row>
    <row r="15607" spans="1:17" ht="15" x14ac:dyDescent="0.25">
      <c r="A15607" s="3">
        <f>15600</f>
        <v>15600</v>
      </c>
      <c r="B15607" s="3" t="s">
        <v>15609</v>
      </c>
      <c r="C15607" s="3" t="s">
        <v>9</v>
      </c>
      <c r="D15607" s="3" t="s">
        <v>10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0</v>
      </c>
      <c r="O15607" s="3" t="s">
        <v>9</v>
      </c>
      <c r="P15607" s="3" t="s">
        <v>9</v>
      </c>
      <c r="Q15607" s="3"/>
    </row>
    <row r="15608" spans="1:17" ht="15" x14ac:dyDescent="0.25">
      <c r="A15608" s="3">
        <f>15601</f>
        <v>15601</v>
      </c>
      <c r="B15608" s="3" t="s">
        <v>15610</v>
      </c>
      <c r="C15608" s="3" t="s">
        <v>9</v>
      </c>
      <c r="D15608" s="3" t="s">
        <v>10</v>
      </c>
      <c r="E15608" s="3">
        <v>0</v>
      </c>
      <c r="F15608" s="3">
        <v>0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>
        <v>0</v>
      </c>
      <c r="O15608" s="3" t="s">
        <v>9</v>
      </c>
      <c r="P15608" s="3" t="s">
        <v>9</v>
      </c>
      <c r="Q15608" s="3"/>
    </row>
    <row r="15609" spans="1:17" ht="15" x14ac:dyDescent="0.25">
      <c r="A15609" s="3">
        <f>15602</f>
        <v>15602</v>
      </c>
      <c r="B15609" s="3" t="s">
        <v>15611</v>
      </c>
      <c r="C15609" s="3" t="s">
        <v>9</v>
      </c>
      <c r="D15609" s="3" t="s">
        <v>10</v>
      </c>
      <c r="E15609" s="3">
        <v>0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>
        <v>0</v>
      </c>
      <c r="O15609" s="3" t="s">
        <v>9</v>
      </c>
      <c r="P15609" s="3" t="s">
        <v>9</v>
      </c>
      <c r="Q15609" s="3"/>
    </row>
    <row r="15610" spans="1:17" ht="15" x14ac:dyDescent="0.25">
      <c r="A15610" s="3">
        <f>15603</f>
        <v>15603</v>
      </c>
      <c r="B15610" s="3" t="s">
        <v>15612</v>
      </c>
      <c r="C15610" s="3" t="s">
        <v>9</v>
      </c>
      <c r="D15610" s="3" t="s">
        <v>10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>
        <v>0</v>
      </c>
      <c r="O15610" s="3" t="s">
        <v>9</v>
      </c>
      <c r="P15610" s="3" t="s">
        <v>9</v>
      </c>
      <c r="Q15610" s="3"/>
    </row>
    <row r="15611" spans="1:17" ht="15" x14ac:dyDescent="0.25">
      <c r="A15611" s="3">
        <f>15604</f>
        <v>15604</v>
      </c>
      <c r="B15611" s="3" t="s">
        <v>15613</v>
      </c>
      <c r="C15611" s="3" t="s">
        <v>9</v>
      </c>
      <c r="D15611" s="3" t="s">
        <v>10</v>
      </c>
      <c r="E15611" s="3">
        <v>0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s="3" t="s">
        <v>9</v>
      </c>
      <c r="P15611" s="3" t="s">
        <v>9</v>
      </c>
      <c r="Q15611" s="3"/>
    </row>
    <row r="15612" spans="1:17" ht="15" x14ac:dyDescent="0.25">
      <c r="A15612" s="3">
        <f>15605</f>
        <v>15605</v>
      </c>
      <c r="B15612" s="3" t="s">
        <v>15614</v>
      </c>
      <c r="C15612" s="3" t="s">
        <v>9</v>
      </c>
      <c r="D15612" s="3" t="s">
        <v>10</v>
      </c>
      <c r="E15612" s="3">
        <v>0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>
        <v>0</v>
      </c>
      <c r="O15612" s="3" t="s">
        <v>9</v>
      </c>
      <c r="P15612" s="3" t="s">
        <v>9</v>
      </c>
      <c r="Q15612" s="3"/>
    </row>
    <row r="15613" spans="1:17" ht="15" x14ac:dyDescent="0.25">
      <c r="A15613" s="3">
        <f>15606</f>
        <v>15606</v>
      </c>
      <c r="B15613" s="3" t="s">
        <v>15615</v>
      </c>
      <c r="C15613" s="3" t="s">
        <v>9</v>
      </c>
      <c r="D15613" s="3" t="s">
        <v>10</v>
      </c>
      <c r="E15613" s="3">
        <v>0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  <c r="O15613" s="3" t="s">
        <v>9</v>
      </c>
      <c r="P15613" s="3" t="s">
        <v>9</v>
      </c>
      <c r="Q15613" s="3"/>
    </row>
    <row r="15614" spans="1:17" ht="15" x14ac:dyDescent="0.25">
      <c r="A15614" s="3">
        <f>15607</f>
        <v>15607</v>
      </c>
      <c r="B15614" s="3" t="s">
        <v>15616</v>
      </c>
      <c r="C15614" s="3" t="s">
        <v>9</v>
      </c>
      <c r="D15614" s="3" t="s">
        <v>10</v>
      </c>
      <c r="E15614" s="3">
        <v>0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s="3" t="s">
        <v>9</v>
      </c>
      <c r="P15614" s="3" t="s">
        <v>9</v>
      </c>
      <c r="Q15614" s="3"/>
    </row>
    <row r="15615" spans="1:17" ht="15" x14ac:dyDescent="0.25">
      <c r="A15615" s="3">
        <f>15608</f>
        <v>15608</v>
      </c>
      <c r="B15615" s="3" t="s">
        <v>15617</v>
      </c>
      <c r="C15615" s="3" t="s">
        <v>9</v>
      </c>
      <c r="D15615" s="3" t="s">
        <v>10</v>
      </c>
      <c r="E15615" s="3">
        <v>0</v>
      </c>
      <c r="F15615" s="3">
        <v>0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>
        <v>0</v>
      </c>
      <c r="O15615" s="3" t="s">
        <v>9</v>
      </c>
      <c r="P15615" s="3" t="s">
        <v>9</v>
      </c>
      <c r="Q15615" s="3"/>
    </row>
    <row r="15616" spans="1:17" ht="15" x14ac:dyDescent="0.25">
      <c r="A15616" s="3">
        <f>15609</f>
        <v>15609</v>
      </c>
      <c r="B15616" s="3" t="s">
        <v>15618</v>
      </c>
      <c r="C15616" s="3" t="s">
        <v>9</v>
      </c>
      <c r="D15616" s="3" t="s">
        <v>10</v>
      </c>
      <c r="E15616" s="3">
        <v>0</v>
      </c>
      <c r="F15616" s="3">
        <v>0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s="3" t="s">
        <v>9</v>
      </c>
      <c r="P15616" s="3" t="s">
        <v>9</v>
      </c>
      <c r="Q15616" s="3"/>
    </row>
    <row r="15617" spans="1:17" ht="15" x14ac:dyDescent="0.25">
      <c r="A15617" s="3">
        <f>15610</f>
        <v>15610</v>
      </c>
      <c r="B15617" s="3" t="s">
        <v>15619</v>
      </c>
      <c r="C15617" s="3" t="s">
        <v>9</v>
      </c>
      <c r="D15617" s="3" t="s">
        <v>10</v>
      </c>
      <c r="E15617" s="3">
        <v>0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s="3" t="s">
        <v>9</v>
      </c>
      <c r="P15617" s="3" t="s">
        <v>9</v>
      </c>
      <c r="Q15617" s="3"/>
    </row>
    <row r="15618" spans="1:17" ht="15" x14ac:dyDescent="0.25">
      <c r="A15618" s="3">
        <f>15611</f>
        <v>15611</v>
      </c>
      <c r="B15618" s="3" t="s">
        <v>15620</v>
      </c>
      <c r="C15618" s="3" t="s">
        <v>9</v>
      </c>
      <c r="D15618" s="3" t="s">
        <v>10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>
        <v>0</v>
      </c>
      <c r="O15618" s="3" t="s">
        <v>9</v>
      </c>
      <c r="P15618" s="3" t="s">
        <v>9</v>
      </c>
      <c r="Q15618" s="3"/>
    </row>
    <row r="15619" spans="1:17" ht="15" x14ac:dyDescent="0.25">
      <c r="A15619" s="3">
        <f>15612</f>
        <v>15612</v>
      </c>
      <c r="B15619" s="3" t="s">
        <v>15621</v>
      </c>
      <c r="C15619" s="3" t="s">
        <v>9</v>
      </c>
      <c r="D15619" s="3" t="s">
        <v>10</v>
      </c>
      <c r="E15619" s="3">
        <v>0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s="3" t="s">
        <v>9</v>
      </c>
      <c r="P15619" s="3" t="s">
        <v>9</v>
      </c>
      <c r="Q15619" s="3"/>
    </row>
    <row r="15620" spans="1:17" ht="15" x14ac:dyDescent="0.25">
      <c r="A15620" s="3">
        <f>15613</f>
        <v>15613</v>
      </c>
      <c r="B15620" s="3" t="s">
        <v>15622</v>
      </c>
      <c r="C15620" s="3" t="s">
        <v>9</v>
      </c>
      <c r="D15620" s="3" t="s">
        <v>10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s="3" t="s">
        <v>9</v>
      </c>
      <c r="P15620" s="3" t="s">
        <v>9</v>
      </c>
      <c r="Q15620" s="3"/>
    </row>
    <row r="15621" spans="1:17" ht="15" x14ac:dyDescent="0.25">
      <c r="A15621" s="3">
        <f>15614</f>
        <v>15614</v>
      </c>
      <c r="B15621" s="3" t="s">
        <v>15623</v>
      </c>
      <c r="C15621" s="3" t="s">
        <v>9</v>
      </c>
      <c r="D15621" s="3" t="s">
        <v>10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s="3" t="s">
        <v>9</v>
      </c>
      <c r="P15621" s="3" t="s">
        <v>9</v>
      </c>
      <c r="Q15621" s="3"/>
    </row>
    <row r="15622" spans="1:17" ht="15" x14ac:dyDescent="0.25">
      <c r="A15622" s="3">
        <f>15615</f>
        <v>15615</v>
      </c>
      <c r="B15622" s="3" t="s">
        <v>15624</v>
      </c>
      <c r="C15622" s="3" t="s">
        <v>9</v>
      </c>
      <c r="D15622" s="3" t="s">
        <v>10</v>
      </c>
      <c r="E15622" s="3">
        <v>0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>
        <v>0</v>
      </c>
      <c r="O15622" s="3" t="s">
        <v>9</v>
      </c>
      <c r="P15622" s="3" t="s">
        <v>9</v>
      </c>
      <c r="Q15622" s="3"/>
    </row>
    <row r="15623" spans="1:17" ht="15" x14ac:dyDescent="0.25">
      <c r="A15623" s="3">
        <f>15616</f>
        <v>15616</v>
      </c>
      <c r="B15623" s="3" t="s">
        <v>15625</v>
      </c>
      <c r="C15623" s="3" t="s">
        <v>9</v>
      </c>
      <c r="D15623" s="3" t="s">
        <v>10</v>
      </c>
      <c r="E15623" s="3">
        <v>0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>
        <v>0</v>
      </c>
      <c r="O15623" s="3" t="s">
        <v>9</v>
      </c>
      <c r="P15623" s="3" t="s">
        <v>9</v>
      </c>
      <c r="Q15623" s="3"/>
    </row>
    <row r="15624" spans="1:17" ht="15" x14ac:dyDescent="0.25">
      <c r="A15624" s="3">
        <f>15617</f>
        <v>15617</v>
      </c>
      <c r="B15624" s="3" t="s">
        <v>15626</v>
      </c>
      <c r="C15624" s="3" t="s">
        <v>9</v>
      </c>
      <c r="D15624" s="3" t="s">
        <v>10</v>
      </c>
      <c r="E15624" s="3">
        <v>0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s="3" t="s">
        <v>9</v>
      </c>
      <c r="P15624" s="3" t="s">
        <v>9</v>
      </c>
      <c r="Q15624" s="3"/>
    </row>
    <row r="15625" spans="1:17" ht="15" x14ac:dyDescent="0.25">
      <c r="A15625" s="3">
        <f>15618</f>
        <v>15618</v>
      </c>
      <c r="B15625" s="3" t="s">
        <v>15627</v>
      </c>
      <c r="C15625" s="3" t="s">
        <v>9</v>
      </c>
      <c r="D15625" s="3" t="s">
        <v>10</v>
      </c>
      <c r="E15625" s="3">
        <v>0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s="3" t="s">
        <v>9</v>
      </c>
      <c r="P15625" s="3" t="s">
        <v>9</v>
      </c>
      <c r="Q15625" s="3"/>
    </row>
    <row r="15626" spans="1:17" ht="15" x14ac:dyDescent="0.25">
      <c r="A15626" s="3">
        <f>15619</f>
        <v>15619</v>
      </c>
      <c r="B15626" s="3" t="s">
        <v>15628</v>
      </c>
      <c r="C15626" s="3" t="s">
        <v>9</v>
      </c>
      <c r="D15626" s="3" t="s">
        <v>10</v>
      </c>
      <c r="E15626" s="3">
        <v>0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s="3" t="s">
        <v>9</v>
      </c>
      <c r="P15626" s="3" t="s">
        <v>9</v>
      </c>
      <c r="Q15626" s="3"/>
    </row>
    <row r="15627" spans="1:17" ht="15" x14ac:dyDescent="0.25">
      <c r="A15627" s="3">
        <f>15620</f>
        <v>15620</v>
      </c>
      <c r="B15627" s="3" t="s">
        <v>15629</v>
      </c>
      <c r="C15627" s="3" t="s">
        <v>9</v>
      </c>
      <c r="D15627" s="3" t="s">
        <v>10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 t="s">
        <v>9</v>
      </c>
      <c r="P15627" s="3" t="s">
        <v>9</v>
      </c>
      <c r="Q15627" s="3"/>
    </row>
    <row r="15628" spans="1:17" ht="15" x14ac:dyDescent="0.25">
      <c r="A15628" s="3">
        <f>15621</f>
        <v>15621</v>
      </c>
      <c r="B15628" s="3" t="s">
        <v>15630</v>
      </c>
      <c r="C15628" s="3" t="s">
        <v>9</v>
      </c>
      <c r="D15628" s="3" t="s">
        <v>10</v>
      </c>
      <c r="E15628" s="3">
        <v>0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s="3" t="s">
        <v>9</v>
      </c>
      <c r="P15628" s="3" t="s">
        <v>9</v>
      </c>
      <c r="Q15628" s="3"/>
    </row>
    <row r="15629" spans="1:17" ht="15" x14ac:dyDescent="0.25">
      <c r="A15629" s="3">
        <f>15622</f>
        <v>15622</v>
      </c>
      <c r="B15629" s="3" t="s">
        <v>15631</v>
      </c>
      <c r="C15629" s="3" t="s">
        <v>9</v>
      </c>
      <c r="D15629" s="3" t="s">
        <v>10</v>
      </c>
      <c r="E15629" s="3">
        <v>0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>
        <v>0</v>
      </c>
      <c r="O15629" s="3" t="s">
        <v>9</v>
      </c>
      <c r="P15629" s="3" t="s">
        <v>9</v>
      </c>
      <c r="Q15629" s="3"/>
    </row>
    <row r="15630" spans="1:17" ht="15" x14ac:dyDescent="0.25">
      <c r="A15630" s="3">
        <f>15623</f>
        <v>15623</v>
      </c>
      <c r="B15630" s="3" t="s">
        <v>15632</v>
      </c>
      <c r="C15630" s="3" t="s">
        <v>9</v>
      </c>
      <c r="D15630" s="3" t="s">
        <v>10</v>
      </c>
      <c r="E15630" s="3">
        <v>0</v>
      </c>
      <c r="F15630" s="3">
        <v>0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>
        <v>0</v>
      </c>
      <c r="O15630" s="3" t="s">
        <v>9</v>
      </c>
      <c r="P15630" s="3" t="s">
        <v>9</v>
      </c>
      <c r="Q15630" s="3"/>
    </row>
    <row r="15631" spans="1:17" ht="15" x14ac:dyDescent="0.25">
      <c r="A15631" s="3">
        <f>15624</f>
        <v>15624</v>
      </c>
      <c r="B15631" s="3" t="s">
        <v>15633</v>
      </c>
      <c r="C15631" s="3" t="s">
        <v>9</v>
      </c>
      <c r="D15631" s="3" t="s">
        <v>10</v>
      </c>
      <c r="E15631" s="3">
        <v>0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>
        <v>0</v>
      </c>
      <c r="O15631" s="3" t="s">
        <v>9</v>
      </c>
      <c r="P15631" s="3" t="s">
        <v>9</v>
      </c>
      <c r="Q15631" s="3"/>
    </row>
    <row r="15632" spans="1:17" ht="15" x14ac:dyDescent="0.25">
      <c r="A15632" s="3">
        <f>15625</f>
        <v>15625</v>
      </c>
      <c r="B15632" s="3" t="s">
        <v>15634</v>
      </c>
      <c r="C15632" s="3" t="s">
        <v>9</v>
      </c>
      <c r="D15632" s="3" t="s">
        <v>10</v>
      </c>
      <c r="E15632" s="3">
        <v>0</v>
      </c>
      <c r="F15632" s="3">
        <v>0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  <c r="L15632" s="3">
        <v>0</v>
      </c>
      <c r="M15632" s="3">
        <v>0</v>
      </c>
      <c r="N15632" s="3">
        <v>0</v>
      </c>
      <c r="O15632" s="3" t="s">
        <v>9</v>
      </c>
      <c r="P15632" s="3" t="s">
        <v>9</v>
      </c>
      <c r="Q15632" s="3"/>
    </row>
    <row r="15633" spans="1:17" ht="15" x14ac:dyDescent="0.25">
      <c r="A15633" s="3">
        <f>15626</f>
        <v>15626</v>
      </c>
      <c r="B15633" s="3" t="s">
        <v>15635</v>
      </c>
      <c r="C15633" s="3" t="s">
        <v>9</v>
      </c>
      <c r="D15633" s="3" t="s">
        <v>10</v>
      </c>
      <c r="E15633" s="3">
        <v>0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>
        <v>0</v>
      </c>
      <c r="O15633" s="3" t="s">
        <v>9</v>
      </c>
      <c r="P15633" s="3" t="s">
        <v>9</v>
      </c>
      <c r="Q15633" s="3"/>
    </row>
    <row r="15634" spans="1:17" ht="15" x14ac:dyDescent="0.25">
      <c r="A15634" s="3">
        <f>15627</f>
        <v>15627</v>
      </c>
      <c r="B15634" s="3" t="s">
        <v>15636</v>
      </c>
      <c r="C15634" s="3" t="s">
        <v>9</v>
      </c>
      <c r="D15634" s="3" t="s">
        <v>10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 t="s">
        <v>9</v>
      </c>
      <c r="P15634" s="3" t="s">
        <v>9</v>
      </c>
      <c r="Q15634" s="3"/>
    </row>
    <row r="15635" spans="1:17" ht="15" x14ac:dyDescent="0.25">
      <c r="A15635" s="3">
        <f>15628</f>
        <v>15628</v>
      </c>
      <c r="B15635" s="3" t="s">
        <v>15637</v>
      </c>
      <c r="C15635" s="3" t="s">
        <v>9</v>
      </c>
      <c r="D15635" s="3" t="s">
        <v>10</v>
      </c>
      <c r="E15635" s="3">
        <v>0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0</v>
      </c>
      <c r="O15635" s="3" t="s">
        <v>9</v>
      </c>
      <c r="P15635" s="3" t="s">
        <v>9</v>
      </c>
      <c r="Q15635" s="3"/>
    </row>
    <row r="15636" spans="1:17" ht="15" x14ac:dyDescent="0.25">
      <c r="A15636" s="3">
        <f>15629</f>
        <v>15629</v>
      </c>
      <c r="B15636" s="3" t="s">
        <v>15638</v>
      </c>
      <c r="C15636" s="3" t="s">
        <v>9</v>
      </c>
      <c r="D15636" s="3" t="s">
        <v>10</v>
      </c>
      <c r="E15636" s="3">
        <v>0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s="3" t="s">
        <v>9</v>
      </c>
      <c r="P15636" s="3" t="s">
        <v>9</v>
      </c>
      <c r="Q15636" s="3"/>
    </row>
    <row r="15637" spans="1:17" ht="15" x14ac:dyDescent="0.25">
      <c r="A15637" s="3">
        <f>15630</f>
        <v>15630</v>
      </c>
      <c r="B15637" s="3" t="s">
        <v>15639</v>
      </c>
      <c r="C15637" s="3" t="s">
        <v>9</v>
      </c>
      <c r="D15637" s="3" t="s">
        <v>10</v>
      </c>
      <c r="E15637" s="3">
        <v>0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s="3" t="s">
        <v>9</v>
      </c>
      <c r="P15637" s="3" t="s">
        <v>9</v>
      </c>
      <c r="Q15637" s="3"/>
    </row>
    <row r="15638" spans="1:17" ht="15" x14ac:dyDescent="0.25">
      <c r="A15638" s="3">
        <f>15631</f>
        <v>15631</v>
      </c>
      <c r="B15638" s="3" t="s">
        <v>15640</v>
      </c>
      <c r="C15638" s="3" t="s">
        <v>9</v>
      </c>
      <c r="D15638" s="3" t="s">
        <v>10</v>
      </c>
      <c r="E15638" s="3">
        <v>0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s="3" t="s">
        <v>9</v>
      </c>
      <c r="P15638" s="3" t="s">
        <v>9</v>
      </c>
      <c r="Q15638" s="3"/>
    </row>
    <row r="15639" spans="1:17" ht="15" x14ac:dyDescent="0.25">
      <c r="A15639" s="3">
        <f>15632</f>
        <v>15632</v>
      </c>
      <c r="B15639" s="3" t="s">
        <v>15641</v>
      </c>
      <c r="C15639" s="3" t="s">
        <v>9</v>
      </c>
      <c r="D15639" s="3" t="s">
        <v>10</v>
      </c>
      <c r="E15639" s="3">
        <v>0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0</v>
      </c>
      <c r="O15639" s="3" t="s">
        <v>9</v>
      </c>
      <c r="P15639" s="3" t="s">
        <v>9</v>
      </c>
      <c r="Q15639" s="3"/>
    </row>
    <row r="15640" spans="1:17" ht="15" x14ac:dyDescent="0.25">
      <c r="A15640" s="3">
        <f>15633</f>
        <v>15633</v>
      </c>
      <c r="B15640" s="3" t="s">
        <v>15642</v>
      </c>
      <c r="C15640" s="3" t="s">
        <v>9</v>
      </c>
      <c r="D15640" s="3" t="s">
        <v>10</v>
      </c>
      <c r="E15640" s="3">
        <v>0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>
        <v>0</v>
      </c>
      <c r="O15640" s="3" t="s">
        <v>9</v>
      </c>
      <c r="P15640" s="3" t="s">
        <v>9</v>
      </c>
      <c r="Q15640" s="3"/>
    </row>
    <row r="15641" spans="1:17" ht="15" x14ac:dyDescent="0.25">
      <c r="A15641" s="3">
        <f>15634</f>
        <v>15634</v>
      </c>
      <c r="B15641" s="3" t="s">
        <v>15643</v>
      </c>
      <c r="C15641" s="3" t="s">
        <v>9</v>
      </c>
      <c r="D15641" s="3" t="s">
        <v>10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s="3" t="s">
        <v>9</v>
      </c>
      <c r="P15641" s="3" t="s">
        <v>9</v>
      </c>
      <c r="Q15641" s="3"/>
    </row>
    <row r="15642" spans="1:17" ht="15" x14ac:dyDescent="0.25">
      <c r="A15642" s="3">
        <f>15635</f>
        <v>15635</v>
      </c>
      <c r="B15642" s="3" t="s">
        <v>15644</v>
      </c>
      <c r="C15642" s="3" t="s">
        <v>9</v>
      </c>
      <c r="D15642" s="3" t="s">
        <v>10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 t="s">
        <v>9</v>
      </c>
      <c r="P15642" s="3" t="s">
        <v>9</v>
      </c>
      <c r="Q15642" s="3"/>
    </row>
    <row r="15643" spans="1:17" ht="15" x14ac:dyDescent="0.25">
      <c r="A15643" s="3">
        <f>15636</f>
        <v>15636</v>
      </c>
      <c r="B15643" s="3" t="s">
        <v>15645</v>
      </c>
      <c r="C15643" s="3" t="s">
        <v>9</v>
      </c>
      <c r="D15643" s="3" t="s">
        <v>10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s="3" t="s">
        <v>9</v>
      </c>
      <c r="P15643" s="3" t="s">
        <v>9</v>
      </c>
      <c r="Q15643" s="3"/>
    </row>
    <row r="15644" spans="1:17" ht="15" x14ac:dyDescent="0.25">
      <c r="A15644" s="3">
        <f>15637</f>
        <v>15637</v>
      </c>
      <c r="B15644" s="3" t="s">
        <v>15646</v>
      </c>
      <c r="C15644" s="3" t="s">
        <v>9</v>
      </c>
      <c r="D15644" s="3" t="s">
        <v>10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 t="s">
        <v>9</v>
      </c>
      <c r="P15644" s="3" t="s">
        <v>9</v>
      </c>
      <c r="Q15644" s="3"/>
    </row>
    <row r="15645" spans="1:17" ht="15" x14ac:dyDescent="0.25">
      <c r="A15645" s="3">
        <f>15638</f>
        <v>15638</v>
      </c>
      <c r="B15645" s="3" t="s">
        <v>15647</v>
      </c>
      <c r="C15645" s="3" t="s">
        <v>9</v>
      </c>
      <c r="D15645" s="3" t="s">
        <v>10</v>
      </c>
      <c r="E15645" s="3">
        <v>0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0</v>
      </c>
      <c r="O15645" s="3" t="s">
        <v>9</v>
      </c>
      <c r="P15645" s="3" t="s">
        <v>9</v>
      </c>
      <c r="Q15645" s="3"/>
    </row>
    <row r="15646" spans="1:17" ht="15" x14ac:dyDescent="0.25">
      <c r="A15646" s="3">
        <f>15639</f>
        <v>15639</v>
      </c>
      <c r="B15646" s="3" t="s">
        <v>15648</v>
      </c>
      <c r="C15646" s="3" t="s">
        <v>9</v>
      </c>
      <c r="D15646" s="3" t="s">
        <v>10</v>
      </c>
      <c r="E15646" s="3">
        <v>0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3">
        <v>0</v>
      </c>
      <c r="N15646" s="3">
        <v>0</v>
      </c>
      <c r="O15646" s="3" t="s">
        <v>9</v>
      </c>
      <c r="P15646" s="3" t="s">
        <v>9</v>
      </c>
      <c r="Q15646" s="3"/>
    </row>
    <row r="15647" spans="1:17" ht="15" x14ac:dyDescent="0.25">
      <c r="A15647" s="3">
        <f>15640</f>
        <v>15640</v>
      </c>
      <c r="B15647" s="3" t="s">
        <v>15649</v>
      </c>
      <c r="C15647" s="3" t="s">
        <v>9</v>
      </c>
      <c r="D15647" s="3" t="s">
        <v>10</v>
      </c>
      <c r="E15647" s="3">
        <v>0</v>
      </c>
      <c r="F15647" s="3">
        <v>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s="3">
        <v>0</v>
      </c>
      <c r="O15647" s="3" t="s">
        <v>9</v>
      </c>
      <c r="P15647" s="3" t="s">
        <v>9</v>
      </c>
      <c r="Q15647" s="3"/>
    </row>
    <row r="15648" spans="1:17" ht="15" x14ac:dyDescent="0.25">
      <c r="A15648" s="3">
        <f>15641</f>
        <v>15641</v>
      </c>
      <c r="B15648" s="3" t="s">
        <v>15650</v>
      </c>
      <c r="C15648" s="3" t="s">
        <v>9</v>
      </c>
      <c r="D15648" s="3" t="s">
        <v>10</v>
      </c>
      <c r="E15648" s="3">
        <v>0</v>
      </c>
      <c r="F15648" s="3">
        <v>0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  <c r="O15648" s="3" t="s">
        <v>9</v>
      </c>
      <c r="P15648" s="3" t="s">
        <v>9</v>
      </c>
      <c r="Q15648" s="3"/>
    </row>
    <row r="15649" spans="1:17" ht="15" x14ac:dyDescent="0.25">
      <c r="A15649" s="3">
        <f>15642</f>
        <v>15642</v>
      </c>
      <c r="B15649" s="3" t="s">
        <v>15651</v>
      </c>
      <c r="C15649" s="3" t="s">
        <v>9</v>
      </c>
      <c r="D15649" s="3" t="s">
        <v>10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 t="s">
        <v>9</v>
      </c>
      <c r="P15649" s="3" t="s">
        <v>9</v>
      </c>
      <c r="Q15649" s="3"/>
    </row>
    <row r="15650" spans="1:17" ht="15" x14ac:dyDescent="0.25">
      <c r="A15650" s="3">
        <f>15643</f>
        <v>15643</v>
      </c>
      <c r="B15650" s="3" t="s">
        <v>15652</v>
      </c>
      <c r="C15650" s="3" t="s">
        <v>9</v>
      </c>
      <c r="D15650" s="3" t="s">
        <v>10</v>
      </c>
      <c r="E15650" s="3">
        <v>0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>
        <v>0</v>
      </c>
      <c r="O15650" s="3" t="s">
        <v>9</v>
      </c>
      <c r="P15650" s="3" t="s">
        <v>9</v>
      </c>
      <c r="Q15650" s="3"/>
    </row>
    <row r="15651" spans="1:17" ht="15" x14ac:dyDescent="0.25">
      <c r="A15651" s="3">
        <f>15644</f>
        <v>15644</v>
      </c>
      <c r="B15651" s="3" t="s">
        <v>15653</v>
      </c>
      <c r="C15651" s="3" t="s">
        <v>9</v>
      </c>
      <c r="D15651" s="3" t="s">
        <v>10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s="3" t="s">
        <v>9</v>
      </c>
      <c r="P15651" s="3" t="s">
        <v>9</v>
      </c>
      <c r="Q15651" s="3"/>
    </row>
    <row r="15652" spans="1:17" ht="15" x14ac:dyDescent="0.25">
      <c r="A15652" s="3">
        <f>15645</f>
        <v>15645</v>
      </c>
      <c r="B15652" s="3" t="s">
        <v>15654</v>
      </c>
      <c r="C15652" s="3" t="s">
        <v>9</v>
      </c>
      <c r="D15652" s="3" t="s">
        <v>10</v>
      </c>
      <c r="E15652" s="3">
        <v>0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0</v>
      </c>
      <c r="O15652" s="3" t="s">
        <v>9</v>
      </c>
      <c r="P15652" s="3" t="s">
        <v>9</v>
      </c>
      <c r="Q15652" s="3"/>
    </row>
    <row r="15653" spans="1:17" ht="15" x14ac:dyDescent="0.25">
      <c r="A15653" s="3">
        <f>15646</f>
        <v>15646</v>
      </c>
      <c r="B15653" s="3" t="s">
        <v>15655</v>
      </c>
      <c r="C15653" s="3" t="s">
        <v>9</v>
      </c>
      <c r="D15653" s="3" t="s">
        <v>10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s="3" t="s">
        <v>9</v>
      </c>
      <c r="P15653" s="3" t="s">
        <v>9</v>
      </c>
      <c r="Q15653" s="3"/>
    </row>
    <row r="15654" spans="1:17" ht="15" x14ac:dyDescent="0.25">
      <c r="A15654" s="3">
        <f>15647</f>
        <v>15647</v>
      </c>
      <c r="B15654" s="3" t="s">
        <v>15656</v>
      </c>
      <c r="C15654" s="3" t="s">
        <v>9</v>
      </c>
      <c r="D15654" s="3" t="s">
        <v>10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 t="s">
        <v>9</v>
      </c>
      <c r="P15654" s="3" t="s">
        <v>9</v>
      </c>
      <c r="Q15654" s="3"/>
    </row>
    <row r="15655" spans="1:17" ht="15" x14ac:dyDescent="0.25">
      <c r="A15655" s="3">
        <f>15648</f>
        <v>15648</v>
      </c>
      <c r="B15655" s="3" t="s">
        <v>15657</v>
      </c>
      <c r="C15655" s="3" t="s">
        <v>9</v>
      </c>
      <c r="D15655" s="3" t="s">
        <v>10</v>
      </c>
      <c r="E15655" s="3">
        <v>0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s="3" t="s">
        <v>9</v>
      </c>
      <c r="P15655" s="3" t="s">
        <v>9</v>
      </c>
      <c r="Q15655" s="3"/>
    </row>
    <row r="15656" spans="1:17" ht="15" x14ac:dyDescent="0.25">
      <c r="A15656" s="3">
        <f>15649</f>
        <v>15649</v>
      </c>
      <c r="B15656" s="3" t="s">
        <v>15658</v>
      </c>
      <c r="C15656" s="3" t="s">
        <v>9</v>
      </c>
      <c r="D15656" s="3" t="s">
        <v>10</v>
      </c>
      <c r="E15656" s="3">
        <v>0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s="3" t="s">
        <v>9</v>
      </c>
      <c r="P15656" s="3" t="s">
        <v>9</v>
      </c>
      <c r="Q15656" s="3"/>
    </row>
    <row r="15657" spans="1:17" ht="15" x14ac:dyDescent="0.25">
      <c r="A15657" s="3">
        <f>15650</f>
        <v>15650</v>
      </c>
      <c r="B15657" s="3" t="s">
        <v>15659</v>
      </c>
      <c r="C15657" s="3" t="s">
        <v>9</v>
      </c>
      <c r="D15657" s="3" t="s">
        <v>10</v>
      </c>
      <c r="E15657" s="3">
        <v>0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0</v>
      </c>
      <c r="O15657" s="3" t="s">
        <v>9</v>
      </c>
      <c r="P15657" s="3" t="s">
        <v>9</v>
      </c>
      <c r="Q15657" s="3"/>
    </row>
    <row r="15658" spans="1:17" ht="15" x14ac:dyDescent="0.25">
      <c r="A15658" s="3">
        <f>15651</f>
        <v>15651</v>
      </c>
      <c r="B15658" s="3" t="s">
        <v>15660</v>
      </c>
      <c r="C15658" s="3" t="s">
        <v>9</v>
      </c>
      <c r="D15658" s="3" t="s">
        <v>10</v>
      </c>
      <c r="E15658" s="3">
        <v>0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>
        <v>0</v>
      </c>
      <c r="O15658" s="3" t="s">
        <v>9</v>
      </c>
      <c r="P15658" s="3" t="s">
        <v>9</v>
      </c>
      <c r="Q15658" s="3"/>
    </row>
    <row r="15659" spans="1:17" ht="15" x14ac:dyDescent="0.25">
      <c r="A15659" s="3">
        <f>15652</f>
        <v>15652</v>
      </c>
      <c r="B15659" s="3" t="s">
        <v>15661</v>
      </c>
      <c r="C15659" s="3" t="s">
        <v>9</v>
      </c>
      <c r="D15659" s="3" t="s">
        <v>10</v>
      </c>
      <c r="E15659" s="3">
        <v>0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s="3" t="s">
        <v>9</v>
      </c>
      <c r="P15659" s="3" t="s">
        <v>9</v>
      </c>
      <c r="Q15659" s="3"/>
    </row>
    <row r="15660" spans="1:17" ht="15" x14ac:dyDescent="0.25">
      <c r="A15660" s="3">
        <f>15653</f>
        <v>15653</v>
      </c>
      <c r="B15660" s="3" t="s">
        <v>15662</v>
      </c>
      <c r="C15660" s="3" t="s">
        <v>9</v>
      </c>
      <c r="D15660" s="3" t="s">
        <v>10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s="3" t="s">
        <v>9</v>
      </c>
      <c r="P15660" s="3" t="s">
        <v>9</v>
      </c>
      <c r="Q15660" s="3"/>
    </row>
    <row r="15661" spans="1:17" ht="15" x14ac:dyDescent="0.25">
      <c r="A15661" s="3">
        <f>15654</f>
        <v>15654</v>
      </c>
      <c r="B15661" s="3" t="s">
        <v>15663</v>
      </c>
      <c r="C15661" s="3" t="s">
        <v>9</v>
      </c>
      <c r="D15661" s="3" t="s">
        <v>10</v>
      </c>
      <c r="E15661" s="3">
        <v>0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  <c r="O15661" s="3" t="s">
        <v>9</v>
      </c>
      <c r="P15661" s="3" t="s">
        <v>9</v>
      </c>
      <c r="Q15661" s="3"/>
    </row>
    <row r="15662" spans="1:17" ht="15" x14ac:dyDescent="0.25">
      <c r="A15662" s="3">
        <f>15655</f>
        <v>15655</v>
      </c>
      <c r="B15662" s="3" t="s">
        <v>15664</v>
      </c>
      <c r="C15662" s="3" t="s">
        <v>9</v>
      </c>
      <c r="D15662" s="3" t="s">
        <v>10</v>
      </c>
      <c r="E15662" s="3">
        <v>0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  <c r="O15662" s="3" t="s">
        <v>9</v>
      </c>
      <c r="P15662" s="3" t="s">
        <v>9</v>
      </c>
      <c r="Q15662" s="3"/>
    </row>
    <row r="15663" spans="1:17" ht="15" x14ac:dyDescent="0.25">
      <c r="A15663" s="3">
        <f>15656</f>
        <v>15656</v>
      </c>
      <c r="B15663" s="3" t="s">
        <v>15665</v>
      </c>
      <c r="C15663" s="3" t="s">
        <v>9</v>
      </c>
      <c r="D15663" s="3" t="s">
        <v>10</v>
      </c>
      <c r="E15663" s="3">
        <v>0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s="3" t="s">
        <v>9</v>
      </c>
      <c r="P15663" s="3" t="s">
        <v>9</v>
      </c>
      <c r="Q15663" s="3"/>
    </row>
    <row r="15664" spans="1:17" ht="15" x14ac:dyDescent="0.25">
      <c r="A15664" s="3">
        <f>15657</f>
        <v>15657</v>
      </c>
      <c r="B15664" s="3" t="s">
        <v>15666</v>
      </c>
      <c r="C15664" s="3" t="s">
        <v>9</v>
      </c>
      <c r="D15664" s="3" t="s">
        <v>10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 t="s">
        <v>9</v>
      </c>
      <c r="P15664" s="3" t="s">
        <v>9</v>
      </c>
      <c r="Q15664" s="3"/>
    </row>
    <row r="15665" spans="1:17" ht="15" x14ac:dyDescent="0.25">
      <c r="A15665" s="3">
        <f>15658</f>
        <v>15658</v>
      </c>
      <c r="B15665" s="3" t="s">
        <v>15667</v>
      </c>
      <c r="C15665" s="3" t="s">
        <v>9</v>
      </c>
      <c r="D15665" s="3" t="s">
        <v>10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0</v>
      </c>
      <c r="O15665" s="3" t="s">
        <v>9</v>
      </c>
      <c r="P15665" s="3" t="s">
        <v>9</v>
      </c>
      <c r="Q15665" s="3"/>
    </row>
    <row r="15666" spans="1:17" ht="15" x14ac:dyDescent="0.25">
      <c r="A15666" s="3">
        <f>15659</f>
        <v>15659</v>
      </c>
      <c r="B15666" s="3" t="s">
        <v>15668</v>
      </c>
      <c r="C15666" s="3" t="s">
        <v>9</v>
      </c>
      <c r="D15666" s="3" t="s">
        <v>10</v>
      </c>
      <c r="E15666" s="3">
        <v>0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s="3" t="s">
        <v>9</v>
      </c>
      <c r="P15666" s="3" t="s">
        <v>9</v>
      </c>
      <c r="Q15666" s="3"/>
    </row>
    <row r="15667" spans="1:17" ht="15" x14ac:dyDescent="0.25">
      <c r="A15667" s="3">
        <f>15660</f>
        <v>15660</v>
      </c>
      <c r="B15667" s="3" t="s">
        <v>15669</v>
      </c>
      <c r="C15667" s="3" t="s">
        <v>9</v>
      </c>
      <c r="D15667" s="3" t="s">
        <v>10</v>
      </c>
      <c r="E15667" s="3">
        <v>0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 t="s">
        <v>9</v>
      </c>
      <c r="P15667" s="3" t="s">
        <v>9</v>
      </c>
      <c r="Q15667" s="3"/>
    </row>
    <row r="15668" spans="1:17" ht="15" x14ac:dyDescent="0.25">
      <c r="A15668" s="3">
        <f>15661</f>
        <v>15661</v>
      </c>
      <c r="B15668" s="3" t="s">
        <v>15670</v>
      </c>
      <c r="C15668" s="3" t="s">
        <v>9</v>
      </c>
      <c r="D15668" s="3" t="s">
        <v>10</v>
      </c>
      <c r="E15668" s="3">
        <v>0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 t="s">
        <v>9</v>
      </c>
      <c r="P15668" s="3" t="s">
        <v>9</v>
      </c>
      <c r="Q15668" s="3"/>
    </row>
    <row r="15669" spans="1:17" ht="15" x14ac:dyDescent="0.25">
      <c r="A15669" s="3">
        <f>15662</f>
        <v>15662</v>
      </c>
      <c r="B15669" s="3" t="s">
        <v>15671</v>
      </c>
      <c r="C15669" s="3" t="s">
        <v>9</v>
      </c>
      <c r="D15669" s="3" t="s">
        <v>10</v>
      </c>
      <c r="E15669" s="3">
        <v>0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>
        <v>0</v>
      </c>
      <c r="O15669" s="3" t="s">
        <v>9</v>
      </c>
      <c r="P15669" s="3" t="s">
        <v>9</v>
      </c>
      <c r="Q15669" s="3"/>
    </row>
    <row r="15670" spans="1:17" ht="15" x14ac:dyDescent="0.25">
      <c r="A15670" s="3">
        <f>15663</f>
        <v>15663</v>
      </c>
      <c r="B15670" s="3" t="s">
        <v>15672</v>
      </c>
      <c r="C15670" s="3" t="s">
        <v>9</v>
      </c>
      <c r="D15670" s="3" t="s">
        <v>10</v>
      </c>
      <c r="E15670" s="3">
        <v>0</v>
      </c>
      <c r="F15670" s="3">
        <v>0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s="3" t="s">
        <v>9</v>
      </c>
      <c r="P15670" s="3" t="s">
        <v>9</v>
      </c>
      <c r="Q15670" s="3"/>
    </row>
    <row r="15671" spans="1:17" ht="15" x14ac:dyDescent="0.25">
      <c r="A15671" s="3">
        <f>15664</f>
        <v>15664</v>
      </c>
      <c r="B15671" s="3" t="s">
        <v>15673</v>
      </c>
      <c r="C15671" s="3" t="s">
        <v>9</v>
      </c>
      <c r="D15671" s="3" t="s">
        <v>10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 t="s">
        <v>9</v>
      </c>
      <c r="P15671" s="3" t="s">
        <v>9</v>
      </c>
      <c r="Q15671" s="3"/>
    </row>
    <row r="15672" spans="1:17" ht="15" x14ac:dyDescent="0.25">
      <c r="A15672" s="3">
        <f>15665</f>
        <v>15665</v>
      </c>
      <c r="B15672" s="3" t="s">
        <v>15674</v>
      </c>
      <c r="C15672" s="3" t="s">
        <v>9</v>
      </c>
      <c r="D15672" s="3" t="s">
        <v>10</v>
      </c>
      <c r="E15672" s="3">
        <v>0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>
        <v>0</v>
      </c>
      <c r="O15672" s="3" t="s">
        <v>9</v>
      </c>
      <c r="P15672" s="3" t="s">
        <v>9</v>
      </c>
      <c r="Q15672" s="3"/>
    </row>
    <row r="15673" spans="1:17" ht="15" x14ac:dyDescent="0.25">
      <c r="A15673" s="3">
        <f>15666</f>
        <v>15666</v>
      </c>
      <c r="B15673" s="3" t="s">
        <v>15675</v>
      </c>
      <c r="C15673" s="3" t="s">
        <v>9</v>
      </c>
      <c r="D15673" s="3" t="s">
        <v>10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s="3" t="s">
        <v>9</v>
      </c>
      <c r="P15673" s="3" t="s">
        <v>9</v>
      </c>
      <c r="Q15673" s="3"/>
    </row>
    <row r="15674" spans="1:17" ht="15" x14ac:dyDescent="0.25">
      <c r="A15674" s="3">
        <f>15667</f>
        <v>15667</v>
      </c>
      <c r="B15674" s="3" t="s">
        <v>15676</v>
      </c>
      <c r="C15674" s="3" t="s">
        <v>9</v>
      </c>
      <c r="D15674" s="3" t="s">
        <v>10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s="3" t="s">
        <v>9</v>
      </c>
      <c r="P15674" s="3" t="s">
        <v>9</v>
      </c>
      <c r="Q15674" s="3"/>
    </row>
    <row r="15675" spans="1:17" ht="15" x14ac:dyDescent="0.25">
      <c r="A15675" s="3">
        <f>15668</f>
        <v>15668</v>
      </c>
      <c r="B15675" s="3" t="s">
        <v>15677</v>
      </c>
      <c r="C15675" s="3" t="s">
        <v>9</v>
      </c>
      <c r="D15675" s="3" t="s">
        <v>10</v>
      </c>
      <c r="E15675" s="3">
        <v>0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s="3" t="s">
        <v>9</v>
      </c>
      <c r="P15675" s="3" t="s">
        <v>9</v>
      </c>
      <c r="Q15675" s="3"/>
    </row>
    <row r="15676" spans="1:17" ht="15" x14ac:dyDescent="0.25">
      <c r="A15676" s="3">
        <f>15669</f>
        <v>15669</v>
      </c>
      <c r="B15676" s="3" t="s">
        <v>15678</v>
      </c>
      <c r="C15676" s="3" t="s">
        <v>9</v>
      </c>
      <c r="D15676" s="3" t="s">
        <v>10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 t="s">
        <v>9</v>
      </c>
      <c r="P15676" s="3" t="s">
        <v>9</v>
      </c>
      <c r="Q15676" s="3"/>
    </row>
    <row r="15677" spans="1:17" ht="15" x14ac:dyDescent="0.25">
      <c r="A15677" s="3">
        <f>15670</f>
        <v>15670</v>
      </c>
      <c r="B15677" s="3" t="s">
        <v>15679</v>
      </c>
      <c r="C15677" s="3" t="s">
        <v>9</v>
      </c>
      <c r="D15677" s="3" t="s">
        <v>10</v>
      </c>
      <c r="E15677" s="3">
        <v>0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s="3" t="s">
        <v>9</v>
      </c>
      <c r="P15677" s="3" t="s">
        <v>9</v>
      </c>
      <c r="Q15677" s="3"/>
    </row>
    <row r="15678" spans="1:17" ht="15" x14ac:dyDescent="0.25">
      <c r="A15678" s="3">
        <f>15671</f>
        <v>15671</v>
      </c>
      <c r="B15678" s="3" t="s">
        <v>15680</v>
      </c>
      <c r="C15678" s="3" t="s">
        <v>9</v>
      </c>
      <c r="D15678" s="3" t="s">
        <v>10</v>
      </c>
      <c r="E15678" s="3">
        <v>0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>
        <v>0</v>
      </c>
      <c r="O15678" s="3" t="s">
        <v>9</v>
      </c>
      <c r="P15678" s="3" t="s">
        <v>9</v>
      </c>
      <c r="Q15678" s="3"/>
    </row>
    <row r="15679" spans="1:17" ht="15" x14ac:dyDescent="0.25">
      <c r="A15679" s="3">
        <f>15672</f>
        <v>15672</v>
      </c>
      <c r="B15679" s="3" t="s">
        <v>15681</v>
      </c>
      <c r="C15679" s="3" t="s">
        <v>9</v>
      </c>
      <c r="D15679" s="3" t="s">
        <v>10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0</v>
      </c>
      <c r="O15679" s="3" t="s">
        <v>9</v>
      </c>
      <c r="P15679" s="3" t="s">
        <v>9</v>
      </c>
      <c r="Q15679" s="3"/>
    </row>
    <row r="15680" spans="1:17" ht="15" x14ac:dyDescent="0.25">
      <c r="A15680" s="3">
        <f>15673</f>
        <v>15673</v>
      </c>
      <c r="B15680" s="3" t="s">
        <v>15682</v>
      </c>
      <c r="C15680" s="3" t="s">
        <v>9</v>
      </c>
      <c r="D15680" s="3" t="s">
        <v>10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0</v>
      </c>
      <c r="O15680" s="3" t="s">
        <v>9</v>
      </c>
      <c r="P15680" s="3" t="s">
        <v>9</v>
      </c>
      <c r="Q15680" s="3"/>
    </row>
    <row r="15681" spans="1:17" ht="15" x14ac:dyDescent="0.25">
      <c r="A15681" s="3">
        <f>15674</f>
        <v>15674</v>
      </c>
      <c r="B15681" s="3" t="s">
        <v>15683</v>
      </c>
      <c r="C15681" s="3" t="s">
        <v>9</v>
      </c>
      <c r="D15681" s="3" t="s">
        <v>10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0</v>
      </c>
      <c r="O15681" s="3" t="s">
        <v>9</v>
      </c>
      <c r="P15681" s="3" t="s">
        <v>9</v>
      </c>
      <c r="Q15681" s="3"/>
    </row>
    <row r="15682" spans="1:17" ht="15" x14ac:dyDescent="0.25">
      <c r="A15682" s="3">
        <f>15675</f>
        <v>15675</v>
      </c>
      <c r="B15682" s="3" t="s">
        <v>15684</v>
      </c>
      <c r="C15682" s="3" t="s">
        <v>9</v>
      </c>
      <c r="D15682" s="3" t="s">
        <v>10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s="3" t="s">
        <v>9</v>
      </c>
      <c r="P15682" s="3" t="s">
        <v>9</v>
      </c>
      <c r="Q15682" s="3"/>
    </row>
    <row r="15683" spans="1:17" ht="15" x14ac:dyDescent="0.25">
      <c r="A15683" s="3">
        <f>15676</f>
        <v>15676</v>
      </c>
      <c r="B15683" s="3" t="s">
        <v>15685</v>
      </c>
      <c r="C15683" s="3" t="s">
        <v>9</v>
      </c>
      <c r="D15683" s="3" t="s">
        <v>10</v>
      </c>
      <c r="E15683" s="3">
        <v>0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s="3" t="s">
        <v>9</v>
      </c>
      <c r="P15683" s="3" t="s">
        <v>9</v>
      </c>
      <c r="Q15683" s="3"/>
    </row>
    <row r="15684" spans="1:17" ht="15" x14ac:dyDescent="0.25">
      <c r="A15684" s="3">
        <f>15677</f>
        <v>15677</v>
      </c>
      <c r="B15684" s="3" t="s">
        <v>15686</v>
      </c>
      <c r="C15684" s="3" t="s">
        <v>9</v>
      </c>
      <c r="D15684" s="3" t="s">
        <v>10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>
        <v>0</v>
      </c>
      <c r="O15684" s="3" t="s">
        <v>9</v>
      </c>
      <c r="P15684" s="3" t="s">
        <v>9</v>
      </c>
      <c r="Q15684" s="3"/>
    </row>
    <row r="15685" spans="1:17" ht="15" x14ac:dyDescent="0.25">
      <c r="A15685" s="3">
        <f>15678</f>
        <v>15678</v>
      </c>
      <c r="B15685" s="3" t="s">
        <v>15687</v>
      </c>
      <c r="C15685" s="3" t="s">
        <v>9</v>
      </c>
      <c r="D15685" s="3" t="s">
        <v>10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>
        <v>0</v>
      </c>
      <c r="O15685" s="3" t="s">
        <v>9</v>
      </c>
      <c r="P15685" s="3" t="s">
        <v>9</v>
      </c>
      <c r="Q15685" s="3"/>
    </row>
    <row r="15686" spans="1:17" ht="15" x14ac:dyDescent="0.25">
      <c r="A15686" s="3">
        <f>15679</f>
        <v>15679</v>
      </c>
      <c r="B15686" s="3" t="s">
        <v>15688</v>
      </c>
      <c r="C15686" s="3" t="s">
        <v>9</v>
      </c>
      <c r="D15686" s="3" t="s">
        <v>10</v>
      </c>
      <c r="E15686" s="3">
        <v>0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s="3">
        <v>0</v>
      </c>
      <c r="O15686" s="3" t="s">
        <v>9</v>
      </c>
      <c r="P15686" s="3" t="s">
        <v>9</v>
      </c>
      <c r="Q15686" s="3"/>
    </row>
    <row r="15687" spans="1:17" ht="15" x14ac:dyDescent="0.25">
      <c r="A15687" s="3">
        <f>15680</f>
        <v>15680</v>
      </c>
      <c r="B15687" s="3" t="s">
        <v>15689</v>
      </c>
      <c r="C15687" s="3" t="s">
        <v>9</v>
      </c>
      <c r="D15687" s="3" t="s">
        <v>10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>
        <v>0</v>
      </c>
      <c r="O15687" s="3" t="s">
        <v>10</v>
      </c>
      <c r="P15687" s="3" t="s">
        <v>9</v>
      </c>
      <c r="Q15687" s="3"/>
    </row>
    <row r="15688" spans="1:17" ht="15" x14ac:dyDescent="0.25">
      <c r="A15688" s="3">
        <f>15681</f>
        <v>15681</v>
      </c>
      <c r="B15688" s="3" t="s">
        <v>15690</v>
      </c>
      <c r="C15688" s="3" t="s">
        <v>9</v>
      </c>
      <c r="D15688" s="3" t="s">
        <v>10</v>
      </c>
      <c r="E15688" s="3">
        <v>0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0</v>
      </c>
      <c r="O15688" s="3" t="s">
        <v>10</v>
      </c>
      <c r="P15688" s="3" t="s">
        <v>9</v>
      </c>
      <c r="Q15688" s="3"/>
    </row>
    <row r="15689" spans="1:17" ht="15" x14ac:dyDescent="0.25">
      <c r="A15689" s="3">
        <f>15682</f>
        <v>15682</v>
      </c>
      <c r="B15689" s="3" t="s">
        <v>15691</v>
      </c>
      <c r="C15689" s="3" t="s">
        <v>9</v>
      </c>
      <c r="D15689" s="3" t="s">
        <v>10</v>
      </c>
      <c r="E15689" s="3">
        <v>0</v>
      </c>
      <c r="F15689" s="3">
        <v>0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s="3">
        <v>0</v>
      </c>
      <c r="O15689" s="3" t="s">
        <v>10</v>
      </c>
      <c r="P15689" s="3" t="s">
        <v>9</v>
      </c>
      <c r="Q15689" s="3"/>
    </row>
    <row r="15690" spans="1:17" ht="15" x14ac:dyDescent="0.25">
      <c r="A15690" s="3">
        <f>15683</f>
        <v>15683</v>
      </c>
      <c r="B15690" s="3" t="s">
        <v>15692</v>
      </c>
      <c r="C15690" s="3" t="s">
        <v>9</v>
      </c>
      <c r="D15690" s="3" t="s">
        <v>10</v>
      </c>
      <c r="E15690" s="3">
        <v>0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s="3" t="s">
        <v>10</v>
      </c>
      <c r="P15690" s="3" t="s">
        <v>9</v>
      </c>
      <c r="Q15690" s="3"/>
    </row>
    <row r="15691" spans="1:17" ht="15" x14ac:dyDescent="0.25">
      <c r="A15691" s="3">
        <f>15684</f>
        <v>15684</v>
      </c>
      <c r="B15691" s="3" t="s">
        <v>15693</v>
      </c>
      <c r="C15691" s="3" t="s">
        <v>9</v>
      </c>
      <c r="D15691" s="3" t="s">
        <v>10</v>
      </c>
      <c r="E15691" s="3">
        <v>0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s="3" t="s">
        <v>10</v>
      </c>
      <c r="P15691" s="3" t="s">
        <v>9</v>
      </c>
      <c r="Q15691" s="3"/>
    </row>
    <row r="15692" spans="1:17" ht="15" x14ac:dyDescent="0.25">
      <c r="A15692" s="3">
        <f>15685</f>
        <v>15685</v>
      </c>
      <c r="B15692" s="3" t="s">
        <v>15694</v>
      </c>
      <c r="C15692" s="3" t="s">
        <v>9</v>
      </c>
      <c r="D15692" s="3" t="s">
        <v>10</v>
      </c>
      <c r="E15692" s="3">
        <v>0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s="3" t="s">
        <v>10</v>
      </c>
      <c r="P15692" s="3" t="s">
        <v>9</v>
      </c>
      <c r="Q15692" s="3"/>
    </row>
    <row r="15693" spans="1:17" ht="15" x14ac:dyDescent="0.25">
      <c r="A15693" s="3">
        <f>15686</f>
        <v>15686</v>
      </c>
      <c r="B15693" s="3" t="s">
        <v>15695</v>
      </c>
      <c r="C15693" s="3" t="s">
        <v>9</v>
      </c>
      <c r="D15693" s="3" t="s">
        <v>10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>
        <v>0</v>
      </c>
      <c r="O15693" s="3" t="s">
        <v>10</v>
      </c>
      <c r="P15693" s="3" t="s">
        <v>9</v>
      </c>
      <c r="Q15693" s="3"/>
    </row>
    <row r="15694" spans="1:17" ht="15" x14ac:dyDescent="0.25">
      <c r="A15694" s="3">
        <f>15687</f>
        <v>15687</v>
      </c>
      <c r="B15694" s="3" t="s">
        <v>15696</v>
      </c>
      <c r="C15694" s="3" t="s">
        <v>9</v>
      </c>
      <c r="D15694" s="3" t="s">
        <v>10</v>
      </c>
      <c r="E15694" s="3">
        <v>0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s="3" t="s">
        <v>10</v>
      </c>
      <c r="P15694" s="3" t="s">
        <v>9</v>
      </c>
      <c r="Q15694" s="3"/>
    </row>
    <row r="15695" spans="1:17" ht="15" x14ac:dyDescent="0.25">
      <c r="A15695" s="3">
        <f>15688</f>
        <v>15688</v>
      </c>
      <c r="B15695" s="3" t="s">
        <v>15697</v>
      </c>
      <c r="C15695" s="3" t="s">
        <v>9</v>
      </c>
      <c r="D15695" s="3" t="s">
        <v>10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 t="s">
        <v>10</v>
      </c>
      <c r="P15695" s="3" t="s">
        <v>9</v>
      </c>
      <c r="Q15695" s="3"/>
    </row>
    <row r="15696" spans="1:17" ht="15" x14ac:dyDescent="0.25">
      <c r="A15696" s="3">
        <f>15689</f>
        <v>15689</v>
      </c>
      <c r="B15696" s="3" t="s">
        <v>15698</v>
      </c>
      <c r="C15696" s="3" t="s">
        <v>9</v>
      </c>
      <c r="D15696" s="3" t="s">
        <v>10</v>
      </c>
      <c r="E15696" s="3">
        <v>0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 t="s">
        <v>10</v>
      </c>
      <c r="P15696" s="3" t="s">
        <v>9</v>
      </c>
      <c r="Q15696" s="3"/>
    </row>
    <row r="15697" spans="1:17" ht="15" x14ac:dyDescent="0.25">
      <c r="A15697" s="3">
        <f>15690</f>
        <v>15690</v>
      </c>
      <c r="B15697" s="3" t="s">
        <v>15699</v>
      </c>
      <c r="C15697" s="3" t="s">
        <v>9</v>
      </c>
      <c r="D15697" s="3" t="s">
        <v>10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 t="s">
        <v>10</v>
      </c>
      <c r="P15697" s="3" t="s">
        <v>9</v>
      </c>
      <c r="Q15697" s="3"/>
    </row>
    <row r="15698" spans="1:17" ht="15" x14ac:dyDescent="0.25">
      <c r="A15698" s="3">
        <f>15691</f>
        <v>15691</v>
      </c>
      <c r="B15698" s="3" t="s">
        <v>15700</v>
      </c>
      <c r="C15698" s="3" t="s">
        <v>10</v>
      </c>
      <c r="D15698" s="3" t="s">
        <v>9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>
        <v>0</v>
      </c>
      <c r="O15698" s="3" t="s">
        <v>10</v>
      </c>
      <c r="P15698" s="3" t="s">
        <v>9</v>
      </c>
      <c r="Q15698" s="3"/>
    </row>
    <row r="15699" spans="1:17" ht="15" x14ac:dyDescent="0.25">
      <c r="A15699" s="3">
        <f>15692</f>
        <v>15692</v>
      </c>
      <c r="B15699" s="3" t="s">
        <v>15701</v>
      </c>
      <c r="C15699" s="3" t="s">
        <v>10</v>
      </c>
      <c r="D15699" s="3" t="s">
        <v>9</v>
      </c>
      <c r="E15699" s="3">
        <v>22</v>
      </c>
      <c r="F15699" s="3">
        <v>0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>
        <v>0</v>
      </c>
      <c r="O15699" s="3" t="s">
        <v>10</v>
      </c>
      <c r="P15699" s="3" t="s">
        <v>9</v>
      </c>
      <c r="Q15699" s="3"/>
    </row>
    <row r="15700" spans="1:17" ht="15" x14ac:dyDescent="0.25">
      <c r="A15700" s="3">
        <f>15693</f>
        <v>15693</v>
      </c>
      <c r="B15700" s="3" t="s">
        <v>15702</v>
      </c>
      <c r="C15700" s="3" t="s">
        <v>10</v>
      </c>
      <c r="D15700" s="3" t="s">
        <v>9</v>
      </c>
      <c r="E15700" s="3">
        <v>22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>
        <v>0</v>
      </c>
      <c r="O15700" s="3" t="s">
        <v>10</v>
      </c>
      <c r="P15700" s="3" t="s">
        <v>9</v>
      </c>
      <c r="Q15700" s="3"/>
    </row>
    <row r="15701" spans="1:17" ht="15" x14ac:dyDescent="0.25">
      <c r="A15701" s="3">
        <f>15694</f>
        <v>15694</v>
      </c>
      <c r="B15701" s="3" t="s">
        <v>15703</v>
      </c>
      <c r="C15701" s="3" t="s">
        <v>10</v>
      </c>
      <c r="D15701" s="3" t="s">
        <v>9</v>
      </c>
      <c r="E15701" s="3">
        <v>22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0</v>
      </c>
      <c r="O15701" s="3" t="s">
        <v>10</v>
      </c>
      <c r="P15701" s="3" t="s">
        <v>9</v>
      </c>
      <c r="Q15701" s="3"/>
    </row>
    <row r="15702" spans="1:17" ht="15" x14ac:dyDescent="0.25">
      <c r="A15702" s="3">
        <f>15695</f>
        <v>15695</v>
      </c>
      <c r="B15702" s="3" t="s">
        <v>15704</v>
      </c>
      <c r="C15702" s="3" t="s">
        <v>10</v>
      </c>
      <c r="D15702" s="3" t="s">
        <v>9</v>
      </c>
      <c r="E15702" s="3">
        <v>22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s="3" t="s">
        <v>10</v>
      </c>
      <c r="P15702" s="3" t="s">
        <v>9</v>
      </c>
      <c r="Q15702" s="3"/>
    </row>
    <row r="15703" spans="1:17" ht="15" x14ac:dyDescent="0.25">
      <c r="A15703" s="3">
        <f>15696</f>
        <v>15696</v>
      </c>
      <c r="B15703" s="3" t="s">
        <v>15705</v>
      </c>
      <c r="C15703" s="3" t="s">
        <v>10</v>
      </c>
      <c r="D15703" s="3" t="s">
        <v>9</v>
      </c>
      <c r="E15703" s="3">
        <v>22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  <c r="O15703" s="3" t="s">
        <v>10</v>
      </c>
      <c r="P15703" s="3" t="s">
        <v>9</v>
      </c>
      <c r="Q15703" s="3"/>
    </row>
    <row r="15704" spans="1:17" ht="15" x14ac:dyDescent="0.25">
      <c r="A15704" s="3">
        <f>15697</f>
        <v>15697</v>
      </c>
      <c r="B15704" s="3" t="s">
        <v>15706</v>
      </c>
      <c r="C15704" s="3" t="s">
        <v>10</v>
      </c>
      <c r="D15704" s="3" t="s">
        <v>9</v>
      </c>
      <c r="E15704" s="3">
        <v>22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3">
        <v>0</v>
      </c>
      <c r="N15704" s="3">
        <v>0</v>
      </c>
      <c r="O15704" s="3" t="s">
        <v>10</v>
      </c>
      <c r="P15704" s="3" t="s">
        <v>9</v>
      </c>
      <c r="Q15704" s="3"/>
    </row>
    <row r="15705" spans="1:17" ht="15" x14ac:dyDescent="0.25">
      <c r="A15705" s="3">
        <f>15698</f>
        <v>15698</v>
      </c>
      <c r="B15705" s="3" t="s">
        <v>15707</v>
      </c>
      <c r="C15705" s="3" t="s">
        <v>10</v>
      </c>
      <c r="D15705" s="3" t="s">
        <v>9</v>
      </c>
      <c r="E15705" s="3">
        <v>22</v>
      </c>
      <c r="F15705" s="3">
        <v>0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0</v>
      </c>
      <c r="O15705" s="3" t="s">
        <v>10</v>
      </c>
      <c r="P15705" s="3" t="s">
        <v>9</v>
      </c>
      <c r="Q15705" s="3"/>
    </row>
    <row r="15706" spans="1:17" ht="15" x14ac:dyDescent="0.25">
      <c r="A15706" s="3">
        <f>15699</f>
        <v>15699</v>
      </c>
      <c r="B15706" s="3" t="s">
        <v>15708</v>
      </c>
      <c r="C15706" s="3" t="s">
        <v>10</v>
      </c>
      <c r="D15706" s="3" t="s">
        <v>9</v>
      </c>
      <c r="E15706" s="3">
        <v>22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>
        <v>0</v>
      </c>
      <c r="O15706" s="3" t="s">
        <v>10</v>
      </c>
      <c r="P15706" s="3" t="s">
        <v>9</v>
      </c>
      <c r="Q15706" s="3"/>
    </row>
    <row r="15707" spans="1:17" ht="15" x14ac:dyDescent="0.25">
      <c r="A15707" s="3">
        <f>15700</f>
        <v>15700</v>
      </c>
      <c r="B15707" s="3" t="s">
        <v>15709</v>
      </c>
      <c r="C15707" s="3" t="s">
        <v>10</v>
      </c>
      <c r="D15707" s="3" t="s">
        <v>9</v>
      </c>
      <c r="E15707" s="3">
        <v>22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0</v>
      </c>
      <c r="O15707" s="3" t="s">
        <v>10</v>
      </c>
      <c r="P15707" s="3" t="s">
        <v>9</v>
      </c>
      <c r="Q15707" s="3"/>
    </row>
    <row r="15708" spans="1:17" ht="15" x14ac:dyDescent="0.25">
      <c r="A15708" s="3">
        <f>15701</f>
        <v>15701</v>
      </c>
      <c r="B15708" s="3" t="s">
        <v>15710</v>
      </c>
      <c r="C15708" s="3" t="s">
        <v>10</v>
      </c>
      <c r="D15708" s="3" t="s">
        <v>9</v>
      </c>
      <c r="E15708" s="3">
        <v>22</v>
      </c>
      <c r="F15708" s="3">
        <v>0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>
        <v>0</v>
      </c>
      <c r="O15708" s="3" t="s">
        <v>10</v>
      </c>
      <c r="P15708" s="3" t="s">
        <v>9</v>
      </c>
      <c r="Q15708" s="3"/>
    </row>
    <row r="15709" spans="1:17" ht="15" x14ac:dyDescent="0.25">
      <c r="A15709" s="3">
        <f>15702</f>
        <v>15702</v>
      </c>
      <c r="B15709" s="3" t="s">
        <v>15711</v>
      </c>
      <c r="C15709" s="3" t="s">
        <v>10</v>
      </c>
      <c r="D15709" s="3" t="s">
        <v>9</v>
      </c>
      <c r="E15709" s="3">
        <v>22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>
        <v>0</v>
      </c>
      <c r="O15709" s="3" t="s">
        <v>10</v>
      </c>
      <c r="P15709" s="3" t="s">
        <v>9</v>
      </c>
      <c r="Q15709" s="3"/>
    </row>
    <row r="15710" spans="1:17" ht="15" x14ac:dyDescent="0.25">
      <c r="A15710" s="3">
        <f>15703</f>
        <v>15703</v>
      </c>
      <c r="B15710" s="3" t="s">
        <v>15712</v>
      </c>
      <c r="C15710" s="3" t="s">
        <v>10</v>
      </c>
      <c r="D15710" s="3" t="s">
        <v>9</v>
      </c>
      <c r="E15710" s="3">
        <v>22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  <c r="O15710" s="3" t="s">
        <v>10</v>
      </c>
      <c r="P15710" s="3" t="s">
        <v>9</v>
      </c>
      <c r="Q15710" s="3"/>
    </row>
    <row r="15711" spans="1:17" ht="15" x14ac:dyDescent="0.25">
      <c r="A15711" s="3">
        <f>15704</f>
        <v>15704</v>
      </c>
      <c r="B15711" s="3" t="s">
        <v>15713</v>
      </c>
      <c r="C15711" s="3" t="s">
        <v>10</v>
      </c>
      <c r="D15711" s="3" t="s">
        <v>9</v>
      </c>
      <c r="E15711" s="3">
        <v>22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s="3" t="s">
        <v>10</v>
      </c>
      <c r="P15711" s="3" t="s">
        <v>9</v>
      </c>
      <c r="Q15711" s="3"/>
    </row>
    <row r="15712" spans="1:17" ht="15" x14ac:dyDescent="0.25">
      <c r="A15712" s="3">
        <f>15705</f>
        <v>15705</v>
      </c>
      <c r="B15712" s="3" t="s">
        <v>15714</v>
      </c>
      <c r="C15712" s="3" t="s">
        <v>10</v>
      </c>
      <c r="D15712" s="3" t="s">
        <v>9</v>
      </c>
      <c r="E15712" s="3">
        <v>22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 t="s">
        <v>10</v>
      </c>
      <c r="P15712" s="3" t="s">
        <v>9</v>
      </c>
      <c r="Q15712" s="3"/>
    </row>
    <row r="15713" spans="1:17" ht="15" x14ac:dyDescent="0.25">
      <c r="A15713" s="3">
        <f>15706</f>
        <v>15706</v>
      </c>
      <c r="B15713" s="3" t="s">
        <v>15715</v>
      </c>
      <c r="C15713" s="3" t="s">
        <v>10</v>
      </c>
      <c r="D15713" s="3" t="s">
        <v>9</v>
      </c>
      <c r="E15713" s="3">
        <v>22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>
        <v>0</v>
      </c>
      <c r="O15713" s="3" t="s">
        <v>10</v>
      </c>
      <c r="P15713" s="3" t="s">
        <v>9</v>
      </c>
      <c r="Q15713" s="3"/>
    </row>
    <row r="15714" spans="1:17" ht="15" x14ac:dyDescent="0.25">
      <c r="A15714" s="3">
        <f>15707</f>
        <v>15707</v>
      </c>
      <c r="B15714" s="3" t="s">
        <v>15716</v>
      </c>
      <c r="C15714" s="3" t="s">
        <v>10</v>
      </c>
      <c r="D15714" s="3" t="s">
        <v>9</v>
      </c>
      <c r="E15714" s="3">
        <v>22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>
        <v>0</v>
      </c>
      <c r="O15714" s="3" t="s">
        <v>10</v>
      </c>
      <c r="P15714" s="3" t="s">
        <v>9</v>
      </c>
      <c r="Q15714" s="3"/>
    </row>
    <row r="15715" spans="1:17" ht="15" x14ac:dyDescent="0.25">
      <c r="A15715" s="3">
        <f>15708</f>
        <v>15708</v>
      </c>
      <c r="B15715" s="3" t="s">
        <v>15717</v>
      </c>
      <c r="C15715" s="3" t="s">
        <v>10</v>
      </c>
      <c r="D15715" s="3" t="s">
        <v>9</v>
      </c>
      <c r="E15715" s="3">
        <v>22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>
        <v>0</v>
      </c>
      <c r="O15715" s="3" t="s">
        <v>10</v>
      </c>
      <c r="P15715" s="3" t="s">
        <v>9</v>
      </c>
      <c r="Q15715" s="3"/>
    </row>
    <row r="15716" spans="1:17" ht="15" x14ac:dyDescent="0.25">
      <c r="A15716" s="3">
        <f>15709</f>
        <v>15709</v>
      </c>
      <c r="B15716" s="3" t="s">
        <v>15718</v>
      </c>
      <c r="C15716" s="3" t="s">
        <v>10</v>
      </c>
      <c r="D15716" s="3" t="s">
        <v>9</v>
      </c>
      <c r="E15716" s="3">
        <v>22</v>
      </c>
      <c r="F15716" s="3">
        <v>0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0</v>
      </c>
      <c r="O15716" s="3" t="s">
        <v>10</v>
      </c>
      <c r="P15716" s="3" t="s">
        <v>9</v>
      </c>
      <c r="Q15716" s="3"/>
    </row>
    <row r="15717" spans="1:17" ht="15" x14ac:dyDescent="0.25">
      <c r="A15717" s="3">
        <f>15710</f>
        <v>15710</v>
      </c>
      <c r="B15717" s="3" t="s">
        <v>15719</v>
      </c>
      <c r="C15717" s="3" t="s">
        <v>10</v>
      </c>
      <c r="D15717" s="3" t="s">
        <v>9</v>
      </c>
      <c r="E15717" s="3">
        <v>22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s="3" t="s">
        <v>10</v>
      </c>
      <c r="P15717" s="3" t="s">
        <v>9</v>
      </c>
      <c r="Q15717" s="3"/>
    </row>
    <row r="15718" spans="1:17" ht="15" x14ac:dyDescent="0.25">
      <c r="A15718" s="3">
        <f>15711</f>
        <v>15711</v>
      </c>
      <c r="B15718" s="3" t="s">
        <v>15720</v>
      </c>
      <c r="C15718" s="3" t="s">
        <v>10</v>
      </c>
      <c r="D15718" s="3" t="s">
        <v>9</v>
      </c>
      <c r="E15718" s="3">
        <v>22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>
        <v>0</v>
      </c>
      <c r="O15718" s="3" t="s">
        <v>10</v>
      </c>
      <c r="P15718" s="3" t="s">
        <v>9</v>
      </c>
      <c r="Q15718" s="3"/>
    </row>
    <row r="15719" spans="1:17" ht="15" x14ac:dyDescent="0.25">
      <c r="A15719" s="3">
        <f>15712</f>
        <v>15712</v>
      </c>
      <c r="B15719" s="3" t="s">
        <v>15721</v>
      </c>
      <c r="C15719" s="3" t="s">
        <v>10</v>
      </c>
      <c r="D15719" s="3" t="s">
        <v>9</v>
      </c>
      <c r="E15719" s="3">
        <v>22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0</v>
      </c>
      <c r="O15719" s="3" t="s">
        <v>10</v>
      </c>
      <c r="P15719" s="3" t="s">
        <v>9</v>
      </c>
      <c r="Q15719" s="3"/>
    </row>
    <row r="15720" spans="1:17" ht="15" x14ac:dyDescent="0.25">
      <c r="A15720" s="3">
        <f>15713</f>
        <v>15713</v>
      </c>
      <c r="B15720" s="3" t="s">
        <v>15722</v>
      </c>
      <c r="C15720" s="3" t="s">
        <v>10</v>
      </c>
      <c r="D15720" s="3" t="s">
        <v>9</v>
      </c>
      <c r="E15720" s="3">
        <v>22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>
        <v>0</v>
      </c>
      <c r="O15720" s="3" t="s">
        <v>10</v>
      </c>
      <c r="P15720" s="3" t="s">
        <v>9</v>
      </c>
      <c r="Q15720" s="3"/>
    </row>
    <row r="15721" spans="1:17" ht="15" x14ac:dyDescent="0.25">
      <c r="A15721" s="3">
        <f>15714</f>
        <v>15714</v>
      </c>
      <c r="B15721" s="3" t="s">
        <v>15723</v>
      </c>
      <c r="C15721" s="3" t="s">
        <v>10</v>
      </c>
      <c r="D15721" s="3" t="s">
        <v>9</v>
      </c>
      <c r="E15721" s="3">
        <v>22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0</v>
      </c>
      <c r="O15721" s="3" t="s">
        <v>10</v>
      </c>
      <c r="P15721" s="3" t="s">
        <v>9</v>
      </c>
      <c r="Q15721" s="3"/>
    </row>
    <row r="15722" spans="1:17" ht="15" x14ac:dyDescent="0.25">
      <c r="A15722" s="3">
        <f>15715</f>
        <v>15715</v>
      </c>
      <c r="B15722" s="3" t="s">
        <v>15724</v>
      </c>
      <c r="C15722" s="3" t="s">
        <v>10</v>
      </c>
      <c r="D15722" s="3" t="s">
        <v>9</v>
      </c>
      <c r="E15722" s="3">
        <v>22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s="3">
        <v>0</v>
      </c>
      <c r="O15722" s="3" t="s">
        <v>10</v>
      </c>
      <c r="P15722" s="3" t="s">
        <v>9</v>
      </c>
      <c r="Q15722" s="3"/>
    </row>
    <row r="15723" spans="1:17" ht="15" x14ac:dyDescent="0.25">
      <c r="A15723" s="3">
        <f>15716</f>
        <v>15716</v>
      </c>
      <c r="B15723" s="3" t="s">
        <v>15725</v>
      </c>
      <c r="C15723" s="3" t="s">
        <v>10</v>
      </c>
      <c r="D15723" s="3" t="s">
        <v>9</v>
      </c>
      <c r="E15723" s="3">
        <v>22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>
        <v>0</v>
      </c>
      <c r="O15723" s="3" t="s">
        <v>10</v>
      </c>
      <c r="P15723" s="3" t="s">
        <v>9</v>
      </c>
      <c r="Q15723" s="3"/>
    </row>
    <row r="15724" spans="1:17" ht="15" x14ac:dyDescent="0.25">
      <c r="A15724" s="3">
        <f>15717</f>
        <v>15717</v>
      </c>
      <c r="B15724" s="3" t="s">
        <v>15726</v>
      </c>
      <c r="C15724" s="3" t="s">
        <v>10</v>
      </c>
      <c r="D15724" s="3" t="s">
        <v>9</v>
      </c>
      <c r="E15724" s="3">
        <v>22</v>
      </c>
      <c r="F15724" s="3">
        <v>0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>
        <v>0</v>
      </c>
      <c r="O15724" s="3" t="s">
        <v>10</v>
      </c>
      <c r="P15724" s="3" t="s">
        <v>9</v>
      </c>
      <c r="Q15724" s="3"/>
    </row>
    <row r="15725" spans="1:17" ht="15" x14ac:dyDescent="0.25">
      <c r="A15725" s="3">
        <f>15718</f>
        <v>15718</v>
      </c>
      <c r="B15725" s="3" t="s">
        <v>15727</v>
      </c>
      <c r="C15725" s="3" t="s">
        <v>10</v>
      </c>
      <c r="D15725" s="3" t="s">
        <v>9</v>
      </c>
      <c r="E15725" s="3">
        <v>22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0</v>
      </c>
      <c r="O15725" s="3" t="s">
        <v>10</v>
      </c>
      <c r="P15725" s="3" t="s">
        <v>9</v>
      </c>
      <c r="Q15725" s="3"/>
    </row>
    <row r="15726" spans="1:17" ht="15" x14ac:dyDescent="0.25">
      <c r="A15726" s="3">
        <f>15719</f>
        <v>15719</v>
      </c>
      <c r="B15726" s="3" t="s">
        <v>15728</v>
      </c>
      <c r="C15726" s="3" t="s">
        <v>10</v>
      </c>
      <c r="D15726" s="3" t="s">
        <v>9</v>
      </c>
      <c r="E15726" s="3">
        <v>22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s="3" t="s">
        <v>10</v>
      </c>
      <c r="P15726" s="3" t="s">
        <v>9</v>
      </c>
      <c r="Q15726" s="3"/>
    </row>
    <row r="15727" spans="1:17" ht="15" x14ac:dyDescent="0.25">
      <c r="A15727" s="3">
        <f>15720</f>
        <v>15720</v>
      </c>
      <c r="B15727" s="3" t="s">
        <v>15729</v>
      </c>
      <c r="C15727" s="3" t="s">
        <v>10</v>
      </c>
      <c r="D15727" s="3" t="s">
        <v>9</v>
      </c>
      <c r="E15727" s="3">
        <v>22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0</v>
      </c>
      <c r="O15727" s="3" t="s">
        <v>10</v>
      </c>
      <c r="P15727" s="3" t="s">
        <v>9</v>
      </c>
      <c r="Q15727" s="3"/>
    </row>
    <row r="15728" spans="1:17" ht="15" x14ac:dyDescent="0.25">
      <c r="A15728" s="3">
        <f>15721</f>
        <v>15721</v>
      </c>
      <c r="B15728" s="3" t="s">
        <v>15730</v>
      </c>
      <c r="C15728" s="3" t="s">
        <v>10</v>
      </c>
      <c r="D15728" s="3" t="s">
        <v>9</v>
      </c>
      <c r="E15728" s="3">
        <v>22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0</v>
      </c>
      <c r="O15728" s="3" t="s">
        <v>10</v>
      </c>
      <c r="P15728" s="3" t="s">
        <v>9</v>
      </c>
      <c r="Q15728" s="3"/>
    </row>
    <row r="15729" spans="1:17" ht="15" x14ac:dyDescent="0.25">
      <c r="A15729" s="3">
        <f>15722</f>
        <v>15722</v>
      </c>
      <c r="B15729" s="3" t="s">
        <v>15731</v>
      </c>
      <c r="C15729" s="3" t="s">
        <v>10</v>
      </c>
      <c r="D15729" s="3" t="s">
        <v>9</v>
      </c>
      <c r="E15729" s="3">
        <v>22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>
        <v>0</v>
      </c>
      <c r="O15729" s="3" t="s">
        <v>10</v>
      </c>
      <c r="P15729" s="3" t="s">
        <v>9</v>
      </c>
      <c r="Q15729" s="3"/>
    </row>
    <row r="15730" spans="1:17" ht="15" x14ac:dyDescent="0.25">
      <c r="A15730" s="3">
        <f>15723</f>
        <v>15723</v>
      </c>
      <c r="B15730" s="3" t="s">
        <v>15732</v>
      </c>
      <c r="C15730" s="3" t="s">
        <v>10</v>
      </c>
      <c r="D15730" s="3" t="s">
        <v>9</v>
      </c>
      <c r="E15730" s="3">
        <v>22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0</v>
      </c>
      <c r="O15730" s="3" t="s">
        <v>10</v>
      </c>
      <c r="P15730" s="3" t="s">
        <v>9</v>
      </c>
      <c r="Q15730" s="3"/>
    </row>
    <row r="15731" spans="1:17" ht="15" x14ac:dyDescent="0.25">
      <c r="A15731" s="3">
        <f>15724</f>
        <v>15724</v>
      </c>
      <c r="B15731" s="3" t="s">
        <v>15733</v>
      </c>
      <c r="C15731" s="3" t="s">
        <v>10</v>
      </c>
      <c r="D15731" s="3" t="s">
        <v>9</v>
      </c>
      <c r="E15731" s="3">
        <v>22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0</v>
      </c>
      <c r="O15731" s="3" t="s">
        <v>10</v>
      </c>
      <c r="P15731" s="3" t="s">
        <v>9</v>
      </c>
      <c r="Q15731" s="3"/>
    </row>
    <row r="15732" spans="1:17" ht="15" x14ac:dyDescent="0.25">
      <c r="A15732" s="3">
        <f>15725</f>
        <v>15725</v>
      </c>
      <c r="B15732" s="3" t="s">
        <v>15734</v>
      </c>
      <c r="C15732" s="3" t="s">
        <v>10</v>
      </c>
      <c r="D15732" s="3" t="s">
        <v>9</v>
      </c>
      <c r="E15732" s="3">
        <v>22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s="3" t="s">
        <v>10</v>
      </c>
      <c r="P15732" s="3" t="s">
        <v>9</v>
      </c>
      <c r="Q15732" s="3"/>
    </row>
    <row r="15733" spans="1:17" ht="15" x14ac:dyDescent="0.25">
      <c r="A15733" s="3">
        <f>15726</f>
        <v>15726</v>
      </c>
      <c r="B15733" s="3" t="s">
        <v>15735</v>
      </c>
      <c r="C15733" s="3" t="s">
        <v>10</v>
      </c>
      <c r="D15733" s="3" t="s">
        <v>9</v>
      </c>
      <c r="E15733" s="3">
        <v>22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s="3">
        <v>0</v>
      </c>
      <c r="O15733" s="3" t="s">
        <v>10</v>
      </c>
      <c r="P15733" s="3" t="s">
        <v>9</v>
      </c>
      <c r="Q15733" s="3"/>
    </row>
    <row r="15734" spans="1:17" ht="15" x14ac:dyDescent="0.25">
      <c r="A15734" s="3">
        <f>15727</f>
        <v>15727</v>
      </c>
      <c r="B15734" s="3" t="s">
        <v>15736</v>
      </c>
      <c r="C15734" s="3" t="s">
        <v>10</v>
      </c>
      <c r="D15734" s="3" t="s">
        <v>9</v>
      </c>
      <c r="E15734" s="3">
        <v>22</v>
      </c>
      <c r="F15734" s="3">
        <v>0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>
        <v>0</v>
      </c>
      <c r="O15734" s="3" t="s">
        <v>10</v>
      </c>
      <c r="P15734" s="3" t="s">
        <v>9</v>
      </c>
      <c r="Q15734" s="3"/>
    </row>
    <row r="15735" spans="1:17" ht="15" x14ac:dyDescent="0.25">
      <c r="A15735" s="3">
        <f>15728</f>
        <v>15728</v>
      </c>
      <c r="B15735" s="3" t="s">
        <v>15737</v>
      </c>
      <c r="C15735" s="3" t="s">
        <v>10</v>
      </c>
      <c r="D15735" s="3" t="s">
        <v>9</v>
      </c>
      <c r="E15735" s="3">
        <v>22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>
        <v>0</v>
      </c>
      <c r="O15735" s="3" t="s">
        <v>10</v>
      </c>
      <c r="P15735" s="3" t="s">
        <v>9</v>
      </c>
      <c r="Q15735" s="3"/>
    </row>
    <row r="15736" spans="1:17" ht="15" x14ac:dyDescent="0.25">
      <c r="A15736" s="3">
        <f>15729</f>
        <v>15729</v>
      </c>
      <c r="B15736" s="3" t="s">
        <v>15738</v>
      </c>
      <c r="C15736" s="3" t="s">
        <v>10</v>
      </c>
      <c r="D15736" s="3" t="s">
        <v>9</v>
      </c>
      <c r="E15736" s="3">
        <v>22</v>
      </c>
      <c r="F15736" s="3">
        <v>0</v>
      </c>
      <c r="G15736" s="3">
        <v>0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3">
        <v>0</v>
      </c>
      <c r="N15736" s="3">
        <v>0</v>
      </c>
      <c r="O15736" s="3" t="s">
        <v>10</v>
      </c>
      <c r="P15736" s="3" t="s">
        <v>9</v>
      </c>
      <c r="Q15736" s="3"/>
    </row>
    <row r="15737" spans="1:17" ht="15" x14ac:dyDescent="0.25">
      <c r="A15737" s="3">
        <f>15730</f>
        <v>15730</v>
      </c>
      <c r="B15737" s="3" t="s">
        <v>15739</v>
      </c>
      <c r="C15737" s="3" t="s">
        <v>10</v>
      </c>
      <c r="D15737" s="3" t="s">
        <v>9</v>
      </c>
      <c r="E15737" s="3">
        <v>22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>
        <v>0</v>
      </c>
      <c r="O15737" s="3" t="s">
        <v>10</v>
      </c>
      <c r="P15737" s="3" t="s">
        <v>9</v>
      </c>
      <c r="Q15737" s="3"/>
    </row>
    <row r="15738" spans="1:17" ht="15" x14ac:dyDescent="0.25">
      <c r="A15738" s="3">
        <f>15731</f>
        <v>15731</v>
      </c>
      <c r="B15738" s="3" t="s">
        <v>15740</v>
      </c>
      <c r="C15738" s="3" t="s">
        <v>10</v>
      </c>
      <c r="D15738" s="3" t="s">
        <v>9</v>
      </c>
      <c r="E15738" s="3">
        <v>22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s="3" t="s">
        <v>10</v>
      </c>
      <c r="P15738" s="3" t="s">
        <v>9</v>
      </c>
      <c r="Q15738" s="3"/>
    </row>
    <row r="15739" spans="1:17" ht="15" x14ac:dyDescent="0.25">
      <c r="A15739" s="3">
        <f>15732</f>
        <v>15732</v>
      </c>
      <c r="B15739" s="3" t="s">
        <v>15741</v>
      </c>
      <c r="C15739" s="3" t="s">
        <v>10</v>
      </c>
      <c r="D15739" s="3" t="s">
        <v>9</v>
      </c>
      <c r="E15739" s="3">
        <v>22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 t="s">
        <v>10</v>
      </c>
      <c r="P15739" s="3" t="s">
        <v>9</v>
      </c>
      <c r="Q15739" s="3"/>
    </row>
    <row r="15740" spans="1:17" ht="15" x14ac:dyDescent="0.25">
      <c r="A15740" s="3">
        <f>15733</f>
        <v>15733</v>
      </c>
      <c r="B15740" s="3" t="s">
        <v>15742</v>
      </c>
      <c r="C15740" s="3" t="s">
        <v>10</v>
      </c>
      <c r="D15740" s="3" t="s">
        <v>9</v>
      </c>
      <c r="E15740" s="3">
        <v>22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>
        <v>0</v>
      </c>
      <c r="O15740" s="3" t="s">
        <v>10</v>
      </c>
      <c r="P15740" s="3" t="s">
        <v>9</v>
      </c>
      <c r="Q15740" s="3"/>
    </row>
    <row r="15741" spans="1:17" ht="15" x14ac:dyDescent="0.25">
      <c r="A15741" s="3">
        <f>15734</f>
        <v>15734</v>
      </c>
      <c r="B15741" s="3" t="s">
        <v>15743</v>
      </c>
      <c r="C15741" s="3" t="s">
        <v>10</v>
      </c>
      <c r="D15741" s="3" t="s">
        <v>9</v>
      </c>
      <c r="E15741" s="3">
        <v>22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s="3" t="s">
        <v>10</v>
      </c>
      <c r="P15741" s="3" t="s">
        <v>9</v>
      </c>
      <c r="Q15741" s="3"/>
    </row>
    <row r="15742" spans="1:17" ht="15" x14ac:dyDescent="0.25">
      <c r="A15742" s="3">
        <f>15735</f>
        <v>15735</v>
      </c>
      <c r="B15742" s="3" t="s">
        <v>15744</v>
      </c>
      <c r="C15742" s="3" t="s">
        <v>10</v>
      </c>
      <c r="D15742" s="3" t="s">
        <v>9</v>
      </c>
      <c r="E15742" s="3">
        <v>22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s="3" t="s">
        <v>10</v>
      </c>
      <c r="P15742" s="3" t="s">
        <v>9</v>
      </c>
      <c r="Q15742" s="3"/>
    </row>
    <row r="15743" spans="1:17" ht="15" x14ac:dyDescent="0.25">
      <c r="A15743" s="3">
        <f>15736</f>
        <v>15736</v>
      </c>
      <c r="B15743" s="3" t="s">
        <v>15745</v>
      </c>
      <c r="C15743" s="3" t="s">
        <v>10</v>
      </c>
      <c r="D15743" s="3" t="s">
        <v>9</v>
      </c>
      <c r="E15743" s="3">
        <v>22</v>
      </c>
      <c r="F15743" s="3">
        <v>0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s="3" t="s">
        <v>10</v>
      </c>
      <c r="P15743" s="3" t="s">
        <v>9</v>
      </c>
      <c r="Q15743" s="3"/>
    </row>
    <row r="15744" spans="1:17" ht="15" x14ac:dyDescent="0.25">
      <c r="A15744" s="3">
        <f>15737</f>
        <v>15737</v>
      </c>
      <c r="B15744" s="3" t="s">
        <v>15746</v>
      </c>
      <c r="C15744" s="3" t="s">
        <v>10</v>
      </c>
      <c r="D15744" s="3" t="s">
        <v>9</v>
      </c>
      <c r="E15744" s="3">
        <v>22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 t="s">
        <v>10</v>
      </c>
      <c r="P15744" s="3" t="s">
        <v>9</v>
      </c>
      <c r="Q15744" s="3"/>
    </row>
    <row r="15745" spans="1:17" ht="15" x14ac:dyDescent="0.25">
      <c r="A15745" s="3">
        <f>15738</f>
        <v>15738</v>
      </c>
      <c r="B15745" s="3" t="s">
        <v>15747</v>
      </c>
      <c r="C15745" s="3" t="s">
        <v>10</v>
      </c>
      <c r="D15745" s="3" t="s">
        <v>9</v>
      </c>
      <c r="E15745" s="3">
        <v>22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 t="s">
        <v>10</v>
      </c>
      <c r="P15745" s="3" t="s">
        <v>9</v>
      </c>
      <c r="Q15745" s="3"/>
    </row>
    <row r="15746" spans="1:17" ht="15" x14ac:dyDescent="0.25">
      <c r="A15746" s="3">
        <f>15739</f>
        <v>15739</v>
      </c>
      <c r="B15746" s="3" t="s">
        <v>15748</v>
      </c>
      <c r="C15746" s="3" t="s">
        <v>10</v>
      </c>
      <c r="D15746" s="3" t="s">
        <v>9</v>
      </c>
      <c r="E15746" s="3">
        <v>22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s="3" t="s">
        <v>10</v>
      </c>
      <c r="P15746" s="3" t="s">
        <v>9</v>
      </c>
      <c r="Q15746" s="3"/>
    </row>
    <row r="15747" spans="1:17" ht="15" x14ac:dyDescent="0.25">
      <c r="A15747" s="3">
        <f>15740</f>
        <v>15740</v>
      </c>
      <c r="B15747" s="3" t="s">
        <v>15749</v>
      </c>
      <c r="C15747" s="3" t="s">
        <v>10</v>
      </c>
      <c r="D15747" s="3" t="s">
        <v>9</v>
      </c>
      <c r="E15747" s="3">
        <v>22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s="3" t="s">
        <v>10</v>
      </c>
      <c r="P15747" s="3" t="s">
        <v>9</v>
      </c>
      <c r="Q15747" s="3"/>
    </row>
    <row r="15748" spans="1:17" ht="15" x14ac:dyDescent="0.25">
      <c r="A15748" s="3">
        <f>15741</f>
        <v>15741</v>
      </c>
      <c r="B15748" s="3" t="s">
        <v>15750</v>
      </c>
      <c r="C15748" s="3" t="s">
        <v>10</v>
      </c>
      <c r="D15748" s="3" t="s">
        <v>9</v>
      </c>
      <c r="E15748" s="3">
        <v>22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s="3" t="s">
        <v>10</v>
      </c>
      <c r="P15748" s="3" t="s">
        <v>9</v>
      </c>
      <c r="Q15748" s="3"/>
    </row>
    <row r="15749" spans="1:17" ht="15" x14ac:dyDescent="0.25">
      <c r="A15749" s="3">
        <f>15742</f>
        <v>15742</v>
      </c>
      <c r="B15749" s="3" t="s">
        <v>15751</v>
      </c>
      <c r="C15749" s="3" t="s">
        <v>10</v>
      </c>
      <c r="D15749" s="3" t="s">
        <v>9</v>
      </c>
      <c r="E15749" s="3">
        <v>22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 t="s">
        <v>10</v>
      </c>
      <c r="P15749" s="3" t="s">
        <v>9</v>
      </c>
      <c r="Q15749" s="3"/>
    </row>
    <row r="15750" spans="1:17" ht="15" x14ac:dyDescent="0.25">
      <c r="A15750" s="3">
        <f>15743</f>
        <v>15743</v>
      </c>
      <c r="B15750" s="3" t="s">
        <v>15752</v>
      </c>
      <c r="C15750" s="3" t="s">
        <v>10</v>
      </c>
      <c r="D15750" s="3" t="s">
        <v>9</v>
      </c>
      <c r="E15750" s="3">
        <v>22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s="3" t="s">
        <v>10</v>
      </c>
      <c r="P15750" s="3" t="s">
        <v>9</v>
      </c>
      <c r="Q15750" s="3"/>
    </row>
    <row r="15751" spans="1:17" ht="15" x14ac:dyDescent="0.25">
      <c r="A15751" s="3">
        <f>15744</f>
        <v>15744</v>
      </c>
      <c r="B15751" s="3" t="s">
        <v>15753</v>
      </c>
      <c r="C15751" s="3" t="s">
        <v>10</v>
      </c>
      <c r="D15751" s="3" t="s">
        <v>9</v>
      </c>
      <c r="E15751" s="3">
        <v>22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 t="s">
        <v>10</v>
      </c>
      <c r="P15751" s="3" t="s">
        <v>9</v>
      </c>
      <c r="Q15751" s="3"/>
    </row>
    <row r="15752" spans="1:17" ht="15" x14ac:dyDescent="0.25">
      <c r="A15752" s="3">
        <f>15745</f>
        <v>15745</v>
      </c>
      <c r="B15752" s="3" t="s">
        <v>15754</v>
      </c>
      <c r="C15752" s="3" t="s">
        <v>10</v>
      </c>
      <c r="D15752" s="3" t="s">
        <v>9</v>
      </c>
      <c r="E15752" s="3">
        <v>22</v>
      </c>
      <c r="F15752" s="3">
        <v>0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 t="s">
        <v>10</v>
      </c>
      <c r="P15752" s="3" t="s">
        <v>9</v>
      </c>
      <c r="Q15752" s="3"/>
    </row>
    <row r="15753" spans="1:17" ht="15" x14ac:dyDescent="0.25">
      <c r="A15753" s="3">
        <f>15746</f>
        <v>15746</v>
      </c>
      <c r="B15753" s="3" t="s">
        <v>15755</v>
      </c>
      <c r="C15753" s="3" t="s">
        <v>10</v>
      </c>
      <c r="D15753" s="3" t="s">
        <v>9</v>
      </c>
      <c r="E15753" s="3">
        <v>22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s="3" t="s">
        <v>10</v>
      </c>
      <c r="P15753" s="3" t="s">
        <v>9</v>
      </c>
      <c r="Q15753" s="3"/>
    </row>
    <row r="15754" spans="1:17" ht="15" x14ac:dyDescent="0.25">
      <c r="A15754" s="3">
        <f>15747</f>
        <v>15747</v>
      </c>
      <c r="B15754" s="3" t="s">
        <v>15756</v>
      </c>
      <c r="C15754" s="3" t="s">
        <v>10</v>
      </c>
      <c r="D15754" s="3" t="s">
        <v>9</v>
      </c>
      <c r="E15754" s="3">
        <v>22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s="3" t="s">
        <v>10</v>
      </c>
      <c r="P15754" s="3" t="s">
        <v>9</v>
      </c>
      <c r="Q15754" s="3"/>
    </row>
    <row r="15755" spans="1:17" ht="15" x14ac:dyDescent="0.25">
      <c r="A15755" s="3">
        <f>15748</f>
        <v>15748</v>
      </c>
      <c r="B15755" s="3" t="s">
        <v>15757</v>
      </c>
      <c r="C15755" s="3" t="s">
        <v>10</v>
      </c>
      <c r="D15755" s="3" t="s">
        <v>9</v>
      </c>
      <c r="E15755" s="3">
        <v>22</v>
      </c>
      <c r="F15755" s="3">
        <v>0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  <c r="O15755" s="3" t="s">
        <v>10</v>
      </c>
      <c r="P15755" s="3" t="s">
        <v>9</v>
      </c>
      <c r="Q15755" s="3"/>
    </row>
    <row r="15756" spans="1:17" ht="15" x14ac:dyDescent="0.25">
      <c r="A15756" s="3">
        <f>15749</f>
        <v>15749</v>
      </c>
      <c r="B15756" s="3" t="s">
        <v>15758</v>
      </c>
      <c r="C15756" s="3" t="s">
        <v>10</v>
      </c>
      <c r="D15756" s="3" t="s">
        <v>9</v>
      </c>
      <c r="E15756" s="3">
        <v>22</v>
      </c>
      <c r="F15756" s="3">
        <v>0</v>
      </c>
      <c r="G15756" s="3">
        <v>0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s="3" t="s">
        <v>10</v>
      </c>
      <c r="P15756" s="3" t="s">
        <v>9</v>
      </c>
      <c r="Q15756" s="3"/>
    </row>
    <row r="15757" spans="1:17" ht="15" x14ac:dyDescent="0.25">
      <c r="A15757" s="3">
        <f>15750</f>
        <v>15750</v>
      </c>
      <c r="B15757" s="3" t="s">
        <v>15759</v>
      </c>
      <c r="C15757" s="3" t="s">
        <v>10</v>
      </c>
      <c r="D15757" s="3" t="s">
        <v>9</v>
      </c>
      <c r="E15757" s="3">
        <v>22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>
        <v>0</v>
      </c>
      <c r="O15757" s="3" t="s">
        <v>10</v>
      </c>
      <c r="P15757" s="3" t="s">
        <v>9</v>
      </c>
      <c r="Q15757" s="3"/>
    </row>
    <row r="15758" spans="1:17" ht="15" x14ac:dyDescent="0.25">
      <c r="A15758" s="3">
        <f>15751</f>
        <v>15751</v>
      </c>
      <c r="B15758" s="3" t="s">
        <v>15760</v>
      </c>
      <c r="C15758" s="3" t="s">
        <v>10</v>
      </c>
      <c r="D15758" s="3" t="s">
        <v>9</v>
      </c>
      <c r="E15758" s="3">
        <v>22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 t="s">
        <v>10</v>
      </c>
      <c r="P15758" s="3" t="s">
        <v>9</v>
      </c>
      <c r="Q15758" s="3"/>
    </row>
    <row r="15759" spans="1:17" ht="15" x14ac:dyDescent="0.25">
      <c r="A15759" s="3">
        <f>15752</f>
        <v>15752</v>
      </c>
      <c r="B15759" s="3" t="s">
        <v>15761</v>
      </c>
      <c r="C15759" s="3" t="s">
        <v>10</v>
      </c>
      <c r="D15759" s="3" t="s">
        <v>9</v>
      </c>
      <c r="E15759" s="3">
        <v>22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0</v>
      </c>
      <c r="O15759" s="3" t="s">
        <v>10</v>
      </c>
      <c r="P15759" s="3" t="s">
        <v>9</v>
      </c>
      <c r="Q15759" s="3"/>
    </row>
    <row r="15760" spans="1:17" ht="15" x14ac:dyDescent="0.25">
      <c r="A15760" s="3">
        <f>15753</f>
        <v>15753</v>
      </c>
      <c r="B15760" s="3" t="s">
        <v>15762</v>
      </c>
      <c r="C15760" s="3" t="s">
        <v>10</v>
      </c>
      <c r="D15760" s="3" t="s">
        <v>9</v>
      </c>
      <c r="E15760" s="3">
        <v>22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 t="s">
        <v>10</v>
      </c>
      <c r="P15760" s="3" t="s">
        <v>9</v>
      </c>
      <c r="Q15760" s="3"/>
    </row>
    <row r="15761" spans="1:17" ht="15" x14ac:dyDescent="0.25">
      <c r="A15761" s="3">
        <f>15754</f>
        <v>15754</v>
      </c>
      <c r="B15761" s="3" t="s">
        <v>15763</v>
      </c>
      <c r="C15761" s="3" t="s">
        <v>10</v>
      </c>
      <c r="D15761" s="3" t="s">
        <v>9</v>
      </c>
      <c r="E15761" s="3">
        <v>22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0</v>
      </c>
      <c r="O15761" s="3" t="s">
        <v>10</v>
      </c>
      <c r="P15761" s="3" t="s">
        <v>9</v>
      </c>
      <c r="Q15761" s="3"/>
    </row>
    <row r="15762" spans="1:17" ht="15" x14ac:dyDescent="0.25">
      <c r="A15762" s="3">
        <f>15755</f>
        <v>15755</v>
      </c>
      <c r="B15762" s="3" t="s">
        <v>15764</v>
      </c>
      <c r="C15762" s="3" t="s">
        <v>10</v>
      </c>
      <c r="D15762" s="3" t="s">
        <v>9</v>
      </c>
      <c r="E15762" s="3">
        <v>22</v>
      </c>
      <c r="F15762" s="3">
        <v>0</v>
      </c>
      <c r="G15762" s="3">
        <v>0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  <c r="O15762" s="3" t="s">
        <v>10</v>
      </c>
      <c r="P15762" s="3" t="s">
        <v>9</v>
      </c>
      <c r="Q15762" s="3"/>
    </row>
    <row r="15763" spans="1:17" ht="15" x14ac:dyDescent="0.25">
      <c r="A15763" s="3">
        <f>15756</f>
        <v>15756</v>
      </c>
      <c r="B15763" s="3" t="s">
        <v>15765</v>
      </c>
      <c r="C15763" s="3" t="s">
        <v>10</v>
      </c>
      <c r="D15763" s="3" t="s">
        <v>9</v>
      </c>
      <c r="E15763" s="3">
        <v>22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>
        <v>0</v>
      </c>
      <c r="O15763" s="3" t="s">
        <v>10</v>
      </c>
      <c r="P15763" s="3" t="s">
        <v>9</v>
      </c>
      <c r="Q15763" s="3"/>
    </row>
    <row r="15764" spans="1:17" ht="15" x14ac:dyDescent="0.25">
      <c r="A15764" s="3">
        <f>15757</f>
        <v>15757</v>
      </c>
      <c r="B15764" s="3" t="s">
        <v>15766</v>
      </c>
      <c r="C15764" s="3" t="s">
        <v>10</v>
      </c>
      <c r="D15764" s="3" t="s">
        <v>9</v>
      </c>
      <c r="E15764" s="3">
        <v>22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s="3" t="s">
        <v>10</v>
      </c>
      <c r="P15764" s="3" t="s">
        <v>9</v>
      </c>
      <c r="Q15764" s="3"/>
    </row>
    <row r="15765" spans="1:17" ht="15" x14ac:dyDescent="0.25">
      <c r="A15765" s="3">
        <f>15758</f>
        <v>15758</v>
      </c>
      <c r="B15765" s="3" t="s">
        <v>15767</v>
      </c>
      <c r="C15765" s="3" t="s">
        <v>10</v>
      </c>
      <c r="D15765" s="3" t="s">
        <v>9</v>
      </c>
      <c r="E15765" s="3">
        <v>22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0</v>
      </c>
      <c r="O15765" s="3" t="s">
        <v>10</v>
      </c>
      <c r="P15765" s="3" t="s">
        <v>9</v>
      </c>
      <c r="Q15765" s="3"/>
    </row>
    <row r="15766" spans="1:17" ht="15" x14ac:dyDescent="0.25">
      <c r="A15766" s="3">
        <f>15759</f>
        <v>15759</v>
      </c>
      <c r="B15766" s="3" t="s">
        <v>15768</v>
      </c>
      <c r="C15766" s="3" t="s">
        <v>10</v>
      </c>
      <c r="D15766" s="3" t="s">
        <v>9</v>
      </c>
      <c r="E15766" s="3">
        <v>22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s="3" t="s">
        <v>10</v>
      </c>
      <c r="P15766" s="3" t="s">
        <v>9</v>
      </c>
      <c r="Q15766" s="3"/>
    </row>
    <row r="15767" spans="1:17" ht="15" x14ac:dyDescent="0.25">
      <c r="A15767" s="3">
        <f>15760</f>
        <v>15760</v>
      </c>
      <c r="B15767" s="3" t="s">
        <v>15769</v>
      </c>
      <c r="C15767" s="3" t="s">
        <v>10</v>
      </c>
      <c r="D15767" s="3" t="s">
        <v>9</v>
      </c>
      <c r="E15767" s="3">
        <v>22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s="3" t="s">
        <v>10</v>
      </c>
      <c r="P15767" s="3" t="s">
        <v>9</v>
      </c>
      <c r="Q15767" s="3"/>
    </row>
    <row r="15768" spans="1:17" ht="15" x14ac:dyDescent="0.25">
      <c r="A15768" s="3">
        <f>15761</f>
        <v>15761</v>
      </c>
      <c r="B15768" s="3" t="s">
        <v>15770</v>
      </c>
      <c r="C15768" s="3" t="s">
        <v>10</v>
      </c>
      <c r="D15768" s="3" t="s">
        <v>9</v>
      </c>
      <c r="E15768" s="3">
        <v>22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 t="s">
        <v>10</v>
      </c>
      <c r="P15768" s="3" t="s">
        <v>9</v>
      </c>
      <c r="Q15768" s="3"/>
    </row>
    <row r="15769" spans="1:17" ht="15" x14ac:dyDescent="0.25">
      <c r="A15769" s="3">
        <f>15762</f>
        <v>15762</v>
      </c>
      <c r="B15769" s="3" t="s">
        <v>15771</v>
      </c>
      <c r="C15769" s="3" t="s">
        <v>10</v>
      </c>
      <c r="D15769" s="3" t="s">
        <v>9</v>
      </c>
      <c r="E15769" s="3">
        <v>22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s="3" t="s">
        <v>10</v>
      </c>
      <c r="P15769" s="3" t="s">
        <v>9</v>
      </c>
      <c r="Q15769" s="3"/>
    </row>
    <row r="15770" spans="1:17" ht="15" x14ac:dyDescent="0.25">
      <c r="A15770" s="3">
        <f>15763</f>
        <v>15763</v>
      </c>
      <c r="B15770" s="3" t="s">
        <v>15772</v>
      </c>
      <c r="C15770" s="3" t="s">
        <v>10</v>
      </c>
      <c r="D15770" s="3" t="s">
        <v>9</v>
      </c>
      <c r="E15770" s="3">
        <v>22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s="3" t="s">
        <v>10</v>
      </c>
      <c r="P15770" s="3" t="s">
        <v>9</v>
      </c>
      <c r="Q15770" s="3"/>
    </row>
    <row r="15771" spans="1:17" ht="15" x14ac:dyDescent="0.25">
      <c r="A15771" s="3">
        <f>15764</f>
        <v>15764</v>
      </c>
      <c r="B15771" s="3" t="s">
        <v>15773</v>
      </c>
      <c r="C15771" s="3" t="s">
        <v>10</v>
      </c>
      <c r="D15771" s="3" t="s">
        <v>9</v>
      </c>
      <c r="E15771" s="3">
        <v>22</v>
      </c>
      <c r="F15771" s="3">
        <v>0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0</v>
      </c>
      <c r="O15771" s="3" t="s">
        <v>10</v>
      </c>
      <c r="P15771" s="3" t="s">
        <v>9</v>
      </c>
      <c r="Q15771" s="3"/>
    </row>
    <row r="15772" spans="1:17" ht="15" x14ac:dyDescent="0.25">
      <c r="A15772" s="3">
        <f>15765</f>
        <v>15765</v>
      </c>
      <c r="B15772" s="3" t="s">
        <v>15774</v>
      </c>
      <c r="C15772" s="3" t="s">
        <v>10</v>
      </c>
      <c r="D15772" s="3" t="s">
        <v>9</v>
      </c>
      <c r="E15772" s="3">
        <v>22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s="3" t="s">
        <v>10</v>
      </c>
      <c r="P15772" s="3" t="s">
        <v>9</v>
      </c>
      <c r="Q15772" s="3"/>
    </row>
    <row r="15773" spans="1:17" ht="15" x14ac:dyDescent="0.25">
      <c r="A15773" s="3">
        <f>15766</f>
        <v>15766</v>
      </c>
      <c r="B15773" s="3" t="s">
        <v>15775</v>
      </c>
      <c r="C15773" s="3" t="s">
        <v>10</v>
      </c>
      <c r="D15773" s="3" t="s">
        <v>9</v>
      </c>
      <c r="E15773" s="3">
        <v>22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>
        <v>0</v>
      </c>
      <c r="O15773" s="3" t="s">
        <v>10</v>
      </c>
      <c r="P15773" s="3" t="s">
        <v>9</v>
      </c>
      <c r="Q15773" s="3"/>
    </row>
    <row r="15774" spans="1:17" ht="15" x14ac:dyDescent="0.25">
      <c r="A15774" s="3">
        <f>15767</f>
        <v>15767</v>
      </c>
      <c r="B15774" s="3" t="s">
        <v>15776</v>
      </c>
      <c r="C15774" s="3" t="s">
        <v>10</v>
      </c>
      <c r="D15774" s="3" t="s">
        <v>9</v>
      </c>
      <c r="E15774" s="3">
        <v>22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0</v>
      </c>
      <c r="O15774" s="3" t="s">
        <v>10</v>
      </c>
      <c r="P15774" s="3" t="s">
        <v>9</v>
      </c>
      <c r="Q15774" s="3"/>
    </row>
    <row r="15775" spans="1:17" ht="15" x14ac:dyDescent="0.25">
      <c r="A15775" s="3">
        <f>15768</f>
        <v>15768</v>
      </c>
      <c r="B15775" s="3" t="s">
        <v>15777</v>
      </c>
      <c r="C15775" s="3" t="s">
        <v>10</v>
      </c>
      <c r="D15775" s="3" t="s">
        <v>9</v>
      </c>
      <c r="E15775" s="3">
        <v>22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 t="s">
        <v>10</v>
      </c>
      <c r="P15775" s="3" t="s">
        <v>9</v>
      </c>
      <c r="Q15775" s="3"/>
    </row>
    <row r="15776" spans="1:17" ht="15" x14ac:dyDescent="0.25">
      <c r="A15776" s="3">
        <f>15769</f>
        <v>15769</v>
      </c>
      <c r="B15776" s="3" t="s">
        <v>15778</v>
      </c>
      <c r="C15776" s="3" t="s">
        <v>10</v>
      </c>
      <c r="D15776" s="3" t="s">
        <v>9</v>
      </c>
      <c r="E15776" s="3">
        <v>22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s="3" t="s">
        <v>10</v>
      </c>
      <c r="P15776" s="3" t="s">
        <v>9</v>
      </c>
      <c r="Q15776" s="3"/>
    </row>
    <row r="15777" spans="1:17" ht="15" x14ac:dyDescent="0.25">
      <c r="A15777" s="3">
        <f>15770</f>
        <v>15770</v>
      </c>
      <c r="B15777" s="3" t="s">
        <v>15779</v>
      </c>
      <c r="C15777" s="3" t="s">
        <v>10</v>
      </c>
      <c r="D15777" s="3" t="s">
        <v>9</v>
      </c>
      <c r="E15777" s="3">
        <v>22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s="3" t="s">
        <v>10</v>
      </c>
      <c r="P15777" s="3" t="s">
        <v>9</v>
      </c>
      <c r="Q15777" s="3"/>
    </row>
    <row r="15778" spans="1:17" ht="15" x14ac:dyDescent="0.25">
      <c r="A15778" s="3">
        <f>15771</f>
        <v>15771</v>
      </c>
      <c r="B15778" s="3" t="s">
        <v>15780</v>
      </c>
      <c r="C15778" s="3" t="s">
        <v>10</v>
      </c>
      <c r="D15778" s="3" t="s">
        <v>9</v>
      </c>
      <c r="E15778" s="3">
        <v>22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s="3" t="s">
        <v>10</v>
      </c>
      <c r="P15778" s="3" t="s">
        <v>9</v>
      </c>
      <c r="Q15778" s="3"/>
    </row>
    <row r="15779" spans="1:17" ht="15" x14ac:dyDescent="0.25">
      <c r="A15779" s="3">
        <f>15772</f>
        <v>15772</v>
      </c>
      <c r="B15779" s="3" t="s">
        <v>15781</v>
      </c>
      <c r="C15779" s="3" t="s">
        <v>10</v>
      </c>
      <c r="D15779" s="3" t="s">
        <v>9</v>
      </c>
      <c r="E15779" s="3">
        <v>22</v>
      </c>
      <c r="F15779" s="3">
        <v>0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>
        <v>0</v>
      </c>
      <c r="O15779" s="3" t="s">
        <v>10</v>
      </c>
      <c r="P15779" s="3" t="s">
        <v>9</v>
      </c>
      <c r="Q15779" s="3"/>
    </row>
    <row r="15780" spans="1:17" ht="15" x14ac:dyDescent="0.25">
      <c r="A15780" s="3">
        <f>15773</f>
        <v>15773</v>
      </c>
      <c r="B15780" s="3" t="s">
        <v>15782</v>
      </c>
      <c r="C15780" s="3" t="s">
        <v>10</v>
      </c>
      <c r="D15780" s="3" t="s">
        <v>9</v>
      </c>
      <c r="E15780" s="3">
        <v>22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>
        <v>0</v>
      </c>
      <c r="O15780" s="3" t="s">
        <v>10</v>
      </c>
      <c r="P15780" s="3" t="s">
        <v>9</v>
      </c>
      <c r="Q15780" s="3"/>
    </row>
    <row r="15781" spans="1:17" ht="15" x14ac:dyDescent="0.25">
      <c r="A15781" s="3">
        <f>15774</f>
        <v>15774</v>
      </c>
      <c r="B15781" s="3" t="s">
        <v>15783</v>
      </c>
      <c r="C15781" s="3" t="s">
        <v>10</v>
      </c>
      <c r="D15781" s="3" t="s">
        <v>9</v>
      </c>
      <c r="E15781" s="3">
        <v>22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>
        <v>0</v>
      </c>
      <c r="O15781" s="3" t="s">
        <v>10</v>
      </c>
      <c r="P15781" s="3" t="s">
        <v>9</v>
      </c>
      <c r="Q15781" s="3"/>
    </row>
    <row r="15782" spans="1:17" ht="15" x14ac:dyDescent="0.25">
      <c r="A15782" s="3">
        <f>15775</f>
        <v>15775</v>
      </c>
      <c r="B15782" s="3" t="s">
        <v>15784</v>
      </c>
      <c r="C15782" s="3" t="s">
        <v>10</v>
      </c>
      <c r="D15782" s="3" t="s">
        <v>9</v>
      </c>
      <c r="E15782" s="3">
        <v>22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0</v>
      </c>
      <c r="O15782" s="3" t="s">
        <v>10</v>
      </c>
      <c r="P15782" s="3" t="s">
        <v>9</v>
      </c>
      <c r="Q15782" s="3"/>
    </row>
    <row r="15783" spans="1:17" ht="15" x14ac:dyDescent="0.25">
      <c r="A15783" s="3">
        <f>15776</f>
        <v>15776</v>
      </c>
      <c r="B15783" s="3" t="s">
        <v>15785</v>
      </c>
      <c r="C15783" s="3" t="s">
        <v>10</v>
      </c>
      <c r="D15783" s="3" t="s">
        <v>9</v>
      </c>
      <c r="E15783" s="3">
        <v>22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3">
        <v>0</v>
      </c>
      <c r="N15783" s="3">
        <v>0</v>
      </c>
      <c r="O15783" s="3" t="s">
        <v>10</v>
      </c>
      <c r="P15783" s="3" t="s">
        <v>9</v>
      </c>
      <c r="Q15783" s="3"/>
    </row>
    <row r="15784" spans="1:17" ht="15" x14ac:dyDescent="0.25">
      <c r="A15784" s="3">
        <f>15777</f>
        <v>15777</v>
      </c>
      <c r="B15784" s="3" t="s">
        <v>15786</v>
      </c>
      <c r="C15784" s="3" t="s">
        <v>10</v>
      </c>
      <c r="D15784" s="3" t="s">
        <v>9</v>
      </c>
      <c r="E15784" s="3">
        <v>22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  <c r="O15784" s="3" t="s">
        <v>10</v>
      </c>
      <c r="P15784" s="3" t="s">
        <v>9</v>
      </c>
      <c r="Q15784" s="3"/>
    </row>
    <row r="15785" spans="1:17" ht="15" x14ac:dyDescent="0.25">
      <c r="A15785" s="3">
        <f>15778</f>
        <v>15778</v>
      </c>
      <c r="B15785" s="3" t="s">
        <v>15787</v>
      </c>
      <c r="C15785" s="3" t="s">
        <v>10</v>
      </c>
      <c r="D15785" s="3" t="s">
        <v>9</v>
      </c>
      <c r="E15785" s="3">
        <v>22</v>
      </c>
      <c r="F15785" s="3">
        <v>0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>
        <v>0</v>
      </c>
      <c r="O15785" s="3" t="s">
        <v>10</v>
      </c>
      <c r="P15785" s="3" t="s">
        <v>9</v>
      </c>
      <c r="Q15785" s="3"/>
    </row>
    <row r="15786" spans="1:17" ht="15" x14ac:dyDescent="0.25">
      <c r="A15786" s="3">
        <f>15779</f>
        <v>15779</v>
      </c>
      <c r="B15786" s="3" t="s">
        <v>15788</v>
      </c>
      <c r="C15786" s="3" t="s">
        <v>10</v>
      </c>
      <c r="D15786" s="3" t="s">
        <v>9</v>
      </c>
      <c r="E15786" s="3">
        <v>22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>
        <v>0</v>
      </c>
      <c r="O15786" s="3" t="s">
        <v>10</v>
      </c>
      <c r="P15786" s="3" t="s">
        <v>9</v>
      </c>
      <c r="Q15786" s="3"/>
    </row>
    <row r="15787" spans="1:17" ht="15" x14ac:dyDescent="0.25">
      <c r="A15787" s="3">
        <f>15780</f>
        <v>15780</v>
      </c>
      <c r="B15787" s="3" t="s">
        <v>15789</v>
      </c>
      <c r="C15787" s="3" t="s">
        <v>10</v>
      </c>
      <c r="D15787" s="3" t="s">
        <v>9</v>
      </c>
      <c r="E15787" s="3">
        <v>22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0</v>
      </c>
      <c r="O15787" s="3" t="s">
        <v>10</v>
      </c>
      <c r="P15787" s="3" t="s">
        <v>9</v>
      </c>
      <c r="Q15787" s="3"/>
    </row>
    <row r="15788" spans="1:17" ht="15" x14ac:dyDescent="0.25">
      <c r="A15788" s="3">
        <f>15781</f>
        <v>15781</v>
      </c>
      <c r="B15788" s="3" t="s">
        <v>15790</v>
      </c>
      <c r="C15788" s="3" t="s">
        <v>10</v>
      </c>
      <c r="D15788" s="3" t="s">
        <v>9</v>
      </c>
      <c r="E15788" s="3">
        <v>22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0</v>
      </c>
      <c r="O15788" s="3" t="s">
        <v>10</v>
      </c>
      <c r="P15788" s="3" t="s">
        <v>9</v>
      </c>
      <c r="Q15788" s="3"/>
    </row>
    <row r="15789" spans="1:17" ht="15" x14ac:dyDescent="0.25">
      <c r="A15789" s="3">
        <f>15782</f>
        <v>15782</v>
      </c>
      <c r="B15789" s="3" t="s">
        <v>15791</v>
      </c>
      <c r="C15789" s="3" t="s">
        <v>10</v>
      </c>
      <c r="D15789" s="3" t="s">
        <v>9</v>
      </c>
      <c r="E15789" s="3">
        <v>22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 t="s">
        <v>10</v>
      </c>
      <c r="P15789" s="3" t="s">
        <v>9</v>
      </c>
      <c r="Q15789" s="3"/>
    </row>
    <row r="15790" spans="1:17" ht="15" x14ac:dyDescent="0.25">
      <c r="A15790" s="3">
        <f>15783</f>
        <v>15783</v>
      </c>
      <c r="B15790" s="3" t="s">
        <v>15792</v>
      </c>
      <c r="C15790" s="3" t="s">
        <v>10</v>
      </c>
      <c r="D15790" s="3" t="s">
        <v>9</v>
      </c>
      <c r="E15790" s="3">
        <v>22</v>
      </c>
      <c r="F15790" s="3">
        <v>0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s="3" t="s">
        <v>10</v>
      </c>
      <c r="P15790" s="3" t="s">
        <v>9</v>
      </c>
      <c r="Q15790" s="3"/>
    </row>
    <row r="15791" spans="1:17" ht="15" x14ac:dyDescent="0.25">
      <c r="A15791" s="3">
        <f>15784</f>
        <v>15784</v>
      </c>
      <c r="B15791" s="3" t="s">
        <v>15793</v>
      </c>
      <c r="C15791" s="3" t="s">
        <v>10</v>
      </c>
      <c r="D15791" s="3" t="s">
        <v>9</v>
      </c>
      <c r="E15791" s="3">
        <v>22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s="3" t="s">
        <v>10</v>
      </c>
      <c r="P15791" s="3" t="s">
        <v>9</v>
      </c>
      <c r="Q15791" s="3"/>
    </row>
    <row r="15792" spans="1:17" ht="15" x14ac:dyDescent="0.25">
      <c r="A15792" s="3">
        <f>15785</f>
        <v>15785</v>
      </c>
      <c r="B15792" s="3" t="s">
        <v>15794</v>
      </c>
      <c r="C15792" s="3" t="s">
        <v>10</v>
      </c>
      <c r="D15792" s="3" t="s">
        <v>9</v>
      </c>
      <c r="E15792" s="3">
        <v>22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s="3" t="s">
        <v>10</v>
      </c>
      <c r="P15792" s="3" t="s">
        <v>9</v>
      </c>
      <c r="Q15792" s="3"/>
    </row>
    <row r="15793" spans="1:17" ht="15" x14ac:dyDescent="0.25">
      <c r="A15793" s="3">
        <f>15786</f>
        <v>15786</v>
      </c>
      <c r="B15793" s="3" t="s">
        <v>15795</v>
      </c>
      <c r="C15793" s="3" t="s">
        <v>10</v>
      </c>
      <c r="D15793" s="3" t="s">
        <v>9</v>
      </c>
      <c r="E15793" s="3">
        <v>22</v>
      </c>
      <c r="F15793" s="3">
        <v>0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>
        <v>0</v>
      </c>
      <c r="O15793" s="3" t="s">
        <v>10</v>
      </c>
      <c r="P15793" s="3" t="s">
        <v>9</v>
      </c>
      <c r="Q15793" s="3"/>
    </row>
    <row r="15794" spans="1:17" ht="15" x14ac:dyDescent="0.25">
      <c r="A15794" s="3">
        <f>15787</f>
        <v>15787</v>
      </c>
      <c r="B15794" s="3" t="s">
        <v>15796</v>
      </c>
      <c r="C15794" s="3" t="s">
        <v>10</v>
      </c>
      <c r="D15794" s="3" t="s">
        <v>9</v>
      </c>
      <c r="E15794" s="3">
        <v>22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s="3" t="s">
        <v>10</v>
      </c>
      <c r="P15794" s="3" t="s">
        <v>9</v>
      </c>
      <c r="Q15794" s="3"/>
    </row>
    <row r="15795" spans="1:17" ht="15" x14ac:dyDescent="0.25">
      <c r="A15795" s="3">
        <f>15788</f>
        <v>15788</v>
      </c>
      <c r="B15795" s="3" t="s">
        <v>15797</v>
      </c>
      <c r="C15795" s="3" t="s">
        <v>10</v>
      </c>
      <c r="D15795" s="3" t="s">
        <v>9</v>
      </c>
      <c r="E15795" s="3">
        <v>22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s="3" t="s">
        <v>10</v>
      </c>
      <c r="P15795" s="3" t="s">
        <v>9</v>
      </c>
      <c r="Q15795" s="3"/>
    </row>
    <row r="15796" spans="1:17" ht="15" x14ac:dyDescent="0.25">
      <c r="A15796" s="3">
        <f>15789</f>
        <v>15789</v>
      </c>
      <c r="B15796" s="3" t="s">
        <v>15798</v>
      </c>
      <c r="C15796" s="3" t="s">
        <v>10</v>
      </c>
      <c r="D15796" s="3" t="s">
        <v>9</v>
      </c>
      <c r="E15796" s="3">
        <v>22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s="3" t="s">
        <v>10</v>
      </c>
      <c r="P15796" s="3" t="s">
        <v>9</v>
      </c>
      <c r="Q15796" s="3"/>
    </row>
    <row r="15797" spans="1:17" ht="15" x14ac:dyDescent="0.25">
      <c r="A15797" s="3">
        <f>15790</f>
        <v>15790</v>
      </c>
      <c r="B15797" s="3" t="s">
        <v>15799</v>
      </c>
      <c r="C15797" s="3" t="s">
        <v>10</v>
      </c>
      <c r="D15797" s="3" t="s">
        <v>9</v>
      </c>
      <c r="E15797" s="3">
        <v>22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0</v>
      </c>
      <c r="O15797" s="3" t="s">
        <v>10</v>
      </c>
      <c r="P15797" s="3" t="s">
        <v>9</v>
      </c>
      <c r="Q15797" s="3"/>
    </row>
    <row r="15798" spans="1:17" ht="15" x14ac:dyDescent="0.25">
      <c r="A15798" s="3">
        <f>15791</f>
        <v>15791</v>
      </c>
      <c r="B15798" s="3" t="s">
        <v>15800</v>
      </c>
      <c r="C15798" s="3" t="s">
        <v>10</v>
      </c>
      <c r="D15798" s="3" t="s">
        <v>9</v>
      </c>
      <c r="E15798" s="3">
        <v>22</v>
      </c>
      <c r="F15798" s="3">
        <v>0</v>
      </c>
      <c r="G15798" s="3">
        <v>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  <c r="O15798" s="3" t="s">
        <v>10</v>
      </c>
      <c r="P15798" s="3" t="s">
        <v>9</v>
      </c>
      <c r="Q15798" s="3"/>
    </row>
    <row r="15799" spans="1:17" ht="15" x14ac:dyDescent="0.25">
      <c r="A15799" s="3">
        <f>15792</f>
        <v>15792</v>
      </c>
      <c r="B15799" s="3" t="s">
        <v>15801</v>
      </c>
      <c r="C15799" s="3" t="s">
        <v>10</v>
      </c>
      <c r="D15799" s="3" t="s">
        <v>9</v>
      </c>
      <c r="E15799" s="3">
        <v>22</v>
      </c>
      <c r="F15799" s="3">
        <v>0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>
        <v>0</v>
      </c>
      <c r="O15799" s="3" t="s">
        <v>10</v>
      </c>
      <c r="P15799" s="3" t="s">
        <v>9</v>
      </c>
      <c r="Q15799" s="3"/>
    </row>
    <row r="15800" spans="1:17" ht="15" x14ac:dyDescent="0.25">
      <c r="A15800" s="3">
        <f>15793</f>
        <v>15793</v>
      </c>
      <c r="B15800" s="3" t="s">
        <v>15802</v>
      </c>
      <c r="C15800" s="3" t="s">
        <v>10</v>
      </c>
      <c r="D15800" s="3" t="s">
        <v>9</v>
      </c>
      <c r="E15800" s="3">
        <v>22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3">
        <v>0</v>
      </c>
      <c r="N15800" s="3">
        <v>0</v>
      </c>
      <c r="O15800" s="3" t="s">
        <v>10</v>
      </c>
      <c r="P15800" s="3" t="s">
        <v>9</v>
      </c>
      <c r="Q15800" s="3"/>
    </row>
    <row r="15801" spans="1:17" ht="15" x14ac:dyDescent="0.25">
      <c r="A15801" s="3">
        <f>15794</f>
        <v>15794</v>
      </c>
      <c r="B15801" s="3" t="s">
        <v>15803</v>
      </c>
      <c r="C15801" s="3" t="s">
        <v>10</v>
      </c>
      <c r="D15801" s="3" t="s">
        <v>9</v>
      </c>
      <c r="E15801" s="3">
        <v>22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0</v>
      </c>
      <c r="O15801" s="3" t="s">
        <v>10</v>
      </c>
      <c r="P15801" s="3" t="s">
        <v>9</v>
      </c>
      <c r="Q15801" s="3"/>
    </row>
    <row r="15802" spans="1:17" ht="15" x14ac:dyDescent="0.25">
      <c r="A15802" s="3">
        <f>15795</f>
        <v>15795</v>
      </c>
      <c r="B15802" s="3" t="s">
        <v>15804</v>
      </c>
      <c r="C15802" s="3" t="s">
        <v>10</v>
      </c>
      <c r="D15802" s="3" t="s">
        <v>9</v>
      </c>
      <c r="E15802" s="3">
        <v>22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s="3" t="s">
        <v>10</v>
      </c>
      <c r="P15802" s="3" t="s">
        <v>9</v>
      </c>
      <c r="Q15802" s="3"/>
    </row>
    <row r="15803" spans="1:17" ht="15" x14ac:dyDescent="0.25">
      <c r="A15803" s="3">
        <f>15796</f>
        <v>15796</v>
      </c>
      <c r="B15803" s="3" t="s">
        <v>15805</v>
      </c>
      <c r="C15803" s="3" t="s">
        <v>10</v>
      </c>
      <c r="D15803" s="3" t="s">
        <v>9</v>
      </c>
      <c r="E15803" s="3">
        <v>22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>
        <v>0</v>
      </c>
      <c r="O15803" s="3" t="s">
        <v>10</v>
      </c>
      <c r="P15803" s="3" t="s">
        <v>9</v>
      </c>
      <c r="Q15803" s="3"/>
    </row>
    <row r="15804" spans="1:17" ht="15" x14ac:dyDescent="0.25">
      <c r="A15804" s="3">
        <f>15797</f>
        <v>15797</v>
      </c>
      <c r="B15804" s="3" t="s">
        <v>15806</v>
      </c>
      <c r="C15804" s="3" t="s">
        <v>10</v>
      </c>
      <c r="D15804" s="3" t="s">
        <v>9</v>
      </c>
      <c r="E15804" s="3">
        <v>22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s="3" t="s">
        <v>10</v>
      </c>
      <c r="P15804" s="3" t="s">
        <v>9</v>
      </c>
      <c r="Q15804" s="3"/>
    </row>
    <row r="15805" spans="1:17" ht="15" x14ac:dyDescent="0.25">
      <c r="A15805" s="3">
        <f>15798</f>
        <v>15798</v>
      </c>
      <c r="B15805" s="3" t="s">
        <v>15807</v>
      </c>
      <c r="C15805" s="3" t="s">
        <v>10</v>
      </c>
      <c r="D15805" s="3" t="s">
        <v>9</v>
      </c>
      <c r="E15805" s="3">
        <v>22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s="3" t="s">
        <v>10</v>
      </c>
      <c r="P15805" s="3" t="s">
        <v>9</v>
      </c>
      <c r="Q15805" s="3"/>
    </row>
    <row r="15806" spans="1:17" ht="15" x14ac:dyDescent="0.25">
      <c r="A15806" s="3">
        <f>15799</f>
        <v>15799</v>
      </c>
      <c r="B15806" s="3" t="s">
        <v>15808</v>
      </c>
      <c r="C15806" s="3" t="s">
        <v>10</v>
      </c>
      <c r="D15806" s="3" t="s">
        <v>9</v>
      </c>
      <c r="E15806" s="3">
        <v>22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s="3" t="s">
        <v>10</v>
      </c>
      <c r="P15806" s="3" t="s">
        <v>9</v>
      </c>
      <c r="Q15806" s="3"/>
    </row>
    <row r="15807" spans="1:17" ht="15" x14ac:dyDescent="0.25">
      <c r="A15807" s="3">
        <f>15800</f>
        <v>15800</v>
      </c>
      <c r="B15807" s="3" t="s">
        <v>15809</v>
      </c>
      <c r="C15807" s="3" t="s">
        <v>10</v>
      </c>
      <c r="D15807" s="3" t="s">
        <v>9</v>
      </c>
      <c r="E15807" s="3">
        <v>22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s="3" t="s">
        <v>10</v>
      </c>
      <c r="P15807" s="3" t="s">
        <v>9</v>
      </c>
      <c r="Q15807" s="3"/>
    </row>
    <row r="15808" spans="1:17" ht="15" x14ac:dyDescent="0.25">
      <c r="A15808" s="3">
        <f>15801</f>
        <v>15801</v>
      </c>
      <c r="B15808" s="3" t="s">
        <v>15810</v>
      </c>
      <c r="C15808" s="3" t="s">
        <v>10</v>
      </c>
      <c r="D15808" s="3" t="s">
        <v>9</v>
      </c>
      <c r="E15808" s="3">
        <v>22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0</v>
      </c>
      <c r="N15808" s="3">
        <v>0</v>
      </c>
      <c r="O15808" s="3" t="s">
        <v>10</v>
      </c>
      <c r="P15808" s="3" t="s">
        <v>9</v>
      </c>
      <c r="Q15808" s="3"/>
    </row>
    <row r="15809" spans="1:17" ht="15" x14ac:dyDescent="0.25">
      <c r="A15809" s="3">
        <f>15802</f>
        <v>15802</v>
      </c>
      <c r="B15809" s="3" t="s">
        <v>15811</v>
      </c>
      <c r="C15809" s="3" t="s">
        <v>10</v>
      </c>
      <c r="D15809" s="3" t="s">
        <v>9</v>
      </c>
      <c r="E15809" s="3">
        <v>22</v>
      </c>
      <c r="F15809" s="3">
        <v>0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s="3" t="s">
        <v>10</v>
      </c>
      <c r="P15809" s="3" t="s">
        <v>9</v>
      </c>
      <c r="Q15809" s="3"/>
    </row>
    <row r="15810" spans="1:17" ht="15" x14ac:dyDescent="0.25">
      <c r="A15810" s="3">
        <f>15803</f>
        <v>15803</v>
      </c>
      <c r="B15810" s="3" t="s">
        <v>15812</v>
      </c>
      <c r="C15810" s="3" t="s">
        <v>10</v>
      </c>
      <c r="D15810" s="3" t="s">
        <v>9</v>
      </c>
      <c r="E15810" s="3">
        <v>22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  <c r="O15810" s="3" t="s">
        <v>10</v>
      </c>
      <c r="P15810" s="3" t="s">
        <v>9</v>
      </c>
      <c r="Q15810" s="3"/>
    </row>
    <row r="15811" spans="1:17" ht="15" x14ac:dyDescent="0.25">
      <c r="A15811" s="3">
        <f>15804</f>
        <v>15804</v>
      </c>
      <c r="B15811" s="3" t="s">
        <v>15813</v>
      </c>
      <c r="C15811" s="3" t="s">
        <v>10</v>
      </c>
      <c r="D15811" s="3" t="s">
        <v>9</v>
      </c>
      <c r="E15811" s="3">
        <v>22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>
        <v>0</v>
      </c>
      <c r="O15811" s="3" t="s">
        <v>10</v>
      </c>
      <c r="P15811" s="3" t="s">
        <v>9</v>
      </c>
      <c r="Q15811" s="3"/>
    </row>
    <row r="15812" spans="1:17" ht="15" x14ac:dyDescent="0.25">
      <c r="A15812" s="3">
        <f>15805</f>
        <v>15805</v>
      </c>
      <c r="B15812" s="3" t="s">
        <v>15814</v>
      </c>
      <c r="C15812" s="3" t="s">
        <v>10</v>
      </c>
      <c r="D15812" s="3" t="s">
        <v>9</v>
      </c>
      <c r="E15812" s="3">
        <v>22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s="3" t="s">
        <v>10</v>
      </c>
      <c r="P15812" s="3" t="s">
        <v>9</v>
      </c>
      <c r="Q15812" s="3"/>
    </row>
    <row r="15813" spans="1:17" ht="15" x14ac:dyDescent="0.25">
      <c r="A15813" s="3">
        <f>15806</f>
        <v>15806</v>
      </c>
      <c r="B15813" s="3" t="s">
        <v>15815</v>
      </c>
      <c r="C15813" s="3" t="s">
        <v>10</v>
      </c>
      <c r="D15813" s="3" t="s">
        <v>9</v>
      </c>
      <c r="E15813" s="3">
        <v>22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 t="s">
        <v>10</v>
      </c>
      <c r="P15813" s="3" t="s">
        <v>9</v>
      </c>
      <c r="Q15813" s="3"/>
    </row>
    <row r="15814" spans="1:17" ht="15" x14ac:dyDescent="0.25">
      <c r="A15814" s="3">
        <f>15807</f>
        <v>15807</v>
      </c>
      <c r="B15814" s="3" t="s">
        <v>15816</v>
      </c>
      <c r="C15814" s="3" t="s">
        <v>10</v>
      </c>
      <c r="D15814" s="3" t="s">
        <v>9</v>
      </c>
      <c r="E15814" s="3">
        <v>22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s="3" t="s">
        <v>10</v>
      </c>
      <c r="P15814" s="3" t="s">
        <v>9</v>
      </c>
      <c r="Q15814" s="3"/>
    </row>
    <row r="15815" spans="1:17" ht="15" x14ac:dyDescent="0.25">
      <c r="A15815" s="3">
        <f>15808</f>
        <v>15808</v>
      </c>
      <c r="B15815" s="3" t="s">
        <v>15817</v>
      </c>
      <c r="C15815" s="3" t="s">
        <v>10</v>
      </c>
      <c r="D15815" s="3" t="s">
        <v>9</v>
      </c>
      <c r="E15815" s="3">
        <v>22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 t="s">
        <v>10</v>
      </c>
      <c r="P15815" s="3" t="s">
        <v>9</v>
      </c>
      <c r="Q15815" s="3"/>
    </row>
    <row r="15816" spans="1:17" ht="15" x14ac:dyDescent="0.25">
      <c r="A15816" s="3">
        <f>15809</f>
        <v>15809</v>
      </c>
      <c r="B15816" s="3" t="s">
        <v>15818</v>
      </c>
      <c r="C15816" s="3" t="s">
        <v>10</v>
      </c>
      <c r="D15816" s="3" t="s">
        <v>9</v>
      </c>
      <c r="E15816" s="3">
        <v>22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  <c r="O15816" s="3" t="s">
        <v>10</v>
      </c>
      <c r="P15816" s="3" t="s">
        <v>9</v>
      </c>
      <c r="Q15816" s="3"/>
    </row>
    <row r="15817" spans="1:17" ht="15" x14ac:dyDescent="0.25">
      <c r="A15817" s="3">
        <f>15810</f>
        <v>15810</v>
      </c>
      <c r="B15817" s="3" t="s">
        <v>15819</v>
      </c>
      <c r="C15817" s="3" t="s">
        <v>10</v>
      </c>
      <c r="D15817" s="3" t="s">
        <v>9</v>
      </c>
      <c r="E15817" s="3">
        <v>22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s="3" t="s">
        <v>10</v>
      </c>
      <c r="P15817" s="3" t="s">
        <v>9</v>
      </c>
      <c r="Q15817" s="3"/>
    </row>
    <row r="15818" spans="1:17" ht="15" x14ac:dyDescent="0.25">
      <c r="A15818" s="3">
        <f>15811</f>
        <v>15811</v>
      </c>
      <c r="B15818" s="3" t="s">
        <v>15820</v>
      </c>
      <c r="C15818" s="3" t="s">
        <v>10</v>
      </c>
      <c r="D15818" s="3" t="s">
        <v>9</v>
      </c>
      <c r="E15818" s="3">
        <v>22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s="3" t="s">
        <v>10</v>
      </c>
      <c r="P15818" s="3" t="s">
        <v>9</v>
      </c>
      <c r="Q15818" s="3"/>
    </row>
    <row r="15819" spans="1:17" ht="15" x14ac:dyDescent="0.25">
      <c r="A15819" s="3">
        <f>15812</f>
        <v>15812</v>
      </c>
      <c r="B15819" s="3" t="s">
        <v>15821</v>
      </c>
      <c r="C15819" s="3" t="s">
        <v>10</v>
      </c>
      <c r="D15819" s="3" t="s">
        <v>9</v>
      </c>
      <c r="E15819" s="3">
        <v>22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0</v>
      </c>
      <c r="O15819" s="3" t="s">
        <v>10</v>
      </c>
      <c r="P15819" s="3" t="s">
        <v>9</v>
      </c>
      <c r="Q15819" s="3"/>
    </row>
    <row r="15820" spans="1:17" ht="15" x14ac:dyDescent="0.25">
      <c r="A15820" s="3">
        <f>15813</f>
        <v>15813</v>
      </c>
      <c r="B15820" s="3" t="s">
        <v>15822</v>
      </c>
      <c r="C15820" s="3" t="s">
        <v>10</v>
      </c>
      <c r="D15820" s="3" t="s">
        <v>9</v>
      </c>
      <c r="E15820" s="3">
        <v>22</v>
      </c>
      <c r="F15820" s="3">
        <v>0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>
        <v>0</v>
      </c>
      <c r="O15820" s="3" t="s">
        <v>10</v>
      </c>
      <c r="P15820" s="3" t="s">
        <v>9</v>
      </c>
      <c r="Q15820" s="3"/>
    </row>
    <row r="15821" spans="1:17" ht="15" x14ac:dyDescent="0.25">
      <c r="A15821" s="3">
        <f>15814</f>
        <v>15814</v>
      </c>
      <c r="B15821" s="3" t="s">
        <v>15823</v>
      </c>
      <c r="C15821" s="3" t="s">
        <v>10</v>
      </c>
      <c r="D15821" s="3" t="s">
        <v>9</v>
      </c>
      <c r="E15821" s="3">
        <v>22</v>
      </c>
      <c r="F15821" s="3">
        <v>0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s="3">
        <v>0</v>
      </c>
      <c r="O15821" s="3" t="s">
        <v>10</v>
      </c>
      <c r="P15821" s="3" t="s">
        <v>9</v>
      </c>
      <c r="Q15821" s="3"/>
    </row>
    <row r="15822" spans="1:17" ht="15" x14ac:dyDescent="0.25">
      <c r="A15822" s="3">
        <f>15815</f>
        <v>15815</v>
      </c>
      <c r="B15822" s="3" t="s">
        <v>15824</v>
      </c>
      <c r="C15822" s="3" t="s">
        <v>10</v>
      </c>
      <c r="D15822" s="3" t="s">
        <v>9</v>
      </c>
      <c r="E15822" s="3">
        <v>22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 t="s">
        <v>10</v>
      </c>
      <c r="P15822" s="3" t="s">
        <v>9</v>
      </c>
      <c r="Q15822" s="3"/>
    </row>
    <row r="15823" spans="1:17" ht="15" x14ac:dyDescent="0.25">
      <c r="A15823" s="3">
        <f>15816</f>
        <v>15816</v>
      </c>
      <c r="B15823" s="3" t="s">
        <v>15825</v>
      </c>
      <c r="C15823" s="3" t="s">
        <v>10</v>
      </c>
      <c r="D15823" s="3" t="s">
        <v>9</v>
      </c>
      <c r="E15823" s="3">
        <v>22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s="3" t="s">
        <v>10</v>
      </c>
      <c r="P15823" s="3" t="s">
        <v>9</v>
      </c>
      <c r="Q15823" s="3"/>
    </row>
    <row r="15824" spans="1:17" ht="15" x14ac:dyDescent="0.25">
      <c r="A15824" s="3">
        <f>15817</f>
        <v>15817</v>
      </c>
      <c r="B15824" s="3" t="s">
        <v>15826</v>
      </c>
      <c r="C15824" s="3" t="s">
        <v>10</v>
      </c>
      <c r="D15824" s="3" t="s">
        <v>9</v>
      </c>
      <c r="E15824" s="3">
        <v>22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 t="s">
        <v>10</v>
      </c>
      <c r="P15824" s="3" t="s">
        <v>9</v>
      </c>
      <c r="Q15824" s="3"/>
    </row>
    <row r="15825" spans="1:17" ht="15" x14ac:dyDescent="0.25">
      <c r="A15825" s="3">
        <f>15818</f>
        <v>15818</v>
      </c>
      <c r="B15825" s="3" t="s">
        <v>15827</v>
      </c>
      <c r="C15825" s="3" t="s">
        <v>10</v>
      </c>
      <c r="D15825" s="3" t="s">
        <v>9</v>
      </c>
      <c r="E15825" s="3">
        <v>22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s="3" t="s">
        <v>10</v>
      </c>
      <c r="P15825" s="3" t="s">
        <v>9</v>
      </c>
      <c r="Q15825" s="3"/>
    </row>
    <row r="15826" spans="1:17" ht="15" x14ac:dyDescent="0.25">
      <c r="A15826" s="3">
        <f>15819</f>
        <v>15819</v>
      </c>
      <c r="B15826" s="3" t="s">
        <v>15828</v>
      </c>
      <c r="C15826" s="3" t="s">
        <v>10</v>
      </c>
      <c r="D15826" s="3" t="s">
        <v>9</v>
      </c>
      <c r="E15826" s="3">
        <v>22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0</v>
      </c>
      <c r="O15826" s="3" t="s">
        <v>10</v>
      </c>
      <c r="P15826" s="3" t="s">
        <v>9</v>
      </c>
      <c r="Q15826" s="3"/>
    </row>
    <row r="15827" spans="1:17" ht="15" x14ac:dyDescent="0.25">
      <c r="A15827" s="3">
        <f>15820</f>
        <v>15820</v>
      </c>
      <c r="B15827" s="3" t="s">
        <v>15829</v>
      </c>
      <c r="C15827" s="3" t="s">
        <v>10</v>
      </c>
      <c r="D15827" s="3" t="s">
        <v>9</v>
      </c>
      <c r="E15827" s="3">
        <v>22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 t="s">
        <v>10</v>
      </c>
      <c r="P15827" s="3" t="s">
        <v>9</v>
      </c>
      <c r="Q15827" s="3"/>
    </row>
    <row r="15828" spans="1:17" ht="15" x14ac:dyDescent="0.25">
      <c r="A15828" s="3">
        <f>15821</f>
        <v>15821</v>
      </c>
      <c r="B15828" s="3" t="s">
        <v>15830</v>
      </c>
      <c r="C15828" s="3" t="s">
        <v>10</v>
      </c>
      <c r="D15828" s="3" t="s">
        <v>9</v>
      </c>
      <c r="E15828" s="3">
        <v>22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0</v>
      </c>
      <c r="O15828" s="3" t="s">
        <v>10</v>
      </c>
      <c r="P15828" s="3" t="s">
        <v>9</v>
      </c>
      <c r="Q15828" s="3"/>
    </row>
    <row r="15829" spans="1:17" ht="15" x14ac:dyDescent="0.25">
      <c r="A15829" s="3">
        <f>15822</f>
        <v>15822</v>
      </c>
      <c r="B15829" s="3" t="s">
        <v>15831</v>
      </c>
      <c r="C15829" s="3" t="s">
        <v>10</v>
      </c>
      <c r="D15829" s="3" t="s">
        <v>9</v>
      </c>
      <c r="E15829" s="3">
        <v>22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s="3" t="s">
        <v>10</v>
      </c>
      <c r="P15829" s="3" t="s">
        <v>9</v>
      </c>
      <c r="Q15829" s="3"/>
    </row>
    <row r="15830" spans="1:17" ht="15" x14ac:dyDescent="0.25">
      <c r="A15830" s="3">
        <f>15823</f>
        <v>15823</v>
      </c>
      <c r="B15830" s="3" t="s">
        <v>15832</v>
      </c>
      <c r="C15830" s="3" t="s">
        <v>10</v>
      </c>
      <c r="D15830" s="3" t="s">
        <v>9</v>
      </c>
      <c r="E15830" s="3">
        <v>22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>
        <v>0</v>
      </c>
      <c r="O15830" s="3" t="s">
        <v>10</v>
      </c>
      <c r="P15830" s="3" t="s">
        <v>9</v>
      </c>
      <c r="Q15830" s="3"/>
    </row>
    <row r="15831" spans="1:17" ht="15" x14ac:dyDescent="0.25">
      <c r="A15831" s="3">
        <f>15824</f>
        <v>15824</v>
      </c>
      <c r="B15831" s="3" t="s">
        <v>15833</v>
      </c>
      <c r="C15831" s="3" t="s">
        <v>10</v>
      </c>
      <c r="D15831" s="3" t="s">
        <v>9</v>
      </c>
      <c r="E15831" s="3">
        <v>22</v>
      </c>
      <c r="F15831" s="3">
        <v>0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s="3" t="s">
        <v>10</v>
      </c>
      <c r="P15831" s="3" t="s">
        <v>9</v>
      </c>
      <c r="Q15831" s="3"/>
    </row>
    <row r="15832" spans="1:17" ht="15" x14ac:dyDescent="0.25">
      <c r="A15832" s="3">
        <f>15825</f>
        <v>15825</v>
      </c>
      <c r="B15832" s="3" t="s">
        <v>15834</v>
      </c>
      <c r="C15832" s="3" t="s">
        <v>10</v>
      </c>
      <c r="D15832" s="3" t="s">
        <v>9</v>
      </c>
      <c r="E15832" s="3">
        <v>22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0</v>
      </c>
      <c r="O15832" s="3" t="s">
        <v>10</v>
      </c>
      <c r="P15832" s="3" t="s">
        <v>9</v>
      </c>
      <c r="Q15832" s="3"/>
    </row>
    <row r="15833" spans="1:17" ht="15" x14ac:dyDescent="0.25">
      <c r="A15833" s="3">
        <f>15826</f>
        <v>15826</v>
      </c>
      <c r="B15833" s="3" t="s">
        <v>15835</v>
      </c>
      <c r="C15833" s="3" t="s">
        <v>10</v>
      </c>
      <c r="D15833" s="3" t="s">
        <v>9</v>
      </c>
      <c r="E15833" s="3">
        <v>22</v>
      </c>
      <c r="F15833" s="3">
        <v>0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3">
        <v>0</v>
      </c>
      <c r="N15833" s="3">
        <v>0</v>
      </c>
      <c r="O15833" s="3" t="s">
        <v>10</v>
      </c>
      <c r="P15833" s="3" t="s">
        <v>9</v>
      </c>
      <c r="Q15833" s="3"/>
    </row>
    <row r="15834" spans="1:17" ht="15" x14ac:dyDescent="0.25">
      <c r="A15834" s="3">
        <f>15827</f>
        <v>15827</v>
      </c>
      <c r="B15834" s="3" t="s">
        <v>15836</v>
      </c>
      <c r="C15834" s="3" t="s">
        <v>10</v>
      </c>
      <c r="D15834" s="3" t="s">
        <v>9</v>
      </c>
      <c r="E15834" s="3">
        <v>22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s="3" t="s">
        <v>10</v>
      </c>
      <c r="P15834" s="3" t="s">
        <v>9</v>
      </c>
      <c r="Q15834" s="3"/>
    </row>
    <row r="15835" spans="1:17" ht="15" x14ac:dyDescent="0.25">
      <c r="A15835" s="3">
        <f>15828</f>
        <v>15828</v>
      </c>
      <c r="B15835" s="3" t="s">
        <v>15837</v>
      </c>
      <c r="C15835" s="3" t="s">
        <v>10</v>
      </c>
      <c r="D15835" s="3" t="s">
        <v>9</v>
      </c>
      <c r="E15835" s="3">
        <v>22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0</v>
      </c>
      <c r="O15835" s="3" t="s">
        <v>10</v>
      </c>
      <c r="P15835" s="3" t="s">
        <v>9</v>
      </c>
      <c r="Q15835" s="3"/>
    </row>
    <row r="15836" spans="1:17" ht="15" x14ac:dyDescent="0.25">
      <c r="A15836" s="3">
        <f>15829</f>
        <v>15829</v>
      </c>
      <c r="B15836" s="3" t="s">
        <v>15838</v>
      </c>
      <c r="C15836" s="3" t="s">
        <v>10</v>
      </c>
      <c r="D15836" s="3" t="s">
        <v>9</v>
      </c>
      <c r="E15836" s="3">
        <v>22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s="3" t="s">
        <v>10</v>
      </c>
      <c r="P15836" s="3" t="s">
        <v>9</v>
      </c>
      <c r="Q15836" s="3"/>
    </row>
    <row r="15837" spans="1:17" ht="15" x14ac:dyDescent="0.25">
      <c r="A15837" s="3">
        <f>15830</f>
        <v>15830</v>
      </c>
      <c r="B15837" s="3" t="s">
        <v>15839</v>
      </c>
      <c r="C15837" s="3" t="s">
        <v>10</v>
      </c>
      <c r="D15837" s="3" t="s">
        <v>9</v>
      </c>
      <c r="E15837" s="3">
        <v>22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>
        <v>0</v>
      </c>
      <c r="O15837" s="3" t="s">
        <v>10</v>
      </c>
      <c r="P15837" s="3" t="s">
        <v>9</v>
      </c>
      <c r="Q15837" s="3"/>
    </row>
    <row r="15838" spans="1:17" ht="15" x14ac:dyDescent="0.25">
      <c r="A15838" s="3">
        <f>15831</f>
        <v>15831</v>
      </c>
      <c r="B15838" s="3" t="s">
        <v>15840</v>
      </c>
      <c r="C15838" s="3" t="s">
        <v>10</v>
      </c>
      <c r="D15838" s="3" t="s">
        <v>9</v>
      </c>
      <c r="E15838" s="3">
        <v>22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s="3" t="s">
        <v>10</v>
      </c>
      <c r="P15838" s="3" t="s">
        <v>9</v>
      </c>
      <c r="Q15838" s="3"/>
    </row>
    <row r="15839" spans="1:17" ht="15" x14ac:dyDescent="0.25">
      <c r="A15839" s="3">
        <f>15832</f>
        <v>15832</v>
      </c>
      <c r="B15839" s="3" t="s">
        <v>15841</v>
      </c>
      <c r="C15839" s="3" t="s">
        <v>10</v>
      </c>
      <c r="D15839" s="3" t="s">
        <v>9</v>
      </c>
      <c r="E15839" s="3">
        <v>22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s="3" t="s">
        <v>10</v>
      </c>
      <c r="P15839" s="3" t="s">
        <v>9</v>
      </c>
      <c r="Q15839" s="3"/>
    </row>
    <row r="15840" spans="1:17" ht="15" x14ac:dyDescent="0.25">
      <c r="A15840" s="3">
        <f>15833</f>
        <v>15833</v>
      </c>
      <c r="B15840" s="3" t="s">
        <v>15842</v>
      </c>
      <c r="C15840" s="3" t="s">
        <v>10</v>
      </c>
      <c r="D15840" s="3" t="s">
        <v>9</v>
      </c>
      <c r="E15840" s="3">
        <v>22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s="3" t="s">
        <v>10</v>
      </c>
      <c r="P15840" s="3" t="s">
        <v>9</v>
      </c>
      <c r="Q15840" s="3"/>
    </row>
    <row r="15841" spans="1:17" ht="15" x14ac:dyDescent="0.25">
      <c r="A15841" s="3">
        <f>15834</f>
        <v>15834</v>
      </c>
      <c r="B15841" s="3" t="s">
        <v>15843</v>
      </c>
      <c r="C15841" s="3" t="s">
        <v>10</v>
      </c>
      <c r="D15841" s="3" t="s">
        <v>9</v>
      </c>
      <c r="E15841" s="3">
        <v>22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 t="s">
        <v>10</v>
      </c>
      <c r="P15841" s="3" t="s">
        <v>9</v>
      </c>
      <c r="Q15841" s="3"/>
    </row>
    <row r="15842" spans="1:17" ht="15" x14ac:dyDescent="0.25">
      <c r="A15842" s="3">
        <f>15835</f>
        <v>15835</v>
      </c>
      <c r="B15842" s="3" t="s">
        <v>15844</v>
      </c>
      <c r="C15842" s="3" t="s">
        <v>10</v>
      </c>
      <c r="D15842" s="3" t="s">
        <v>9</v>
      </c>
      <c r="E15842" s="3">
        <v>22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s="3" t="s">
        <v>10</v>
      </c>
      <c r="P15842" s="3" t="s">
        <v>9</v>
      </c>
      <c r="Q15842" s="3"/>
    </row>
    <row r="15843" spans="1:17" ht="15" x14ac:dyDescent="0.25">
      <c r="A15843" s="3">
        <f>15836</f>
        <v>15836</v>
      </c>
      <c r="B15843" s="3" t="s">
        <v>15845</v>
      </c>
      <c r="C15843" s="3" t="s">
        <v>10</v>
      </c>
      <c r="D15843" s="3" t="s">
        <v>9</v>
      </c>
      <c r="E15843" s="3">
        <v>22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 t="s">
        <v>10</v>
      </c>
      <c r="P15843" s="3" t="s">
        <v>9</v>
      </c>
      <c r="Q15843" s="3"/>
    </row>
    <row r="15844" spans="1:17" ht="15" x14ac:dyDescent="0.25">
      <c r="A15844" s="3">
        <f>15837</f>
        <v>15837</v>
      </c>
      <c r="B15844" s="3" t="s">
        <v>15846</v>
      </c>
      <c r="C15844" s="3" t="s">
        <v>10</v>
      </c>
      <c r="D15844" s="3" t="s">
        <v>9</v>
      </c>
      <c r="E15844" s="3">
        <v>22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s="3" t="s">
        <v>10</v>
      </c>
      <c r="P15844" s="3" t="s">
        <v>9</v>
      </c>
      <c r="Q15844" s="3"/>
    </row>
    <row r="15845" spans="1:17" ht="15" x14ac:dyDescent="0.25">
      <c r="A15845" s="3">
        <f>15838</f>
        <v>15838</v>
      </c>
      <c r="B15845" s="3" t="s">
        <v>15847</v>
      </c>
      <c r="C15845" s="3" t="s">
        <v>10</v>
      </c>
      <c r="D15845" s="3" t="s">
        <v>9</v>
      </c>
      <c r="E15845" s="3">
        <v>22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s="3" t="s">
        <v>10</v>
      </c>
      <c r="P15845" s="3" t="s">
        <v>9</v>
      </c>
      <c r="Q15845" s="3"/>
    </row>
    <row r="15846" spans="1:17" ht="15" x14ac:dyDescent="0.25">
      <c r="A15846" s="3">
        <f>15839</f>
        <v>15839</v>
      </c>
      <c r="B15846" s="3" t="s">
        <v>15848</v>
      </c>
      <c r="C15846" s="3" t="s">
        <v>10</v>
      </c>
      <c r="D15846" s="3" t="s">
        <v>9</v>
      </c>
      <c r="E15846" s="3">
        <v>22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>
        <v>0</v>
      </c>
      <c r="O15846" s="3" t="s">
        <v>10</v>
      </c>
      <c r="P15846" s="3" t="s">
        <v>9</v>
      </c>
      <c r="Q15846" s="3"/>
    </row>
    <row r="15847" spans="1:17" ht="15" x14ac:dyDescent="0.25">
      <c r="A15847" s="3">
        <f>15840</f>
        <v>15840</v>
      </c>
      <c r="B15847" s="3" t="s">
        <v>15849</v>
      </c>
      <c r="C15847" s="3" t="s">
        <v>10</v>
      </c>
      <c r="D15847" s="3" t="s">
        <v>9</v>
      </c>
      <c r="E15847" s="3">
        <v>22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0</v>
      </c>
      <c r="O15847" s="3" t="s">
        <v>10</v>
      </c>
      <c r="P15847" s="3" t="s">
        <v>9</v>
      </c>
      <c r="Q15847" s="3"/>
    </row>
    <row r="15848" spans="1:17" ht="15" x14ac:dyDescent="0.25">
      <c r="A15848" s="3">
        <f>15841</f>
        <v>15841</v>
      </c>
      <c r="B15848" s="3" t="s">
        <v>15850</v>
      </c>
      <c r="C15848" s="3" t="s">
        <v>10</v>
      </c>
      <c r="D15848" s="3" t="s">
        <v>9</v>
      </c>
      <c r="E15848" s="3">
        <v>22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s="3" t="s">
        <v>10</v>
      </c>
      <c r="P15848" s="3" t="s">
        <v>9</v>
      </c>
      <c r="Q15848" s="3"/>
    </row>
    <row r="15849" spans="1:17" ht="15" x14ac:dyDescent="0.25">
      <c r="A15849" s="3">
        <f>15842</f>
        <v>15842</v>
      </c>
      <c r="B15849" s="3" t="s">
        <v>15851</v>
      </c>
      <c r="C15849" s="3" t="s">
        <v>10</v>
      </c>
      <c r="D15849" s="3" t="s">
        <v>9</v>
      </c>
      <c r="E15849" s="3">
        <v>22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 t="s">
        <v>10</v>
      </c>
      <c r="P15849" s="3" t="s">
        <v>9</v>
      </c>
      <c r="Q15849" s="3"/>
    </row>
    <row r="15850" spans="1:17" ht="15" x14ac:dyDescent="0.25">
      <c r="A15850" s="3">
        <f>15843</f>
        <v>15843</v>
      </c>
      <c r="B15850" s="3" t="s">
        <v>15852</v>
      </c>
      <c r="C15850" s="3" t="s">
        <v>10</v>
      </c>
      <c r="D15850" s="3" t="s">
        <v>9</v>
      </c>
      <c r="E15850" s="3">
        <v>22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0</v>
      </c>
      <c r="O15850" s="3" t="s">
        <v>10</v>
      </c>
      <c r="P15850" s="3" t="s">
        <v>9</v>
      </c>
      <c r="Q15850" s="3"/>
    </row>
    <row r="15851" spans="1:17" ht="15" x14ac:dyDescent="0.25">
      <c r="A15851" s="3">
        <f>15844</f>
        <v>15844</v>
      </c>
      <c r="B15851" s="3" t="s">
        <v>15853</v>
      </c>
      <c r="C15851" s="3" t="s">
        <v>10</v>
      </c>
      <c r="D15851" s="3" t="s">
        <v>9</v>
      </c>
      <c r="E15851" s="3">
        <v>22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s="3" t="s">
        <v>10</v>
      </c>
      <c r="P15851" s="3" t="s">
        <v>9</v>
      </c>
      <c r="Q15851" s="3"/>
    </row>
    <row r="15852" spans="1:17" ht="15" x14ac:dyDescent="0.25">
      <c r="A15852" s="3">
        <f>15845</f>
        <v>15845</v>
      </c>
      <c r="B15852" s="3" t="s">
        <v>15854</v>
      </c>
      <c r="C15852" s="3" t="s">
        <v>10</v>
      </c>
      <c r="D15852" s="3" t="s">
        <v>9</v>
      </c>
      <c r="E15852" s="3">
        <v>22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s="3" t="s">
        <v>10</v>
      </c>
      <c r="P15852" s="3" t="s">
        <v>9</v>
      </c>
      <c r="Q15852" s="3"/>
    </row>
    <row r="15853" spans="1:17" ht="15" x14ac:dyDescent="0.25">
      <c r="A15853" s="3">
        <f>15846</f>
        <v>15846</v>
      </c>
      <c r="B15853" s="3" t="s">
        <v>15855</v>
      </c>
      <c r="C15853" s="3" t="s">
        <v>10</v>
      </c>
      <c r="D15853" s="3" t="s">
        <v>9</v>
      </c>
      <c r="E15853" s="3">
        <v>22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s="3" t="s">
        <v>10</v>
      </c>
      <c r="P15853" s="3" t="s">
        <v>9</v>
      </c>
      <c r="Q15853" s="3"/>
    </row>
    <row r="15854" spans="1:17" ht="15" x14ac:dyDescent="0.25">
      <c r="A15854" s="3">
        <f>15847</f>
        <v>15847</v>
      </c>
      <c r="B15854" s="3" t="s">
        <v>15856</v>
      </c>
      <c r="C15854" s="3" t="s">
        <v>10</v>
      </c>
      <c r="D15854" s="3" t="s">
        <v>9</v>
      </c>
      <c r="E15854" s="3">
        <v>22</v>
      </c>
      <c r="F15854" s="3">
        <v>0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0</v>
      </c>
      <c r="O15854" s="3" t="s">
        <v>10</v>
      </c>
      <c r="P15854" s="3" t="s">
        <v>9</v>
      </c>
      <c r="Q15854" s="3"/>
    </row>
    <row r="15855" spans="1:17" ht="15" x14ac:dyDescent="0.25">
      <c r="A15855" s="3">
        <f>15848</f>
        <v>15848</v>
      </c>
      <c r="B15855" s="3" t="s">
        <v>15857</v>
      </c>
      <c r="C15855" s="3" t="s">
        <v>10</v>
      </c>
      <c r="D15855" s="3" t="s">
        <v>9</v>
      </c>
      <c r="E15855" s="3">
        <v>22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0</v>
      </c>
      <c r="O15855" s="3" t="s">
        <v>10</v>
      </c>
      <c r="P15855" s="3" t="s">
        <v>9</v>
      </c>
      <c r="Q15855" s="3"/>
    </row>
    <row r="15856" spans="1:17" ht="15" x14ac:dyDescent="0.25">
      <c r="A15856" s="3">
        <f>15849</f>
        <v>15849</v>
      </c>
      <c r="B15856" s="3" t="s">
        <v>15858</v>
      </c>
      <c r="C15856" s="3" t="s">
        <v>10</v>
      </c>
      <c r="D15856" s="3" t="s">
        <v>9</v>
      </c>
      <c r="E15856" s="3">
        <v>22</v>
      </c>
      <c r="F15856" s="3">
        <v>0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0</v>
      </c>
      <c r="O15856" s="3" t="s">
        <v>10</v>
      </c>
      <c r="P15856" s="3" t="s">
        <v>9</v>
      </c>
      <c r="Q15856" s="3"/>
    </row>
    <row r="15857" spans="1:17" ht="15" x14ac:dyDescent="0.25">
      <c r="A15857" s="3">
        <f>15850</f>
        <v>15850</v>
      </c>
      <c r="B15857" s="3" t="s">
        <v>15859</v>
      </c>
      <c r="C15857" s="3" t="s">
        <v>10</v>
      </c>
      <c r="D15857" s="3" t="s">
        <v>9</v>
      </c>
      <c r="E15857" s="3">
        <v>22</v>
      </c>
      <c r="F15857" s="3">
        <v>0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s="3" t="s">
        <v>10</v>
      </c>
      <c r="P15857" s="3" t="s">
        <v>9</v>
      </c>
      <c r="Q15857" s="3"/>
    </row>
    <row r="15858" spans="1:17" ht="15" x14ac:dyDescent="0.25">
      <c r="A15858" s="3">
        <f>15851</f>
        <v>15851</v>
      </c>
      <c r="B15858" s="3" t="s">
        <v>15860</v>
      </c>
      <c r="C15858" s="3" t="s">
        <v>10</v>
      </c>
      <c r="D15858" s="3" t="s">
        <v>9</v>
      </c>
      <c r="E15858" s="3">
        <v>22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s="3" t="s">
        <v>10</v>
      </c>
      <c r="P15858" s="3" t="s">
        <v>9</v>
      </c>
      <c r="Q15858" s="3"/>
    </row>
    <row r="15859" spans="1:17" ht="15" x14ac:dyDescent="0.25">
      <c r="A15859" s="3">
        <f>15852</f>
        <v>15852</v>
      </c>
      <c r="B15859" s="3" t="s">
        <v>15861</v>
      </c>
      <c r="C15859" s="3" t="s">
        <v>10</v>
      </c>
      <c r="D15859" s="3" t="s">
        <v>9</v>
      </c>
      <c r="E15859" s="3">
        <v>22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 t="s">
        <v>10</v>
      </c>
      <c r="P15859" s="3" t="s">
        <v>9</v>
      </c>
      <c r="Q15859" s="3"/>
    </row>
    <row r="15860" spans="1:17" ht="15" x14ac:dyDescent="0.25">
      <c r="A15860" s="3">
        <f>15853</f>
        <v>15853</v>
      </c>
      <c r="B15860" s="3" t="s">
        <v>15862</v>
      </c>
      <c r="C15860" s="3" t="s">
        <v>10</v>
      </c>
      <c r="D15860" s="3" t="s">
        <v>9</v>
      </c>
      <c r="E15860" s="3">
        <v>22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 t="s">
        <v>10</v>
      </c>
      <c r="P15860" s="3" t="s">
        <v>9</v>
      </c>
      <c r="Q15860" s="3"/>
    </row>
    <row r="15861" spans="1:17" ht="15" x14ac:dyDescent="0.25">
      <c r="A15861" s="3">
        <f>15854</f>
        <v>15854</v>
      </c>
      <c r="B15861" s="3" t="s">
        <v>15863</v>
      </c>
      <c r="C15861" s="3" t="s">
        <v>10</v>
      </c>
      <c r="D15861" s="3" t="s">
        <v>9</v>
      </c>
      <c r="E15861" s="3">
        <v>22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s="3" t="s">
        <v>10</v>
      </c>
      <c r="P15861" s="3" t="s">
        <v>9</v>
      </c>
      <c r="Q15861" s="3"/>
    </row>
    <row r="15862" spans="1:17" ht="15" x14ac:dyDescent="0.25">
      <c r="A15862" s="3">
        <f>15855</f>
        <v>15855</v>
      </c>
      <c r="B15862" s="3" t="s">
        <v>15864</v>
      </c>
      <c r="C15862" s="3" t="s">
        <v>10</v>
      </c>
      <c r="D15862" s="3" t="s">
        <v>9</v>
      </c>
      <c r="E15862" s="3">
        <v>22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s="3" t="s">
        <v>10</v>
      </c>
      <c r="P15862" s="3" t="s">
        <v>9</v>
      </c>
      <c r="Q15862" s="3"/>
    </row>
    <row r="15863" spans="1:17" ht="15" x14ac:dyDescent="0.25">
      <c r="A15863" s="3">
        <f>15856</f>
        <v>15856</v>
      </c>
      <c r="B15863" s="3" t="s">
        <v>15865</v>
      </c>
      <c r="C15863" s="3" t="s">
        <v>10</v>
      </c>
      <c r="D15863" s="3" t="s">
        <v>9</v>
      </c>
      <c r="E15863" s="3">
        <v>22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s="3" t="s">
        <v>10</v>
      </c>
      <c r="P15863" s="3" t="s">
        <v>9</v>
      </c>
      <c r="Q15863" s="3"/>
    </row>
    <row r="15864" spans="1:17" ht="15" x14ac:dyDescent="0.25">
      <c r="A15864" s="3">
        <f>15857</f>
        <v>15857</v>
      </c>
      <c r="B15864" s="3" t="s">
        <v>15866</v>
      </c>
      <c r="C15864" s="3" t="s">
        <v>10</v>
      </c>
      <c r="D15864" s="3" t="s">
        <v>9</v>
      </c>
      <c r="E15864" s="3">
        <v>22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s="3" t="s">
        <v>10</v>
      </c>
      <c r="P15864" s="3" t="s">
        <v>9</v>
      </c>
      <c r="Q15864" s="3"/>
    </row>
    <row r="15865" spans="1:17" ht="15" x14ac:dyDescent="0.25">
      <c r="A15865" s="3">
        <f>15858</f>
        <v>15858</v>
      </c>
      <c r="B15865" s="3" t="s">
        <v>15867</v>
      </c>
      <c r="C15865" s="3" t="s">
        <v>10</v>
      </c>
      <c r="D15865" s="3" t="s">
        <v>9</v>
      </c>
      <c r="E15865" s="3">
        <v>22</v>
      </c>
      <c r="F15865" s="3">
        <v>0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>
        <v>0</v>
      </c>
      <c r="O15865" s="3" t="s">
        <v>10</v>
      </c>
      <c r="P15865" s="3" t="s">
        <v>9</v>
      </c>
      <c r="Q15865" s="3"/>
    </row>
    <row r="15866" spans="1:17" ht="15" x14ac:dyDescent="0.25">
      <c r="A15866" s="3">
        <f>15859</f>
        <v>15859</v>
      </c>
      <c r="B15866" s="3" t="s">
        <v>15868</v>
      </c>
      <c r="C15866" s="3" t="s">
        <v>10</v>
      </c>
      <c r="D15866" s="3" t="s">
        <v>9</v>
      </c>
      <c r="E15866" s="3">
        <v>22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s="3" t="s">
        <v>10</v>
      </c>
      <c r="P15866" s="3" t="s">
        <v>9</v>
      </c>
      <c r="Q15866" s="3"/>
    </row>
    <row r="15867" spans="1:17" ht="15" x14ac:dyDescent="0.25">
      <c r="A15867" s="3">
        <f>15860</f>
        <v>15860</v>
      </c>
      <c r="B15867" s="3" t="s">
        <v>15869</v>
      </c>
      <c r="C15867" s="3" t="s">
        <v>10</v>
      </c>
      <c r="D15867" s="3" t="s">
        <v>9</v>
      </c>
      <c r="E15867" s="3">
        <v>22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0</v>
      </c>
      <c r="O15867" s="3" t="s">
        <v>10</v>
      </c>
      <c r="P15867" s="3" t="s">
        <v>9</v>
      </c>
      <c r="Q15867" s="3"/>
    </row>
    <row r="15868" spans="1:17" ht="15" x14ac:dyDescent="0.25">
      <c r="A15868" s="3">
        <f>15861</f>
        <v>15861</v>
      </c>
      <c r="B15868" s="3" t="s">
        <v>15870</v>
      </c>
      <c r="C15868" s="3" t="s">
        <v>10</v>
      </c>
      <c r="D15868" s="3" t="s">
        <v>9</v>
      </c>
      <c r="E15868" s="3">
        <v>22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 t="s">
        <v>10</v>
      </c>
      <c r="P15868" s="3" t="s">
        <v>9</v>
      </c>
      <c r="Q15868" s="3"/>
    </row>
    <row r="15869" spans="1:17" ht="15" x14ac:dyDescent="0.25">
      <c r="A15869" s="3">
        <f>15862</f>
        <v>15862</v>
      </c>
      <c r="B15869" s="3" t="s">
        <v>15871</v>
      </c>
      <c r="C15869" s="3" t="s">
        <v>10</v>
      </c>
      <c r="D15869" s="3" t="s">
        <v>9</v>
      </c>
      <c r="E15869" s="3">
        <v>22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0</v>
      </c>
      <c r="O15869" s="3" t="s">
        <v>10</v>
      </c>
      <c r="P15869" s="3" t="s">
        <v>9</v>
      </c>
      <c r="Q15869" s="3"/>
    </row>
    <row r="15870" spans="1:17" ht="15" x14ac:dyDescent="0.25">
      <c r="A15870" s="3">
        <f>15863</f>
        <v>15863</v>
      </c>
      <c r="B15870" s="3" t="s">
        <v>15872</v>
      </c>
      <c r="C15870" s="3" t="s">
        <v>10</v>
      </c>
      <c r="D15870" s="3" t="s">
        <v>9</v>
      </c>
      <c r="E15870" s="3">
        <v>22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s="3" t="s">
        <v>10</v>
      </c>
      <c r="P15870" s="3" t="s">
        <v>9</v>
      </c>
      <c r="Q15870" s="3"/>
    </row>
    <row r="15871" spans="1:17" ht="15" x14ac:dyDescent="0.25">
      <c r="A15871" s="3">
        <f>15864</f>
        <v>15864</v>
      </c>
      <c r="B15871" s="3" t="s">
        <v>15873</v>
      </c>
      <c r="C15871" s="3" t="s">
        <v>10</v>
      </c>
      <c r="D15871" s="3" t="s">
        <v>9</v>
      </c>
      <c r="E15871" s="3">
        <v>22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s="3" t="s">
        <v>10</v>
      </c>
      <c r="P15871" s="3" t="s">
        <v>9</v>
      </c>
      <c r="Q15871" s="3"/>
    </row>
    <row r="15872" spans="1:17" ht="15" x14ac:dyDescent="0.25">
      <c r="A15872" s="3">
        <f>15865</f>
        <v>15865</v>
      </c>
      <c r="B15872" s="3" t="s">
        <v>15874</v>
      </c>
      <c r="C15872" s="3" t="s">
        <v>10</v>
      </c>
      <c r="D15872" s="3" t="s">
        <v>9</v>
      </c>
      <c r="E15872" s="3">
        <v>22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>
        <v>0</v>
      </c>
      <c r="O15872" s="3" t="s">
        <v>10</v>
      </c>
      <c r="P15872" s="3" t="s">
        <v>9</v>
      </c>
      <c r="Q15872" s="3"/>
    </row>
    <row r="15873" spans="1:17" ht="15" x14ac:dyDescent="0.25">
      <c r="A15873" s="3">
        <f>15866</f>
        <v>15866</v>
      </c>
      <c r="B15873" s="3" t="s">
        <v>15875</v>
      </c>
      <c r="C15873" s="3" t="s">
        <v>10</v>
      </c>
      <c r="D15873" s="3" t="s">
        <v>9</v>
      </c>
      <c r="E15873" s="3">
        <v>22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>
        <v>0</v>
      </c>
      <c r="O15873" s="3" t="s">
        <v>10</v>
      </c>
      <c r="P15873" s="3" t="s">
        <v>9</v>
      </c>
      <c r="Q15873" s="3"/>
    </row>
    <row r="15874" spans="1:17" ht="15" x14ac:dyDescent="0.25">
      <c r="A15874" s="3">
        <f>15867</f>
        <v>15867</v>
      </c>
      <c r="B15874" s="3" t="s">
        <v>15876</v>
      </c>
      <c r="C15874" s="3" t="s">
        <v>10</v>
      </c>
      <c r="D15874" s="3" t="s">
        <v>9</v>
      </c>
      <c r="E15874" s="3">
        <v>22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>
        <v>0</v>
      </c>
      <c r="O15874" s="3" t="s">
        <v>10</v>
      </c>
      <c r="P15874" s="3" t="s">
        <v>9</v>
      </c>
      <c r="Q15874" s="3"/>
    </row>
    <row r="15875" spans="1:17" ht="15" x14ac:dyDescent="0.25">
      <c r="A15875" s="3">
        <f>15868</f>
        <v>15868</v>
      </c>
      <c r="B15875" s="3" t="s">
        <v>15877</v>
      </c>
      <c r="C15875" s="3" t="s">
        <v>10</v>
      </c>
      <c r="D15875" s="3" t="s">
        <v>9</v>
      </c>
      <c r="E15875" s="3">
        <v>22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>
        <v>0</v>
      </c>
      <c r="O15875" s="3" t="s">
        <v>10</v>
      </c>
      <c r="P15875" s="3" t="s">
        <v>9</v>
      </c>
      <c r="Q15875" s="3"/>
    </row>
    <row r="15876" spans="1:17" ht="15" x14ac:dyDescent="0.25">
      <c r="A15876" s="3">
        <f>15869</f>
        <v>15869</v>
      </c>
      <c r="B15876" s="3" t="s">
        <v>15878</v>
      </c>
      <c r="C15876" s="3" t="s">
        <v>10</v>
      </c>
      <c r="D15876" s="3" t="s">
        <v>9</v>
      </c>
      <c r="E15876" s="3">
        <v>22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s="3" t="s">
        <v>10</v>
      </c>
      <c r="P15876" s="3" t="s">
        <v>9</v>
      </c>
      <c r="Q15876" s="3"/>
    </row>
    <row r="15877" spans="1:17" ht="15" x14ac:dyDescent="0.25">
      <c r="A15877" s="3">
        <f>15870</f>
        <v>15870</v>
      </c>
      <c r="B15877" s="3" t="s">
        <v>15879</v>
      </c>
      <c r="C15877" s="3" t="s">
        <v>10</v>
      </c>
      <c r="D15877" s="3" t="s">
        <v>9</v>
      </c>
      <c r="E15877" s="3">
        <v>22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s="3" t="s">
        <v>10</v>
      </c>
      <c r="P15877" s="3" t="s">
        <v>9</v>
      </c>
      <c r="Q15877" s="3"/>
    </row>
    <row r="15878" spans="1:17" ht="15" x14ac:dyDescent="0.25">
      <c r="A15878" s="3">
        <f>15871</f>
        <v>15871</v>
      </c>
      <c r="B15878" s="3" t="s">
        <v>15880</v>
      </c>
      <c r="C15878" s="3" t="s">
        <v>10</v>
      </c>
      <c r="D15878" s="3" t="s">
        <v>9</v>
      </c>
      <c r="E15878" s="3">
        <v>22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s="3" t="s">
        <v>10</v>
      </c>
      <c r="P15878" s="3" t="s">
        <v>9</v>
      </c>
      <c r="Q15878" s="3"/>
    </row>
    <row r="15879" spans="1:17" ht="15" x14ac:dyDescent="0.25">
      <c r="A15879" s="3">
        <f>15872</f>
        <v>15872</v>
      </c>
      <c r="B15879" s="3" t="s">
        <v>15881</v>
      </c>
      <c r="C15879" s="3" t="s">
        <v>10</v>
      </c>
      <c r="D15879" s="3" t="s">
        <v>9</v>
      </c>
      <c r="E15879" s="3">
        <v>22</v>
      </c>
      <c r="F15879" s="3">
        <v>0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s="3" t="s">
        <v>10</v>
      </c>
      <c r="P15879" s="3" t="s">
        <v>9</v>
      </c>
      <c r="Q15879" s="3"/>
    </row>
    <row r="15880" spans="1:17" ht="15" x14ac:dyDescent="0.25">
      <c r="A15880" s="3">
        <f>15873</f>
        <v>15873</v>
      </c>
      <c r="B15880" s="3" t="s">
        <v>15882</v>
      </c>
      <c r="C15880" s="3" t="s">
        <v>10</v>
      </c>
      <c r="D15880" s="3" t="s">
        <v>9</v>
      </c>
      <c r="E15880" s="3">
        <v>22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s="3" t="s">
        <v>10</v>
      </c>
      <c r="P15880" s="3" t="s">
        <v>9</v>
      </c>
      <c r="Q15880" s="3"/>
    </row>
    <row r="15881" spans="1:17" ht="15" x14ac:dyDescent="0.25">
      <c r="A15881" s="3">
        <f>15874</f>
        <v>15874</v>
      </c>
      <c r="B15881" s="3" t="s">
        <v>15883</v>
      </c>
      <c r="C15881" s="3" t="s">
        <v>10</v>
      </c>
      <c r="D15881" s="3" t="s">
        <v>9</v>
      </c>
      <c r="E15881" s="3">
        <v>22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0</v>
      </c>
      <c r="O15881" s="3" t="s">
        <v>10</v>
      </c>
      <c r="P15881" s="3" t="s">
        <v>9</v>
      </c>
      <c r="Q15881" s="3"/>
    </row>
    <row r="15882" spans="1:17" ht="15" x14ac:dyDescent="0.25">
      <c r="A15882" s="3">
        <f>15875</f>
        <v>15875</v>
      </c>
      <c r="B15882" s="3" t="s">
        <v>15884</v>
      </c>
      <c r="C15882" s="3" t="s">
        <v>10</v>
      </c>
      <c r="D15882" s="3" t="s">
        <v>9</v>
      </c>
      <c r="E15882" s="3">
        <v>22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0</v>
      </c>
      <c r="O15882" s="3" t="s">
        <v>10</v>
      </c>
      <c r="P15882" s="3" t="s">
        <v>9</v>
      </c>
      <c r="Q15882" s="3"/>
    </row>
    <row r="15883" spans="1:17" ht="15" x14ac:dyDescent="0.25">
      <c r="A15883" s="3">
        <f>15876</f>
        <v>15876</v>
      </c>
      <c r="B15883" s="3" t="s">
        <v>15885</v>
      </c>
      <c r="C15883" s="3" t="s">
        <v>10</v>
      </c>
      <c r="D15883" s="3" t="s">
        <v>9</v>
      </c>
      <c r="E15883" s="3">
        <v>22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s="3" t="s">
        <v>10</v>
      </c>
      <c r="P15883" s="3" t="s">
        <v>9</v>
      </c>
      <c r="Q15883" s="3"/>
    </row>
    <row r="15884" spans="1:17" ht="15" x14ac:dyDescent="0.25">
      <c r="A15884" s="3">
        <f>15877</f>
        <v>15877</v>
      </c>
      <c r="B15884" s="3" t="s">
        <v>15886</v>
      </c>
      <c r="C15884" s="3" t="s">
        <v>10</v>
      </c>
      <c r="D15884" s="3" t="s">
        <v>9</v>
      </c>
      <c r="E15884" s="3">
        <v>22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>
        <v>0</v>
      </c>
      <c r="O15884" s="3" t="s">
        <v>10</v>
      </c>
      <c r="P15884" s="3" t="s">
        <v>9</v>
      </c>
      <c r="Q15884" s="3"/>
    </row>
    <row r="15885" spans="1:17" ht="15" x14ac:dyDescent="0.25">
      <c r="A15885" s="3">
        <f>15878</f>
        <v>15878</v>
      </c>
      <c r="B15885" s="3" t="s">
        <v>15887</v>
      </c>
      <c r="C15885" s="3" t="s">
        <v>10</v>
      </c>
      <c r="D15885" s="3" t="s">
        <v>9</v>
      </c>
      <c r="E15885" s="3">
        <v>22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s="3" t="s">
        <v>10</v>
      </c>
      <c r="P15885" s="3" t="s">
        <v>9</v>
      </c>
      <c r="Q15885" s="3"/>
    </row>
    <row r="15886" spans="1:17" ht="15" x14ac:dyDescent="0.25">
      <c r="A15886" s="3">
        <f>15879</f>
        <v>15879</v>
      </c>
      <c r="B15886" s="3" t="s">
        <v>15888</v>
      </c>
      <c r="C15886" s="3" t="s">
        <v>10</v>
      </c>
      <c r="D15886" s="3" t="s">
        <v>9</v>
      </c>
      <c r="E15886" s="3">
        <v>22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 t="s">
        <v>10</v>
      </c>
      <c r="P15886" s="3" t="s">
        <v>9</v>
      </c>
      <c r="Q15886" s="3"/>
    </row>
    <row r="15887" spans="1:17" ht="15" x14ac:dyDescent="0.25">
      <c r="A15887" s="3">
        <f>15880</f>
        <v>15880</v>
      </c>
      <c r="B15887" s="3" t="s">
        <v>15889</v>
      </c>
      <c r="C15887" s="3" t="s">
        <v>10</v>
      </c>
      <c r="D15887" s="3" t="s">
        <v>9</v>
      </c>
      <c r="E15887" s="3">
        <v>22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  <c r="O15887" s="3" t="s">
        <v>10</v>
      </c>
      <c r="P15887" s="3" t="s">
        <v>9</v>
      </c>
      <c r="Q15887" s="3"/>
    </row>
    <row r="15888" spans="1:17" ht="15" x14ac:dyDescent="0.25">
      <c r="A15888" s="3">
        <f>15881</f>
        <v>15881</v>
      </c>
      <c r="B15888" s="3" t="s">
        <v>15890</v>
      </c>
      <c r="C15888" s="3" t="s">
        <v>10</v>
      </c>
      <c r="D15888" s="3" t="s">
        <v>9</v>
      </c>
      <c r="E15888" s="3">
        <v>22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0</v>
      </c>
      <c r="O15888" s="3" t="s">
        <v>10</v>
      </c>
      <c r="P15888" s="3" t="s">
        <v>9</v>
      </c>
      <c r="Q15888" s="3"/>
    </row>
    <row r="15889" spans="1:17" ht="15" x14ac:dyDescent="0.25">
      <c r="A15889" s="3">
        <f>15882</f>
        <v>15882</v>
      </c>
      <c r="B15889" s="3" t="s">
        <v>15891</v>
      </c>
      <c r="C15889" s="3" t="s">
        <v>10</v>
      </c>
      <c r="D15889" s="3" t="s">
        <v>9</v>
      </c>
      <c r="E15889" s="3">
        <v>22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0</v>
      </c>
      <c r="O15889" s="3" t="s">
        <v>10</v>
      </c>
      <c r="P15889" s="3" t="s">
        <v>9</v>
      </c>
      <c r="Q15889" s="3"/>
    </row>
    <row r="15890" spans="1:17" ht="15" x14ac:dyDescent="0.25">
      <c r="A15890" s="3">
        <f>15883</f>
        <v>15883</v>
      </c>
      <c r="B15890" s="3" t="s">
        <v>15892</v>
      </c>
      <c r="C15890" s="3" t="s">
        <v>10</v>
      </c>
      <c r="D15890" s="3" t="s">
        <v>9</v>
      </c>
      <c r="E15890" s="3">
        <v>22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 t="s">
        <v>10</v>
      </c>
      <c r="P15890" s="3" t="s">
        <v>9</v>
      </c>
      <c r="Q15890" s="3"/>
    </row>
    <row r="15891" spans="1:17" ht="15" x14ac:dyDescent="0.25">
      <c r="A15891" s="3">
        <f>15884</f>
        <v>15884</v>
      </c>
      <c r="B15891" s="3" t="s">
        <v>15893</v>
      </c>
      <c r="C15891" s="3" t="s">
        <v>10</v>
      </c>
      <c r="D15891" s="3" t="s">
        <v>9</v>
      </c>
      <c r="E15891" s="3">
        <v>22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s="3" t="s">
        <v>10</v>
      </c>
      <c r="P15891" s="3" t="s">
        <v>9</v>
      </c>
      <c r="Q15891" s="3"/>
    </row>
    <row r="15892" spans="1:17" ht="15" x14ac:dyDescent="0.25">
      <c r="A15892" s="3">
        <f>15885</f>
        <v>15885</v>
      </c>
      <c r="B15892" s="3" t="s">
        <v>15894</v>
      </c>
      <c r="C15892" s="3" t="s">
        <v>10</v>
      </c>
      <c r="D15892" s="3" t="s">
        <v>9</v>
      </c>
      <c r="E15892" s="3">
        <v>22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0</v>
      </c>
      <c r="O15892" s="3" t="s">
        <v>10</v>
      </c>
      <c r="P15892" s="3" t="s">
        <v>9</v>
      </c>
      <c r="Q15892" s="3"/>
    </row>
    <row r="15893" spans="1:17" ht="15" x14ac:dyDescent="0.25">
      <c r="A15893" s="3">
        <f>15886</f>
        <v>15886</v>
      </c>
      <c r="B15893" s="3" t="s">
        <v>15895</v>
      </c>
      <c r="C15893" s="3" t="s">
        <v>10</v>
      </c>
      <c r="D15893" s="3" t="s">
        <v>9</v>
      </c>
      <c r="E15893" s="3">
        <v>22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  <c r="O15893" s="3" t="s">
        <v>10</v>
      </c>
      <c r="P15893" s="3" t="s">
        <v>9</v>
      </c>
      <c r="Q15893" s="3"/>
    </row>
    <row r="15894" spans="1:17" ht="15" x14ac:dyDescent="0.25">
      <c r="A15894" s="3">
        <f>15887</f>
        <v>15887</v>
      </c>
      <c r="B15894" s="3" t="s">
        <v>15896</v>
      </c>
      <c r="C15894" s="3" t="s">
        <v>10</v>
      </c>
      <c r="D15894" s="3" t="s">
        <v>9</v>
      </c>
      <c r="E15894" s="3">
        <v>22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0</v>
      </c>
      <c r="O15894" s="3" t="s">
        <v>10</v>
      </c>
      <c r="P15894" s="3" t="s">
        <v>9</v>
      </c>
      <c r="Q15894" s="3"/>
    </row>
    <row r="15895" spans="1:17" ht="15" x14ac:dyDescent="0.25">
      <c r="A15895" s="3">
        <f>15888</f>
        <v>15888</v>
      </c>
      <c r="B15895" s="3" t="s">
        <v>15897</v>
      </c>
      <c r="C15895" s="3" t="s">
        <v>10</v>
      </c>
      <c r="D15895" s="3" t="s">
        <v>9</v>
      </c>
      <c r="E15895" s="3">
        <v>22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0</v>
      </c>
      <c r="O15895" s="3" t="s">
        <v>10</v>
      </c>
      <c r="P15895" s="3" t="s">
        <v>9</v>
      </c>
      <c r="Q15895" s="3"/>
    </row>
    <row r="15896" spans="1:17" ht="15" x14ac:dyDescent="0.25">
      <c r="A15896" s="3">
        <f>15889</f>
        <v>15889</v>
      </c>
      <c r="B15896" s="3" t="s">
        <v>15898</v>
      </c>
      <c r="C15896" s="3" t="s">
        <v>10</v>
      </c>
      <c r="D15896" s="3" t="s">
        <v>9</v>
      </c>
      <c r="E15896" s="3">
        <v>22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s="3" t="s">
        <v>10</v>
      </c>
      <c r="P15896" s="3" t="s">
        <v>9</v>
      </c>
      <c r="Q15896" s="3"/>
    </row>
    <row r="15897" spans="1:17" ht="15" x14ac:dyDescent="0.25">
      <c r="A15897" s="3">
        <f>15890</f>
        <v>15890</v>
      </c>
      <c r="B15897" s="3" t="s">
        <v>15899</v>
      </c>
      <c r="C15897" s="3" t="s">
        <v>10</v>
      </c>
      <c r="D15897" s="3" t="s">
        <v>9</v>
      </c>
      <c r="E15897" s="3">
        <v>22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>
        <v>0</v>
      </c>
      <c r="O15897" s="3" t="s">
        <v>10</v>
      </c>
      <c r="P15897" s="3" t="s">
        <v>9</v>
      </c>
      <c r="Q15897" s="3"/>
    </row>
    <row r="15898" spans="1:17" ht="15" x14ac:dyDescent="0.25">
      <c r="A15898" s="3">
        <f>15891</f>
        <v>15891</v>
      </c>
      <c r="B15898" s="3" t="s">
        <v>15900</v>
      </c>
      <c r="C15898" s="3" t="s">
        <v>10</v>
      </c>
      <c r="D15898" s="3" t="s">
        <v>9</v>
      </c>
      <c r="E15898" s="3">
        <v>22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s="3" t="s">
        <v>10</v>
      </c>
      <c r="P15898" s="3" t="s">
        <v>9</v>
      </c>
      <c r="Q15898" s="3"/>
    </row>
    <row r="15899" spans="1:17" ht="15" x14ac:dyDescent="0.25">
      <c r="A15899" s="3">
        <f>15892</f>
        <v>15892</v>
      </c>
      <c r="B15899" s="3" t="s">
        <v>15901</v>
      </c>
      <c r="C15899" s="3" t="s">
        <v>10</v>
      </c>
      <c r="D15899" s="3" t="s">
        <v>9</v>
      </c>
      <c r="E15899" s="3">
        <v>22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0</v>
      </c>
      <c r="O15899" s="3" t="s">
        <v>10</v>
      </c>
      <c r="P15899" s="3" t="s">
        <v>9</v>
      </c>
      <c r="Q15899" s="3"/>
    </row>
    <row r="15900" spans="1:17" ht="15" x14ac:dyDescent="0.25">
      <c r="A15900" s="3">
        <f>15893</f>
        <v>15893</v>
      </c>
      <c r="B15900" s="3" t="s">
        <v>15902</v>
      </c>
      <c r="C15900" s="3" t="s">
        <v>10</v>
      </c>
      <c r="D15900" s="3" t="s">
        <v>9</v>
      </c>
      <c r="E15900" s="3">
        <v>22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3">
        <v>0</v>
      </c>
      <c r="N15900" s="3">
        <v>0</v>
      </c>
      <c r="O15900" s="3" t="s">
        <v>10</v>
      </c>
      <c r="P15900" s="3" t="s">
        <v>9</v>
      </c>
      <c r="Q15900" s="3"/>
    </row>
    <row r="15901" spans="1:17" ht="15" x14ac:dyDescent="0.25">
      <c r="A15901" s="3">
        <f>15894</f>
        <v>15894</v>
      </c>
      <c r="B15901" s="3" t="s">
        <v>15903</v>
      </c>
      <c r="C15901" s="3" t="s">
        <v>10</v>
      </c>
      <c r="D15901" s="3" t="s">
        <v>9</v>
      </c>
      <c r="E15901" s="3">
        <v>22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s="3" t="s">
        <v>10</v>
      </c>
      <c r="P15901" s="3" t="s">
        <v>9</v>
      </c>
      <c r="Q15901" s="3"/>
    </row>
    <row r="15902" spans="1:17" ht="15" x14ac:dyDescent="0.25">
      <c r="A15902" s="3">
        <f>15895</f>
        <v>15895</v>
      </c>
      <c r="B15902" s="3" t="s">
        <v>15904</v>
      </c>
      <c r="C15902" s="3" t="s">
        <v>10</v>
      </c>
      <c r="D15902" s="3" t="s">
        <v>9</v>
      </c>
      <c r="E15902" s="3">
        <v>22</v>
      </c>
      <c r="F15902" s="3">
        <v>0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>
        <v>0</v>
      </c>
      <c r="O15902" s="3" t="s">
        <v>10</v>
      </c>
      <c r="P15902" s="3" t="s">
        <v>9</v>
      </c>
      <c r="Q15902" s="3"/>
    </row>
    <row r="15903" spans="1:17" ht="15" x14ac:dyDescent="0.25">
      <c r="A15903" s="3">
        <f>15896</f>
        <v>15896</v>
      </c>
      <c r="B15903" s="3" t="s">
        <v>15905</v>
      </c>
      <c r="C15903" s="3" t="s">
        <v>10</v>
      </c>
      <c r="D15903" s="3" t="s">
        <v>9</v>
      </c>
      <c r="E15903" s="3">
        <v>22</v>
      </c>
      <c r="F15903" s="3">
        <v>0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>
        <v>0</v>
      </c>
      <c r="O15903" s="3" t="s">
        <v>10</v>
      </c>
      <c r="P15903" s="3" t="s">
        <v>9</v>
      </c>
      <c r="Q15903" s="3"/>
    </row>
    <row r="15904" spans="1:17" ht="15" x14ac:dyDescent="0.25">
      <c r="A15904" s="3">
        <f>15897</f>
        <v>15897</v>
      </c>
      <c r="B15904" s="3" t="s">
        <v>15906</v>
      </c>
      <c r="C15904" s="3" t="s">
        <v>10</v>
      </c>
      <c r="D15904" s="3" t="s">
        <v>9</v>
      </c>
      <c r="E15904" s="3">
        <v>22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s="3" t="s">
        <v>10</v>
      </c>
      <c r="P15904" s="3" t="s">
        <v>9</v>
      </c>
      <c r="Q15904" s="3"/>
    </row>
    <row r="15905" spans="1:17" ht="15" x14ac:dyDescent="0.25">
      <c r="A15905" s="3">
        <f>15898</f>
        <v>15898</v>
      </c>
      <c r="B15905" s="3" t="s">
        <v>15907</v>
      </c>
      <c r="C15905" s="3" t="s">
        <v>10</v>
      </c>
      <c r="D15905" s="3" t="s">
        <v>9</v>
      </c>
      <c r="E15905" s="3">
        <v>22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0</v>
      </c>
      <c r="O15905" s="3" t="s">
        <v>10</v>
      </c>
      <c r="P15905" s="3" t="s">
        <v>9</v>
      </c>
      <c r="Q15905" s="3"/>
    </row>
    <row r="15906" spans="1:17" ht="15" x14ac:dyDescent="0.25">
      <c r="A15906" s="3">
        <f>15899</f>
        <v>15899</v>
      </c>
      <c r="B15906" s="3" t="s">
        <v>15908</v>
      </c>
      <c r="C15906" s="3" t="s">
        <v>10</v>
      </c>
      <c r="D15906" s="3" t="s">
        <v>9</v>
      </c>
      <c r="E15906" s="3">
        <v>22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0</v>
      </c>
      <c r="O15906" s="3" t="s">
        <v>10</v>
      </c>
      <c r="P15906" s="3" t="s">
        <v>9</v>
      </c>
      <c r="Q15906" s="3"/>
    </row>
    <row r="15907" spans="1:17" ht="15" x14ac:dyDescent="0.25">
      <c r="A15907" s="3">
        <f>15900</f>
        <v>15900</v>
      </c>
      <c r="B15907" s="3" t="s">
        <v>15909</v>
      </c>
      <c r="C15907" s="3" t="s">
        <v>10</v>
      </c>
      <c r="D15907" s="3" t="s">
        <v>9</v>
      </c>
      <c r="E15907" s="3">
        <v>22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  <c r="O15907" s="3" t="s">
        <v>10</v>
      </c>
      <c r="P15907" s="3" t="s">
        <v>9</v>
      </c>
      <c r="Q15907" s="3"/>
    </row>
    <row r="15908" spans="1:17" ht="15" x14ac:dyDescent="0.25">
      <c r="A15908" s="3">
        <f>15901</f>
        <v>15901</v>
      </c>
      <c r="B15908" s="3" t="s">
        <v>15910</v>
      </c>
      <c r="C15908" s="3" t="s">
        <v>10</v>
      </c>
      <c r="D15908" s="3" t="s">
        <v>9</v>
      </c>
      <c r="E15908" s="3">
        <v>22</v>
      </c>
      <c r="F15908" s="3">
        <v>0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  <c r="O15908" s="3" t="s">
        <v>10</v>
      </c>
      <c r="P15908" s="3" t="s">
        <v>9</v>
      </c>
      <c r="Q15908" s="3"/>
    </row>
    <row r="15909" spans="1:17" ht="15" x14ac:dyDescent="0.25">
      <c r="A15909" s="3">
        <f>15902</f>
        <v>15902</v>
      </c>
      <c r="B15909" s="3" t="s">
        <v>15911</v>
      </c>
      <c r="C15909" s="3" t="s">
        <v>10</v>
      </c>
      <c r="D15909" s="3" t="s">
        <v>9</v>
      </c>
      <c r="E15909" s="3">
        <v>22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>
        <v>0</v>
      </c>
      <c r="O15909" s="3" t="s">
        <v>10</v>
      </c>
      <c r="P15909" s="3" t="s">
        <v>9</v>
      </c>
      <c r="Q15909" s="3"/>
    </row>
    <row r="15910" spans="1:17" ht="15" x14ac:dyDescent="0.25">
      <c r="A15910" s="3">
        <f>15903</f>
        <v>15903</v>
      </c>
      <c r="B15910" s="3" t="s">
        <v>15912</v>
      </c>
      <c r="C15910" s="3" t="s">
        <v>10</v>
      </c>
      <c r="D15910" s="3" t="s">
        <v>9</v>
      </c>
      <c r="E15910" s="3">
        <v>22</v>
      </c>
      <c r="F15910" s="3">
        <v>0</v>
      </c>
      <c r="G15910" s="3">
        <v>0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>
        <v>0</v>
      </c>
      <c r="O15910" s="3" t="s">
        <v>10</v>
      </c>
      <c r="P15910" s="3" t="s">
        <v>9</v>
      </c>
      <c r="Q15910" s="3"/>
    </row>
    <row r="15911" spans="1:17" ht="15" x14ac:dyDescent="0.25">
      <c r="A15911" s="3">
        <f>15904</f>
        <v>15904</v>
      </c>
      <c r="B15911" s="3" t="s">
        <v>15913</v>
      </c>
      <c r="C15911" s="3" t="s">
        <v>10</v>
      </c>
      <c r="D15911" s="3" t="s">
        <v>9</v>
      </c>
      <c r="E15911" s="3">
        <v>22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s="3" t="s">
        <v>10</v>
      </c>
      <c r="P15911" s="3" t="s">
        <v>9</v>
      </c>
      <c r="Q15911" s="3"/>
    </row>
    <row r="15912" spans="1:17" ht="15" x14ac:dyDescent="0.25">
      <c r="A15912" s="3">
        <f>15905</f>
        <v>15905</v>
      </c>
      <c r="B15912" s="3" t="s">
        <v>15914</v>
      </c>
      <c r="C15912" s="3" t="s">
        <v>10</v>
      </c>
      <c r="D15912" s="3" t="s">
        <v>9</v>
      </c>
      <c r="E15912" s="3">
        <v>22</v>
      </c>
      <c r="F15912" s="3">
        <v>0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>
        <v>0</v>
      </c>
      <c r="O15912" s="3" t="s">
        <v>10</v>
      </c>
      <c r="P15912" s="3" t="s">
        <v>9</v>
      </c>
      <c r="Q15912" s="3"/>
    </row>
    <row r="15913" spans="1:17" ht="15" x14ac:dyDescent="0.25">
      <c r="A15913" s="3">
        <f>15906</f>
        <v>15906</v>
      </c>
      <c r="B15913" s="3" t="s">
        <v>15915</v>
      </c>
      <c r="C15913" s="3" t="s">
        <v>10</v>
      </c>
      <c r="D15913" s="3" t="s">
        <v>9</v>
      </c>
      <c r="E15913" s="3">
        <v>22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s="3" t="s">
        <v>10</v>
      </c>
      <c r="P15913" s="3" t="s">
        <v>9</v>
      </c>
      <c r="Q15913" s="3"/>
    </row>
    <row r="15914" spans="1:17" ht="15" x14ac:dyDescent="0.25">
      <c r="A15914" s="3">
        <f>15907</f>
        <v>15907</v>
      </c>
      <c r="B15914" s="3" t="s">
        <v>15916</v>
      </c>
      <c r="C15914" s="3" t="s">
        <v>10</v>
      </c>
      <c r="D15914" s="3" t="s">
        <v>9</v>
      </c>
      <c r="E15914" s="3">
        <v>22</v>
      </c>
      <c r="F15914" s="3">
        <v>0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  <c r="O15914" s="3" t="s">
        <v>10</v>
      </c>
      <c r="P15914" s="3" t="s">
        <v>9</v>
      </c>
      <c r="Q15914" s="3"/>
    </row>
    <row r="15915" spans="1:17" ht="15" x14ac:dyDescent="0.25">
      <c r="A15915" s="3">
        <f>15908</f>
        <v>15908</v>
      </c>
      <c r="B15915" s="3" t="s">
        <v>15917</v>
      </c>
      <c r="C15915" s="3" t="s">
        <v>10</v>
      </c>
      <c r="D15915" s="3" t="s">
        <v>9</v>
      </c>
      <c r="E15915" s="3">
        <v>22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0</v>
      </c>
      <c r="O15915" s="3" t="s">
        <v>10</v>
      </c>
      <c r="P15915" s="3" t="s">
        <v>9</v>
      </c>
      <c r="Q15915" s="3"/>
    </row>
    <row r="15916" spans="1:17" ht="15" x14ac:dyDescent="0.25">
      <c r="A15916" s="3">
        <f>15909</f>
        <v>15909</v>
      </c>
      <c r="B15916" s="3" t="s">
        <v>15918</v>
      </c>
      <c r="C15916" s="3" t="s">
        <v>10</v>
      </c>
      <c r="D15916" s="3" t="s">
        <v>9</v>
      </c>
      <c r="E15916" s="3">
        <v>22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s="3" t="s">
        <v>10</v>
      </c>
      <c r="P15916" s="3" t="s">
        <v>9</v>
      </c>
      <c r="Q15916" s="3"/>
    </row>
    <row r="15917" spans="1:17" ht="15" x14ac:dyDescent="0.25">
      <c r="A15917" s="3">
        <f>15910</f>
        <v>15910</v>
      </c>
      <c r="B15917" s="3" t="s">
        <v>15919</v>
      </c>
      <c r="C15917" s="3" t="s">
        <v>10</v>
      </c>
      <c r="D15917" s="3" t="s">
        <v>9</v>
      </c>
      <c r="E15917" s="3">
        <v>22</v>
      </c>
      <c r="F15917" s="3">
        <v>0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0</v>
      </c>
      <c r="O15917" s="3" t="s">
        <v>10</v>
      </c>
      <c r="P15917" s="3" t="s">
        <v>9</v>
      </c>
      <c r="Q15917" s="3"/>
    </row>
    <row r="15918" spans="1:17" ht="15" x14ac:dyDescent="0.25">
      <c r="A15918" s="3">
        <f>15911</f>
        <v>15911</v>
      </c>
      <c r="B15918" s="3" t="s">
        <v>15920</v>
      </c>
      <c r="C15918" s="3" t="s">
        <v>10</v>
      </c>
      <c r="D15918" s="3" t="s">
        <v>9</v>
      </c>
      <c r="E15918" s="3">
        <v>22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s="3" t="s">
        <v>10</v>
      </c>
      <c r="P15918" s="3" t="s">
        <v>9</v>
      </c>
      <c r="Q15918" s="3"/>
    </row>
    <row r="15919" spans="1:17" ht="15" x14ac:dyDescent="0.25">
      <c r="A15919" s="3">
        <f>15912</f>
        <v>15912</v>
      </c>
      <c r="B15919" s="3" t="s">
        <v>15921</v>
      </c>
      <c r="C15919" s="3" t="s">
        <v>10</v>
      </c>
      <c r="D15919" s="3" t="s">
        <v>9</v>
      </c>
      <c r="E15919" s="3">
        <v>22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s="3" t="s">
        <v>10</v>
      </c>
      <c r="P15919" s="3" t="s">
        <v>9</v>
      </c>
      <c r="Q15919" s="3"/>
    </row>
    <row r="15920" spans="1:17" ht="15" x14ac:dyDescent="0.25">
      <c r="A15920" s="3">
        <f>15913</f>
        <v>15913</v>
      </c>
      <c r="B15920" s="3" t="s">
        <v>15922</v>
      </c>
      <c r="C15920" s="3" t="s">
        <v>10</v>
      </c>
      <c r="D15920" s="3" t="s">
        <v>9</v>
      </c>
      <c r="E15920" s="3">
        <v>22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 t="s">
        <v>10</v>
      </c>
      <c r="P15920" s="3" t="s">
        <v>9</v>
      </c>
      <c r="Q15920" s="3"/>
    </row>
    <row r="15921" spans="1:17" ht="15" x14ac:dyDescent="0.25">
      <c r="A15921" s="3">
        <f>15914</f>
        <v>15914</v>
      </c>
      <c r="B15921" s="3" t="s">
        <v>15923</v>
      </c>
      <c r="C15921" s="3" t="s">
        <v>10</v>
      </c>
      <c r="D15921" s="3" t="s">
        <v>9</v>
      </c>
      <c r="E15921" s="3">
        <v>22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 t="s">
        <v>10</v>
      </c>
      <c r="P15921" s="3" t="s">
        <v>9</v>
      </c>
      <c r="Q15921" s="3"/>
    </row>
    <row r="15922" spans="1:17" ht="15" x14ac:dyDescent="0.25">
      <c r="A15922" s="3">
        <f>15915</f>
        <v>15915</v>
      </c>
      <c r="B15922" s="3" t="s">
        <v>15924</v>
      </c>
      <c r="C15922" s="3" t="s">
        <v>10</v>
      </c>
      <c r="D15922" s="3" t="s">
        <v>9</v>
      </c>
      <c r="E15922" s="3">
        <v>22</v>
      </c>
      <c r="F15922" s="3">
        <v>0</v>
      </c>
      <c r="G15922" s="3">
        <v>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>
        <v>0</v>
      </c>
      <c r="O15922" s="3" t="s">
        <v>10</v>
      </c>
      <c r="P15922" s="3" t="s">
        <v>9</v>
      </c>
      <c r="Q15922" s="3"/>
    </row>
    <row r="15923" spans="1:17" ht="15" x14ac:dyDescent="0.25">
      <c r="A15923" s="3">
        <f>15916</f>
        <v>15916</v>
      </c>
      <c r="B15923" s="3" t="s">
        <v>15925</v>
      </c>
      <c r="C15923" s="3" t="s">
        <v>10</v>
      </c>
      <c r="D15923" s="3" t="s">
        <v>9</v>
      </c>
      <c r="E15923" s="3">
        <v>22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3">
        <v>0</v>
      </c>
      <c r="N15923" s="3">
        <v>0</v>
      </c>
      <c r="O15923" s="3" t="s">
        <v>10</v>
      </c>
      <c r="P15923" s="3" t="s">
        <v>9</v>
      </c>
      <c r="Q15923" s="3"/>
    </row>
    <row r="15924" spans="1:17" ht="15" x14ac:dyDescent="0.25">
      <c r="A15924" s="3">
        <f>15917</f>
        <v>15917</v>
      </c>
      <c r="B15924" s="3" t="s">
        <v>15926</v>
      </c>
      <c r="C15924" s="3" t="s">
        <v>10</v>
      </c>
      <c r="D15924" s="3" t="s">
        <v>9</v>
      </c>
      <c r="E15924" s="3">
        <v>22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3">
        <v>0</v>
      </c>
      <c r="N15924" s="3">
        <v>0</v>
      </c>
      <c r="O15924" s="3" t="s">
        <v>10</v>
      </c>
      <c r="P15924" s="3" t="s">
        <v>9</v>
      </c>
      <c r="Q15924" s="3"/>
    </row>
    <row r="15925" spans="1:17" ht="15" x14ac:dyDescent="0.25">
      <c r="A15925" s="3">
        <f>15918</f>
        <v>15918</v>
      </c>
      <c r="B15925" s="3" t="s">
        <v>15927</v>
      </c>
      <c r="C15925" s="3" t="s">
        <v>10</v>
      </c>
      <c r="D15925" s="3" t="s">
        <v>9</v>
      </c>
      <c r="E15925" s="3">
        <v>22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s="3" t="s">
        <v>10</v>
      </c>
      <c r="P15925" s="3" t="s">
        <v>9</v>
      </c>
      <c r="Q15925" s="3"/>
    </row>
    <row r="15926" spans="1:17" ht="15" x14ac:dyDescent="0.25">
      <c r="A15926" s="3">
        <f>15919</f>
        <v>15919</v>
      </c>
      <c r="B15926" s="3" t="s">
        <v>15928</v>
      </c>
      <c r="C15926" s="3" t="s">
        <v>10</v>
      </c>
      <c r="D15926" s="3" t="s">
        <v>9</v>
      </c>
      <c r="E15926" s="3">
        <v>22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s="3" t="s">
        <v>10</v>
      </c>
      <c r="P15926" s="3" t="s">
        <v>9</v>
      </c>
      <c r="Q15926" s="3"/>
    </row>
    <row r="15927" spans="1:17" ht="15" x14ac:dyDescent="0.25">
      <c r="A15927" s="3">
        <f>15920</f>
        <v>15920</v>
      </c>
      <c r="B15927" s="3" t="s">
        <v>15929</v>
      </c>
      <c r="C15927" s="3" t="s">
        <v>10</v>
      </c>
      <c r="D15927" s="3" t="s">
        <v>9</v>
      </c>
      <c r="E15927" s="3">
        <v>22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 t="s">
        <v>10</v>
      </c>
      <c r="P15927" s="3" t="s">
        <v>9</v>
      </c>
      <c r="Q15927" s="3"/>
    </row>
    <row r="15928" spans="1:17" ht="15" x14ac:dyDescent="0.25">
      <c r="A15928" s="3">
        <f>15921</f>
        <v>15921</v>
      </c>
      <c r="B15928" s="3" t="s">
        <v>15930</v>
      </c>
      <c r="C15928" s="3" t="s">
        <v>10</v>
      </c>
      <c r="D15928" s="3" t="s">
        <v>9</v>
      </c>
      <c r="E15928" s="3">
        <v>22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s="3" t="s">
        <v>10</v>
      </c>
      <c r="P15928" s="3" t="s">
        <v>9</v>
      </c>
      <c r="Q15928" s="3"/>
    </row>
    <row r="15929" spans="1:17" ht="15" x14ac:dyDescent="0.25">
      <c r="A15929" s="3">
        <f>15922</f>
        <v>15922</v>
      </c>
      <c r="B15929" s="3" t="s">
        <v>15931</v>
      </c>
      <c r="C15929" s="3" t="s">
        <v>10</v>
      </c>
      <c r="D15929" s="3" t="s">
        <v>9</v>
      </c>
      <c r="E15929" s="3">
        <v>22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>
        <v>0</v>
      </c>
      <c r="O15929" s="3" t="s">
        <v>10</v>
      </c>
      <c r="P15929" s="3" t="s">
        <v>9</v>
      </c>
      <c r="Q15929" s="3"/>
    </row>
    <row r="15930" spans="1:17" ht="15" x14ac:dyDescent="0.25">
      <c r="A15930" s="3">
        <f>15923</f>
        <v>15923</v>
      </c>
      <c r="B15930" s="3" t="s">
        <v>15932</v>
      </c>
      <c r="C15930" s="3" t="s">
        <v>10</v>
      </c>
      <c r="D15930" s="3" t="s">
        <v>9</v>
      </c>
      <c r="E15930" s="3">
        <v>22</v>
      </c>
      <c r="F15930" s="3">
        <v>0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>
        <v>0</v>
      </c>
      <c r="O15930" s="3" t="s">
        <v>10</v>
      </c>
      <c r="P15930" s="3" t="s">
        <v>9</v>
      </c>
      <c r="Q15930" s="3"/>
    </row>
    <row r="15931" spans="1:17" ht="15" x14ac:dyDescent="0.25">
      <c r="A15931" s="3">
        <f>15924</f>
        <v>15924</v>
      </c>
      <c r="B15931" s="3" t="s">
        <v>15933</v>
      </c>
      <c r="C15931" s="3" t="s">
        <v>10</v>
      </c>
      <c r="D15931" s="3" t="s">
        <v>9</v>
      </c>
      <c r="E15931" s="3">
        <v>22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0</v>
      </c>
      <c r="O15931" s="3" t="s">
        <v>10</v>
      </c>
      <c r="P15931" s="3" t="s">
        <v>9</v>
      </c>
      <c r="Q15931" s="3"/>
    </row>
    <row r="15932" spans="1:17" ht="15" x14ac:dyDescent="0.25">
      <c r="A15932" s="3">
        <f>15925</f>
        <v>15925</v>
      </c>
      <c r="B15932" s="3" t="s">
        <v>15934</v>
      </c>
      <c r="C15932" s="3" t="s">
        <v>10</v>
      </c>
      <c r="D15932" s="3" t="s">
        <v>9</v>
      </c>
      <c r="E15932" s="3">
        <v>22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0</v>
      </c>
      <c r="O15932" s="3" t="s">
        <v>10</v>
      </c>
      <c r="P15932" s="3" t="s">
        <v>9</v>
      </c>
      <c r="Q15932" s="3"/>
    </row>
    <row r="15933" spans="1:17" ht="15" x14ac:dyDescent="0.25">
      <c r="A15933" s="3">
        <f>15926</f>
        <v>15926</v>
      </c>
      <c r="B15933" s="3" t="s">
        <v>15935</v>
      </c>
      <c r="C15933" s="3" t="s">
        <v>10</v>
      </c>
      <c r="D15933" s="3" t="s">
        <v>9</v>
      </c>
      <c r="E15933" s="3">
        <v>22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>
        <v>0</v>
      </c>
      <c r="O15933" s="3" t="s">
        <v>10</v>
      </c>
      <c r="P15933" s="3" t="s">
        <v>9</v>
      </c>
      <c r="Q15933" s="3"/>
    </row>
    <row r="15934" spans="1:17" ht="15" x14ac:dyDescent="0.25">
      <c r="A15934" s="3">
        <f>15927</f>
        <v>15927</v>
      </c>
      <c r="B15934" s="3" t="s">
        <v>15936</v>
      </c>
      <c r="C15934" s="3" t="s">
        <v>10</v>
      </c>
      <c r="D15934" s="3" t="s">
        <v>9</v>
      </c>
      <c r="E15934" s="3">
        <v>22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>
        <v>0</v>
      </c>
      <c r="O15934" s="3" t="s">
        <v>10</v>
      </c>
      <c r="P15934" s="3" t="s">
        <v>9</v>
      </c>
      <c r="Q15934" s="3"/>
    </row>
    <row r="15935" spans="1:17" ht="15" x14ac:dyDescent="0.25">
      <c r="A15935" s="3">
        <f>15928</f>
        <v>15928</v>
      </c>
      <c r="B15935" s="3" t="s">
        <v>15937</v>
      </c>
      <c r="C15935" s="3" t="s">
        <v>10</v>
      </c>
      <c r="D15935" s="3" t="s">
        <v>9</v>
      </c>
      <c r="E15935" s="3">
        <v>22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>
        <v>0</v>
      </c>
      <c r="O15935" s="3" t="s">
        <v>10</v>
      </c>
      <c r="P15935" s="3" t="s">
        <v>9</v>
      </c>
      <c r="Q15935" s="3"/>
    </row>
    <row r="15936" spans="1:17" ht="15" x14ac:dyDescent="0.25">
      <c r="A15936" s="3">
        <f>15929</f>
        <v>15929</v>
      </c>
      <c r="B15936" s="3" t="s">
        <v>15938</v>
      </c>
      <c r="C15936" s="3" t="s">
        <v>10</v>
      </c>
      <c r="D15936" s="3" t="s">
        <v>9</v>
      </c>
      <c r="E15936" s="3">
        <v>22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  <c r="O15936" s="3" t="s">
        <v>10</v>
      </c>
      <c r="P15936" s="3" t="s">
        <v>9</v>
      </c>
      <c r="Q15936" s="3"/>
    </row>
    <row r="15937" spans="1:17" ht="15" x14ac:dyDescent="0.25">
      <c r="A15937" s="3">
        <f>15930</f>
        <v>15930</v>
      </c>
      <c r="B15937" s="3" t="s">
        <v>15939</v>
      </c>
      <c r="C15937" s="3" t="s">
        <v>10</v>
      </c>
      <c r="D15937" s="3" t="s">
        <v>9</v>
      </c>
      <c r="E15937" s="3">
        <v>22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 t="s">
        <v>10</v>
      </c>
      <c r="P15937" s="3" t="s">
        <v>9</v>
      </c>
      <c r="Q15937" s="3"/>
    </row>
    <row r="15938" spans="1:17" ht="15" x14ac:dyDescent="0.25">
      <c r="A15938" s="3">
        <f>15931</f>
        <v>15931</v>
      </c>
      <c r="B15938" s="3" t="s">
        <v>15940</v>
      </c>
      <c r="C15938" s="3" t="s">
        <v>10</v>
      </c>
      <c r="D15938" s="3" t="s">
        <v>9</v>
      </c>
      <c r="E15938" s="3">
        <v>22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s="3" t="s">
        <v>10</v>
      </c>
      <c r="P15938" s="3" t="s">
        <v>9</v>
      </c>
      <c r="Q15938" s="3"/>
    </row>
    <row r="15939" spans="1:17" ht="15" x14ac:dyDescent="0.25">
      <c r="A15939" s="3">
        <f>15932</f>
        <v>15932</v>
      </c>
      <c r="B15939" s="3" t="s">
        <v>15941</v>
      </c>
      <c r="C15939" s="3" t="s">
        <v>10</v>
      </c>
      <c r="D15939" s="3" t="s">
        <v>9</v>
      </c>
      <c r="E15939" s="3">
        <v>22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0</v>
      </c>
      <c r="O15939" s="3" t="s">
        <v>10</v>
      </c>
      <c r="P15939" s="3" t="s">
        <v>9</v>
      </c>
      <c r="Q15939" s="3"/>
    </row>
    <row r="15940" spans="1:17" ht="15" x14ac:dyDescent="0.25">
      <c r="A15940" s="3">
        <f>15933</f>
        <v>15933</v>
      </c>
      <c r="B15940" s="3" t="s">
        <v>15942</v>
      </c>
      <c r="C15940" s="3" t="s">
        <v>10</v>
      </c>
      <c r="D15940" s="3" t="s">
        <v>9</v>
      </c>
      <c r="E15940" s="3">
        <v>22</v>
      </c>
      <c r="F15940" s="3">
        <v>0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 s="3">
        <v>0</v>
      </c>
      <c r="M15940" s="3">
        <v>0</v>
      </c>
      <c r="N15940" s="3">
        <v>0</v>
      </c>
      <c r="O15940" s="3" t="s">
        <v>10</v>
      </c>
      <c r="P15940" s="3" t="s">
        <v>9</v>
      </c>
      <c r="Q15940" s="3"/>
    </row>
    <row r="15941" spans="1:17" ht="15" x14ac:dyDescent="0.25">
      <c r="A15941" s="3">
        <f>15934</f>
        <v>15934</v>
      </c>
      <c r="B15941" s="3" t="s">
        <v>15943</v>
      </c>
      <c r="C15941" s="3" t="s">
        <v>10</v>
      </c>
      <c r="D15941" s="3" t="s">
        <v>9</v>
      </c>
      <c r="E15941" s="3">
        <v>22</v>
      </c>
      <c r="F15941" s="3">
        <v>0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>
        <v>0</v>
      </c>
      <c r="O15941" s="3" t="s">
        <v>10</v>
      </c>
      <c r="P15941" s="3" t="s">
        <v>9</v>
      </c>
      <c r="Q15941" s="3"/>
    </row>
    <row r="15942" spans="1:17" ht="15" x14ac:dyDescent="0.25">
      <c r="A15942" s="3">
        <f>15935</f>
        <v>15935</v>
      </c>
      <c r="B15942" s="3" t="s">
        <v>15944</v>
      </c>
      <c r="C15942" s="3" t="s">
        <v>10</v>
      </c>
      <c r="D15942" s="3" t="s">
        <v>9</v>
      </c>
      <c r="E15942" s="3">
        <v>22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 t="s">
        <v>10</v>
      </c>
      <c r="P15942" s="3" t="s">
        <v>9</v>
      </c>
      <c r="Q15942" s="3"/>
    </row>
    <row r="15943" spans="1:17" ht="15" x14ac:dyDescent="0.25">
      <c r="A15943" s="3">
        <f>15936</f>
        <v>15936</v>
      </c>
      <c r="B15943" s="3" t="s">
        <v>15945</v>
      </c>
      <c r="C15943" s="3" t="s">
        <v>10</v>
      </c>
      <c r="D15943" s="3" t="s">
        <v>9</v>
      </c>
      <c r="E15943" s="3">
        <v>22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s="3" t="s">
        <v>10</v>
      </c>
      <c r="P15943" s="3" t="s">
        <v>9</v>
      </c>
      <c r="Q15943" s="3"/>
    </row>
    <row r="15944" spans="1:17" ht="15" x14ac:dyDescent="0.25">
      <c r="A15944" s="3">
        <f>15937</f>
        <v>15937</v>
      </c>
      <c r="B15944" s="3" t="s">
        <v>15946</v>
      </c>
      <c r="C15944" s="3" t="s">
        <v>10</v>
      </c>
      <c r="D15944" s="3" t="s">
        <v>9</v>
      </c>
      <c r="E15944" s="3">
        <v>22</v>
      </c>
      <c r="F15944" s="3">
        <v>0</v>
      </c>
      <c r="G15944" s="3">
        <v>0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>
        <v>0</v>
      </c>
      <c r="O15944" s="3" t="s">
        <v>10</v>
      </c>
      <c r="P15944" s="3" t="s">
        <v>9</v>
      </c>
      <c r="Q15944" s="3"/>
    </row>
    <row r="15945" spans="1:17" ht="15" x14ac:dyDescent="0.25">
      <c r="A15945" s="3">
        <f>15938</f>
        <v>15938</v>
      </c>
      <c r="B15945" s="3" t="s">
        <v>15947</v>
      </c>
      <c r="C15945" s="3" t="s">
        <v>10</v>
      </c>
      <c r="D15945" s="3" t="s">
        <v>9</v>
      </c>
      <c r="E15945" s="3">
        <v>22</v>
      </c>
      <c r="F15945" s="3">
        <v>0</v>
      </c>
      <c r="G15945" s="3">
        <v>0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>
        <v>0</v>
      </c>
      <c r="O15945" s="3" t="s">
        <v>10</v>
      </c>
      <c r="P15945" s="3" t="s">
        <v>9</v>
      </c>
      <c r="Q15945" s="3"/>
    </row>
    <row r="15946" spans="1:17" ht="15" x14ac:dyDescent="0.25">
      <c r="A15946" s="3">
        <f>15939</f>
        <v>15939</v>
      </c>
      <c r="B15946" s="3" t="s">
        <v>15948</v>
      </c>
      <c r="C15946" s="3" t="s">
        <v>10</v>
      </c>
      <c r="D15946" s="3" t="s">
        <v>9</v>
      </c>
      <c r="E15946" s="3">
        <v>22</v>
      </c>
      <c r="F15946" s="3">
        <v>0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>
        <v>0</v>
      </c>
      <c r="O15946" s="3" t="s">
        <v>10</v>
      </c>
      <c r="P15946" s="3" t="s">
        <v>9</v>
      </c>
      <c r="Q15946" s="3"/>
    </row>
    <row r="15947" spans="1:17" ht="15" x14ac:dyDescent="0.25">
      <c r="A15947" s="3">
        <f>15940</f>
        <v>15940</v>
      </c>
      <c r="B15947" s="3" t="s">
        <v>15949</v>
      </c>
      <c r="C15947" s="3" t="s">
        <v>10</v>
      </c>
      <c r="D15947" s="3" t="s">
        <v>9</v>
      </c>
      <c r="E15947" s="3">
        <v>22</v>
      </c>
      <c r="F15947" s="3">
        <v>0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3">
        <v>0</v>
      </c>
      <c r="N15947" s="3">
        <v>0</v>
      </c>
      <c r="O15947" s="3" t="s">
        <v>10</v>
      </c>
      <c r="P15947" s="3" t="s">
        <v>9</v>
      </c>
      <c r="Q15947" s="3"/>
    </row>
    <row r="15948" spans="1:17" ht="15" x14ac:dyDescent="0.25">
      <c r="A15948" s="3">
        <f>15941</f>
        <v>15941</v>
      </c>
      <c r="B15948" s="3" t="s">
        <v>15950</v>
      </c>
      <c r="C15948" s="3" t="s">
        <v>10</v>
      </c>
      <c r="D15948" s="3" t="s">
        <v>9</v>
      </c>
      <c r="E15948" s="3">
        <v>22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s="3" t="s">
        <v>10</v>
      </c>
      <c r="P15948" s="3" t="s">
        <v>9</v>
      </c>
      <c r="Q15948" s="3"/>
    </row>
    <row r="15949" spans="1:17" ht="15" x14ac:dyDescent="0.25">
      <c r="A15949" s="3">
        <f>15942</f>
        <v>15942</v>
      </c>
      <c r="B15949" s="3" t="s">
        <v>15951</v>
      </c>
      <c r="C15949" s="3" t="s">
        <v>10</v>
      </c>
      <c r="D15949" s="3" t="s">
        <v>9</v>
      </c>
      <c r="E15949" s="3">
        <v>22</v>
      </c>
      <c r="F15949" s="3">
        <v>0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>
        <v>0</v>
      </c>
      <c r="O15949" s="3" t="s">
        <v>10</v>
      </c>
      <c r="P15949" s="3" t="s">
        <v>9</v>
      </c>
      <c r="Q15949" s="3"/>
    </row>
    <row r="15950" spans="1:17" ht="15" x14ac:dyDescent="0.25">
      <c r="A15950" s="3">
        <f>15943</f>
        <v>15943</v>
      </c>
      <c r="B15950" s="3" t="s">
        <v>15952</v>
      </c>
      <c r="C15950" s="3" t="s">
        <v>10</v>
      </c>
      <c r="D15950" s="3" t="s">
        <v>9</v>
      </c>
      <c r="E15950" s="3">
        <v>22</v>
      </c>
      <c r="F15950" s="3">
        <v>0</v>
      </c>
      <c r="G15950" s="3">
        <v>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s="3" t="s">
        <v>10</v>
      </c>
      <c r="P15950" s="3" t="s">
        <v>9</v>
      </c>
      <c r="Q15950" s="3"/>
    </row>
    <row r="15951" spans="1:17" ht="15" x14ac:dyDescent="0.25">
      <c r="A15951" s="3">
        <f>15944</f>
        <v>15944</v>
      </c>
      <c r="B15951" s="3" t="s">
        <v>15953</v>
      </c>
      <c r="C15951" s="3" t="s">
        <v>10</v>
      </c>
      <c r="D15951" s="3" t="s">
        <v>9</v>
      </c>
      <c r="E15951" s="3">
        <v>22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>
        <v>0</v>
      </c>
      <c r="O15951" s="3" t="s">
        <v>10</v>
      </c>
      <c r="P15951" s="3" t="s">
        <v>9</v>
      </c>
      <c r="Q15951" s="3"/>
    </row>
    <row r="15952" spans="1:17" ht="15" x14ac:dyDescent="0.25">
      <c r="A15952" s="3">
        <f>15945</f>
        <v>15945</v>
      </c>
      <c r="B15952" s="3" t="s">
        <v>15954</v>
      </c>
      <c r="C15952" s="3" t="s">
        <v>10</v>
      </c>
      <c r="D15952" s="3" t="s">
        <v>9</v>
      </c>
      <c r="E15952" s="3">
        <v>22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s="3" t="s">
        <v>10</v>
      </c>
      <c r="P15952" s="3" t="s">
        <v>9</v>
      </c>
      <c r="Q15952" s="3"/>
    </row>
    <row r="15953" spans="1:17" ht="15" x14ac:dyDescent="0.25">
      <c r="A15953" s="3">
        <f>15946</f>
        <v>15946</v>
      </c>
      <c r="B15953" s="3" t="s">
        <v>15955</v>
      </c>
      <c r="C15953" s="3" t="s">
        <v>10</v>
      </c>
      <c r="D15953" s="3" t="s">
        <v>9</v>
      </c>
      <c r="E15953" s="3">
        <v>22</v>
      </c>
      <c r="F15953" s="3">
        <v>0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>
        <v>0</v>
      </c>
      <c r="O15953" s="3" t="s">
        <v>10</v>
      </c>
      <c r="P15953" s="3" t="s">
        <v>9</v>
      </c>
      <c r="Q15953" s="3"/>
    </row>
    <row r="15954" spans="1:17" ht="15" x14ac:dyDescent="0.25">
      <c r="A15954" s="3">
        <f>15947</f>
        <v>15947</v>
      </c>
      <c r="B15954" s="3" t="s">
        <v>15956</v>
      </c>
      <c r="C15954" s="3" t="s">
        <v>10</v>
      </c>
      <c r="D15954" s="3" t="s">
        <v>9</v>
      </c>
      <c r="E15954" s="3">
        <v>22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0</v>
      </c>
      <c r="O15954" s="3" t="s">
        <v>10</v>
      </c>
      <c r="P15954" s="3" t="s">
        <v>9</v>
      </c>
      <c r="Q15954" s="3"/>
    </row>
    <row r="15955" spans="1:17" ht="15" x14ac:dyDescent="0.25">
      <c r="A15955" s="3">
        <f>15948</f>
        <v>15948</v>
      </c>
      <c r="B15955" s="3" t="s">
        <v>15957</v>
      </c>
      <c r="C15955" s="3" t="s">
        <v>10</v>
      </c>
      <c r="D15955" s="3" t="s">
        <v>9</v>
      </c>
      <c r="E15955" s="3">
        <v>22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s="3" t="s">
        <v>10</v>
      </c>
      <c r="P15955" s="3" t="s">
        <v>9</v>
      </c>
      <c r="Q15955" s="3"/>
    </row>
    <row r="15956" spans="1:17" ht="15" x14ac:dyDescent="0.25">
      <c r="A15956" s="3">
        <f>15949</f>
        <v>15949</v>
      </c>
      <c r="B15956" s="3" t="s">
        <v>15958</v>
      </c>
      <c r="C15956" s="3" t="s">
        <v>10</v>
      </c>
      <c r="D15956" s="3" t="s">
        <v>9</v>
      </c>
      <c r="E15956" s="3">
        <v>22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 t="s">
        <v>10</v>
      </c>
      <c r="P15956" s="3" t="s">
        <v>9</v>
      </c>
      <c r="Q15956" s="3"/>
    </row>
    <row r="15957" spans="1:17" ht="15" x14ac:dyDescent="0.25">
      <c r="A15957" s="3">
        <f>15950</f>
        <v>15950</v>
      </c>
      <c r="B15957" s="3" t="s">
        <v>15959</v>
      </c>
      <c r="C15957" s="3" t="s">
        <v>10</v>
      </c>
      <c r="D15957" s="3" t="s">
        <v>9</v>
      </c>
      <c r="E15957" s="3">
        <v>22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s="3" t="s">
        <v>10</v>
      </c>
      <c r="P15957" s="3" t="s">
        <v>9</v>
      </c>
      <c r="Q15957" s="3"/>
    </row>
    <row r="15958" spans="1:17" ht="15" x14ac:dyDescent="0.25">
      <c r="A15958" s="3">
        <f>15951</f>
        <v>15951</v>
      </c>
      <c r="B15958" s="3" t="s">
        <v>15960</v>
      </c>
      <c r="C15958" s="3" t="s">
        <v>10</v>
      </c>
      <c r="D15958" s="3" t="s">
        <v>9</v>
      </c>
      <c r="E15958" s="3">
        <v>22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0</v>
      </c>
      <c r="O15958" s="3" t="s">
        <v>10</v>
      </c>
      <c r="P15958" s="3" t="s">
        <v>9</v>
      </c>
      <c r="Q15958" s="3"/>
    </row>
    <row r="15959" spans="1:17" ht="15" x14ac:dyDescent="0.25">
      <c r="A15959" s="3">
        <f>15952</f>
        <v>15952</v>
      </c>
      <c r="B15959" s="3" t="s">
        <v>15961</v>
      </c>
      <c r="C15959" s="3" t="s">
        <v>10</v>
      </c>
      <c r="D15959" s="3" t="s">
        <v>9</v>
      </c>
      <c r="E15959" s="3">
        <v>22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>
        <v>0</v>
      </c>
      <c r="O15959" s="3" t="s">
        <v>10</v>
      </c>
      <c r="P15959" s="3" t="s">
        <v>9</v>
      </c>
      <c r="Q15959" s="3"/>
    </row>
    <row r="15960" spans="1:17" ht="15" x14ac:dyDescent="0.25">
      <c r="A15960" s="3">
        <f>15953</f>
        <v>15953</v>
      </c>
      <c r="B15960" s="3" t="s">
        <v>15962</v>
      </c>
      <c r="C15960" s="3" t="s">
        <v>10</v>
      </c>
      <c r="D15960" s="3" t="s">
        <v>9</v>
      </c>
      <c r="E15960" s="3">
        <v>22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>
        <v>0</v>
      </c>
      <c r="O15960" s="3" t="s">
        <v>10</v>
      </c>
      <c r="P15960" s="3" t="s">
        <v>9</v>
      </c>
      <c r="Q15960" s="3"/>
    </row>
    <row r="15961" spans="1:17" ht="15" x14ac:dyDescent="0.25">
      <c r="A15961" s="3">
        <f>15954</f>
        <v>15954</v>
      </c>
      <c r="B15961" s="3" t="s">
        <v>15963</v>
      </c>
      <c r="C15961" s="3" t="s">
        <v>10</v>
      </c>
      <c r="D15961" s="3" t="s">
        <v>9</v>
      </c>
      <c r="E15961" s="3">
        <v>22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0</v>
      </c>
      <c r="O15961" s="3" t="s">
        <v>10</v>
      </c>
      <c r="P15961" s="3" t="s">
        <v>9</v>
      </c>
      <c r="Q15961" s="3"/>
    </row>
    <row r="15962" spans="1:17" ht="15" x14ac:dyDescent="0.25">
      <c r="A15962" s="3">
        <f>15955</f>
        <v>15955</v>
      </c>
      <c r="B15962" s="3" t="s">
        <v>15964</v>
      </c>
      <c r="C15962" s="3" t="s">
        <v>10</v>
      </c>
      <c r="D15962" s="3" t="s">
        <v>9</v>
      </c>
      <c r="E15962" s="3">
        <v>22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>
        <v>0</v>
      </c>
      <c r="O15962" s="3" t="s">
        <v>10</v>
      </c>
      <c r="P15962" s="3" t="s">
        <v>9</v>
      </c>
      <c r="Q15962" s="3"/>
    </row>
    <row r="15963" spans="1:17" ht="15" x14ac:dyDescent="0.25">
      <c r="A15963" s="3">
        <f>15956</f>
        <v>15956</v>
      </c>
      <c r="B15963" s="3" t="s">
        <v>15965</v>
      </c>
      <c r="C15963" s="3" t="s">
        <v>10</v>
      </c>
      <c r="D15963" s="3" t="s">
        <v>9</v>
      </c>
      <c r="E15963" s="3">
        <v>22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s="3" t="s">
        <v>10</v>
      </c>
      <c r="P15963" s="3" t="s">
        <v>9</v>
      </c>
      <c r="Q15963" s="3"/>
    </row>
    <row r="15964" spans="1:17" ht="15" x14ac:dyDescent="0.25">
      <c r="A15964" s="3">
        <f>15957</f>
        <v>15957</v>
      </c>
      <c r="B15964" s="3" t="s">
        <v>15966</v>
      </c>
      <c r="C15964" s="3" t="s">
        <v>10</v>
      </c>
      <c r="D15964" s="3" t="s">
        <v>9</v>
      </c>
      <c r="E15964" s="3">
        <v>22</v>
      </c>
      <c r="F15964" s="3">
        <v>0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  <c r="O15964" s="3" t="s">
        <v>10</v>
      </c>
      <c r="P15964" s="3" t="s">
        <v>9</v>
      </c>
      <c r="Q15964" s="3"/>
    </row>
    <row r="15965" spans="1:17" ht="15" x14ac:dyDescent="0.25">
      <c r="A15965" s="3">
        <f>15958</f>
        <v>15958</v>
      </c>
      <c r="B15965" s="3" t="s">
        <v>15967</v>
      </c>
      <c r="C15965" s="3" t="s">
        <v>10</v>
      </c>
      <c r="D15965" s="3" t="s">
        <v>9</v>
      </c>
      <c r="E15965" s="3">
        <v>22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 t="s">
        <v>10</v>
      </c>
      <c r="P15965" s="3" t="s">
        <v>9</v>
      </c>
      <c r="Q15965" s="3"/>
    </row>
    <row r="15966" spans="1:17" ht="15" x14ac:dyDescent="0.25">
      <c r="A15966" s="3">
        <f>15959</f>
        <v>15959</v>
      </c>
      <c r="B15966" s="3" t="s">
        <v>15968</v>
      </c>
      <c r="C15966" s="3" t="s">
        <v>10</v>
      </c>
      <c r="D15966" s="3" t="s">
        <v>9</v>
      </c>
      <c r="E15966" s="3">
        <v>22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>
        <v>0</v>
      </c>
      <c r="O15966" s="3" t="s">
        <v>10</v>
      </c>
      <c r="P15966" s="3" t="s">
        <v>9</v>
      </c>
      <c r="Q15966" s="3"/>
    </row>
    <row r="15967" spans="1:17" ht="15" x14ac:dyDescent="0.25">
      <c r="A15967" s="3">
        <f>15960</f>
        <v>15960</v>
      </c>
      <c r="B15967" s="3" t="s">
        <v>15969</v>
      </c>
      <c r="C15967" s="3" t="s">
        <v>10</v>
      </c>
      <c r="D15967" s="3" t="s">
        <v>9</v>
      </c>
      <c r="E15967" s="3">
        <v>22</v>
      </c>
      <c r="F15967" s="3">
        <v>0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>
        <v>0</v>
      </c>
      <c r="O15967" s="3" t="s">
        <v>10</v>
      </c>
      <c r="P15967" s="3" t="s">
        <v>9</v>
      </c>
      <c r="Q15967" s="3"/>
    </row>
    <row r="15968" spans="1:17" ht="15" x14ac:dyDescent="0.25">
      <c r="A15968" s="3">
        <f>15961</f>
        <v>15961</v>
      </c>
      <c r="B15968" s="3" t="s">
        <v>15970</v>
      </c>
      <c r="C15968" s="3" t="s">
        <v>10</v>
      </c>
      <c r="D15968" s="3" t="s">
        <v>9</v>
      </c>
      <c r="E15968" s="3">
        <v>22</v>
      </c>
      <c r="F15968" s="3">
        <v>0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0</v>
      </c>
      <c r="O15968" s="3" t="s">
        <v>10</v>
      </c>
      <c r="P15968" s="3" t="s">
        <v>9</v>
      </c>
      <c r="Q15968" s="3"/>
    </row>
    <row r="15969" spans="1:17" ht="15" x14ac:dyDescent="0.25">
      <c r="A15969" s="3">
        <f>15962</f>
        <v>15962</v>
      </c>
      <c r="B15969" s="3" t="s">
        <v>15971</v>
      </c>
      <c r="C15969" s="3" t="s">
        <v>10</v>
      </c>
      <c r="D15969" s="3" t="s">
        <v>9</v>
      </c>
      <c r="E15969" s="3">
        <v>22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 t="s">
        <v>10</v>
      </c>
      <c r="P15969" s="3" t="s">
        <v>9</v>
      </c>
      <c r="Q15969" s="3"/>
    </row>
    <row r="15970" spans="1:17" ht="15" x14ac:dyDescent="0.25">
      <c r="A15970" s="3">
        <f>15963</f>
        <v>15963</v>
      </c>
      <c r="B15970" s="3" t="s">
        <v>15972</v>
      </c>
      <c r="C15970" s="3" t="s">
        <v>10</v>
      </c>
      <c r="D15970" s="3" t="s">
        <v>9</v>
      </c>
      <c r="E15970" s="3">
        <v>22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s="3" t="s">
        <v>10</v>
      </c>
      <c r="P15970" s="3" t="s">
        <v>9</v>
      </c>
      <c r="Q15970" s="3"/>
    </row>
    <row r="15971" spans="1:17" ht="15" x14ac:dyDescent="0.25">
      <c r="A15971" s="3">
        <f>15964</f>
        <v>15964</v>
      </c>
      <c r="B15971" s="3" t="s">
        <v>15973</v>
      </c>
      <c r="C15971" s="3" t="s">
        <v>10</v>
      </c>
      <c r="D15971" s="3" t="s">
        <v>9</v>
      </c>
      <c r="E15971" s="3">
        <v>22</v>
      </c>
      <c r="F15971" s="3">
        <v>0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s="3" t="s">
        <v>10</v>
      </c>
      <c r="P15971" s="3" t="s">
        <v>9</v>
      </c>
      <c r="Q15971" s="3"/>
    </row>
    <row r="15972" spans="1:17" ht="15" x14ac:dyDescent="0.25">
      <c r="A15972" s="3">
        <f>15965</f>
        <v>15965</v>
      </c>
      <c r="B15972" s="3" t="s">
        <v>15974</v>
      </c>
      <c r="C15972" s="3" t="s">
        <v>10</v>
      </c>
      <c r="D15972" s="3" t="s">
        <v>9</v>
      </c>
      <c r="E15972" s="3">
        <v>22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s="3" t="s">
        <v>10</v>
      </c>
      <c r="P15972" s="3" t="s">
        <v>9</v>
      </c>
      <c r="Q15972" s="3"/>
    </row>
    <row r="15973" spans="1:17" ht="15" x14ac:dyDescent="0.25">
      <c r="A15973" s="3">
        <f>15966</f>
        <v>15966</v>
      </c>
      <c r="B15973" s="3" t="s">
        <v>15975</v>
      </c>
      <c r="C15973" s="3" t="s">
        <v>10</v>
      </c>
      <c r="D15973" s="3" t="s">
        <v>9</v>
      </c>
      <c r="E15973" s="3">
        <v>22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>
        <v>0</v>
      </c>
      <c r="O15973" s="3" t="s">
        <v>10</v>
      </c>
      <c r="P15973" s="3" t="s">
        <v>9</v>
      </c>
      <c r="Q15973" s="3"/>
    </row>
    <row r="15974" spans="1:17" ht="15" x14ac:dyDescent="0.25">
      <c r="A15974" s="3">
        <f>15967</f>
        <v>15967</v>
      </c>
      <c r="B15974" s="3" t="s">
        <v>15976</v>
      </c>
      <c r="C15974" s="3" t="s">
        <v>10</v>
      </c>
      <c r="D15974" s="3" t="s">
        <v>9</v>
      </c>
      <c r="E15974" s="3">
        <v>22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 t="s">
        <v>10</v>
      </c>
      <c r="P15974" s="3" t="s">
        <v>9</v>
      </c>
      <c r="Q15974" s="3"/>
    </row>
    <row r="15975" spans="1:17" ht="15" x14ac:dyDescent="0.25">
      <c r="A15975" s="3">
        <f>15968</f>
        <v>15968</v>
      </c>
      <c r="B15975" s="3" t="s">
        <v>15977</v>
      </c>
      <c r="C15975" s="3" t="s">
        <v>10</v>
      </c>
      <c r="D15975" s="3" t="s">
        <v>9</v>
      </c>
      <c r="E15975" s="3">
        <v>22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s="3" t="s">
        <v>10</v>
      </c>
      <c r="P15975" s="3" t="s">
        <v>9</v>
      </c>
      <c r="Q15975" s="3"/>
    </row>
    <row r="15976" spans="1:17" ht="15" x14ac:dyDescent="0.25">
      <c r="A15976" s="3">
        <f>15969</f>
        <v>15969</v>
      </c>
      <c r="B15976" s="3" t="s">
        <v>15978</v>
      </c>
      <c r="C15976" s="3" t="s">
        <v>10</v>
      </c>
      <c r="D15976" s="3" t="s">
        <v>9</v>
      </c>
      <c r="E15976" s="3">
        <v>22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0</v>
      </c>
      <c r="O15976" s="3" t="s">
        <v>10</v>
      </c>
      <c r="P15976" s="3" t="s">
        <v>9</v>
      </c>
      <c r="Q15976" s="3"/>
    </row>
    <row r="15977" spans="1:17" ht="15" x14ac:dyDescent="0.25">
      <c r="A15977" s="3">
        <f>15970</f>
        <v>15970</v>
      </c>
      <c r="B15977" s="3" t="s">
        <v>15979</v>
      </c>
      <c r="C15977" s="3" t="s">
        <v>10</v>
      </c>
      <c r="D15977" s="3" t="s">
        <v>9</v>
      </c>
      <c r="E15977" s="3">
        <v>22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s="3" t="s">
        <v>10</v>
      </c>
      <c r="P15977" s="3" t="s">
        <v>9</v>
      </c>
      <c r="Q15977" s="3"/>
    </row>
    <row r="15978" spans="1:17" ht="15" x14ac:dyDescent="0.25">
      <c r="A15978" s="3">
        <f>15971</f>
        <v>15971</v>
      </c>
      <c r="B15978" s="3" t="s">
        <v>15980</v>
      </c>
      <c r="C15978" s="3" t="s">
        <v>10</v>
      </c>
      <c r="D15978" s="3" t="s">
        <v>9</v>
      </c>
      <c r="E15978" s="3">
        <v>22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3">
        <v>0</v>
      </c>
      <c r="N15978" s="3">
        <v>0</v>
      </c>
      <c r="O15978" s="3" t="s">
        <v>10</v>
      </c>
      <c r="P15978" s="3" t="s">
        <v>9</v>
      </c>
      <c r="Q15978" s="3"/>
    </row>
    <row r="15979" spans="1:17" ht="15" x14ac:dyDescent="0.25">
      <c r="A15979" s="3">
        <f>15972</f>
        <v>15972</v>
      </c>
      <c r="B15979" s="3" t="s">
        <v>15981</v>
      </c>
      <c r="C15979" s="3" t="s">
        <v>10</v>
      </c>
      <c r="D15979" s="3" t="s">
        <v>9</v>
      </c>
      <c r="E15979" s="3">
        <v>22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 t="s">
        <v>10</v>
      </c>
      <c r="P15979" s="3" t="s">
        <v>9</v>
      </c>
      <c r="Q15979" s="3"/>
    </row>
    <row r="15980" spans="1:17" ht="15" x14ac:dyDescent="0.25">
      <c r="A15980" s="3">
        <f>15973</f>
        <v>15973</v>
      </c>
      <c r="B15980" s="3" t="s">
        <v>15982</v>
      </c>
      <c r="C15980" s="3" t="s">
        <v>10</v>
      </c>
      <c r="D15980" s="3" t="s">
        <v>9</v>
      </c>
      <c r="E15980" s="3">
        <v>22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0</v>
      </c>
      <c r="O15980" s="3" t="s">
        <v>10</v>
      </c>
      <c r="P15980" s="3" t="s">
        <v>9</v>
      </c>
      <c r="Q15980" s="3"/>
    </row>
    <row r="15981" spans="1:17" ht="15" x14ac:dyDescent="0.25">
      <c r="A15981" s="3">
        <f>15974</f>
        <v>15974</v>
      </c>
      <c r="B15981" s="3" t="s">
        <v>15983</v>
      </c>
      <c r="C15981" s="3" t="s">
        <v>10</v>
      </c>
      <c r="D15981" s="3" t="s">
        <v>9</v>
      </c>
      <c r="E15981" s="3">
        <v>22</v>
      </c>
      <c r="F15981" s="3">
        <v>0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s="3" t="s">
        <v>10</v>
      </c>
      <c r="P15981" s="3" t="s">
        <v>9</v>
      </c>
      <c r="Q15981" s="3"/>
    </row>
    <row r="15982" spans="1:17" ht="15" x14ac:dyDescent="0.25">
      <c r="A15982" s="3">
        <f>15975</f>
        <v>15975</v>
      </c>
      <c r="B15982" s="3" t="s">
        <v>15984</v>
      </c>
      <c r="C15982" s="3" t="s">
        <v>10</v>
      </c>
      <c r="D15982" s="3" t="s">
        <v>9</v>
      </c>
      <c r="E15982" s="3">
        <v>22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s="3" t="s">
        <v>10</v>
      </c>
      <c r="P15982" s="3" t="s">
        <v>9</v>
      </c>
      <c r="Q15982" s="3"/>
    </row>
    <row r="15983" spans="1:17" ht="15" x14ac:dyDescent="0.25">
      <c r="A15983" s="3">
        <f>15976</f>
        <v>15976</v>
      </c>
      <c r="B15983" s="3" t="s">
        <v>15985</v>
      </c>
      <c r="C15983" s="3" t="s">
        <v>10</v>
      </c>
      <c r="D15983" s="3" t="s">
        <v>9</v>
      </c>
      <c r="E15983" s="3">
        <v>22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0</v>
      </c>
      <c r="O15983" s="3" t="s">
        <v>10</v>
      </c>
      <c r="P15983" s="3" t="s">
        <v>9</v>
      </c>
      <c r="Q15983" s="3"/>
    </row>
    <row r="15984" spans="1:17" ht="15" x14ac:dyDescent="0.25">
      <c r="A15984" s="3">
        <f>15977</f>
        <v>15977</v>
      </c>
      <c r="B15984" s="3" t="s">
        <v>15986</v>
      </c>
      <c r="C15984" s="3" t="s">
        <v>10</v>
      </c>
      <c r="D15984" s="3" t="s">
        <v>9</v>
      </c>
      <c r="E15984" s="3">
        <v>22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s="3" t="s">
        <v>10</v>
      </c>
      <c r="P15984" s="3" t="s">
        <v>9</v>
      </c>
      <c r="Q15984" s="3"/>
    </row>
    <row r="15985" spans="1:17" ht="15" x14ac:dyDescent="0.25">
      <c r="A15985" s="3">
        <f>15978</f>
        <v>15978</v>
      </c>
      <c r="B15985" s="3" t="s">
        <v>15987</v>
      </c>
      <c r="C15985" s="3" t="s">
        <v>10</v>
      </c>
      <c r="D15985" s="3" t="s">
        <v>9</v>
      </c>
      <c r="E15985" s="3">
        <v>22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  <c r="O15985" s="3" t="s">
        <v>10</v>
      </c>
      <c r="P15985" s="3" t="s">
        <v>9</v>
      </c>
      <c r="Q15985" s="3"/>
    </row>
    <row r="15986" spans="1:17" ht="15" x14ac:dyDescent="0.25">
      <c r="A15986" s="3">
        <f>15979</f>
        <v>15979</v>
      </c>
      <c r="B15986" s="3" t="s">
        <v>15988</v>
      </c>
      <c r="C15986" s="3" t="s">
        <v>10</v>
      </c>
      <c r="D15986" s="3" t="s">
        <v>9</v>
      </c>
      <c r="E15986" s="3">
        <v>22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 t="s">
        <v>10</v>
      </c>
      <c r="P15986" s="3" t="s">
        <v>9</v>
      </c>
      <c r="Q15986" s="3"/>
    </row>
    <row r="15987" spans="1:17" ht="15" x14ac:dyDescent="0.25">
      <c r="A15987" s="3">
        <f>15980</f>
        <v>15980</v>
      </c>
      <c r="B15987" s="3" t="s">
        <v>15989</v>
      </c>
      <c r="C15987" s="3" t="s">
        <v>10</v>
      </c>
      <c r="D15987" s="3" t="s">
        <v>9</v>
      </c>
      <c r="E15987" s="3">
        <v>22</v>
      </c>
      <c r="F15987" s="3">
        <v>0</v>
      </c>
      <c r="G15987" s="3">
        <v>0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>
        <v>0</v>
      </c>
      <c r="O15987" s="3" t="s">
        <v>10</v>
      </c>
      <c r="P15987" s="3" t="s">
        <v>9</v>
      </c>
      <c r="Q15987" s="3"/>
    </row>
    <row r="15988" spans="1:17" ht="15" x14ac:dyDescent="0.25">
      <c r="A15988" s="3">
        <f>15981</f>
        <v>15981</v>
      </c>
      <c r="B15988" s="3" t="s">
        <v>15990</v>
      </c>
      <c r="C15988" s="3" t="s">
        <v>10</v>
      </c>
      <c r="D15988" s="3" t="s">
        <v>9</v>
      </c>
      <c r="E15988" s="3">
        <v>22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s="3" t="s">
        <v>10</v>
      </c>
      <c r="P15988" s="3" t="s">
        <v>9</v>
      </c>
      <c r="Q15988" s="3"/>
    </row>
    <row r="15989" spans="1:17" ht="15" x14ac:dyDescent="0.25">
      <c r="A15989" s="3">
        <f>15982</f>
        <v>15982</v>
      </c>
      <c r="B15989" s="3" t="s">
        <v>15991</v>
      </c>
      <c r="C15989" s="3" t="s">
        <v>10</v>
      </c>
      <c r="D15989" s="3" t="s">
        <v>9</v>
      </c>
      <c r="E15989" s="3">
        <v>22</v>
      </c>
      <c r="F15989" s="3">
        <v>0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0</v>
      </c>
      <c r="O15989" s="3" t="s">
        <v>10</v>
      </c>
      <c r="P15989" s="3" t="s">
        <v>9</v>
      </c>
      <c r="Q15989" s="3"/>
    </row>
    <row r="15990" spans="1:17" ht="15" x14ac:dyDescent="0.25">
      <c r="A15990" s="3">
        <f>15983</f>
        <v>15983</v>
      </c>
      <c r="B15990" s="3" t="s">
        <v>15992</v>
      </c>
      <c r="C15990" s="3" t="s">
        <v>10</v>
      </c>
      <c r="D15990" s="3" t="s">
        <v>9</v>
      </c>
      <c r="E15990" s="3">
        <v>22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s="3" t="s">
        <v>10</v>
      </c>
      <c r="P15990" s="3" t="s">
        <v>9</v>
      </c>
      <c r="Q15990" s="3"/>
    </row>
    <row r="15991" spans="1:17" ht="15" x14ac:dyDescent="0.25">
      <c r="A15991" s="3">
        <f>15984</f>
        <v>15984</v>
      </c>
      <c r="B15991" s="3" t="s">
        <v>15993</v>
      </c>
      <c r="C15991" s="3" t="s">
        <v>10</v>
      </c>
      <c r="D15991" s="3" t="s">
        <v>9</v>
      </c>
      <c r="E15991" s="3">
        <v>22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s="3" t="s">
        <v>10</v>
      </c>
      <c r="P15991" s="3" t="s">
        <v>9</v>
      </c>
      <c r="Q15991" s="3"/>
    </row>
    <row r="15992" spans="1:17" ht="15" x14ac:dyDescent="0.25">
      <c r="A15992" s="3">
        <f>15985</f>
        <v>15985</v>
      </c>
      <c r="B15992" s="3" t="s">
        <v>15994</v>
      </c>
      <c r="C15992" s="3" t="s">
        <v>10</v>
      </c>
      <c r="D15992" s="3" t="s">
        <v>9</v>
      </c>
      <c r="E15992" s="3">
        <v>22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s="3" t="s">
        <v>10</v>
      </c>
      <c r="P15992" s="3" t="s">
        <v>9</v>
      </c>
      <c r="Q15992" s="3"/>
    </row>
    <row r="15993" spans="1:17" ht="15" x14ac:dyDescent="0.25">
      <c r="A15993" s="3">
        <f>15986</f>
        <v>15986</v>
      </c>
      <c r="B15993" s="3" t="s">
        <v>15995</v>
      </c>
      <c r="C15993" s="3" t="s">
        <v>10</v>
      </c>
      <c r="D15993" s="3" t="s">
        <v>9</v>
      </c>
      <c r="E15993" s="3">
        <v>22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s="3" t="s">
        <v>10</v>
      </c>
      <c r="P15993" s="3" t="s">
        <v>9</v>
      </c>
      <c r="Q15993" s="3"/>
    </row>
    <row r="15994" spans="1:17" ht="15" x14ac:dyDescent="0.25">
      <c r="A15994" s="3">
        <f>15987</f>
        <v>15987</v>
      </c>
      <c r="B15994" s="3" t="s">
        <v>15996</v>
      </c>
      <c r="C15994" s="3" t="s">
        <v>10</v>
      </c>
      <c r="D15994" s="3" t="s">
        <v>9</v>
      </c>
      <c r="E15994" s="3">
        <v>22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s="3" t="s">
        <v>10</v>
      </c>
      <c r="P15994" s="3" t="s">
        <v>9</v>
      </c>
      <c r="Q15994" s="3"/>
    </row>
    <row r="15995" spans="1:17" ht="15" x14ac:dyDescent="0.25">
      <c r="A15995" s="3">
        <f>15988</f>
        <v>15988</v>
      </c>
      <c r="B15995" s="3" t="s">
        <v>15997</v>
      </c>
      <c r="C15995" s="3" t="s">
        <v>10</v>
      </c>
      <c r="D15995" s="3" t="s">
        <v>9</v>
      </c>
      <c r="E15995" s="3">
        <v>22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s="3" t="s">
        <v>10</v>
      </c>
      <c r="P15995" s="3" t="s">
        <v>9</v>
      </c>
      <c r="Q15995" s="3"/>
    </row>
    <row r="15996" spans="1:17" ht="15" x14ac:dyDescent="0.25">
      <c r="A15996" s="3">
        <f>15989</f>
        <v>15989</v>
      </c>
      <c r="B15996" s="3" t="s">
        <v>15998</v>
      </c>
      <c r="C15996" s="3" t="s">
        <v>10</v>
      </c>
      <c r="D15996" s="3" t="s">
        <v>9</v>
      </c>
      <c r="E15996" s="3">
        <v>22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 t="s">
        <v>10</v>
      </c>
      <c r="P15996" s="3" t="s">
        <v>9</v>
      </c>
      <c r="Q15996" s="3"/>
    </row>
    <row r="15997" spans="1:17" ht="15" x14ac:dyDescent="0.25">
      <c r="A15997" s="3">
        <f>15990</f>
        <v>15990</v>
      </c>
      <c r="B15997" s="3" t="s">
        <v>15999</v>
      </c>
      <c r="C15997" s="3" t="s">
        <v>10</v>
      </c>
      <c r="D15997" s="3" t="s">
        <v>9</v>
      </c>
      <c r="E15997" s="3">
        <v>22</v>
      </c>
      <c r="F15997" s="3">
        <v>0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>
        <v>0</v>
      </c>
      <c r="O15997" s="3" t="s">
        <v>10</v>
      </c>
      <c r="P15997" s="3" t="s">
        <v>9</v>
      </c>
      <c r="Q15997" s="3"/>
    </row>
    <row r="15998" spans="1:17" ht="15" x14ac:dyDescent="0.25">
      <c r="A15998" s="3">
        <f>15991</f>
        <v>15991</v>
      </c>
      <c r="B15998" s="3" t="s">
        <v>16000</v>
      </c>
      <c r="C15998" s="3" t="s">
        <v>10</v>
      </c>
      <c r="D15998" s="3" t="s">
        <v>9</v>
      </c>
      <c r="E15998" s="3">
        <v>22</v>
      </c>
      <c r="F15998" s="3">
        <v>0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s="3" t="s">
        <v>10</v>
      </c>
      <c r="P15998" s="3" t="s">
        <v>9</v>
      </c>
      <c r="Q15998" s="3"/>
    </row>
    <row r="15999" spans="1:17" ht="15" x14ac:dyDescent="0.25">
      <c r="A15999" s="3">
        <f>15992</f>
        <v>15992</v>
      </c>
      <c r="B15999" s="3" t="s">
        <v>16001</v>
      </c>
      <c r="C15999" s="3" t="s">
        <v>10</v>
      </c>
      <c r="D15999" s="3" t="s">
        <v>9</v>
      </c>
      <c r="E15999" s="3">
        <v>22</v>
      </c>
      <c r="F15999" s="3">
        <v>0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  <c r="O15999" s="3" t="s">
        <v>10</v>
      </c>
      <c r="P15999" s="3" t="s">
        <v>9</v>
      </c>
      <c r="Q15999" s="3"/>
    </row>
    <row r="16000" spans="1:17" ht="15" x14ac:dyDescent="0.25">
      <c r="A16000" s="3">
        <f>15993</f>
        <v>15993</v>
      </c>
      <c r="B16000" s="3" t="s">
        <v>16002</v>
      </c>
      <c r="C16000" s="3" t="s">
        <v>10</v>
      </c>
      <c r="D16000" s="3" t="s">
        <v>9</v>
      </c>
      <c r="E16000" s="3">
        <v>22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 t="s">
        <v>10</v>
      </c>
      <c r="P16000" s="3" t="s">
        <v>9</v>
      </c>
      <c r="Q16000" s="3"/>
    </row>
    <row r="16001" spans="1:17" ht="15" x14ac:dyDescent="0.25">
      <c r="A16001" s="3">
        <f>15994</f>
        <v>15994</v>
      </c>
      <c r="B16001" s="3" t="s">
        <v>16003</v>
      </c>
      <c r="C16001" s="3" t="s">
        <v>10</v>
      </c>
      <c r="D16001" s="3" t="s">
        <v>9</v>
      </c>
      <c r="E16001" s="3">
        <v>22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s="3" t="s">
        <v>10</v>
      </c>
      <c r="P16001" s="3" t="s">
        <v>9</v>
      </c>
      <c r="Q16001" s="3"/>
    </row>
    <row r="16002" spans="1:17" ht="15" x14ac:dyDescent="0.25">
      <c r="A16002" s="3">
        <f>15995</f>
        <v>15995</v>
      </c>
      <c r="B16002" s="3" t="s">
        <v>16004</v>
      </c>
      <c r="C16002" s="3" t="s">
        <v>10</v>
      </c>
      <c r="D16002" s="3" t="s">
        <v>9</v>
      </c>
      <c r="E16002" s="3">
        <v>22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0</v>
      </c>
      <c r="O16002" s="3" t="s">
        <v>10</v>
      </c>
      <c r="P16002" s="3" t="s">
        <v>9</v>
      </c>
      <c r="Q16002" s="3"/>
    </row>
    <row r="16003" spans="1:17" ht="15" x14ac:dyDescent="0.25">
      <c r="A16003" s="3">
        <f>15996</f>
        <v>15996</v>
      </c>
      <c r="B16003" s="3" t="s">
        <v>16005</v>
      </c>
      <c r="C16003" s="3" t="s">
        <v>10</v>
      </c>
      <c r="D16003" s="3" t="s">
        <v>9</v>
      </c>
      <c r="E16003" s="3">
        <v>22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s="3" t="s">
        <v>10</v>
      </c>
      <c r="P16003" s="3" t="s">
        <v>9</v>
      </c>
      <c r="Q16003" s="3"/>
    </row>
    <row r="16004" spans="1:17" ht="15" x14ac:dyDescent="0.25">
      <c r="A16004" s="3">
        <f>15997</f>
        <v>15997</v>
      </c>
      <c r="B16004" s="3" t="s">
        <v>16006</v>
      </c>
      <c r="C16004" s="3" t="s">
        <v>10</v>
      </c>
      <c r="D16004" s="3" t="s">
        <v>9</v>
      </c>
      <c r="E16004" s="3">
        <v>22</v>
      </c>
      <c r="F16004" s="3">
        <v>0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>
        <v>0</v>
      </c>
      <c r="O16004" s="3" t="s">
        <v>10</v>
      </c>
      <c r="P16004" s="3" t="s">
        <v>9</v>
      </c>
      <c r="Q16004" s="3"/>
    </row>
    <row r="16005" spans="1:17" ht="15" x14ac:dyDescent="0.25">
      <c r="A16005" s="3">
        <f>15998</f>
        <v>15998</v>
      </c>
      <c r="B16005" s="3" t="s">
        <v>16007</v>
      </c>
      <c r="C16005" s="3" t="s">
        <v>10</v>
      </c>
      <c r="D16005" s="3" t="s">
        <v>9</v>
      </c>
      <c r="E16005" s="3">
        <v>22</v>
      </c>
      <c r="F16005" s="3">
        <v>0</v>
      </c>
      <c r="G16005" s="3">
        <v>0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3">
        <v>0</v>
      </c>
      <c r="N16005" s="3">
        <v>0</v>
      </c>
      <c r="O16005" s="3" t="s">
        <v>10</v>
      </c>
      <c r="P16005" s="3" t="s">
        <v>9</v>
      </c>
      <c r="Q16005" s="3"/>
    </row>
    <row r="16006" spans="1:17" ht="15" x14ac:dyDescent="0.25">
      <c r="A16006" s="3">
        <f>15999</f>
        <v>15999</v>
      </c>
      <c r="B16006" s="3" t="s">
        <v>16008</v>
      </c>
      <c r="C16006" s="3" t="s">
        <v>10</v>
      </c>
      <c r="D16006" s="3" t="s">
        <v>9</v>
      </c>
      <c r="E16006" s="3">
        <v>22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3">
        <v>0</v>
      </c>
      <c r="N16006" s="3">
        <v>0</v>
      </c>
      <c r="O16006" s="3" t="s">
        <v>10</v>
      </c>
      <c r="P16006" s="3" t="s">
        <v>9</v>
      </c>
      <c r="Q16006" s="3"/>
    </row>
    <row r="16007" spans="1:17" ht="15" x14ac:dyDescent="0.25">
      <c r="A16007" s="3">
        <f>16000</f>
        <v>16000</v>
      </c>
      <c r="B16007" s="3" t="s">
        <v>16009</v>
      </c>
      <c r="C16007" s="3" t="s">
        <v>10</v>
      </c>
      <c r="D16007" s="3" t="s">
        <v>9</v>
      </c>
      <c r="E16007" s="3">
        <v>22</v>
      </c>
      <c r="F16007" s="3">
        <v>0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>
        <v>0</v>
      </c>
      <c r="O16007" s="3" t="s">
        <v>10</v>
      </c>
      <c r="P16007" s="3" t="s">
        <v>9</v>
      </c>
      <c r="Q16007" s="3"/>
    </row>
    <row r="16008" spans="1:17" ht="15" x14ac:dyDescent="0.25">
      <c r="A16008" s="3">
        <f>16001</f>
        <v>16001</v>
      </c>
      <c r="B16008" s="3" t="s">
        <v>16010</v>
      </c>
      <c r="C16008" s="3" t="s">
        <v>10</v>
      </c>
      <c r="D16008" s="3" t="s">
        <v>9</v>
      </c>
      <c r="E16008" s="3">
        <v>22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s="3" t="s">
        <v>10</v>
      </c>
      <c r="P16008" s="3" t="s">
        <v>9</v>
      </c>
      <c r="Q16008" s="3"/>
    </row>
    <row r="16009" spans="1:17" ht="15" x14ac:dyDescent="0.25">
      <c r="A16009" s="3">
        <f>16002</f>
        <v>16002</v>
      </c>
      <c r="B16009" s="3" t="s">
        <v>16011</v>
      </c>
      <c r="C16009" s="3" t="s">
        <v>10</v>
      </c>
      <c r="D16009" s="3" t="s">
        <v>9</v>
      </c>
      <c r="E16009" s="3">
        <v>22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s="3" t="s">
        <v>10</v>
      </c>
      <c r="P16009" s="3" t="s">
        <v>9</v>
      </c>
      <c r="Q16009" s="3"/>
    </row>
    <row r="16010" spans="1:17" ht="15" x14ac:dyDescent="0.25">
      <c r="A16010" s="3">
        <f>16003</f>
        <v>16003</v>
      </c>
      <c r="B16010" s="3" t="s">
        <v>16012</v>
      </c>
      <c r="C16010" s="3" t="s">
        <v>10</v>
      </c>
      <c r="D16010" s="3" t="s">
        <v>9</v>
      </c>
      <c r="E16010" s="3">
        <v>22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s="3" t="s">
        <v>10</v>
      </c>
      <c r="P16010" s="3" t="s">
        <v>9</v>
      </c>
      <c r="Q16010" s="3"/>
    </row>
    <row r="16011" spans="1:17" ht="15" x14ac:dyDescent="0.25">
      <c r="A16011" s="3">
        <f>16004</f>
        <v>16004</v>
      </c>
      <c r="B16011" s="3" t="s">
        <v>16013</v>
      </c>
      <c r="C16011" s="3" t="s">
        <v>10</v>
      </c>
      <c r="D16011" s="3" t="s">
        <v>9</v>
      </c>
      <c r="E16011" s="3">
        <v>22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s="3" t="s">
        <v>10</v>
      </c>
      <c r="P16011" s="3" t="s">
        <v>9</v>
      </c>
      <c r="Q16011" s="3"/>
    </row>
    <row r="16012" spans="1:17" ht="15" x14ac:dyDescent="0.25">
      <c r="A16012" s="3">
        <f>16005</f>
        <v>16005</v>
      </c>
      <c r="B16012" s="3" t="s">
        <v>16014</v>
      </c>
      <c r="C16012" s="3" t="s">
        <v>10</v>
      </c>
      <c r="D16012" s="3" t="s">
        <v>9</v>
      </c>
      <c r="E16012" s="3">
        <v>22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>
        <v>0</v>
      </c>
      <c r="O16012" s="3" t="s">
        <v>10</v>
      </c>
      <c r="P16012" s="3" t="s">
        <v>9</v>
      </c>
      <c r="Q16012" s="3"/>
    </row>
    <row r="16013" spans="1:17" ht="15" x14ac:dyDescent="0.25">
      <c r="A16013" s="3">
        <f>16006</f>
        <v>16006</v>
      </c>
      <c r="B16013" s="3" t="s">
        <v>16015</v>
      </c>
      <c r="C16013" s="3" t="s">
        <v>10</v>
      </c>
      <c r="D16013" s="3" t="s">
        <v>9</v>
      </c>
      <c r="E16013" s="3">
        <v>22</v>
      </c>
      <c r="F16013" s="3">
        <v>0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>
        <v>0</v>
      </c>
      <c r="O16013" s="3" t="s">
        <v>10</v>
      </c>
      <c r="P16013" s="3" t="s">
        <v>9</v>
      </c>
      <c r="Q16013" s="3"/>
    </row>
    <row r="16014" spans="1:17" ht="15" x14ac:dyDescent="0.25">
      <c r="A16014" s="3">
        <f>16007</f>
        <v>16007</v>
      </c>
      <c r="B16014" s="3" t="s">
        <v>16016</v>
      </c>
      <c r="C16014" s="3" t="s">
        <v>10</v>
      </c>
      <c r="D16014" s="3" t="s">
        <v>9</v>
      </c>
      <c r="E16014" s="3">
        <v>22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>
        <v>0</v>
      </c>
      <c r="O16014" s="3" t="s">
        <v>10</v>
      </c>
      <c r="P16014" s="3" t="s">
        <v>9</v>
      </c>
      <c r="Q16014" s="3"/>
    </row>
    <row r="16015" spans="1:17" ht="15" x14ac:dyDescent="0.25">
      <c r="A16015" s="3">
        <f>16008</f>
        <v>16008</v>
      </c>
      <c r="B16015" s="3" t="s">
        <v>16017</v>
      </c>
      <c r="C16015" s="3" t="s">
        <v>10</v>
      </c>
      <c r="D16015" s="3" t="s">
        <v>9</v>
      </c>
      <c r="E16015" s="3">
        <v>22</v>
      </c>
      <c r="F16015" s="3">
        <v>0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s="3">
        <v>0</v>
      </c>
      <c r="O16015" s="3" t="s">
        <v>10</v>
      </c>
      <c r="P16015" s="3" t="s">
        <v>9</v>
      </c>
      <c r="Q16015" s="3"/>
    </row>
    <row r="16016" spans="1:17" ht="15" x14ac:dyDescent="0.25">
      <c r="A16016" s="3">
        <f>16009</f>
        <v>16009</v>
      </c>
      <c r="B16016" s="3" t="s">
        <v>16018</v>
      </c>
      <c r="C16016" s="3" t="s">
        <v>10</v>
      </c>
      <c r="D16016" s="3" t="s">
        <v>9</v>
      </c>
      <c r="E16016" s="3">
        <v>22</v>
      </c>
      <c r="F16016" s="3">
        <v>0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0</v>
      </c>
      <c r="O16016" s="3" t="s">
        <v>10</v>
      </c>
      <c r="P16016" s="3" t="s">
        <v>9</v>
      </c>
      <c r="Q16016" s="3"/>
    </row>
    <row r="16017" spans="1:17" ht="15" x14ac:dyDescent="0.25">
      <c r="A16017" s="3">
        <f>16010</f>
        <v>16010</v>
      </c>
      <c r="B16017" s="3" t="s">
        <v>16019</v>
      </c>
      <c r="C16017" s="3" t="s">
        <v>10</v>
      </c>
      <c r="D16017" s="3" t="s">
        <v>9</v>
      </c>
      <c r="E16017" s="3">
        <v>22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0</v>
      </c>
      <c r="O16017" s="3" t="s">
        <v>10</v>
      </c>
      <c r="P16017" s="3" t="s">
        <v>9</v>
      </c>
      <c r="Q16017" s="3"/>
    </row>
    <row r="16018" spans="1:17" ht="15" x14ac:dyDescent="0.25">
      <c r="A16018" s="3">
        <f>16011</f>
        <v>16011</v>
      </c>
      <c r="B16018" s="3" t="s">
        <v>16020</v>
      </c>
      <c r="C16018" s="3" t="s">
        <v>10</v>
      </c>
      <c r="D16018" s="3" t="s">
        <v>9</v>
      </c>
      <c r="E16018" s="3">
        <v>22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0</v>
      </c>
      <c r="O16018" s="3" t="s">
        <v>10</v>
      </c>
      <c r="P16018" s="3" t="s">
        <v>9</v>
      </c>
      <c r="Q16018" s="3"/>
    </row>
    <row r="16019" spans="1:17" ht="15" x14ac:dyDescent="0.25">
      <c r="A16019" s="3">
        <f>16012</f>
        <v>16012</v>
      </c>
      <c r="B16019" s="3" t="s">
        <v>16021</v>
      </c>
      <c r="C16019" s="3" t="s">
        <v>10</v>
      </c>
      <c r="D16019" s="3" t="s">
        <v>9</v>
      </c>
      <c r="E16019" s="3">
        <v>22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>
        <v>0</v>
      </c>
      <c r="O16019" s="3" t="s">
        <v>10</v>
      </c>
      <c r="P16019" s="3" t="s">
        <v>9</v>
      </c>
      <c r="Q16019" s="3"/>
    </row>
    <row r="16020" spans="1:17" ht="15" x14ac:dyDescent="0.25">
      <c r="A16020" s="3">
        <f>16013</f>
        <v>16013</v>
      </c>
      <c r="B16020" s="3" t="s">
        <v>16022</v>
      </c>
      <c r="C16020" s="3" t="s">
        <v>10</v>
      </c>
      <c r="D16020" s="3" t="s">
        <v>9</v>
      </c>
      <c r="E16020" s="3">
        <v>22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>
        <v>0</v>
      </c>
      <c r="O16020" s="3" t="s">
        <v>10</v>
      </c>
      <c r="P16020" s="3" t="s">
        <v>9</v>
      </c>
      <c r="Q16020" s="3"/>
    </row>
    <row r="16021" spans="1:17" ht="15" x14ac:dyDescent="0.25">
      <c r="A16021" s="3">
        <f>16014</f>
        <v>16014</v>
      </c>
      <c r="B16021" s="3" t="s">
        <v>16023</v>
      </c>
      <c r="C16021" s="3" t="s">
        <v>10</v>
      </c>
      <c r="D16021" s="3" t="s">
        <v>9</v>
      </c>
      <c r="E16021" s="3">
        <v>22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>
        <v>0</v>
      </c>
      <c r="O16021" s="3" t="s">
        <v>10</v>
      </c>
      <c r="P16021" s="3" t="s">
        <v>9</v>
      </c>
      <c r="Q16021" s="3"/>
    </row>
    <row r="16022" spans="1:17" ht="15" x14ac:dyDescent="0.25">
      <c r="A16022" s="3">
        <f>16015</f>
        <v>16015</v>
      </c>
      <c r="B16022" s="3" t="s">
        <v>16024</v>
      </c>
      <c r="C16022" s="3" t="s">
        <v>10</v>
      </c>
      <c r="D16022" s="3" t="s">
        <v>9</v>
      </c>
      <c r="E16022" s="3">
        <v>22</v>
      </c>
      <c r="F16022" s="3">
        <v>0</v>
      </c>
      <c r="G16022" s="3">
        <v>0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>
        <v>0</v>
      </c>
      <c r="O16022" s="3" t="s">
        <v>10</v>
      </c>
      <c r="P16022" s="3" t="s">
        <v>9</v>
      </c>
      <c r="Q16022" s="3"/>
    </row>
    <row r="16023" spans="1:17" ht="15" x14ac:dyDescent="0.25">
      <c r="A16023" s="3">
        <f>16016</f>
        <v>16016</v>
      </c>
      <c r="B16023" s="3" t="s">
        <v>16025</v>
      </c>
      <c r="C16023" s="3" t="s">
        <v>10</v>
      </c>
      <c r="D16023" s="3" t="s">
        <v>9</v>
      </c>
      <c r="E16023" s="3">
        <v>22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>
        <v>0</v>
      </c>
      <c r="O16023" s="3" t="s">
        <v>10</v>
      </c>
      <c r="P16023" s="3" t="s">
        <v>9</v>
      </c>
      <c r="Q16023" s="3"/>
    </row>
    <row r="16024" spans="1:17" ht="15" x14ac:dyDescent="0.25">
      <c r="A16024" s="3">
        <f>16017</f>
        <v>16017</v>
      </c>
      <c r="B16024" s="3" t="s">
        <v>16026</v>
      </c>
      <c r="C16024" s="3" t="s">
        <v>10</v>
      </c>
      <c r="D16024" s="3" t="s">
        <v>9</v>
      </c>
      <c r="E16024" s="3">
        <v>22</v>
      </c>
      <c r="F16024" s="3">
        <v>0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0</v>
      </c>
      <c r="O16024" s="3" t="s">
        <v>10</v>
      </c>
      <c r="P16024" s="3" t="s">
        <v>9</v>
      </c>
      <c r="Q16024" s="3"/>
    </row>
    <row r="16025" spans="1:17" ht="15" x14ac:dyDescent="0.25">
      <c r="A16025" s="3">
        <f>16018</f>
        <v>16018</v>
      </c>
      <c r="B16025" s="3" t="s">
        <v>16027</v>
      </c>
      <c r="C16025" s="3" t="s">
        <v>10</v>
      </c>
      <c r="D16025" s="3" t="s">
        <v>9</v>
      </c>
      <c r="E16025" s="3">
        <v>22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3">
        <v>0</v>
      </c>
      <c r="N16025" s="3">
        <v>0</v>
      </c>
      <c r="O16025" s="3" t="s">
        <v>10</v>
      </c>
      <c r="P16025" s="3" t="s">
        <v>9</v>
      </c>
      <c r="Q16025" s="3"/>
    </row>
    <row r="16026" spans="1:17" ht="15" x14ac:dyDescent="0.25">
      <c r="A16026" s="3">
        <f>16019</f>
        <v>16019</v>
      </c>
      <c r="B16026" s="3" t="s">
        <v>16028</v>
      </c>
      <c r="C16026" s="3" t="s">
        <v>10</v>
      </c>
      <c r="D16026" s="3" t="s">
        <v>9</v>
      </c>
      <c r="E16026" s="3">
        <v>22</v>
      </c>
      <c r="F16026" s="3">
        <v>0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>
        <v>0</v>
      </c>
      <c r="O16026" s="3" t="s">
        <v>10</v>
      </c>
      <c r="P16026" s="3" t="s">
        <v>9</v>
      </c>
      <c r="Q16026" s="3"/>
    </row>
    <row r="16027" spans="1:17" ht="15" x14ac:dyDescent="0.25">
      <c r="A16027" s="3">
        <f>16020</f>
        <v>16020</v>
      </c>
      <c r="B16027" s="3" t="s">
        <v>16029</v>
      </c>
      <c r="C16027" s="3" t="s">
        <v>10</v>
      </c>
      <c r="D16027" s="3" t="s">
        <v>9</v>
      </c>
      <c r="E16027" s="3">
        <v>22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>
        <v>0</v>
      </c>
      <c r="O16027" s="3" t="s">
        <v>10</v>
      </c>
      <c r="P16027" s="3" t="s">
        <v>9</v>
      </c>
      <c r="Q16027" s="3"/>
    </row>
    <row r="16028" spans="1:17" ht="15" x14ac:dyDescent="0.25">
      <c r="A16028" s="3">
        <f>16021</f>
        <v>16021</v>
      </c>
      <c r="B16028" s="3" t="s">
        <v>16030</v>
      </c>
      <c r="C16028" s="3" t="s">
        <v>10</v>
      </c>
      <c r="D16028" s="3" t="s">
        <v>9</v>
      </c>
      <c r="E16028" s="3">
        <v>22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 t="s">
        <v>10</v>
      </c>
      <c r="P16028" s="3" t="s">
        <v>9</v>
      </c>
      <c r="Q16028" s="3"/>
    </row>
    <row r="16029" spans="1:17" ht="15" x14ac:dyDescent="0.25">
      <c r="A16029" s="3">
        <f>16022</f>
        <v>16022</v>
      </c>
      <c r="B16029" s="3" t="s">
        <v>16031</v>
      </c>
      <c r="C16029" s="3" t="s">
        <v>10</v>
      </c>
      <c r="D16029" s="3" t="s">
        <v>9</v>
      </c>
      <c r="E16029" s="3">
        <v>22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 t="s">
        <v>10</v>
      </c>
      <c r="P16029" s="3" t="s">
        <v>9</v>
      </c>
      <c r="Q16029" s="3"/>
    </row>
    <row r="16030" spans="1:17" ht="15" x14ac:dyDescent="0.25">
      <c r="A16030" s="3">
        <f>16023</f>
        <v>16023</v>
      </c>
      <c r="B16030" s="3" t="s">
        <v>16032</v>
      </c>
      <c r="C16030" s="3" t="s">
        <v>10</v>
      </c>
      <c r="D16030" s="3" t="s">
        <v>9</v>
      </c>
      <c r="E16030" s="3">
        <v>22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0</v>
      </c>
      <c r="O16030" s="3" t="s">
        <v>10</v>
      </c>
      <c r="P16030" s="3" t="s">
        <v>9</v>
      </c>
      <c r="Q16030" s="3"/>
    </row>
    <row r="16031" spans="1:17" ht="15" x14ac:dyDescent="0.25">
      <c r="A16031" s="3">
        <f>16024</f>
        <v>16024</v>
      </c>
      <c r="B16031" s="3" t="s">
        <v>16033</v>
      </c>
      <c r="C16031" s="3" t="s">
        <v>10</v>
      </c>
      <c r="D16031" s="3" t="s">
        <v>9</v>
      </c>
      <c r="E16031" s="3">
        <v>22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s="3" t="s">
        <v>10</v>
      </c>
      <c r="P16031" s="3" t="s">
        <v>9</v>
      </c>
      <c r="Q16031" s="3"/>
    </row>
    <row r="16032" spans="1:17" ht="15" x14ac:dyDescent="0.25">
      <c r="A16032" s="3">
        <f>16025</f>
        <v>16025</v>
      </c>
      <c r="B16032" s="3" t="s">
        <v>16034</v>
      </c>
      <c r="C16032" s="3" t="s">
        <v>10</v>
      </c>
      <c r="D16032" s="3" t="s">
        <v>9</v>
      </c>
      <c r="E16032" s="3">
        <v>22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s="3" t="s">
        <v>10</v>
      </c>
      <c r="P16032" s="3" t="s">
        <v>9</v>
      </c>
      <c r="Q16032" s="3"/>
    </row>
    <row r="16033" spans="1:17" ht="15" x14ac:dyDescent="0.25">
      <c r="A16033" s="3">
        <f>16026</f>
        <v>16026</v>
      </c>
      <c r="B16033" s="3" t="s">
        <v>16035</v>
      </c>
      <c r="C16033" s="3" t="s">
        <v>10</v>
      </c>
      <c r="D16033" s="3" t="s">
        <v>9</v>
      </c>
      <c r="E16033" s="3">
        <v>22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3">
        <v>0</v>
      </c>
      <c r="N16033" s="3">
        <v>0</v>
      </c>
      <c r="O16033" s="3" t="s">
        <v>10</v>
      </c>
      <c r="P16033" s="3" t="s">
        <v>9</v>
      </c>
      <c r="Q16033" s="3"/>
    </row>
    <row r="16034" spans="1:17" ht="15" x14ac:dyDescent="0.25">
      <c r="A16034" s="3">
        <f>16027</f>
        <v>16027</v>
      </c>
      <c r="B16034" s="3" t="s">
        <v>16036</v>
      </c>
      <c r="C16034" s="3" t="s">
        <v>10</v>
      </c>
      <c r="D16034" s="3" t="s">
        <v>9</v>
      </c>
      <c r="E16034" s="3">
        <v>22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>
        <v>0</v>
      </c>
      <c r="O16034" s="3" t="s">
        <v>10</v>
      </c>
      <c r="P16034" s="3" t="s">
        <v>9</v>
      </c>
      <c r="Q16034" s="3"/>
    </row>
    <row r="16035" spans="1:17" ht="15" x14ac:dyDescent="0.25">
      <c r="A16035" s="3">
        <f>16028</f>
        <v>16028</v>
      </c>
      <c r="B16035" s="3" t="s">
        <v>16037</v>
      </c>
      <c r="C16035" s="3" t="s">
        <v>10</v>
      </c>
      <c r="D16035" s="3" t="s">
        <v>9</v>
      </c>
      <c r="E16035" s="3">
        <v>22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s="3">
        <v>0</v>
      </c>
      <c r="O16035" s="3" t="s">
        <v>10</v>
      </c>
      <c r="P16035" s="3" t="s">
        <v>9</v>
      </c>
      <c r="Q16035" s="3"/>
    </row>
    <row r="16036" spans="1:17" ht="15" x14ac:dyDescent="0.25">
      <c r="A16036" s="3">
        <f>16029</f>
        <v>16029</v>
      </c>
      <c r="B16036" s="3" t="s">
        <v>16038</v>
      </c>
      <c r="C16036" s="3" t="s">
        <v>10</v>
      </c>
      <c r="D16036" s="3" t="s">
        <v>9</v>
      </c>
      <c r="E16036" s="3">
        <v>22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3">
        <v>0</v>
      </c>
      <c r="N16036" s="3">
        <v>0</v>
      </c>
      <c r="O16036" s="3" t="s">
        <v>10</v>
      </c>
      <c r="P16036" s="3" t="s">
        <v>9</v>
      </c>
      <c r="Q16036" s="3"/>
    </row>
    <row r="16037" spans="1:17" ht="15" x14ac:dyDescent="0.25">
      <c r="A16037" s="3">
        <f>16030</f>
        <v>16030</v>
      </c>
      <c r="B16037" s="3" t="s">
        <v>16039</v>
      </c>
      <c r="C16037" s="3" t="s">
        <v>10</v>
      </c>
      <c r="D16037" s="3" t="s">
        <v>9</v>
      </c>
      <c r="E16037" s="3">
        <v>22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0</v>
      </c>
      <c r="O16037" s="3" t="s">
        <v>10</v>
      </c>
      <c r="P16037" s="3" t="s">
        <v>9</v>
      </c>
      <c r="Q16037" s="3"/>
    </row>
    <row r="16038" spans="1:17" ht="15" x14ac:dyDescent="0.25">
      <c r="A16038" s="3">
        <f>16031</f>
        <v>16031</v>
      </c>
      <c r="B16038" s="3" t="s">
        <v>16040</v>
      </c>
      <c r="C16038" s="3" t="s">
        <v>10</v>
      </c>
      <c r="D16038" s="3" t="s">
        <v>9</v>
      </c>
      <c r="E16038" s="3">
        <v>22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0</v>
      </c>
      <c r="O16038" s="3" t="s">
        <v>10</v>
      </c>
      <c r="P16038" s="3" t="s">
        <v>9</v>
      </c>
      <c r="Q16038" s="3"/>
    </row>
    <row r="16039" spans="1:17" ht="15" x14ac:dyDescent="0.25">
      <c r="A16039" s="3">
        <f>16032</f>
        <v>16032</v>
      </c>
      <c r="B16039" s="3" t="s">
        <v>16041</v>
      </c>
      <c r="C16039" s="3" t="s">
        <v>10</v>
      </c>
      <c r="D16039" s="3" t="s">
        <v>9</v>
      </c>
      <c r="E16039" s="3">
        <v>22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>
        <v>0</v>
      </c>
      <c r="O16039" s="3" t="s">
        <v>10</v>
      </c>
      <c r="P16039" s="3" t="s">
        <v>9</v>
      </c>
      <c r="Q16039" s="3"/>
    </row>
    <row r="16040" spans="1:17" ht="15" x14ac:dyDescent="0.25">
      <c r="A16040" s="3">
        <f>16033</f>
        <v>16033</v>
      </c>
      <c r="B16040" s="3" t="s">
        <v>16042</v>
      </c>
      <c r="C16040" s="3" t="s">
        <v>10</v>
      </c>
      <c r="D16040" s="3" t="s">
        <v>9</v>
      </c>
      <c r="E16040" s="3">
        <v>22</v>
      </c>
      <c r="F16040" s="3">
        <v>0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>
        <v>0</v>
      </c>
      <c r="O16040" s="3" t="s">
        <v>10</v>
      </c>
      <c r="P16040" s="3" t="s">
        <v>9</v>
      </c>
      <c r="Q16040" s="3"/>
    </row>
    <row r="16041" spans="1:17" ht="15" x14ac:dyDescent="0.25">
      <c r="A16041" s="3">
        <f>16034</f>
        <v>16034</v>
      </c>
      <c r="B16041" s="3" t="s">
        <v>16043</v>
      </c>
      <c r="C16041" s="3" t="s">
        <v>10</v>
      </c>
      <c r="D16041" s="3" t="s">
        <v>9</v>
      </c>
      <c r="E16041" s="3">
        <v>22</v>
      </c>
      <c r="F16041" s="3">
        <v>0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s="3" t="s">
        <v>10</v>
      </c>
      <c r="P16041" s="3" t="s">
        <v>9</v>
      </c>
      <c r="Q16041" s="3"/>
    </row>
    <row r="16042" spans="1:17" ht="15" x14ac:dyDescent="0.25">
      <c r="A16042" s="3">
        <f>16035</f>
        <v>16035</v>
      </c>
      <c r="B16042" s="3" t="s">
        <v>16044</v>
      </c>
      <c r="C16042" s="3" t="s">
        <v>10</v>
      </c>
      <c r="D16042" s="3" t="s">
        <v>9</v>
      </c>
      <c r="E16042" s="3">
        <v>22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 t="s">
        <v>10</v>
      </c>
      <c r="P16042" s="3" t="s">
        <v>9</v>
      </c>
      <c r="Q16042" s="3"/>
    </row>
    <row r="16043" spans="1:17" ht="15" x14ac:dyDescent="0.25">
      <c r="A16043" s="3">
        <f>16036</f>
        <v>16036</v>
      </c>
      <c r="B16043" s="3" t="s">
        <v>16045</v>
      </c>
      <c r="C16043" s="3" t="s">
        <v>10</v>
      </c>
      <c r="D16043" s="3" t="s">
        <v>9</v>
      </c>
      <c r="E16043" s="3">
        <v>22</v>
      </c>
      <c r="F16043" s="3">
        <v>0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0</v>
      </c>
      <c r="O16043" s="3" t="s">
        <v>10</v>
      </c>
      <c r="P16043" s="3" t="s">
        <v>9</v>
      </c>
      <c r="Q16043" s="3"/>
    </row>
    <row r="16044" spans="1:17" ht="15" x14ac:dyDescent="0.25">
      <c r="A16044" s="3">
        <f>16037</f>
        <v>16037</v>
      </c>
      <c r="B16044" s="3" t="s">
        <v>16046</v>
      </c>
      <c r="C16044" s="3" t="s">
        <v>10</v>
      </c>
      <c r="D16044" s="3" t="s">
        <v>9</v>
      </c>
      <c r="E16044" s="3">
        <v>22</v>
      </c>
      <c r="F16044" s="3">
        <v>0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s="3">
        <v>0</v>
      </c>
      <c r="O16044" s="3" t="s">
        <v>10</v>
      </c>
      <c r="P16044" s="3" t="s">
        <v>9</v>
      </c>
      <c r="Q16044" s="3"/>
    </row>
    <row r="16045" spans="1:17" ht="15" x14ac:dyDescent="0.25">
      <c r="A16045" s="3">
        <f>16038</f>
        <v>16038</v>
      </c>
      <c r="B16045" s="3" t="s">
        <v>16047</v>
      </c>
      <c r="C16045" s="3" t="s">
        <v>10</v>
      </c>
      <c r="D16045" s="3" t="s">
        <v>9</v>
      </c>
      <c r="E16045" s="3">
        <v>22</v>
      </c>
      <c r="F16045" s="3">
        <v>0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>
        <v>0</v>
      </c>
      <c r="O16045" s="3" t="s">
        <v>10</v>
      </c>
      <c r="P16045" s="3" t="s">
        <v>9</v>
      </c>
      <c r="Q16045" s="3"/>
    </row>
    <row r="16046" spans="1:17" ht="15" x14ac:dyDescent="0.25">
      <c r="A16046" s="3">
        <f>16039</f>
        <v>16039</v>
      </c>
      <c r="B16046" s="3" t="s">
        <v>16048</v>
      </c>
      <c r="C16046" s="3" t="s">
        <v>10</v>
      </c>
      <c r="D16046" s="3" t="s">
        <v>9</v>
      </c>
      <c r="E16046" s="3">
        <v>22</v>
      </c>
      <c r="F16046" s="3">
        <v>0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0</v>
      </c>
      <c r="O16046" s="3" t="s">
        <v>10</v>
      </c>
      <c r="P16046" s="3" t="s">
        <v>9</v>
      </c>
      <c r="Q16046" s="3"/>
    </row>
    <row r="16047" spans="1:17" ht="15" x14ac:dyDescent="0.25">
      <c r="A16047" s="3">
        <f>16040</f>
        <v>16040</v>
      </c>
      <c r="B16047" s="3" t="s">
        <v>16049</v>
      </c>
      <c r="C16047" s="3" t="s">
        <v>10</v>
      </c>
      <c r="D16047" s="3" t="s">
        <v>9</v>
      </c>
      <c r="E16047" s="3">
        <v>22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  <c r="O16047" s="3" t="s">
        <v>10</v>
      </c>
      <c r="P16047" s="3" t="s">
        <v>9</v>
      </c>
      <c r="Q16047" s="3"/>
    </row>
    <row r="16048" spans="1:17" ht="15" x14ac:dyDescent="0.25">
      <c r="A16048" s="3">
        <f>16041</f>
        <v>16041</v>
      </c>
      <c r="B16048" s="3" t="s">
        <v>16050</v>
      </c>
      <c r="C16048" s="3" t="s">
        <v>10</v>
      </c>
      <c r="D16048" s="3" t="s">
        <v>9</v>
      </c>
      <c r="E16048" s="3">
        <v>22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s="3" t="s">
        <v>10</v>
      </c>
      <c r="P16048" s="3" t="s">
        <v>9</v>
      </c>
      <c r="Q16048" s="3"/>
    </row>
    <row r="16049" spans="1:17" ht="15" x14ac:dyDescent="0.25">
      <c r="A16049" s="3">
        <f>16042</f>
        <v>16042</v>
      </c>
      <c r="B16049" s="3" t="s">
        <v>16051</v>
      </c>
      <c r="C16049" s="3" t="s">
        <v>10</v>
      </c>
      <c r="D16049" s="3" t="s">
        <v>9</v>
      </c>
      <c r="E16049" s="3">
        <v>22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>
        <v>0</v>
      </c>
      <c r="O16049" s="3" t="s">
        <v>10</v>
      </c>
      <c r="P16049" s="3" t="s">
        <v>9</v>
      </c>
      <c r="Q16049" s="3"/>
    </row>
    <row r="16050" spans="1:17" ht="15" x14ac:dyDescent="0.25">
      <c r="A16050" s="3">
        <f>16043</f>
        <v>16043</v>
      </c>
      <c r="B16050" s="3" t="s">
        <v>16052</v>
      </c>
      <c r="C16050" s="3" t="s">
        <v>10</v>
      </c>
      <c r="D16050" s="3" t="s">
        <v>9</v>
      </c>
      <c r="E16050" s="3">
        <v>22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0</v>
      </c>
      <c r="O16050" s="3" t="s">
        <v>10</v>
      </c>
      <c r="P16050" s="3" t="s">
        <v>9</v>
      </c>
      <c r="Q16050" s="3"/>
    </row>
    <row r="16051" spans="1:17" ht="15" x14ac:dyDescent="0.25">
      <c r="A16051" s="3">
        <f>16044</f>
        <v>16044</v>
      </c>
      <c r="B16051" s="3" t="s">
        <v>16053</v>
      </c>
      <c r="C16051" s="3" t="s">
        <v>10</v>
      </c>
      <c r="D16051" s="3" t="s">
        <v>9</v>
      </c>
      <c r="E16051" s="3">
        <v>22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s="3" t="s">
        <v>10</v>
      </c>
      <c r="P16051" s="3" t="s">
        <v>9</v>
      </c>
      <c r="Q16051" s="3"/>
    </row>
    <row r="16052" spans="1:17" ht="15" x14ac:dyDescent="0.25">
      <c r="A16052" s="3">
        <f>16045</f>
        <v>16045</v>
      </c>
      <c r="B16052" s="3" t="s">
        <v>16054</v>
      </c>
      <c r="C16052" s="3" t="s">
        <v>10</v>
      </c>
      <c r="D16052" s="3" t="s">
        <v>9</v>
      </c>
      <c r="E16052" s="3">
        <v>22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0</v>
      </c>
      <c r="O16052" s="3" t="s">
        <v>10</v>
      </c>
      <c r="P16052" s="3" t="s">
        <v>9</v>
      </c>
      <c r="Q16052" s="3"/>
    </row>
    <row r="16053" spans="1:17" ht="15" x14ac:dyDescent="0.25">
      <c r="A16053" s="3">
        <f>16046</f>
        <v>16046</v>
      </c>
      <c r="B16053" s="3" t="s">
        <v>16055</v>
      </c>
      <c r="C16053" s="3" t="s">
        <v>10</v>
      </c>
      <c r="D16053" s="3" t="s">
        <v>9</v>
      </c>
      <c r="E16053" s="3">
        <v>22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0</v>
      </c>
      <c r="O16053" s="3" t="s">
        <v>10</v>
      </c>
      <c r="P16053" s="3" t="s">
        <v>9</v>
      </c>
      <c r="Q16053" s="3"/>
    </row>
    <row r="16054" spans="1:17" ht="15" x14ac:dyDescent="0.25">
      <c r="A16054" s="3">
        <f>16047</f>
        <v>16047</v>
      </c>
      <c r="B16054" s="3" t="s">
        <v>16056</v>
      </c>
      <c r="C16054" s="3" t="s">
        <v>10</v>
      </c>
      <c r="D16054" s="3" t="s">
        <v>9</v>
      </c>
      <c r="E16054" s="3">
        <v>22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>
        <v>0</v>
      </c>
      <c r="O16054" s="3" t="s">
        <v>10</v>
      </c>
      <c r="P16054" s="3" t="s">
        <v>9</v>
      </c>
      <c r="Q16054" s="3"/>
    </row>
    <row r="16055" spans="1:17" ht="15" x14ac:dyDescent="0.25">
      <c r="A16055" s="3">
        <f>16048</f>
        <v>16048</v>
      </c>
      <c r="B16055" s="3" t="s">
        <v>16057</v>
      </c>
      <c r="C16055" s="3" t="s">
        <v>10</v>
      </c>
      <c r="D16055" s="3" t="s">
        <v>9</v>
      </c>
      <c r="E16055" s="3">
        <v>22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  <c r="O16055" s="3" t="s">
        <v>10</v>
      </c>
      <c r="P16055" s="3" t="s">
        <v>9</v>
      </c>
      <c r="Q16055" s="3"/>
    </row>
    <row r="16056" spans="1:17" ht="15" x14ac:dyDescent="0.25">
      <c r="A16056" s="3">
        <f>16049</f>
        <v>16049</v>
      </c>
      <c r="B16056" s="3" t="s">
        <v>16058</v>
      </c>
      <c r="C16056" s="3" t="s">
        <v>10</v>
      </c>
      <c r="D16056" s="3" t="s">
        <v>9</v>
      </c>
      <c r="E16056" s="3">
        <v>22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3">
        <v>0</v>
      </c>
      <c r="N16056" s="3">
        <v>0</v>
      </c>
      <c r="O16056" s="3" t="s">
        <v>10</v>
      </c>
      <c r="P16056" s="3" t="s">
        <v>9</v>
      </c>
      <c r="Q16056" s="3"/>
    </row>
    <row r="16057" spans="1:17" ht="15" x14ac:dyDescent="0.25">
      <c r="A16057" s="3">
        <f>16050</f>
        <v>16050</v>
      </c>
      <c r="B16057" s="3" t="s">
        <v>16059</v>
      </c>
      <c r="C16057" s="3" t="s">
        <v>10</v>
      </c>
      <c r="D16057" s="3" t="s">
        <v>9</v>
      </c>
      <c r="E16057" s="3">
        <v>22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0</v>
      </c>
      <c r="O16057" s="3" t="s">
        <v>10</v>
      </c>
      <c r="P16057" s="3" t="s">
        <v>9</v>
      </c>
      <c r="Q16057" s="3"/>
    </row>
    <row r="16058" spans="1:17" ht="15" x14ac:dyDescent="0.25">
      <c r="A16058" s="3">
        <f>16051</f>
        <v>16051</v>
      </c>
      <c r="B16058" s="3" t="s">
        <v>16060</v>
      </c>
      <c r="C16058" s="3" t="s">
        <v>10</v>
      </c>
      <c r="D16058" s="3" t="s">
        <v>9</v>
      </c>
      <c r="E16058" s="3">
        <v>22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3">
        <v>0</v>
      </c>
      <c r="N16058" s="3">
        <v>0</v>
      </c>
      <c r="O16058" s="3" t="s">
        <v>10</v>
      </c>
      <c r="P16058" s="3" t="s">
        <v>9</v>
      </c>
      <c r="Q16058" s="3"/>
    </row>
    <row r="16059" spans="1:17" ht="15" x14ac:dyDescent="0.25">
      <c r="A16059" s="3">
        <f>16052</f>
        <v>16052</v>
      </c>
      <c r="B16059" s="3" t="s">
        <v>16061</v>
      </c>
      <c r="C16059" s="3" t="s">
        <v>10</v>
      </c>
      <c r="D16059" s="3" t="s">
        <v>9</v>
      </c>
      <c r="E16059" s="3">
        <v>22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s="3" t="s">
        <v>10</v>
      </c>
      <c r="P16059" s="3" t="s">
        <v>9</v>
      </c>
      <c r="Q16059" s="3"/>
    </row>
    <row r="16060" spans="1:17" ht="15" x14ac:dyDescent="0.25">
      <c r="A16060" s="3">
        <f>16053</f>
        <v>16053</v>
      </c>
      <c r="B16060" s="3" t="s">
        <v>16062</v>
      </c>
      <c r="C16060" s="3" t="s">
        <v>10</v>
      </c>
      <c r="D16060" s="3" t="s">
        <v>9</v>
      </c>
      <c r="E16060" s="3">
        <v>22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s="3" t="s">
        <v>10</v>
      </c>
      <c r="P16060" s="3" t="s">
        <v>9</v>
      </c>
      <c r="Q16060" s="3"/>
    </row>
    <row r="16061" spans="1:17" ht="15" x14ac:dyDescent="0.25">
      <c r="A16061" s="3">
        <f>16054</f>
        <v>16054</v>
      </c>
      <c r="B16061" s="3" t="s">
        <v>16063</v>
      </c>
      <c r="C16061" s="3" t="s">
        <v>10</v>
      </c>
      <c r="D16061" s="3" t="s">
        <v>9</v>
      </c>
      <c r="E16061" s="3">
        <v>22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  <c r="O16061" s="3" t="s">
        <v>10</v>
      </c>
      <c r="P16061" s="3" t="s">
        <v>9</v>
      </c>
      <c r="Q16061" s="3"/>
    </row>
    <row r="16062" spans="1:17" ht="15" x14ac:dyDescent="0.25">
      <c r="A16062" s="3">
        <f>16055</f>
        <v>16055</v>
      </c>
      <c r="B16062" s="3" t="s">
        <v>16064</v>
      </c>
      <c r="C16062" s="3" t="s">
        <v>10</v>
      </c>
      <c r="D16062" s="3" t="s">
        <v>9</v>
      </c>
      <c r="E16062" s="3">
        <v>22</v>
      </c>
      <c r="F16062" s="3">
        <v>0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>
        <v>0</v>
      </c>
      <c r="O16062" s="3" t="s">
        <v>10</v>
      </c>
      <c r="P16062" s="3" t="s">
        <v>9</v>
      </c>
      <c r="Q16062" s="3"/>
    </row>
    <row r="16063" spans="1:17" ht="15" x14ac:dyDescent="0.25">
      <c r="A16063" s="3">
        <f>16056</f>
        <v>16056</v>
      </c>
      <c r="B16063" s="3" t="s">
        <v>16065</v>
      </c>
      <c r="C16063" s="3" t="s">
        <v>10</v>
      </c>
      <c r="D16063" s="3" t="s">
        <v>9</v>
      </c>
      <c r="E16063" s="3">
        <v>22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0</v>
      </c>
      <c r="O16063" s="3" t="s">
        <v>10</v>
      </c>
      <c r="P16063" s="3" t="s">
        <v>9</v>
      </c>
      <c r="Q16063" s="3"/>
    </row>
    <row r="16064" spans="1:17" ht="15" x14ac:dyDescent="0.25">
      <c r="A16064" s="3">
        <f>16057</f>
        <v>16057</v>
      </c>
      <c r="B16064" s="3" t="s">
        <v>16066</v>
      </c>
      <c r="C16064" s="3" t="s">
        <v>10</v>
      </c>
      <c r="D16064" s="3" t="s">
        <v>9</v>
      </c>
      <c r="E16064" s="3">
        <v>22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s="3" t="s">
        <v>10</v>
      </c>
      <c r="P16064" s="3" t="s">
        <v>9</v>
      </c>
      <c r="Q16064" s="3"/>
    </row>
    <row r="16065" spans="1:17" ht="15" x14ac:dyDescent="0.25">
      <c r="A16065" s="3">
        <f>16058</f>
        <v>16058</v>
      </c>
      <c r="B16065" s="3" t="s">
        <v>16067</v>
      </c>
      <c r="C16065" s="3" t="s">
        <v>10</v>
      </c>
      <c r="D16065" s="3" t="s">
        <v>9</v>
      </c>
      <c r="E16065" s="3">
        <v>22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s="3" t="s">
        <v>10</v>
      </c>
      <c r="P16065" s="3" t="s">
        <v>9</v>
      </c>
      <c r="Q16065" s="3"/>
    </row>
    <row r="16066" spans="1:17" ht="15" x14ac:dyDescent="0.25">
      <c r="A16066" s="3">
        <f>16059</f>
        <v>16059</v>
      </c>
      <c r="B16066" s="3" t="s">
        <v>16068</v>
      </c>
      <c r="C16066" s="3" t="s">
        <v>10</v>
      </c>
      <c r="D16066" s="3" t="s">
        <v>9</v>
      </c>
      <c r="E16066" s="3">
        <v>22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3">
        <v>0</v>
      </c>
      <c r="N16066" s="3">
        <v>0</v>
      </c>
      <c r="O16066" s="3" t="s">
        <v>10</v>
      </c>
      <c r="P16066" s="3" t="s">
        <v>9</v>
      </c>
      <c r="Q16066" s="3"/>
    </row>
    <row r="16067" spans="1:17" ht="15" x14ac:dyDescent="0.25">
      <c r="A16067" s="3">
        <f>16060</f>
        <v>16060</v>
      </c>
      <c r="B16067" s="3" t="s">
        <v>16069</v>
      </c>
      <c r="C16067" s="3" t="s">
        <v>10</v>
      </c>
      <c r="D16067" s="3" t="s">
        <v>9</v>
      </c>
      <c r="E16067" s="3">
        <v>22</v>
      </c>
      <c r="F16067" s="3">
        <v>0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>
        <v>0</v>
      </c>
      <c r="O16067" s="3" t="s">
        <v>10</v>
      </c>
      <c r="P16067" s="3" t="s">
        <v>9</v>
      </c>
      <c r="Q16067" s="3"/>
    </row>
    <row r="16068" spans="1:17" ht="15" x14ac:dyDescent="0.25">
      <c r="A16068" s="3">
        <f>16061</f>
        <v>16061</v>
      </c>
      <c r="B16068" s="3" t="s">
        <v>16070</v>
      </c>
      <c r="C16068" s="3" t="s">
        <v>10</v>
      </c>
      <c r="D16068" s="3" t="s">
        <v>9</v>
      </c>
      <c r="E16068" s="3">
        <v>22</v>
      </c>
      <c r="F16068" s="3">
        <v>0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>
        <v>0</v>
      </c>
      <c r="O16068" s="3" t="s">
        <v>10</v>
      </c>
      <c r="P16068" s="3" t="s">
        <v>9</v>
      </c>
      <c r="Q16068" s="3"/>
    </row>
    <row r="16069" spans="1:17" ht="15" x14ac:dyDescent="0.25">
      <c r="A16069" s="3">
        <f>16062</f>
        <v>16062</v>
      </c>
      <c r="B16069" s="3" t="s">
        <v>16071</v>
      </c>
      <c r="C16069" s="3" t="s">
        <v>10</v>
      </c>
      <c r="D16069" s="3" t="s">
        <v>9</v>
      </c>
      <c r="E16069" s="3">
        <v>22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s="3" t="s">
        <v>10</v>
      </c>
      <c r="P16069" s="3" t="s">
        <v>9</v>
      </c>
      <c r="Q16069" s="3"/>
    </row>
    <row r="16070" spans="1:17" ht="15" x14ac:dyDescent="0.25">
      <c r="A16070" s="3">
        <f>16063</f>
        <v>16063</v>
      </c>
      <c r="B16070" s="3" t="s">
        <v>16072</v>
      </c>
      <c r="C16070" s="3" t="s">
        <v>10</v>
      </c>
      <c r="D16070" s="3" t="s">
        <v>9</v>
      </c>
      <c r="E16070" s="3">
        <v>22</v>
      </c>
      <c r="F16070" s="3">
        <v>0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>
        <v>0</v>
      </c>
      <c r="O16070" s="3" t="s">
        <v>10</v>
      </c>
      <c r="P16070" s="3" t="s">
        <v>9</v>
      </c>
      <c r="Q16070" s="3"/>
    </row>
    <row r="16071" spans="1:17" ht="15" x14ac:dyDescent="0.25">
      <c r="A16071" s="3">
        <f>16064</f>
        <v>16064</v>
      </c>
      <c r="B16071" s="3" t="s">
        <v>16073</v>
      </c>
      <c r="C16071" s="3" t="s">
        <v>10</v>
      </c>
      <c r="D16071" s="3" t="s">
        <v>9</v>
      </c>
      <c r="E16071" s="3">
        <v>22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 t="s">
        <v>10</v>
      </c>
      <c r="P16071" s="3" t="s">
        <v>9</v>
      </c>
      <c r="Q16071" s="3"/>
    </row>
    <row r="16072" spans="1:17" ht="15" x14ac:dyDescent="0.25">
      <c r="A16072" s="3">
        <f>16065</f>
        <v>16065</v>
      </c>
      <c r="B16072" s="3" t="s">
        <v>16074</v>
      </c>
      <c r="C16072" s="3" t="s">
        <v>10</v>
      </c>
      <c r="D16072" s="3" t="s">
        <v>9</v>
      </c>
      <c r="E16072" s="3">
        <v>22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s="3" t="s">
        <v>10</v>
      </c>
      <c r="P16072" s="3" t="s">
        <v>9</v>
      </c>
      <c r="Q16072" s="3"/>
    </row>
    <row r="16073" spans="1:17" ht="15" x14ac:dyDescent="0.25">
      <c r="A16073" s="3">
        <f>16066</f>
        <v>16066</v>
      </c>
      <c r="B16073" s="3" t="s">
        <v>16075</v>
      </c>
      <c r="C16073" s="3" t="s">
        <v>10</v>
      </c>
      <c r="D16073" s="3" t="s">
        <v>9</v>
      </c>
      <c r="E16073" s="3">
        <v>22</v>
      </c>
      <c r="F16073" s="3">
        <v>0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s="3" t="s">
        <v>10</v>
      </c>
      <c r="P16073" s="3" t="s">
        <v>9</v>
      </c>
      <c r="Q16073" s="3"/>
    </row>
    <row r="16074" spans="1:17" ht="15" x14ac:dyDescent="0.25">
      <c r="A16074" s="3">
        <f>16067</f>
        <v>16067</v>
      </c>
      <c r="B16074" s="3" t="s">
        <v>16076</v>
      </c>
      <c r="C16074" s="3" t="s">
        <v>10</v>
      </c>
      <c r="D16074" s="3" t="s">
        <v>9</v>
      </c>
      <c r="E16074" s="3">
        <v>22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 t="s">
        <v>10</v>
      </c>
      <c r="P16074" s="3" t="s">
        <v>9</v>
      </c>
      <c r="Q16074" s="3"/>
    </row>
    <row r="16075" spans="1:17" ht="15" x14ac:dyDescent="0.25">
      <c r="A16075" s="3">
        <f>16068</f>
        <v>16068</v>
      </c>
      <c r="B16075" s="3" t="s">
        <v>16077</v>
      </c>
      <c r="C16075" s="3" t="s">
        <v>10</v>
      </c>
      <c r="D16075" s="3" t="s">
        <v>9</v>
      </c>
      <c r="E16075" s="3">
        <v>22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s="3" t="s">
        <v>10</v>
      </c>
      <c r="P16075" s="3" t="s">
        <v>9</v>
      </c>
      <c r="Q16075" s="3"/>
    </row>
    <row r="16076" spans="1:17" ht="15" x14ac:dyDescent="0.25">
      <c r="A16076" s="3">
        <f>16069</f>
        <v>16069</v>
      </c>
      <c r="B16076" s="3" t="s">
        <v>16078</v>
      </c>
      <c r="C16076" s="3" t="s">
        <v>10</v>
      </c>
      <c r="D16076" s="3" t="s">
        <v>9</v>
      </c>
      <c r="E16076" s="3">
        <v>22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s="3" t="s">
        <v>10</v>
      </c>
      <c r="P16076" s="3" t="s">
        <v>9</v>
      </c>
      <c r="Q16076" s="3"/>
    </row>
    <row r="16077" spans="1:17" ht="15" x14ac:dyDescent="0.25">
      <c r="A16077" s="3">
        <f>16070</f>
        <v>16070</v>
      </c>
      <c r="B16077" s="3" t="s">
        <v>16079</v>
      </c>
      <c r="C16077" s="3" t="s">
        <v>10</v>
      </c>
      <c r="D16077" s="3" t="s">
        <v>9</v>
      </c>
      <c r="E16077" s="3">
        <v>22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s="3" t="s">
        <v>10</v>
      </c>
      <c r="P16077" s="3" t="s">
        <v>9</v>
      </c>
      <c r="Q16077" s="3"/>
    </row>
    <row r="16078" spans="1:17" ht="15" x14ac:dyDescent="0.25">
      <c r="A16078" s="3">
        <f>16071</f>
        <v>16071</v>
      </c>
      <c r="B16078" s="3" t="s">
        <v>16080</v>
      </c>
      <c r="C16078" s="3" t="s">
        <v>10</v>
      </c>
      <c r="D16078" s="3" t="s">
        <v>9</v>
      </c>
      <c r="E16078" s="3">
        <v>22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s="3" t="s">
        <v>10</v>
      </c>
      <c r="P16078" s="3" t="s">
        <v>9</v>
      </c>
      <c r="Q16078" s="3"/>
    </row>
    <row r="16079" spans="1:17" ht="15" x14ac:dyDescent="0.25">
      <c r="A16079" s="3">
        <f>16072</f>
        <v>16072</v>
      </c>
      <c r="B16079" s="3" t="s">
        <v>16081</v>
      </c>
      <c r="C16079" s="3" t="s">
        <v>10</v>
      </c>
      <c r="D16079" s="3" t="s">
        <v>9</v>
      </c>
      <c r="E16079" s="3">
        <v>22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 t="s">
        <v>10</v>
      </c>
      <c r="P16079" s="3" t="s">
        <v>9</v>
      </c>
      <c r="Q16079" s="3"/>
    </row>
    <row r="16080" spans="1:17" ht="15" x14ac:dyDescent="0.25">
      <c r="A16080" s="3">
        <f>16073</f>
        <v>16073</v>
      </c>
      <c r="B16080" s="3" t="s">
        <v>16082</v>
      </c>
      <c r="C16080" s="3" t="s">
        <v>10</v>
      </c>
      <c r="D16080" s="3" t="s">
        <v>9</v>
      </c>
      <c r="E16080" s="3">
        <v>22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>
        <v>0</v>
      </c>
      <c r="O16080" s="3" t="s">
        <v>10</v>
      </c>
      <c r="P16080" s="3" t="s">
        <v>9</v>
      </c>
      <c r="Q16080" s="3"/>
    </row>
    <row r="16081" spans="1:17" ht="15" x14ac:dyDescent="0.25">
      <c r="A16081" s="3">
        <f>16074</f>
        <v>16074</v>
      </c>
      <c r="B16081" s="3" t="s">
        <v>16083</v>
      </c>
      <c r="C16081" s="3" t="s">
        <v>10</v>
      </c>
      <c r="D16081" s="3" t="s">
        <v>9</v>
      </c>
      <c r="E16081" s="3">
        <v>22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s="3" t="s">
        <v>10</v>
      </c>
      <c r="P16081" s="3" t="s">
        <v>9</v>
      </c>
      <c r="Q16081" s="3"/>
    </row>
    <row r="16082" spans="1:17" ht="15" x14ac:dyDescent="0.25">
      <c r="A16082" s="3">
        <f>16075</f>
        <v>16075</v>
      </c>
      <c r="B16082" s="3" t="s">
        <v>16084</v>
      </c>
      <c r="C16082" s="3" t="s">
        <v>10</v>
      </c>
      <c r="D16082" s="3" t="s">
        <v>9</v>
      </c>
      <c r="E16082" s="3">
        <v>22</v>
      </c>
      <c r="F16082" s="3">
        <v>0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  <c r="O16082" s="3" t="s">
        <v>10</v>
      </c>
      <c r="P16082" s="3" t="s">
        <v>9</v>
      </c>
      <c r="Q16082" s="3"/>
    </row>
    <row r="16083" spans="1:17" ht="15" x14ac:dyDescent="0.25">
      <c r="A16083" s="3">
        <f>16076</f>
        <v>16076</v>
      </c>
      <c r="B16083" s="3" t="s">
        <v>16085</v>
      </c>
      <c r="C16083" s="3" t="s">
        <v>10</v>
      </c>
      <c r="D16083" s="3" t="s">
        <v>9</v>
      </c>
      <c r="E16083" s="3">
        <v>22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>
        <v>0</v>
      </c>
      <c r="O16083" s="3" t="s">
        <v>10</v>
      </c>
      <c r="P16083" s="3" t="s">
        <v>9</v>
      </c>
      <c r="Q16083" s="3"/>
    </row>
    <row r="16084" spans="1:17" ht="15" x14ac:dyDescent="0.25">
      <c r="A16084" s="3">
        <f>16077</f>
        <v>16077</v>
      </c>
      <c r="B16084" s="3" t="s">
        <v>16086</v>
      </c>
      <c r="C16084" s="3" t="s">
        <v>10</v>
      </c>
      <c r="D16084" s="3" t="s">
        <v>9</v>
      </c>
      <c r="E16084" s="3">
        <v>22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  <c r="O16084" s="3" t="s">
        <v>10</v>
      </c>
      <c r="P16084" s="3" t="s">
        <v>9</v>
      </c>
      <c r="Q16084" s="3"/>
    </row>
    <row r="16085" spans="1:17" ht="15" x14ac:dyDescent="0.25">
      <c r="A16085" s="3">
        <f>16078</f>
        <v>16078</v>
      </c>
      <c r="B16085" s="3" t="s">
        <v>16087</v>
      </c>
      <c r="C16085" s="3" t="s">
        <v>10</v>
      </c>
      <c r="D16085" s="3" t="s">
        <v>9</v>
      </c>
      <c r="E16085" s="3">
        <v>22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3">
        <v>0</v>
      </c>
      <c r="N16085" s="3">
        <v>0</v>
      </c>
      <c r="O16085" s="3" t="s">
        <v>10</v>
      </c>
      <c r="P16085" s="3" t="s">
        <v>9</v>
      </c>
      <c r="Q16085" s="3"/>
    </row>
    <row r="16086" spans="1:17" ht="15" x14ac:dyDescent="0.25">
      <c r="A16086" s="3">
        <f>16079</f>
        <v>16079</v>
      </c>
      <c r="B16086" s="3" t="s">
        <v>16088</v>
      </c>
      <c r="C16086" s="3" t="s">
        <v>10</v>
      </c>
      <c r="D16086" s="3" t="s">
        <v>9</v>
      </c>
      <c r="E16086" s="3">
        <v>22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0</v>
      </c>
      <c r="O16086" s="3" t="s">
        <v>10</v>
      </c>
      <c r="P16086" s="3" t="s">
        <v>9</v>
      </c>
      <c r="Q16086" s="3"/>
    </row>
    <row r="16087" spans="1:17" ht="15" x14ac:dyDescent="0.25">
      <c r="A16087" s="3">
        <f>16080</f>
        <v>16080</v>
      </c>
      <c r="B16087" s="3" t="s">
        <v>16089</v>
      </c>
      <c r="C16087" s="3" t="s">
        <v>10</v>
      </c>
      <c r="D16087" s="3" t="s">
        <v>9</v>
      </c>
      <c r="E16087" s="3">
        <v>22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>
        <v>0</v>
      </c>
      <c r="O16087" s="3" t="s">
        <v>10</v>
      </c>
      <c r="P16087" s="3" t="s">
        <v>9</v>
      </c>
      <c r="Q16087" s="3"/>
    </row>
    <row r="16088" spans="1:17" ht="15" x14ac:dyDescent="0.25">
      <c r="A16088" s="3">
        <f>16081</f>
        <v>16081</v>
      </c>
      <c r="B16088" s="3" t="s">
        <v>16090</v>
      </c>
      <c r="C16088" s="3" t="s">
        <v>10</v>
      </c>
      <c r="D16088" s="3" t="s">
        <v>9</v>
      </c>
      <c r="E16088" s="3">
        <v>22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  <c r="O16088" s="3" t="s">
        <v>10</v>
      </c>
      <c r="P16088" s="3" t="s">
        <v>9</v>
      </c>
      <c r="Q16088" s="3"/>
    </row>
    <row r="16089" spans="1:17" ht="15" x14ac:dyDescent="0.25">
      <c r="A16089" s="3">
        <f>16082</f>
        <v>16082</v>
      </c>
      <c r="B16089" s="3" t="s">
        <v>16091</v>
      </c>
      <c r="C16089" s="3" t="s">
        <v>10</v>
      </c>
      <c r="D16089" s="3" t="s">
        <v>9</v>
      </c>
      <c r="E16089" s="3">
        <v>22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0</v>
      </c>
      <c r="O16089" s="3" t="s">
        <v>10</v>
      </c>
      <c r="P16089" s="3" t="s">
        <v>9</v>
      </c>
      <c r="Q16089" s="3"/>
    </row>
    <row r="16090" spans="1:17" ht="15" x14ac:dyDescent="0.25">
      <c r="A16090" s="3">
        <f>16083</f>
        <v>16083</v>
      </c>
      <c r="B16090" s="3" t="s">
        <v>16092</v>
      </c>
      <c r="C16090" s="3" t="s">
        <v>10</v>
      </c>
      <c r="D16090" s="3" t="s">
        <v>9</v>
      </c>
      <c r="E16090" s="3">
        <v>22</v>
      </c>
      <c r="F16090" s="3">
        <v>0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>
        <v>0</v>
      </c>
      <c r="O16090" s="3" t="s">
        <v>10</v>
      </c>
      <c r="P16090" s="3" t="s">
        <v>9</v>
      </c>
      <c r="Q16090" s="3"/>
    </row>
    <row r="16091" spans="1:17" ht="15" x14ac:dyDescent="0.25">
      <c r="A16091" s="3">
        <f>16084</f>
        <v>16084</v>
      </c>
      <c r="B16091" s="3" t="s">
        <v>16093</v>
      </c>
      <c r="C16091" s="3" t="s">
        <v>10</v>
      </c>
      <c r="D16091" s="3" t="s">
        <v>9</v>
      </c>
      <c r="E16091" s="3">
        <v>22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>
        <v>0</v>
      </c>
      <c r="O16091" s="3" t="s">
        <v>10</v>
      </c>
      <c r="P16091" s="3" t="s">
        <v>9</v>
      </c>
      <c r="Q16091" s="3"/>
    </row>
    <row r="16092" spans="1:17" ht="15" x14ac:dyDescent="0.25">
      <c r="A16092" s="3">
        <f>16085</f>
        <v>16085</v>
      </c>
      <c r="B16092" s="3" t="s">
        <v>16094</v>
      </c>
      <c r="C16092" s="3" t="s">
        <v>10</v>
      </c>
      <c r="D16092" s="3" t="s">
        <v>9</v>
      </c>
      <c r="E16092" s="3">
        <v>22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s="3" t="s">
        <v>10</v>
      </c>
      <c r="P16092" s="3" t="s">
        <v>9</v>
      </c>
      <c r="Q16092" s="3"/>
    </row>
    <row r="16093" spans="1:17" ht="15" x14ac:dyDescent="0.25">
      <c r="A16093" s="3">
        <f>16086</f>
        <v>16086</v>
      </c>
      <c r="B16093" s="3" t="s">
        <v>16095</v>
      </c>
      <c r="C16093" s="3" t="s">
        <v>10</v>
      </c>
      <c r="D16093" s="3" t="s">
        <v>9</v>
      </c>
      <c r="E16093" s="3">
        <v>22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  <c r="O16093" s="3" t="s">
        <v>10</v>
      </c>
      <c r="P16093" s="3" t="s">
        <v>9</v>
      </c>
      <c r="Q16093" s="3"/>
    </row>
    <row r="16094" spans="1:17" ht="15" x14ac:dyDescent="0.25">
      <c r="A16094" s="3">
        <f>16087</f>
        <v>16087</v>
      </c>
      <c r="B16094" s="3" t="s">
        <v>16096</v>
      </c>
      <c r="C16094" s="3" t="s">
        <v>10</v>
      </c>
      <c r="D16094" s="3" t="s">
        <v>9</v>
      </c>
      <c r="E16094" s="3">
        <v>22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s="3" t="s">
        <v>10</v>
      </c>
      <c r="P16094" s="3" t="s">
        <v>9</v>
      </c>
      <c r="Q16094" s="3"/>
    </row>
    <row r="16095" spans="1:17" ht="15" x14ac:dyDescent="0.25">
      <c r="A16095" s="3">
        <f>16088</f>
        <v>16088</v>
      </c>
      <c r="B16095" s="3" t="s">
        <v>16097</v>
      </c>
      <c r="C16095" s="3" t="s">
        <v>10</v>
      </c>
      <c r="D16095" s="3" t="s">
        <v>9</v>
      </c>
      <c r="E16095" s="3">
        <v>22</v>
      </c>
      <c r="F16095" s="3">
        <v>0</v>
      </c>
      <c r="G16095" s="3">
        <v>0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3">
        <v>0</v>
      </c>
      <c r="N16095" s="3">
        <v>0</v>
      </c>
      <c r="O16095" s="3" t="s">
        <v>10</v>
      </c>
      <c r="P16095" s="3" t="s">
        <v>9</v>
      </c>
      <c r="Q16095" s="3"/>
    </row>
    <row r="16096" spans="1:17" ht="15" x14ac:dyDescent="0.25">
      <c r="A16096" s="3">
        <f>16089</f>
        <v>16089</v>
      </c>
      <c r="B16096" s="3" t="s">
        <v>16098</v>
      </c>
      <c r="C16096" s="3" t="s">
        <v>10</v>
      </c>
      <c r="D16096" s="3" t="s">
        <v>9</v>
      </c>
      <c r="E16096" s="3">
        <v>22</v>
      </c>
      <c r="F16096" s="3">
        <v>0</v>
      </c>
      <c r="G16096" s="3">
        <v>0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s="3">
        <v>0</v>
      </c>
      <c r="O16096" s="3" t="s">
        <v>10</v>
      </c>
      <c r="P16096" s="3" t="s">
        <v>9</v>
      </c>
      <c r="Q16096" s="3"/>
    </row>
    <row r="16097" spans="1:17" ht="15" x14ac:dyDescent="0.25">
      <c r="A16097" s="3">
        <f>16090</f>
        <v>16090</v>
      </c>
      <c r="B16097" s="3" t="s">
        <v>16099</v>
      </c>
      <c r="C16097" s="3" t="s">
        <v>10</v>
      </c>
      <c r="D16097" s="3" t="s">
        <v>9</v>
      </c>
      <c r="E16097" s="3">
        <v>22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s="3" t="s">
        <v>10</v>
      </c>
      <c r="P16097" s="3" t="s">
        <v>9</v>
      </c>
      <c r="Q16097" s="3"/>
    </row>
    <row r="16098" spans="1:17" ht="15" x14ac:dyDescent="0.25">
      <c r="A16098" s="3">
        <f>16091</f>
        <v>16091</v>
      </c>
      <c r="B16098" s="3" t="s">
        <v>16100</v>
      </c>
      <c r="C16098" s="3" t="s">
        <v>10</v>
      </c>
      <c r="D16098" s="3" t="s">
        <v>9</v>
      </c>
      <c r="E16098" s="3">
        <v>22</v>
      </c>
      <c r="F16098" s="3">
        <v>0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3">
        <v>0</v>
      </c>
      <c r="N16098" s="3">
        <v>0</v>
      </c>
      <c r="O16098" s="3" t="s">
        <v>10</v>
      </c>
      <c r="P16098" s="3" t="s">
        <v>9</v>
      </c>
      <c r="Q16098" s="3"/>
    </row>
    <row r="16099" spans="1:17" ht="15" x14ac:dyDescent="0.25">
      <c r="A16099" s="3">
        <f>16092</f>
        <v>16092</v>
      </c>
      <c r="B16099" s="3" t="s">
        <v>16101</v>
      </c>
      <c r="C16099" s="3" t="s">
        <v>10</v>
      </c>
      <c r="D16099" s="3" t="s">
        <v>9</v>
      </c>
      <c r="E16099" s="3">
        <v>22</v>
      </c>
      <c r="F16099" s="3">
        <v>0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>
        <v>0</v>
      </c>
      <c r="O16099" s="3" t="s">
        <v>10</v>
      </c>
      <c r="P16099" s="3" t="s">
        <v>9</v>
      </c>
      <c r="Q16099" s="3"/>
    </row>
    <row r="16100" spans="1:17" ht="15" x14ac:dyDescent="0.25">
      <c r="A16100" s="3">
        <f>16093</f>
        <v>16093</v>
      </c>
      <c r="B16100" s="3" t="s">
        <v>16102</v>
      </c>
      <c r="C16100" s="3" t="s">
        <v>10</v>
      </c>
      <c r="D16100" s="3" t="s">
        <v>9</v>
      </c>
      <c r="E16100" s="3">
        <v>22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3">
        <v>0</v>
      </c>
      <c r="N16100" s="3">
        <v>0</v>
      </c>
      <c r="O16100" s="3" t="s">
        <v>10</v>
      </c>
      <c r="P16100" s="3" t="s">
        <v>9</v>
      </c>
      <c r="Q16100" s="3"/>
    </row>
    <row r="16101" spans="1:17" ht="15" x14ac:dyDescent="0.25">
      <c r="A16101" s="3">
        <f>16094</f>
        <v>16094</v>
      </c>
      <c r="B16101" s="3" t="s">
        <v>16103</v>
      </c>
      <c r="C16101" s="3" t="s">
        <v>10</v>
      </c>
      <c r="D16101" s="3" t="s">
        <v>9</v>
      </c>
      <c r="E16101" s="3">
        <v>22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>
        <v>0</v>
      </c>
      <c r="O16101" s="3" t="s">
        <v>10</v>
      </c>
      <c r="P16101" s="3" t="s">
        <v>9</v>
      </c>
      <c r="Q16101" s="3"/>
    </row>
    <row r="16102" spans="1:17" ht="15" x14ac:dyDescent="0.25">
      <c r="A16102" s="3">
        <f>16095</f>
        <v>16095</v>
      </c>
      <c r="B16102" s="3" t="s">
        <v>16104</v>
      </c>
      <c r="C16102" s="3" t="s">
        <v>10</v>
      </c>
      <c r="D16102" s="3" t="s">
        <v>9</v>
      </c>
      <c r="E16102" s="3">
        <v>22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>
        <v>0</v>
      </c>
      <c r="O16102" s="3" t="s">
        <v>10</v>
      </c>
      <c r="P16102" s="3" t="s">
        <v>9</v>
      </c>
      <c r="Q16102" s="3"/>
    </row>
    <row r="16103" spans="1:17" ht="15" x14ac:dyDescent="0.25">
      <c r="A16103" s="3">
        <f>16096</f>
        <v>16096</v>
      </c>
      <c r="B16103" s="3" t="s">
        <v>16105</v>
      </c>
      <c r="C16103" s="3" t="s">
        <v>10</v>
      </c>
      <c r="D16103" s="3" t="s">
        <v>9</v>
      </c>
      <c r="E16103" s="3">
        <v>22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>
        <v>0</v>
      </c>
      <c r="O16103" s="3" t="s">
        <v>10</v>
      </c>
      <c r="P16103" s="3" t="s">
        <v>9</v>
      </c>
      <c r="Q16103" s="3"/>
    </row>
    <row r="16104" spans="1:17" ht="15" x14ac:dyDescent="0.25">
      <c r="A16104" s="3">
        <f>16097</f>
        <v>16097</v>
      </c>
      <c r="B16104" s="3" t="s">
        <v>16106</v>
      </c>
      <c r="C16104" s="3" t="s">
        <v>10</v>
      </c>
      <c r="D16104" s="3" t="s">
        <v>9</v>
      </c>
      <c r="E16104" s="3">
        <v>22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s="3" t="s">
        <v>10</v>
      </c>
      <c r="P16104" s="3" t="s">
        <v>9</v>
      </c>
      <c r="Q16104" s="3"/>
    </row>
    <row r="16105" spans="1:17" ht="15" x14ac:dyDescent="0.25">
      <c r="A16105" s="3">
        <f>16098</f>
        <v>16098</v>
      </c>
      <c r="B16105" s="3" t="s">
        <v>16107</v>
      </c>
      <c r="C16105" s="3" t="s">
        <v>10</v>
      </c>
      <c r="D16105" s="3" t="s">
        <v>9</v>
      </c>
      <c r="E16105" s="3">
        <v>22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s="3" t="s">
        <v>10</v>
      </c>
      <c r="P16105" s="3" t="s">
        <v>9</v>
      </c>
      <c r="Q16105" s="3"/>
    </row>
    <row r="16106" spans="1:17" ht="15" x14ac:dyDescent="0.25">
      <c r="A16106" s="3">
        <f>16099</f>
        <v>16099</v>
      </c>
      <c r="B16106" s="3" t="s">
        <v>16108</v>
      </c>
      <c r="C16106" s="3" t="s">
        <v>10</v>
      </c>
      <c r="D16106" s="3" t="s">
        <v>9</v>
      </c>
      <c r="E16106" s="3">
        <v>22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s="3" t="s">
        <v>10</v>
      </c>
      <c r="P16106" s="3" t="s">
        <v>9</v>
      </c>
      <c r="Q16106" s="3"/>
    </row>
    <row r="16107" spans="1:17" ht="15" x14ac:dyDescent="0.25">
      <c r="A16107" s="3">
        <f>16100</f>
        <v>16100</v>
      </c>
      <c r="B16107" s="3" t="s">
        <v>16109</v>
      </c>
      <c r="C16107" s="3" t="s">
        <v>10</v>
      </c>
      <c r="D16107" s="3" t="s">
        <v>9</v>
      </c>
      <c r="E16107" s="3">
        <v>22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  <c r="O16107" s="3" t="s">
        <v>10</v>
      </c>
      <c r="P16107" s="3" t="s">
        <v>9</v>
      </c>
      <c r="Q16107" s="3"/>
    </row>
    <row r="16108" spans="1:17" ht="15" x14ac:dyDescent="0.25">
      <c r="A16108" s="3">
        <f>16101</f>
        <v>16101</v>
      </c>
      <c r="B16108" s="3" t="s">
        <v>16110</v>
      </c>
      <c r="C16108" s="3" t="s">
        <v>10</v>
      </c>
      <c r="D16108" s="3" t="s">
        <v>9</v>
      </c>
      <c r="E16108" s="3">
        <v>22</v>
      </c>
      <c r="F16108" s="3">
        <v>0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>
        <v>0</v>
      </c>
      <c r="O16108" s="3" t="s">
        <v>10</v>
      </c>
      <c r="P16108" s="3" t="s">
        <v>9</v>
      </c>
      <c r="Q16108" s="3"/>
    </row>
    <row r="16109" spans="1:17" ht="15" x14ac:dyDescent="0.25">
      <c r="A16109" s="3">
        <f>16102</f>
        <v>16102</v>
      </c>
      <c r="B16109" s="3" t="s">
        <v>16111</v>
      </c>
      <c r="C16109" s="3" t="s">
        <v>10</v>
      </c>
      <c r="D16109" s="3" t="s">
        <v>9</v>
      </c>
      <c r="E16109" s="3">
        <v>22</v>
      </c>
      <c r="F16109" s="3">
        <v>0</v>
      </c>
      <c r="G16109" s="3">
        <v>0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>
        <v>0</v>
      </c>
      <c r="O16109" s="3" t="s">
        <v>10</v>
      </c>
      <c r="P16109" s="3" t="s">
        <v>9</v>
      </c>
      <c r="Q16109" s="3"/>
    </row>
    <row r="16110" spans="1:17" ht="15" x14ac:dyDescent="0.25">
      <c r="A16110" s="3">
        <f>16103</f>
        <v>16103</v>
      </c>
      <c r="B16110" s="3" t="s">
        <v>16112</v>
      </c>
      <c r="C16110" s="3" t="s">
        <v>10</v>
      </c>
      <c r="D16110" s="3" t="s">
        <v>9</v>
      </c>
      <c r="E16110" s="3">
        <v>22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>
        <v>0</v>
      </c>
      <c r="O16110" s="3" t="s">
        <v>10</v>
      </c>
      <c r="P16110" s="3" t="s">
        <v>9</v>
      </c>
      <c r="Q16110" s="3"/>
    </row>
    <row r="16111" spans="1:17" ht="15" x14ac:dyDescent="0.25">
      <c r="A16111" s="3">
        <f>16104</f>
        <v>16104</v>
      </c>
      <c r="B16111" s="3" t="s">
        <v>16113</v>
      </c>
      <c r="C16111" s="3" t="s">
        <v>10</v>
      </c>
      <c r="D16111" s="3" t="s">
        <v>9</v>
      </c>
      <c r="E16111" s="3">
        <v>22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 t="s">
        <v>10</v>
      </c>
      <c r="P16111" s="3" t="s">
        <v>9</v>
      </c>
      <c r="Q16111" s="3"/>
    </row>
    <row r="16112" spans="1:17" ht="15" x14ac:dyDescent="0.25">
      <c r="A16112" s="3">
        <f>16105</f>
        <v>16105</v>
      </c>
      <c r="B16112" s="3" t="s">
        <v>16114</v>
      </c>
      <c r="C16112" s="3" t="s">
        <v>10</v>
      </c>
      <c r="D16112" s="3" t="s">
        <v>9</v>
      </c>
      <c r="E16112" s="3">
        <v>22</v>
      </c>
      <c r="F16112" s="3">
        <v>0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>
        <v>0</v>
      </c>
      <c r="O16112" s="3" t="s">
        <v>10</v>
      </c>
      <c r="P16112" s="3" t="s">
        <v>9</v>
      </c>
      <c r="Q16112" s="3"/>
    </row>
    <row r="16113" spans="1:17" ht="15" x14ac:dyDescent="0.25">
      <c r="A16113" s="3">
        <f>16106</f>
        <v>16106</v>
      </c>
      <c r="B16113" s="3" t="s">
        <v>16115</v>
      </c>
      <c r="C16113" s="3" t="s">
        <v>10</v>
      </c>
      <c r="D16113" s="3" t="s">
        <v>9</v>
      </c>
      <c r="E16113" s="3">
        <v>22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0</v>
      </c>
      <c r="O16113" s="3" t="s">
        <v>10</v>
      </c>
      <c r="P16113" s="3" t="s">
        <v>9</v>
      </c>
      <c r="Q16113" s="3"/>
    </row>
    <row r="16114" spans="1:17" ht="15" x14ac:dyDescent="0.25">
      <c r="A16114" s="3">
        <f>16107</f>
        <v>16107</v>
      </c>
      <c r="B16114" s="3" t="s">
        <v>16116</v>
      </c>
      <c r="C16114" s="3" t="s">
        <v>10</v>
      </c>
      <c r="D16114" s="3" t="s">
        <v>9</v>
      </c>
      <c r="E16114" s="3">
        <v>22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>
        <v>0</v>
      </c>
      <c r="O16114" s="3" t="s">
        <v>10</v>
      </c>
      <c r="P16114" s="3" t="s">
        <v>9</v>
      </c>
      <c r="Q16114" s="3"/>
    </row>
    <row r="16115" spans="1:17" ht="15" x14ac:dyDescent="0.25">
      <c r="A16115" s="3">
        <f>16108</f>
        <v>16108</v>
      </c>
      <c r="B16115" s="3" t="s">
        <v>16117</v>
      </c>
      <c r="C16115" s="3" t="s">
        <v>10</v>
      </c>
      <c r="D16115" s="3" t="s">
        <v>9</v>
      </c>
      <c r="E16115" s="3">
        <v>22</v>
      </c>
      <c r="F16115" s="3">
        <v>0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>
        <v>0</v>
      </c>
      <c r="O16115" s="3" t="s">
        <v>10</v>
      </c>
      <c r="P16115" s="3" t="s">
        <v>9</v>
      </c>
      <c r="Q16115" s="3"/>
    </row>
    <row r="16116" spans="1:17" ht="15" x14ac:dyDescent="0.25">
      <c r="A16116" s="3">
        <f>16109</f>
        <v>16109</v>
      </c>
      <c r="B16116" s="3" t="s">
        <v>16118</v>
      </c>
      <c r="C16116" s="3" t="s">
        <v>10</v>
      </c>
      <c r="D16116" s="3" t="s">
        <v>9</v>
      </c>
      <c r="E16116" s="3">
        <v>22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0</v>
      </c>
      <c r="O16116" s="3" t="s">
        <v>10</v>
      </c>
      <c r="P16116" s="3" t="s">
        <v>9</v>
      </c>
      <c r="Q16116" s="3"/>
    </row>
    <row r="16117" spans="1:17" ht="15" x14ac:dyDescent="0.25">
      <c r="A16117" s="3">
        <f>16110</f>
        <v>16110</v>
      </c>
      <c r="B16117" s="3" t="s">
        <v>16119</v>
      </c>
      <c r="C16117" s="3" t="s">
        <v>10</v>
      </c>
      <c r="D16117" s="3" t="s">
        <v>9</v>
      </c>
      <c r="E16117" s="3">
        <v>22</v>
      </c>
      <c r="F16117" s="3">
        <v>0</v>
      </c>
      <c r="G16117" s="3">
        <v>0</v>
      </c>
      <c r="H16117" s="3">
        <v>0</v>
      </c>
      <c r="I16117" s="3">
        <v>0</v>
      </c>
      <c r="J16117" s="3">
        <v>0</v>
      </c>
      <c r="K16117" s="3">
        <v>0</v>
      </c>
      <c r="L16117" s="3">
        <v>0</v>
      </c>
      <c r="M16117" s="3">
        <v>0</v>
      </c>
      <c r="N16117" s="3">
        <v>0</v>
      </c>
      <c r="O16117" s="3" t="s">
        <v>10</v>
      </c>
      <c r="P16117" s="3" t="s">
        <v>9</v>
      </c>
      <c r="Q16117" s="3"/>
    </row>
    <row r="16118" spans="1:17" ht="15" x14ac:dyDescent="0.25">
      <c r="A16118" s="3">
        <f>16111</f>
        <v>16111</v>
      </c>
      <c r="B16118" s="3" t="s">
        <v>16120</v>
      </c>
      <c r="C16118" s="3" t="s">
        <v>10</v>
      </c>
      <c r="D16118" s="3" t="s">
        <v>9</v>
      </c>
      <c r="E16118" s="3">
        <v>22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3">
        <v>0</v>
      </c>
      <c r="N16118" s="3">
        <v>0</v>
      </c>
      <c r="O16118" s="3" t="s">
        <v>10</v>
      </c>
      <c r="P16118" s="3" t="s">
        <v>9</v>
      </c>
      <c r="Q16118" s="3"/>
    </row>
    <row r="16119" spans="1:17" ht="15" x14ac:dyDescent="0.25">
      <c r="A16119" s="3">
        <f>16112</f>
        <v>16112</v>
      </c>
      <c r="B16119" s="3" t="s">
        <v>16121</v>
      </c>
      <c r="C16119" s="3" t="s">
        <v>10</v>
      </c>
      <c r="D16119" s="3" t="s">
        <v>9</v>
      </c>
      <c r="E16119" s="3">
        <v>22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3">
        <v>0</v>
      </c>
      <c r="N16119" s="3">
        <v>0</v>
      </c>
      <c r="O16119" s="3" t="s">
        <v>10</v>
      </c>
      <c r="P16119" s="3" t="s">
        <v>9</v>
      </c>
      <c r="Q16119" s="3"/>
    </row>
    <row r="16120" spans="1:17" ht="15" x14ac:dyDescent="0.25">
      <c r="A16120" s="3">
        <f>16113</f>
        <v>16113</v>
      </c>
      <c r="B16120" s="3" t="s">
        <v>16122</v>
      </c>
      <c r="C16120" s="3" t="s">
        <v>10</v>
      </c>
      <c r="D16120" s="3" t="s">
        <v>9</v>
      </c>
      <c r="E16120" s="3">
        <v>22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>
        <v>0</v>
      </c>
      <c r="O16120" s="3" t="s">
        <v>10</v>
      </c>
      <c r="P16120" s="3" t="s">
        <v>9</v>
      </c>
      <c r="Q16120" s="3"/>
    </row>
    <row r="16121" spans="1:17" ht="15" x14ac:dyDescent="0.25">
      <c r="A16121" s="3">
        <f>16114</f>
        <v>16114</v>
      </c>
      <c r="B16121" s="3" t="s">
        <v>16123</v>
      </c>
      <c r="C16121" s="3" t="s">
        <v>10</v>
      </c>
      <c r="D16121" s="3" t="s">
        <v>9</v>
      </c>
      <c r="E16121" s="3">
        <v>22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  <c r="O16121" s="3" t="s">
        <v>10</v>
      </c>
      <c r="P16121" s="3" t="s">
        <v>9</v>
      </c>
      <c r="Q16121" s="3"/>
    </row>
    <row r="16122" spans="1:17" ht="15" x14ac:dyDescent="0.25">
      <c r="A16122" s="3">
        <f>16115</f>
        <v>16115</v>
      </c>
      <c r="B16122" s="3" t="s">
        <v>16124</v>
      </c>
      <c r="C16122" s="3" t="s">
        <v>10</v>
      </c>
      <c r="D16122" s="3" t="s">
        <v>9</v>
      </c>
      <c r="E16122" s="3">
        <v>22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  <c r="O16122" s="3" t="s">
        <v>10</v>
      </c>
      <c r="P16122" s="3" t="s">
        <v>9</v>
      </c>
      <c r="Q16122" s="3"/>
    </row>
    <row r="16123" spans="1:17" ht="15" x14ac:dyDescent="0.25">
      <c r="A16123" s="3">
        <f>16116</f>
        <v>16116</v>
      </c>
      <c r="B16123" s="3" t="s">
        <v>16125</v>
      </c>
      <c r="C16123" s="3" t="s">
        <v>10</v>
      </c>
      <c r="D16123" s="3" t="s">
        <v>9</v>
      </c>
      <c r="E16123" s="3">
        <v>22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s="3" t="s">
        <v>10</v>
      </c>
      <c r="P16123" s="3" t="s">
        <v>9</v>
      </c>
      <c r="Q16123" s="3"/>
    </row>
    <row r="16124" spans="1:17" ht="15" x14ac:dyDescent="0.25">
      <c r="A16124" s="3">
        <f>16117</f>
        <v>16117</v>
      </c>
      <c r="B16124" s="3" t="s">
        <v>16126</v>
      </c>
      <c r="C16124" s="3" t="s">
        <v>10</v>
      </c>
      <c r="D16124" s="3" t="s">
        <v>9</v>
      </c>
      <c r="E16124" s="3">
        <v>22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s="3" t="s">
        <v>10</v>
      </c>
      <c r="P16124" s="3" t="s">
        <v>9</v>
      </c>
      <c r="Q16124" s="3"/>
    </row>
    <row r="16125" spans="1:17" ht="15" x14ac:dyDescent="0.25">
      <c r="A16125" s="3">
        <f>16118</f>
        <v>16118</v>
      </c>
      <c r="B16125" s="3" t="s">
        <v>16127</v>
      </c>
      <c r="C16125" s="3" t="s">
        <v>10</v>
      </c>
      <c r="D16125" s="3" t="s">
        <v>9</v>
      </c>
      <c r="E16125" s="3">
        <v>22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 t="s">
        <v>10</v>
      </c>
      <c r="P16125" s="3" t="s">
        <v>9</v>
      </c>
      <c r="Q16125" s="3"/>
    </row>
    <row r="16126" spans="1:17" ht="15" x14ac:dyDescent="0.25">
      <c r="A16126" s="3">
        <f>16119</f>
        <v>16119</v>
      </c>
      <c r="B16126" s="3" t="s">
        <v>16128</v>
      </c>
      <c r="C16126" s="3" t="s">
        <v>10</v>
      </c>
      <c r="D16126" s="3" t="s">
        <v>9</v>
      </c>
      <c r="E16126" s="3">
        <v>22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 t="s">
        <v>10</v>
      </c>
      <c r="P16126" s="3" t="s">
        <v>9</v>
      </c>
      <c r="Q16126" s="3"/>
    </row>
    <row r="16127" spans="1:17" ht="15" x14ac:dyDescent="0.25">
      <c r="A16127" s="3">
        <f>16120</f>
        <v>16120</v>
      </c>
      <c r="B16127" s="3" t="s">
        <v>16129</v>
      </c>
      <c r="C16127" s="3" t="s">
        <v>10</v>
      </c>
      <c r="D16127" s="3" t="s">
        <v>9</v>
      </c>
      <c r="E16127" s="3">
        <v>22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s="3" t="s">
        <v>10</v>
      </c>
      <c r="P16127" s="3" t="s">
        <v>9</v>
      </c>
      <c r="Q16127" s="3"/>
    </row>
    <row r="16128" spans="1:17" ht="15" x14ac:dyDescent="0.25">
      <c r="A16128" s="3">
        <f>16121</f>
        <v>16121</v>
      </c>
      <c r="B16128" s="3" t="s">
        <v>16130</v>
      </c>
      <c r="C16128" s="3" t="s">
        <v>10</v>
      </c>
      <c r="D16128" s="3" t="s">
        <v>9</v>
      </c>
      <c r="E16128" s="3">
        <v>22</v>
      </c>
      <c r="F16128" s="3">
        <v>0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>
        <v>0</v>
      </c>
      <c r="O16128" s="3" t="s">
        <v>10</v>
      </c>
      <c r="P16128" s="3" t="s">
        <v>9</v>
      </c>
      <c r="Q16128" s="3"/>
    </row>
    <row r="16129" spans="1:17" ht="15" x14ac:dyDescent="0.25">
      <c r="A16129" s="3">
        <f>16122</f>
        <v>16122</v>
      </c>
      <c r="B16129" s="3" t="s">
        <v>16131</v>
      </c>
      <c r="C16129" s="3" t="s">
        <v>10</v>
      </c>
      <c r="D16129" s="3" t="s">
        <v>9</v>
      </c>
      <c r="E16129" s="3">
        <v>22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s="3" t="s">
        <v>10</v>
      </c>
      <c r="P16129" s="3" t="s">
        <v>9</v>
      </c>
      <c r="Q16129" s="3"/>
    </row>
    <row r="16130" spans="1:17" ht="15" x14ac:dyDescent="0.25">
      <c r="A16130" s="3">
        <f>16123</f>
        <v>16123</v>
      </c>
      <c r="B16130" s="3" t="s">
        <v>16132</v>
      </c>
      <c r="C16130" s="3" t="s">
        <v>10</v>
      </c>
      <c r="D16130" s="3" t="s">
        <v>9</v>
      </c>
      <c r="E16130" s="3">
        <v>22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 t="s">
        <v>10</v>
      </c>
      <c r="P16130" s="3" t="s">
        <v>9</v>
      </c>
      <c r="Q16130" s="3"/>
    </row>
    <row r="16131" spans="1:17" ht="15" x14ac:dyDescent="0.25">
      <c r="A16131" s="3">
        <f>16124</f>
        <v>16124</v>
      </c>
      <c r="B16131" s="3" t="s">
        <v>16133</v>
      </c>
      <c r="C16131" s="3" t="s">
        <v>10</v>
      </c>
      <c r="D16131" s="3" t="s">
        <v>9</v>
      </c>
      <c r="E16131" s="3">
        <v>22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 t="s">
        <v>10</v>
      </c>
      <c r="P16131" s="3" t="s">
        <v>9</v>
      </c>
      <c r="Q16131" s="3"/>
    </row>
    <row r="16132" spans="1:17" ht="15" x14ac:dyDescent="0.25">
      <c r="A16132" s="3">
        <f>16125</f>
        <v>16125</v>
      </c>
      <c r="B16132" s="3" t="s">
        <v>16134</v>
      </c>
      <c r="C16132" s="3" t="s">
        <v>10</v>
      </c>
      <c r="D16132" s="3" t="s">
        <v>9</v>
      </c>
      <c r="E16132" s="3">
        <v>22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0</v>
      </c>
      <c r="O16132" s="3" t="s">
        <v>10</v>
      </c>
      <c r="P16132" s="3" t="s">
        <v>9</v>
      </c>
      <c r="Q16132" s="3"/>
    </row>
    <row r="16133" spans="1:17" ht="15" x14ac:dyDescent="0.25">
      <c r="A16133" s="3">
        <f>16126</f>
        <v>16126</v>
      </c>
      <c r="B16133" s="3" t="s">
        <v>16135</v>
      </c>
      <c r="C16133" s="3" t="s">
        <v>10</v>
      </c>
      <c r="D16133" s="3" t="s">
        <v>9</v>
      </c>
      <c r="E16133" s="3">
        <v>22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>
        <v>0</v>
      </c>
      <c r="O16133" s="3" t="s">
        <v>10</v>
      </c>
      <c r="P16133" s="3" t="s">
        <v>9</v>
      </c>
      <c r="Q16133" s="3"/>
    </row>
    <row r="16134" spans="1:17" ht="15" x14ac:dyDescent="0.25">
      <c r="A16134" s="3">
        <f>16127</f>
        <v>16127</v>
      </c>
      <c r="B16134" s="3" t="s">
        <v>16136</v>
      </c>
      <c r="C16134" s="3" t="s">
        <v>10</v>
      </c>
      <c r="D16134" s="3" t="s">
        <v>9</v>
      </c>
      <c r="E16134" s="3">
        <v>22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0</v>
      </c>
      <c r="O16134" s="3" t="s">
        <v>10</v>
      </c>
      <c r="P16134" s="3" t="s">
        <v>9</v>
      </c>
      <c r="Q16134" s="3"/>
    </row>
    <row r="16135" spans="1:17" ht="15" x14ac:dyDescent="0.25">
      <c r="A16135" s="3">
        <f>16128</f>
        <v>16128</v>
      </c>
      <c r="B16135" s="3" t="s">
        <v>16137</v>
      </c>
      <c r="C16135" s="3" t="s">
        <v>10</v>
      </c>
      <c r="D16135" s="3" t="s">
        <v>9</v>
      </c>
      <c r="E16135" s="3">
        <v>22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>
        <v>0</v>
      </c>
      <c r="O16135" s="3" t="s">
        <v>10</v>
      </c>
      <c r="P16135" s="3" t="s">
        <v>9</v>
      </c>
      <c r="Q16135" s="3"/>
    </row>
    <row r="16136" spans="1:17" ht="15" x14ac:dyDescent="0.25">
      <c r="A16136" s="3">
        <f>16129</f>
        <v>16129</v>
      </c>
      <c r="B16136" s="3" t="s">
        <v>16138</v>
      </c>
      <c r="C16136" s="3" t="s">
        <v>10</v>
      </c>
      <c r="D16136" s="3" t="s">
        <v>9</v>
      </c>
      <c r="E16136" s="3">
        <v>22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>
        <v>0</v>
      </c>
      <c r="O16136" s="3" t="s">
        <v>10</v>
      </c>
      <c r="P16136" s="3" t="s">
        <v>9</v>
      </c>
      <c r="Q16136" s="3"/>
    </row>
    <row r="16137" spans="1:17" ht="15" x14ac:dyDescent="0.25">
      <c r="A16137" s="3">
        <f>16130</f>
        <v>16130</v>
      </c>
      <c r="B16137" s="3" t="s">
        <v>16139</v>
      </c>
      <c r="C16137" s="3" t="s">
        <v>10</v>
      </c>
      <c r="D16137" s="3" t="s">
        <v>9</v>
      </c>
      <c r="E16137" s="3">
        <v>22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0</v>
      </c>
      <c r="O16137" s="3" t="s">
        <v>10</v>
      </c>
      <c r="P16137" s="3" t="s">
        <v>9</v>
      </c>
      <c r="Q16137" s="3"/>
    </row>
    <row r="16138" spans="1:17" ht="15" x14ac:dyDescent="0.25">
      <c r="A16138" s="3">
        <f>16131</f>
        <v>16131</v>
      </c>
      <c r="B16138" s="3" t="s">
        <v>16140</v>
      </c>
      <c r="C16138" s="3" t="s">
        <v>10</v>
      </c>
      <c r="D16138" s="3" t="s">
        <v>9</v>
      </c>
      <c r="E16138" s="3">
        <v>22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3">
        <v>0</v>
      </c>
      <c r="N16138" s="3">
        <v>0</v>
      </c>
      <c r="O16138" s="3" t="s">
        <v>10</v>
      </c>
      <c r="P16138" s="3" t="s">
        <v>9</v>
      </c>
      <c r="Q16138" s="3"/>
    </row>
    <row r="16139" spans="1:17" ht="15" x14ac:dyDescent="0.25">
      <c r="A16139" s="3">
        <f>16132</f>
        <v>16132</v>
      </c>
      <c r="B16139" s="3" t="s">
        <v>16141</v>
      </c>
      <c r="C16139" s="3" t="s">
        <v>10</v>
      </c>
      <c r="D16139" s="3" t="s">
        <v>9</v>
      </c>
      <c r="E16139" s="3">
        <v>22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0</v>
      </c>
      <c r="O16139" s="3" t="s">
        <v>10</v>
      </c>
      <c r="P16139" s="3" t="s">
        <v>9</v>
      </c>
      <c r="Q16139" s="3"/>
    </row>
    <row r="16140" spans="1:17" ht="15" x14ac:dyDescent="0.25">
      <c r="A16140" s="3">
        <f>16133</f>
        <v>16133</v>
      </c>
      <c r="B16140" s="3" t="s">
        <v>16142</v>
      </c>
      <c r="C16140" s="3" t="s">
        <v>10</v>
      </c>
      <c r="D16140" s="3" t="s">
        <v>9</v>
      </c>
      <c r="E16140" s="3">
        <v>22</v>
      </c>
      <c r="F16140" s="3">
        <v>0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>
        <v>0</v>
      </c>
      <c r="O16140" s="3" t="s">
        <v>10</v>
      </c>
      <c r="P16140" s="3" t="s">
        <v>9</v>
      </c>
      <c r="Q16140" s="3"/>
    </row>
    <row r="16141" spans="1:17" ht="15" x14ac:dyDescent="0.25">
      <c r="A16141" s="3">
        <f>16134</f>
        <v>16134</v>
      </c>
      <c r="B16141" s="3" t="s">
        <v>16143</v>
      </c>
      <c r="C16141" s="3" t="s">
        <v>10</v>
      </c>
      <c r="D16141" s="3" t="s">
        <v>9</v>
      </c>
      <c r="E16141" s="3">
        <v>22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s="3" t="s">
        <v>10</v>
      </c>
      <c r="P16141" s="3" t="s">
        <v>9</v>
      </c>
      <c r="Q16141" s="3"/>
    </row>
    <row r="16142" spans="1:17" ht="15" x14ac:dyDescent="0.25">
      <c r="A16142" s="3">
        <f>16135</f>
        <v>16135</v>
      </c>
      <c r="B16142" s="3" t="s">
        <v>16144</v>
      </c>
      <c r="C16142" s="3" t="s">
        <v>10</v>
      </c>
      <c r="D16142" s="3" t="s">
        <v>9</v>
      </c>
      <c r="E16142" s="3">
        <v>22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s="3" t="s">
        <v>10</v>
      </c>
      <c r="P16142" s="3" t="s">
        <v>9</v>
      </c>
      <c r="Q16142" s="3"/>
    </row>
    <row r="16143" spans="1:17" ht="15" x14ac:dyDescent="0.25">
      <c r="A16143" s="3">
        <f>16136</f>
        <v>16136</v>
      </c>
      <c r="B16143" s="3" t="s">
        <v>16145</v>
      </c>
      <c r="C16143" s="3" t="s">
        <v>10</v>
      </c>
      <c r="D16143" s="3" t="s">
        <v>9</v>
      </c>
      <c r="E16143" s="3">
        <v>22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s="3" t="s">
        <v>10</v>
      </c>
      <c r="P16143" s="3" t="s">
        <v>9</v>
      </c>
      <c r="Q16143" s="3"/>
    </row>
    <row r="16144" spans="1:17" ht="15" x14ac:dyDescent="0.25">
      <c r="A16144" s="3">
        <f>16137</f>
        <v>16137</v>
      </c>
      <c r="B16144" s="3" t="s">
        <v>16146</v>
      </c>
      <c r="C16144" s="3" t="s">
        <v>10</v>
      </c>
      <c r="D16144" s="3" t="s">
        <v>9</v>
      </c>
      <c r="E16144" s="3">
        <v>22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s="3" t="s">
        <v>10</v>
      </c>
      <c r="P16144" s="3" t="s">
        <v>9</v>
      </c>
      <c r="Q16144" s="3"/>
    </row>
    <row r="16145" spans="1:17" ht="15" x14ac:dyDescent="0.25">
      <c r="A16145" s="3">
        <f>16138</f>
        <v>16138</v>
      </c>
      <c r="B16145" s="3" t="s">
        <v>16147</v>
      </c>
      <c r="C16145" s="3" t="s">
        <v>10</v>
      </c>
      <c r="D16145" s="3" t="s">
        <v>9</v>
      </c>
      <c r="E16145" s="3">
        <v>22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0</v>
      </c>
      <c r="O16145" s="3" t="s">
        <v>10</v>
      </c>
      <c r="P16145" s="3" t="s">
        <v>9</v>
      </c>
      <c r="Q16145" s="3"/>
    </row>
    <row r="16146" spans="1:17" ht="15" x14ac:dyDescent="0.25">
      <c r="A16146" s="3">
        <f>16139</f>
        <v>16139</v>
      </c>
      <c r="B16146" s="3" t="s">
        <v>16148</v>
      </c>
      <c r="C16146" s="3" t="s">
        <v>10</v>
      </c>
      <c r="D16146" s="3" t="s">
        <v>9</v>
      </c>
      <c r="E16146" s="3">
        <v>22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 t="s">
        <v>10</v>
      </c>
      <c r="P16146" s="3" t="s">
        <v>9</v>
      </c>
      <c r="Q16146" s="3"/>
    </row>
    <row r="16147" spans="1:17" ht="15" x14ac:dyDescent="0.25">
      <c r="A16147" s="3">
        <f>16140</f>
        <v>16140</v>
      </c>
      <c r="B16147" s="3" t="s">
        <v>16149</v>
      </c>
      <c r="C16147" s="3" t="s">
        <v>10</v>
      </c>
      <c r="D16147" s="3" t="s">
        <v>9</v>
      </c>
      <c r="E16147" s="3">
        <v>22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s="3" t="s">
        <v>10</v>
      </c>
      <c r="P16147" s="3" t="s">
        <v>9</v>
      </c>
      <c r="Q16147" s="3"/>
    </row>
    <row r="16148" spans="1:17" ht="15" x14ac:dyDescent="0.25">
      <c r="A16148" s="3">
        <f>16141</f>
        <v>16141</v>
      </c>
      <c r="B16148" s="3" t="s">
        <v>16150</v>
      </c>
      <c r="C16148" s="3" t="s">
        <v>10</v>
      </c>
      <c r="D16148" s="3" t="s">
        <v>9</v>
      </c>
      <c r="E16148" s="3">
        <v>22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0</v>
      </c>
      <c r="O16148" s="3" t="s">
        <v>10</v>
      </c>
      <c r="P16148" s="3" t="s">
        <v>9</v>
      </c>
      <c r="Q16148" s="3"/>
    </row>
    <row r="16149" spans="1:17" ht="15" x14ac:dyDescent="0.25">
      <c r="A16149" s="3">
        <f>16142</f>
        <v>16142</v>
      </c>
      <c r="B16149" s="3" t="s">
        <v>16151</v>
      </c>
      <c r="C16149" s="3" t="s">
        <v>10</v>
      </c>
      <c r="D16149" s="3" t="s">
        <v>9</v>
      </c>
      <c r="E16149" s="3">
        <v>22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0</v>
      </c>
      <c r="O16149" s="3" t="s">
        <v>10</v>
      </c>
      <c r="P16149" s="3" t="s">
        <v>9</v>
      </c>
      <c r="Q16149" s="3"/>
    </row>
    <row r="16150" spans="1:17" ht="15" x14ac:dyDescent="0.25">
      <c r="A16150" s="3">
        <f>16143</f>
        <v>16143</v>
      </c>
      <c r="B16150" s="3" t="s">
        <v>16152</v>
      </c>
      <c r="C16150" s="3" t="s">
        <v>10</v>
      </c>
      <c r="D16150" s="3" t="s">
        <v>9</v>
      </c>
      <c r="E16150" s="3">
        <v>22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0</v>
      </c>
      <c r="O16150" s="3" t="s">
        <v>10</v>
      </c>
      <c r="P16150" s="3" t="s">
        <v>9</v>
      </c>
      <c r="Q16150" s="3"/>
    </row>
    <row r="16151" spans="1:17" ht="15" x14ac:dyDescent="0.25">
      <c r="A16151" s="3">
        <f>16144</f>
        <v>16144</v>
      </c>
      <c r="B16151" s="3" t="s">
        <v>16153</v>
      </c>
      <c r="C16151" s="3" t="s">
        <v>10</v>
      </c>
      <c r="D16151" s="3" t="s">
        <v>9</v>
      </c>
      <c r="E16151" s="3">
        <v>22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 t="s">
        <v>10</v>
      </c>
      <c r="P16151" s="3" t="s">
        <v>9</v>
      </c>
      <c r="Q16151" s="3"/>
    </row>
    <row r="16152" spans="1:17" ht="15" x14ac:dyDescent="0.25">
      <c r="A16152" s="3">
        <f>16145</f>
        <v>16145</v>
      </c>
      <c r="B16152" s="3" t="s">
        <v>16154</v>
      </c>
      <c r="C16152" s="3" t="s">
        <v>10</v>
      </c>
      <c r="D16152" s="3" t="s">
        <v>9</v>
      </c>
      <c r="E16152" s="3">
        <v>22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0</v>
      </c>
      <c r="O16152" s="3" t="s">
        <v>10</v>
      </c>
      <c r="P16152" s="3" t="s">
        <v>9</v>
      </c>
      <c r="Q16152" s="3"/>
    </row>
    <row r="16153" spans="1:17" ht="15" x14ac:dyDescent="0.25">
      <c r="A16153" s="3">
        <f>16146</f>
        <v>16146</v>
      </c>
      <c r="B16153" s="3" t="s">
        <v>16155</v>
      </c>
      <c r="C16153" s="3" t="s">
        <v>10</v>
      </c>
      <c r="D16153" s="3" t="s">
        <v>9</v>
      </c>
      <c r="E16153" s="3">
        <v>22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 t="s">
        <v>10</v>
      </c>
      <c r="P16153" s="3" t="s">
        <v>9</v>
      </c>
      <c r="Q16153" s="3"/>
    </row>
    <row r="16154" spans="1:17" ht="15" x14ac:dyDescent="0.25">
      <c r="A16154" s="3">
        <f>16147</f>
        <v>16147</v>
      </c>
      <c r="B16154" s="3" t="s">
        <v>16156</v>
      </c>
      <c r="C16154" s="3" t="s">
        <v>10</v>
      </c>
      <c r="D16154" s="3" t="s">
        <v>9</v>
      </c>
      <c r="E16154" s="3">
        <v>22</v>
      </c>
      <c r="F16154" s="3">
        <v>0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s="3" t="s">
        <v>10</v>
      </c>
      <c r="P16154" s="3" t="s">
        <v>9</v>
      </c>
      <c r="Q16154" s="3"/>
    </row>
    <row r="16155" spans="1:17" ht="15" x14ac:dyDescent="0.25">
      <c r="A16155" s="3">
        <f>16148</f>
        <v>16148</v>
      </c>
      <c r="B16155" s="3" t="s">
        <v>16157</v>
      </c>
      <c r="C16155" s="3" t="s">
        <v>10</v>
      </c>
      <c r="D16155" s="3" t="s">
        <v>9</v>
      </c>
      <c r="E16155" s="3">
        <v>22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  <c r="O16155" s="3" t="s">
        <v>10</v>
      </c>
      <c r="P16155" s="3" t="s">
        <v>9</v>
      </c>
      <c r="Q16155" s="3"/>
    </row>
    <row r="16156" spans="1:17" ht="15" x14ac:dyDescent="0.25">
      <c r="A16156" s="3">
        <f>16149</f>
        <v>16149</v>
      </c>
      <c r="B16156" s="3" t="s">
        <v>16158</v>
      </c>
      <c r="C16156" s="3" t="s">
        <v>10</v>
      </c>
      <c r="D16156" s="3" t="s">
        <v>9</v>
      </c>
      <c r="E16156" s="3">
        <v>22</v>
      </c>
      <c r="F16156" s="3">
        <v>0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>
        <v>0</v>
      </c>
      <c r="O16156" s="3" t="s">
        <v>10</v>
      </c>
      <c r="P16156" s="3" t="s">
        <v>9</v>
      </c>
      <c r="Q16156" s="3"/>
    </row>
    <row r="16157" spans="1:17" ht="15" x14ac:dyDescent="0.25">
      <c r="A16157" s="3">
        <f>16150</f>
        <v>16150</v>
      </c>
      <c r="B16157" s="3" t="s">
        <v>16159</v>
      </c>
      <c r="C16157" s="3" t="s">
        <v>10</v>
      </c>
      <c r="D16157" s="3" t="s">
        <v>9</v>
      </c>
      <c r="E16157" s="3">
        <v>22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s="3">
        <v>0</v>
      </c>
      <c r="O16157" s="3" t="s">
        <v>10</v>
      </c>
      <c r="P16157" s="3" t="s">
        <v>9</v>
      </c>
      <c r="Q16157" s="3"/>
    </row>
    <row r="16158" spans="1:17" ht="15" x14ac:dyDescent="0.25">
      <c r="A16158" s="3">
        <f>16151</f>
        <v>16151</v>
      </c>
      <c r="B16158" s="3" t="s">
        <v>16160</v>
      </c>
      <c r="C16158" s="3" t="s">
        <v>10</v>
      </c>
      <c r="D16158" s="3" t="s">
        <v>9</v>
      </c>
      <c r="E16158" s="3">
        <v>22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s="3" t="s">
        <v>10</v>
      </c>
      <c r="P16158" s="3" t="s">
        <v>9</v>
      </c>
      <c r="Q16158" s="3"/>
    </row>
    <row r="16159" spans="1:17" ht="15" x14ac:dyDescent="0.25">
      <c r="A16159" s="3">
        <f>16152</f>
        <v>16152</v>
      </c>
      <c r="B16159" s="3" t="s">
        <v>16161</v>
      </c>
      <c r="C16159" s="3" t="s">
        <v>10</v>
      </c>
      <c r="D16159" s="3" t="s">
        <v>9</v>
      </c>
      <c r="E16159" s="3">
        <v>22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>
        <v>0</v>
      </c>
      <c r="O16159" s="3" t="s">
        <v>10</v>
      </c>
      <c r="P16159" s="3" t="s">
        <v>9</v>
      </c>
      <c r="Q16159" s="3"/>
    </row>
    <row r="16160" spans="1:17" ht="15" x14ac:dyDescent="0.25">
      <c r="A16160" s="3">
        <f>16153</f>
        <v>16153</v>
      </c>
      <c r="B16160" s="3" t="s">
        <v>16162</v>
      </c>
      <c r="C16160" s="3" t="s">
        <v>10</v>
      </c>
      <c r="D16160" s="3" t="s">
        <v>9</v>
      </c>
      <c r="E16160" s="3">
        <v>22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s="3" t="s">
        <v>10</v>
      </c>
      <c r="P16160" s="3" t="s">
        <v>9</v>
      </c>
      <c r="Q16160" s="3"/>
    </row>
    <row r="16161" spans="1:17" ht="15" x14ac:dyDescent="0.25">
      <c r="A16161" s="3">
        <f>16154</f>
        <v>16154</v>
      </c>
      <c r="B16161" s="3" t="s">
        <v>16163</v>
      </c>
      <c r="C16161" s="3" t="s">
        <v>10</v>
      </c>
      <c r="D16161" s="3" t="s">
        <v>9</v>
      </c>
      <c r="E16161" s="3">
        <v>22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  <c r="O16161" s="3" t="s">
        <v>10</v>
      </c>
      <c r="P16161" s="3" t="s">
        <v>9</v>
      </c>
      <c r="Q16161" s="3"/>
    </row>
    <row r="16162" spans="1:17" ht="15" x14ac:dyDescent="0.25">
      <c r="A16162" s="3">
        <f>16155</f>
        <v>16155</v>
      </c>
      <c r="B16162" s="3" t="s">
        <v>16164</v>
      </c>
      <c r="C16162" s="3" t="s">
        <v>10</v>
      </c>
      <c r="D16162" s="3" t="s">
        <v>9</v>
      </c>
      <c r="E16162" s="3">
        <v>22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s="3" t="s">
        <v>10</v>
      </c>
      <c r="P16162" s="3" t="s">
        <v>9</v>
      </c>
      <c r="Q16162" s="3"/>
    </row>
    <row r="16163" spans="1:17" ht="15" x14ac:dyDescent="0.25">
      <c r="A16163" s="3">
        <f>16156</f>
        <v>16156</v>
      </c>
      <c r="B16163" s="3" t="s">
        <v>16165</v>
      </c>
      <c r="C16163" s="3" t="s">
        <v>10</v>
      </c>
      <c r="D16163" s="3" t="s">
        <v>9</v>
      </c>
      <c r="E16163" s="3">
        <v>22</v>
      </c>
      <c r="F16163" s="3">
        <v>0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>
        <v>0</v>
      </c>
      <c r="O16163" s="3" t="s">
        <v>10</v>
      </c>
      <c r="P16163" s="3" t="s">
        <v>9</v>
      </c>
      <c r="Q16163" s="3"/>
    </row>
    <row r="16164" spans="1:17" ht="15" x14ac:dyDescent="0.25">
      <c r="A16164" s="3">
        <f>16157</f>
        <v>16157</v>
      </c>
      <c r="B16164" s="3" t="s">
        <v>16166</v>
      </c>
      <c r="C16164" s="3" t="s">
        <v>10</v>
      </c>
      <c r="D16164" s="3" t="s">
        <v>9</v>
      </c>
      <c r="E16164" s="3">
        <v>22</v>
      </c>
      <c r="F16164" s="3">
        <v>0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s="3" t="s">
        <v>10</v>
      </c>
      <c r="P16164" s="3" t="s">
        <v>9</v>
      </c>
      <c r="Q16164" s="3"/>
    </row>
    <row r="16165" spans="1:17" ht="15" x14ac:dyDescent="0.25">
      <c r="A16165" s="3">
        <f>16158</f>
        <v>16158</v>
      </c>
      <c r="B16165" s="3" t="s">
        <v>16167</v>
      </c>
      <c r="C16165" s="3" t="s">
        <v>10</v>
      </c>
      <c r="D16165" s="3" t="s">
        <v>9</v>
      </c>
      <c r="E16165" s="3">
        <v>22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s="3" t="s">
        <v>10</v>
      </c>
      <c r="P16165" s="3" t="s">
        <v>9</v>
      </c>
      <c r="Q16165" s="3"/>
    </row>
    <row r="16166" spans="1:17" ht="15" x14ac:dyDescent="0.25">
      <c r="A16166" s="3">
        <f>16159</f>
        <v>16159</v>
      </c>
      <c r="B16166" s="3" t="s">
        <v>16168</v>
      </c>
      <c r="C16166" s="3" t="s">
        <v>10</v>
      </c>
      <c r="D16166" s="3" t="s">
        <v>9</v>
      </c>
      <c r="E16166" s="3">
        <v>22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s="3" t="s">
        <v>10</v>
      </c>
      <c r="P16166" s="3" t="s">
        <v>9</v>
      </c>
      <c r="Q16166" s="3"/>
    </row>
    <row r="16167" spans="1:17" ht="15" x14ac:dyDescent="0.25">
      <c r="A16167" s="3">
        <f>16160</f>
        <v>16160</v>
      </c>
      <c r="B16167" s="3" t="s">
        <v>16169</v>
      </c>
      <c r="C16167" s="3" t="s">
        <v>10</v>
      </c>
      <c r="D16167" s="3" t="s">
        <v>9</v>
      </c>
      <c r="E16167" s="3">
        <v>22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 t="s">
        <v>10</v>
      </c>
      <c r="P16167" s="3" t="s">
        <v>9</v>
      </c>
      <c r="Q16167" s="3"/>
    </row>
    <row r="16168" spans="1:17" ht="15" x14ac:dyDescent="0.25">
      <c r="A16168" s="3">
        <f>16161</f>
        <v>16161</v>
      </c>
      <c r="B16168" s="3" t="s">
        <v>16170</v>
      </c>
      <c r="C16168" s="3" t="s">
        <v>10</v>
      </c>
      <c r="D16168" s="3" t="s">
        <v>9</v>
      </c>
      <c r="E16168" s="3">
        <v>22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s="3" t="s">
        <v>10</v>
      </c>
      <c r="P16168" s="3" t="s">
        <v>9</v>
      </c>
      <c r="Q16168" s="3"/>
    </row>
    <row r="16169" spans="1:17" ht="15" x14ac:dyDescent="0.25">
      <c r="A16169" s="3">
        <f>16162</f>
        <v>16162</v>
      </c>
      <c r="B16169" s="3" t="s">
        <v>16171</v>
      </c>
      <c r="C16169" s="3" t="s">
        <v>10</v>
      </c>
      <c r="D16169" s="3" t="s">
        <v>9</v>
      </c>
      <c r="E16169" s="3">
        <v>22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>
        <v>0</v>
      </c>
      <c r="O16169" s="3" t="s">
        <v>10</v>
      </c>
      <c r="P16169" s="3" t="s">
        <v>9</v>
      </c>
      <c r="Q16169" s="3"/>
    </row>
    <row r="16170" spans="1:17" ht="15" x14ac:dyDescent="0.25">
      <c r="A16170" s="3">
        <f>16163</f>
        <v>16163</v>
      </c>
      <c r="B16170" s="3" t="s">
        <v>16172</v>
      </c>
      <c r="C16170" s="3" t="s">
        <v>10</v>
      </c>
      <c r="D16170" s="3" t="s">
        <v>9</v>
      </c>
      <c r="E16170" s="3">
        <v>22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3">
        <v>0</v>
      </c>
      <c r="O16170" s="3" t="s">
        <v>10</v>
      </c>
      <c r="P16170" s="3" t="s">
        <v>9</v>
      </c>
      <c r="Q16170" s="3"/>
    </row>
    <row r="16171" spans="1:17" ht="15" x14ac:dyDescent="0.25">
      <c r="A16171" s="3">
        <f>16164</f>
        <v>16164</v>
      </c>
      <c r="B16171" s="3" t="s">
        <v>16173</v>
      </c>
      <c r="C16171" s="3" t="s">
        <v>10</v>
      </c>
      <c r="D16171" s="3" t="s">
        <v>9</v>
      </c>
      <c r="E16171" s="3">
        <v>22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>
        <v>0</v>
      </c>
      <c r="O16171" s="3" t="s">
        <v>10</v>
      </c>
      <c r="P16171" s="3" t="s">
        <v>9</v>
      </c>
      <c r="Q16171" s="3"/>
    </row>
    <row r="16172" spans="1:17" ht="15" x14ac:dyDescent="0.25">
      <c r="A16172" s="3">
        <f>16165</f>
        <v>16165</v>
      </c>
      <c r="B16172" s="3" t="s">
        <v>16174</v>
      </c>
      <c r="C16172" s="3" t="s">
        <v>10</v>
      </c>
      <c r="D16172" s="3" t="s">
        <v>9</v>
      </c>
      <c r="E16172" s="3">
        <v>22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 t="s">
        <v>10</v>
      </c>
      <c r="P16172" s="3" t="s">
        <v>9</v>
      </c>
      <c r="Q16172" s="3"/>
    </row>
    <row r="16173" spans="1:17" ht="15" x14ac:dyDescent="0.25">
      <c r="A16173" s="3">
        <f>16166</f>
        <v>16166</v>
      </c>
      <c r="B16173" s="3" t="s">
        <v>16175</v>
      </c>
      <c r="C16173" s="3" t="s">
        <v>10</v>
      </c>
      <c r="D16173" s="3" t="s">
        <v>9</v>
      </c>
      <c r="E16173" s="3">
        <v>22</v>
      </c>
      <c r="F16173" s="3">
        <v>0</v>
      </c>
      <c r="G16173" s="3">
        <v>0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>
        <v>0</v>
      </c>
      <c r="O16173" s="3" t="s">
        <v>10</v>
      </c>
      <c r="P16173" s="3" t="s">
        <v>9</v>
      </c>
      <c r="Q16173" s="3"/>
    </row>
    <row r="16174" spans="1:17" ht="15" x14ac:dyDescent="0.25">
      <c r="A16174" s="3">
        <f>16167</f>
        <v>16167</v>
      </c>
      <c r="B16174" s="3" t="s">
        <v>16176</v>
      </c>
      <c r="C16174" s="3" t="s">
        <v>10</v>
      </c>
      <c r="D16174" s="3" t="s">
        <v>9</v>
      </c>
      <c r="E16174" s="3">
        <v>22</v>
      </c>
      <c r="F16174" s="3">
        <v>0</v>
      </c>
      <c r="G16174" s="3">
        <v>0</v>
      </c>
      <c r="H16174" s="3">
        <v>0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0</v>
      </c>
      <c r="O16174" s="3" t="s">
        <v>10</v>
      </c>
      <c r="P16174" s="3" t="s">
        <v>9</v>
      </c>
      <c r="Q16174" s="3"/>
    </row>
    <row r="16175" spans="1:17" ht="15" x14ac:dyDescent="0.25">
      <c r="A16175" s="3">
        <f>16168</f>
        <v>16168</v>
      </c>
      <c r="B16175" s="3" t="s">
        <v>16177</v>
      </c>
      <c r="C16175" s="3" t="s">
        <v>10</v>
      </c>
      <c r="D16175" s="3" t="s">
        <v>9</v>
      </c>
      <c r="E16175" s="3">
        <v>22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>
        <v>0</v>
      </c>
      <c r="O16175" s="3" t="s">
        <v>10</v>
      </c>
      <c r="P16175" s="3" t="s">
        <v>9</v>
      </c>
      <c r="Q16175" s="3"/>
    </row>
    <row r="16176" spans="1:17" ht="15" x14ac:dyDescent="0.25">
      <c r="A16176" s="3">
        <f>16169</f>
        <v>16169</v>
      </c>
      <c r="B16176" s="3" t="s">
        <v>16178</v>
      </c>
      <c r="C16176" s="3" t="s">
        <v>10</v>
      </c>
      <c r="D16176" s="3" t="s">
        <v>9</v>
      </c>
      <c r="E16176" s="3">
        <v>22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s="3" t="s">
        <v>10</v>
      </c>
      <c r="P16176" s="3" t="s">
        <v>9</v>
      </c>
      <c r="Q16176" s="3"/>
    </row>
    <row r="16177" spans="1:17" ht="15" x14ac:dyDescent="0.25">
      <c r="A16177" s="3">
        <f>16170</f>
        <v>16170</v>
      </c>
      <c r="B16177" s="3" t="s">
        <v>16179</v>
      </c>
      <c r="C16177" s="3" t="s">
        <v>10</v>
      </c>
      <c r="D16177" s="3" t="s">
        <v>9</v>
      </c>
      <c r="E16177" s="3">
        <v>22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s="3" t="s">
        <v>10</v>
      </c>
      <c r="P16177" s="3" t="s">
        <v>9</v>
      </c>
      <c r="Q16177" s="3"/>
    </row>
    <row r="16178" spans="1:17" ht="15" x14ac:dyDescent="0.25">
      <c r="A16178" s="3">
        <f>16171</f>
        <v>16171</v>
      </c>
      <c r="B16178" s="3" t="s">
        <v>16180</v>
      </c>
      <c r="C16178" s="3" t="s">
        <v>10</v>
      </c>
      <c r="D16178" s="3" t="s">
        <v>9</v>
      </c>
      <c r="E16178" s="3">
        <v>22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>
        <v>0</v>
      </c>
      <c r="O16178" s="3" t="s">
        <v>10</v>
      </c>
      <c r="P16178" s="3" t="s">
        <v>9</v>
      </c>
      <c r="Q16178" s="3"/>
    </row>
    <row r="16179" spans="1:17" ht="15" x14ac:dyDescent="0.25">
      <c r="A16179" s="3">
        <f>16172</f>
        <v>16172</v>
      </c>
      <c r="B16179" s="3" t="s">
        <v>16181</v>
      </c>
      <c r="C16179" s="3" t="s">
        <v>10</v>
      </c>
      <c r="D16179" s="3" t="s">
        <v>9</v>
      </c>
      <c r="E16179" s="3">
        <v>22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s="3" t="s">
        <v>10</v>
      </c>
      <c r="P16179" s="3" t="s">
        <v>9</v>
      </c>
      <c r="Q16179" s="3"/>
    </row>
    <row r="16180" spans="1:17" ht="15" x14ac:dyDescent="0.25">
      <c r="A16180" s="3">
        <f>16173</f>
        <v>16173</v>
      </c>
      <c r="B16180" s="3" t="s">
        <v>16182</v>
      </c>
      <c r="C16180" s="3" t="s">
        <v>10</v>
      </c>
      <c r="D16180" s="3" t="s">
        <v>9</v>
      </c>
      <c r="E16180" s="3">
        <v>22</v>
      </c>
      <c r="F16180" s="3">
        <v>0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s="3" t="s">
        <v>10</v>
      </c>
      <c r="P16180" s="3" t="s">
        <v>9</v>
      </c>
      <c r="Q16180" s="3"/>
    </row>
    <row r="16181" spans="1:17" ht="15" x14ac:dyDescent="0.25">
      <c r="A16181" s="3">
        <f>16174</f>
        <v>16174</v>
      </c>
      <c r="B16181" s="3" t="s">
        <v>16183</v>
      </c>
      <c r="C16181" s="3" t="s">
        <v>10</v>
      </c>
      <c r="D16181" s="3" t="s">
        <v>9</v>
      </c>
      <c r="E16181" s="3">
        <v>22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s="3" t="s">
        <v>10</v>
      </c>
      <c r="P16181" s="3" t="s">
        <v>9</v>
      </c>
      <c r="Q16181" s="3"/>
    </row>
    <row r="16182" spans="1:17" ht="15" x14ac:dyDescent="0.25">
      <c r="A16182" s="3">
        <f>16175</f>
        <v>16175</v>
      </c>
      <c r="B16182" s="3" t="s">
        <v>16184</v>
      </c>
      <c r="C16182" s="3" t="s">
        <v>10</v>
      </c>
      <c r="D16182" s="3" t="s">
        <v>9</v>
      </c>
      <c r="E16182" s="3">
        <v>22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  <c r="O16182" s="3" t="s">
        <v>10</v>
      </c>
      <c r="P16182" s="3" t="s">
        <v>9</v>
      </c>
      <c r="Q16182" s="3"/>
    </row>
    <row r="16183" spans="1:17" ht="15" x14ac:dyDescent="0.25">
      <c r="A16183" s="3">
        <f>16176</f>
        <v>16176</v>
      </c>
      <c r="B16183" s="3" t="s">
        <v>16185</v>
      </c>
      <c r="C16183" s="3" t="s">
        <v>10</v>
      </c>
      <c r="D16183" s="3" t="s">
        <v>9</v>
      </c>
      <c r="E16183" s="3">
        <v>22</v>
      </c>
      <c r="F16183" s="3">
        <v>0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s="3" t="s">
        <v>10</v>
      </c>
      <c r="P16183" s="3" t="s">
        <v>9</v>
      </c>
      <c r="Q16183" s="3"/>
    </row>
    <row r="16184" spans="1:17" ht="15" x14ac:dyDescent="0.25">
      <c r="A16184" s="3">
        <f>16177</f>
        <v>16177</v>
      </c>
      <c r="B16184" s="3" t="s">
        <v>16186</v>
      </c>
      <c r="C16184" s="3" t="s">
        <v>10</v>
      </c>
      <c r="D16184" s="3" t="s">
        <v>9</v>
      </c>
      <c r="E16184" s="3">
        <v>22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>
        <v>0</v>
      </c>
      <c r="O16184" s="3" t="s">
        <v>9</v>
      </c>
      <c r="P16184" s="3" t="s">
        <v>9</v>
      </c>
      <c r="Q16184" s="3"/>
    </row>
    <row r="16185" spans="1:17" ht="15" x14ac:dyDescent="0.25">
      <c r="A16185" s="3">
        <f>16178</f>
        <v>16178</v>
      </c>
      <c r="B16185" s="3" t="s">
        <v>16187</v>
      </c>
      <c r="C16185" s="3" t="s">
        <v>10</v>
      </c>
      <c r="D16185" s="3" t="s">
        <v>9</v>
      </c>
      <c r="E16185" s="3">
        <v>22</v>
      </c>
      <c r="F16185" s="3">
        <v>0</v>
      </c>
      <c r="G16185" s="3">
        <v>0</v>
      </c>
      <c r="H16185" s="3">
        <v>0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>
        <v>0</v>
      </c>
      <c r="O16185" s="3" t="s">
        <v>10</v>
      </c>
      <c r="P16185" s="3" t="s">
        <v>9</v>
      </c>
      <c r="Q16185" s="3"/>
    </row>
    <row r="16186" spans="1:17" ht="15" x14ac:dyDescent="0.25">
      <c r="A16186" s="3">
        <f>16179</f>
        <v>16179</v>
      </c>
      <c r="B16186" s="3" t="s">
        <v>16188</v>
      </c>
      <c r="C16186" s="3" t="s">
        <v>10</v>
      </c>
      <c r="D16186" s="3" t="s">
        <v>9</v>
      </c>
      <c r="E16186" s="3">
        <v>22</v>
      </c>
      <c r="F16186" s="3">
        <v>0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>
        <v>0</v>
      </c>
      <c r="O16186" s="3" t="s">
        <v>10</v>
      </c>
      <c r="P16186" s="3" t="s">
        <v>9</v>
      </c>
      <c r="Q16186" s="3"/>
    </row>
    <row r="16187" spans="1:17" ht="15" x14ac:dyDescent="0.25">
      <c r="A16187" s="3">
        <f>16180</f>
        <v>16180</v>
      </c>
      <c r="B16187" s="3" t="s">
        <v>16189</v>
      </c>
      <c r="C16187" s="3" t="s">
        <v>10</v>
      </c>
      <c r="D16187" s="3" t="s">
        <v>9</v>
      </c>
      <c r="E16187" s="3">
        <v>22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>
        <v>0</v>
      </c>
      <c r="O16187" s="3" t="s">
        <v>10</v>
      </c>
      <c r="P16187" s="3" t="s">
        <v>9</v>
      </c>
      <c r="Q16187" s="3"/>
    </row>
    <row r="16188" spans="1:17" ht="15" x14ac:dyDescent="0.25">
      <c r="A16188" s="3">
        <f>16181</f>
        <v>16181</v>
      </c>
      <c r="B16188" s="3" t="s">
        <v>16190</v>
      </c>
      <c r="C16188" s="3" t="s">
        <v>10</v>
      </c>
      <c r="D16188" s="3" t="s">
        <v>9</v>
      </c>
      <c r="E16188" s="3">
        <v>22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s="3" t="s">
        <v>10</v>
      </c>
      <c r="P16188" s="3" t="s">
        <v>9</v>
      </c>
      <c r="Q16188" s="3"/>
    </row>
    <row r="16189" spans="1:17" ht="15" x14ac:dyDescent="0.25">
      <c r="A16189" s="3">
        <f>16182</f>
        <v>16182</v>
      </c>
      <c r="B16189" s="3" t="s">
        <v>16191</v>
      </c>
      <c r="C16189" s="3" t="s">
        <v>10</v>
      </c>
      <c r="D16189" s="3" t="s">
        <v>9</v>
      </c>
      <c r="E16189" s="3">
        <v>22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  <c r="O16189" s="3" t="s">
        <v>10</v>
      </c>
      <c r="P16189" s="3" t="s">
        <v>9</v>
      </c>
      <c r="Q16189" s="3"/>
    </row>
    <row r="16190" spans="1:17" ht="15" x14ac:dyDescent="0.25">
      <c r="A16190" s="3">
        <f>16183</f>
        <v>16183</v>
      </c>
      <c r="B16190" s="3" t="s">
        <v>16192</v>
      </c>
      <c r="C16190" s="3" t="s">
        <v>10</v>
      </c>
      <c r="D16190" s="3" t="s">
        <v>9</v>
      </c>
      <c r="E16190" s="3">
        <v>22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s="3" t="s">
        <v>10</v>
      </c>
      <c r="P16190" s="3" t="s">
        <v>9</v>
      </c>
      <c r="Q16190" s="3"/>
    </row>
    <row r="16191" spans="1:17" ht="15" x14ac:dyDescent="0.25">
      <c r="A16191" s="3">
        <f>16184</f>
        <v>16184</v>
      </c>
      <c r="B16191" s="3" t="s">
        <v>16193</v>
      </c>
      <c r="C16191" s="3" t="s">
        <v>10</v>
      </c>
      <c r="D16191" s="3" t="s">
        <v>9</v>
      </c>
      <c r="E16191" s="3">
        <v>22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>
        <v>0</v>
      </c>
      <c r="O16191" s="3" t="s">
        <v>10</v>
      </c>
      <c r="P16191" s="3" t="s">
        <v>9</v>
      </c>
      <c r="Q16191" s="3"/>
    </row>
    <row r="16192" spans="1:17" ht="15" x14ac:dyDescent="0.25">
      <c r="A16192" s="3">
        <f>16185</f>
        <v>16185</v>
      </c>
      <c r="B16192" s="3" t="s">
        <v>16194</v>
      </c>
      <c r="C16192" s="3" t="s">
        <v>10</v>
      </c>
      <c r="D16192" s="3" t="s">
        <v>9</v>
      </c>
      <c r="E16192" s="3">
        <v>22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s="3" t="s">
        <v>10</v>
      </c>
      <c r="P16192" s="3" t="s">
        <v>9</v>
      </c>
      <c r="Q16192" s="3"/>
    </row>
    <row r="16193" spans="1:17" ht="15" x14ac:dyDescent="0.25">
      <c r="A16193" s="3">
        <f>16186</f>
        <v>16186</v>
      </c>
      <c r="B16193" s="3" t="s">
        <v>16195</v>
      </c>
      <c r="C16193" s="3" t="s">
        <v>10</v>
      </c>
      <c r="D16193" s="3" t="s">
        <v>9</v>
      </c>
      <c r="E16193" s="3">
        <v>22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s="3" t="s">
        <v>10</v>
      </c>
      <c r="P16193" s="3" t="s">
        <v>9</v>
      </c>
      <c r="Q16193" s="3"/>
    </row>
    <row r="16194" spans="1:17" ht="15" x14ac:dyDescent="0.25">
      <c r="A16194" s="3">
        <f>16187</f>
        <v>16187</v>
      </c>
      <c r="B16194" s="3" t="s">
        <v>16196</v>
      </c>
      <c r="C16194" s="3" t="s">
        <v>10</v>
      </c>
      <c r="D16194" s="3" t="s">
        <v>9</v>
      </c>
      <c r="E16194" s="3">
        <v>22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>
        <v>0</v>
      </c>
      <c r="O16194" s="3" t="s">
        <v>10</v>
      </c>
      <c r="P16194" s="3" t="s">
        <v>9</v>
      </c>
      <c r="Q16194" s="3"/>
    </row>
    <row r="16195" spans="1:17" ht="15" x14ac:dyDescent="0.25">
      <c r="A16195" s="3">
        <f>16188</f>
        <v>16188</v>
      </c>
      <c r="B16195" s="3" t="s">
        <v>16197</v>
      </c>
      <c r="C16195" s="3" t="s">
        <v>10</v>
      </c>
      <c r="D16195" s="3" t="s">
        <v>9</v>
      </c>
      <c r="E16195" s="3">
        <v>22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s="3" t="s">
        <v>10</v>
      </c>
      <c r="P16195" s="3" t="s">
        <v>9</v>
      </c>
      <c r="Q16195" s="3"/>
    </row>
    <row r="16196" spans="1:17" ht="15" x14ac:dyDescent="0.25">
      <c r="A16196" s="3">
        <f>16189</f>
        <v>16189</v>
      </c>
      <c r="B16196" s="3" t="s">
        <v>16198</v>
      </c>
      <c r="C16196" s="3" t="s">
        <v>10</v>
      </c>
      <c r="D16196" s="3" t="s">
        <v>9</v>
      </c>
      <c r="E16196" s="3">
        <v>22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s="3" t="s">
        <v>10</v>
      </c>
      <c r="P16196" s="3" t="s">
        <v>9</v>
      </c>
      <c r="Q16196" s="3"/>
    </row>
    <row r="16197" spans="1:17" ht="15" x14ac:dyDescent="0.25">
      <c r="A16197" s="3">
        <f>16190</f>
        <v>16190</v>
      </c>
      <c r="B16197" s="3" t="s">
        <v>16199</v>
      </c>
      <c r="C16197" s="3" t="s">
        <v>10</v>
      </c>
      <c r="D16197" s="3" t="s">
        <v>9</v>
      </c>
      <c r="E16197" s="3">
        <v>22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s="3" t="s">
        <v>10</v>
      </c>
      <c r="P16197" s="3" t="s">
        <v>9</v>
      </c>
      <c r="Q16197" s="3"/>
    </row>
    <row r="16198" spans="1:17" ht="15" x14ac:dyDescent="0.25">
      <c r="A16198" s="3">
        <f>16191</f>
        <v>16191</v>
      </c>
      <c r="B16198" s="3" t="s">
        <v>16200</v>
      </c>
      <c r="C16198" s="3" t="s">
        <v>10</v>
      </c>
      <c r="D16198" s="3" t="s">
        <v>9</v>
      </c>
      <c r="E16198" s="3">
        <v>22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s="3" t="s">
        <v>10</v>
      </c>
      <c r="P16198" s="3" t="s">
        <v>9</v>
      </c>
      <c r="Q16198" s="3"/>
    </row>
    <row r="16199" spans="1:17" ht="15" x14ac:dyDescent="0.25">
      <c r="A16199" s="3">
        <f>16192</f>
        <v>16192</v>
      </c>
      <c r="B16199" s="3" t="s">
        <v>16201</v>
      </c>
      <c r="C16199" s="3" t="s">
        <v>10</v>
      </c>
      <c r="D16199" s="3" t="s">
        <v>9</v>
      </c>
      <c r="E16199" s="3">
        <v>22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s="3" t="s">
        <v>10</v>
      </c>
      <c r="P16199" s="3" t="s">
        <v>9</v>
      </c>
      <c r="Q16199" s="3"/>
    </row>
    <row r="16200" spans="1:17" ht="15" x14ac:dyDescent="0.25">
      <c r="A16200" s="3">
        <f>16193</f>
        <v>16193</v>
      </c>
      <c r="B16200" s="3" t="s">
        <v>16202</v>
      </c>
      <c r="C16200" s="3" t="s">
        <v>10</v>
      </c>
      <c r="D16200" s="3" t="s">
        <v>9</v>
      </c>
      <c r="E16200" s="3">
        <v>22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s="3" t="s">
        <v>10</v>
      </c>
      <c r="P16200" s="3" t="s">
        <v>9</v>
      </c>
      <c r="Q16200" s="3"/>
    </row>
    <row r="16201" spans="1:17" ht="15" x14ac:dyDescent="0.25">
      <c r="A16201" s="3">
        <f>16194</f>
        <v>16194</v>
      </c>
      <c r="B16201" s="3" t="s">
        <v>16203</v>
      </c>
      <c r="C16201" s="3" t="s">
        <v>10</v>
      </c>
      <c r="D16201" s="3" t="s">
        <v>9</v>
      </c>
      <c r="E16201" s="3">
        <v>22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s="3" t="s">
        <v>10</v>
      </c>
      <c r="P16201" s="3" t="s">
        <v>9</v>
      </c>
      <c r="Q16201" s="3"/>
    </row>
    <row r="16202" spans="1:17" ht="15" x14ac:dyDescent="0.25">
      <c r="A16202" s="3">
        <f>16195</f>
        <v>16195</v>
      </c>
      <c r="B16202" s="3" t="s">
        <v>16204</v>
      </c>
      <c r="C16202" s="3" t="s">
        <v>10</v>
      </c>
      <c r="D16202" s="3" t="s">
        <v>9</v>
      </c>
      <c r="E16202" s="3">
        <v>22</v>
      </c>
      <c r="F16202" s="3">
        <v>0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s="3" t="s">
        <v>10</v>
      </c>
      <c r="P16202" s="3" t="s">
        <v>9</v>
      </c>
      <c r="Q16202" s="3"/>
    </row>
    <row r="16203" spans="1:17" ht="15" x14ac:dyDescent="0.25">
      <c r="A16203" s="3">
        <f>16196</f>
        <v>16196</v>
      </c>
      <c r="B16203" s="3" t="s">
        <v>16205</v>
      </c>
      <c r="C16203" s="3" t="s">
        <v>10</v>
      </c>
      <c r="D16203" s="3" t="s">
        <v>9</v>
      </c>
      <c r="E16203" s="3">
        <v>22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s="3" t="s">
        <v>10</v>
      </c>
      <c r="P16203" s="3" t="s">
        <v>9</v>
      </c>
      <c r="Q16203" s="3"/>
    </row>
    <row r="16204" spans="1:17" ht="15" x14ac:dyDescent="0.25">
      <c r="A16204" s="3">
        <f>16197</f>
        <v>16197</v>
      </c>
      <c r="B16204" s="3" t="s">
        <v>16206</v>
      </c>
      <c r="C16204" s="3" t="s">
        <v>10</v>
      </c>
      <c r="D16204" s="3" t="s">
        <v>9</v>
      </c>
      <c r="E16204" s="3">
        <v>22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s="3" t="s">
        <v>10</v>
      </c>
      <c r="P16204" s="3" t="s">
        <v>9</v>
      </c>
      <c r="Q16204" s="3"/>
    </row>
    <row r="16205" spans="1:17" ht="15" x14ac:dyDescent="0.25">
      <c r="A16205" s="3">
        <f>16198</f>
        <v>16198</v>
      </c>
      <c r="B16205" s="3" t="s">
        <v>16207</v>
      </c>
      <c r="C16205" s="3" t="s">
        <v>10</v>
      </c>
      <c r="D16205" s="3" t="s">
        <v>9</v>
      </c>
      <c r="E16205" s="3">
        <v>22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 t="s">
        <v>10</v>
      </c>
      <c r="P16205" s="3" t="s">
        <v>9</v>
      </c>
      <c r="Q16205" s="3"/>
    </row>
    <row r="16206" spans="1:17" ht="15" x14ac:dyDescent="0.25">
      <c r="A16206" s="3">
        <f>16199</f>
        <v>16199</v>
      </c>
      <c r="B16206" s="3" t="s">
        <v>16208</v>
      </c>
      <c r="C16206" s="3" t="s">
        <v>10</v>
      </c>
      <c r="D16206" s="3" t="s">
        <v>9</v>
      </c>
      <c r="E16206" s="3">
        <v>22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s="3" t="s">
        <v>10</v>
      </c>
      <c r="P16206" s="3" t="s">
        <v>9</v>
      </c>
      <c r="Q16206" s="3"/>
    </row>
    <row r="16207" spans="1:17" ht="15" x14ac:dyDescent="0.25">
      <c r="A16207" s="3">
        <f>16200</f>
        <v>16200</v>
      </c>
      <c r="B16207" s="3" t="s">
        <v>16209</v>
      </c>
      <c r="C16207" s="3" t="s">
        <v>10</v>
      </c>
      <c r="D16207" s="3" t="s">
        <v>9</v>
      </c>
      <c r="E16207" s="3">
        <v>22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>
        <v>0</v>
      </c>
      <c r="O16207" s="3" t="s">
        <v>10</v>
      </c>
      <c r="P16207" s="3" t="s">
        <v>9</v>
      </c>
      <c r="Q16207" s="3"/>
    </row>
    <row r="16208" spans="1:17" ht="15" x14ac:dyDescent="0.25">
      <c r="A16208" s="3">
        <f>16201</f>
        <v>16201</v>
      </c>
      <c r="B16208" s="3" t="s">
        <v>16210</v>
      </c>
      <c r="C16208" s="3" t="s">
        <v>10</v>
      </c>
      <c r="D16208" s="3" t="s">
        <v>9</v>
      </c>
      <c r="E16208" s="3">
        <v>22</v>
      </c>
      <c r="F16208" s="3">
        <v>0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>
        <v>0</v>
      </c>
      <c r="O16208" s="3" t="s">
        <v>10</v>
      </c>
      <c r="P16208" s="3" t="s">
        <v>9</v>
      </c>
      <c r="Q16208" s="3"/>
    </row>
    <row r="16209" spans="1:17" ht="15" x14ac:dyDescent="0.25">
      <c r="A16209" s="3">
        <f>16202</f>
        <v>16202</v>
      </c>
      <c r="B16209" s="3" t="s">
        <v>16211</v>
      </c>
      <c r="C16209" s="3" t="s">
        <v>10</v>
      </c>
      <c r="D16209" s="3" t="s">
        <v>9</v>
      </c>
      <c r="E16209" s="3">
        <v>22</v>
      </c>
      <c r="F16209" s="3">
        <v>0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0</v>
      </c>
      <c r="O16209" s="3" t="s">
        <v>10</v>
      </c>
      <c r="P16209" s="3" t="s">
        <v>9</v>
      </c>
      <c r="Q16209" s="3"/>
    </row>
    <row r="16210" spans="1:17" ht="15" x14ac:dyDescent="0.25">
      <c r="A16210" s="3">
        <f>16203</f>
        <v>16203</v>
      </c>
      <c r="B16210" s="3" t="s">
        <v>16212</v>
      </c>
      <c r="C16210" s="3" t="s">
        <v>10</v>
      </c>
      <c r="D16210" s="3" t="s">
        <v>9</v>
      </c>
      <c r="E16210" s="3">
        <v>22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s="3" t="s">
        <v>10</v>
      </c>
      <c r="P16210" s="3" t="s">
        <v>9</v>
      </c>
      <c r="Q16210" s="3"/>
    </row>
    <row r="16211" spans="1:17" ht="15" x14ac:dyDescent="0.25">
      <c r="A16211" s="3">
        <f>16204</f>
        <v>16204</v>
      </c>
      <c r="B16211" s="3" t="s">
        <v>16213</v>
      </c>
      <c r="C16211" s="3" t="s">
        <v>10</v>
      </c>
      <c r="D16211" s="3" t="s">
        <v>9</v>
      </c>
      <c r="E16211" s="3">
        <v>22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 t="s">
        <v>10</v>
      </c>
      <c r="P16211" s="3" t="s">
        <v>9</v>
      </c>
      <c r="Q16211" s="3"/>
    </row>
    <row r="16212" spans="1:17" ht="15" x14ac:dyDescent="0.25">
      <c r="A16212" s="3">
        <f>16205</f>
        <v>16205</v>
      </c>
      <c r="B16212" s="3" t="s">
        <v>16214</v>
      </c>
      <c r="C16212" s="3" t="s">
        <v>10</v>
      </c>
      <c r="D16212" s="3" t="s">
        <v>9</v>
      </c>
      <c r="E16212" s="3">
        <v>22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s="3" t="s">
        <v>10</v>
      </c>
      <c r="P16212" s="3" t="s">
        <v>9</v>
      </c>
      <c r="Q16212" s="3"/>
    </row>
    <row r="16213" spans="1:17" ht="15" x14ac:dyDescent="0.25">
      <c r="A16213" s="3">
        <f>16206</f>
        <v>16206</v>
      </c>
      <c r="B16213" s="3" t="s">
        <v>16215</v>
      </c>
      <c r="C16213" s="3" t="s">
        <v>10</v>
      </c>
      <c r="D16213" s="3" t="s">
        <v>9</v>
      </c>
      <c r="E16213" s="3">
        <v>22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s="3" t="s">
        <v>10</v>
      </c>
      <c r="P16213" s="3" t="s">
        <v>9</v>
      </c>
      <c r="Q16213" s="3"/>
    </row>
    <row r="16214" spans="1:17" ht="15" x14ac:dyDescent="0.25">
      <c r="A16214" s="3">
        <f>16207</f>
        <v>16207</v>
      </c>
      <c r="B16214" s="3" t="s">
        <v>16216</v>
      </c>
      <c r="C16214" s="3" t="s">
        <v>10</v>
      </c>
      <c r="D16214" s="3" t="s">
        <v>9</v>
      </c>
      <c r="E16214" s="3">
        <v>22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s="3" t="s">
        <v>10</v>
      </c>
      <c r="P16214" s="3" t="s">
        <v>9</v>
      </c>
      <c r="Q16214" s="3"/>
    </row>
    <row r="16215" spans="1:17" ht="15" x14ac:dyDescent="0.25">
      <c r="A16215" s="3">
        <f>16208</f>
        <v>16208</v>
      </c>
      <c r="B16215" s="3" t="s">
        <v>16217</v>
      </c>
      <c r="C16215" s="3" t="s">
        <v>10</v>
      </c>
      <c r="D16215" s="3" t="s">
        <v>9</v>
      </c>
      <c r="E16215" s="3">
        <v>22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>
        <v>0</v>
      </c>
      <c r="O16215" s="3" t="s">
        <v>10</v>
      </c>
      <c r="P16215" s="3" t="s">
        <v>9</v>
      </c>
      <c r="Q16215" s="3"/>
    </row>
    <row r="16216" spans="1:17" ht="15" x14ac:dyDescent="0.25">
      <c r="A16216" s="3">
        <f>16209</f>
        <v>16209</v>
      </c>
      <c r="B16216" s="3" t="s">
        <v>16218</v>
      </c>
      <c r="C16216" s="3" t="s">
        <v>10</v>
      </c>
      <c r="D16216" s="3" t="s">
        <v>9</v>
      </c>
      <c r="E16216" s="3">
        <v>22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0</v>
      </c>
      <c r="O16216" s="3" t="s">
        <v>10</v>
      </c>
      <c r="P16216" s="3" t="s">
        <v>9</v>
      </c>
      <c r="Q16216" s="3"/>
    </row>
    <row r="16217" spans="1:17" ht="15" x14ac:dyDescent="0.25">
      <c r="A16217" s="3">
        <f>16210</f>
        <v>16210</v>
      </c>
      <c r="B16217" s="3" t="s">
        <v>16219</v>
      </c>
      <c r="C16217" s="3" t="s">
        <v>10</v>
      </c>
      <c r="D16217" s="3" t="s">
        <v>9</v>
      </c>
      <c r="E16217" s="3">
        <v>22</v>
      </c>
      <c r="F16217" s="3">
        <v>0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  <c r="O16217" s="3" t="s">
        <v>10</v>
      </c>
      <c r="P16217" s="3" t="s">
        <v>9</v>
      </c>
      <c r="Q16217" s="3"/>
    </row>
    <row r="16218" spans="1:17" ht="15" x14ac:dyDescent="0.25">
      <c r="A16218" s="3">
        <f>16211</f>
        <v>16211</v>
      </c>
      <c r="B16218" s="3" t="s">
        <v>16220</v>
      </c>
      <c r="C16218" s="3" t="s">
        <v>10</v>
      </c>
      <c r="D16218" s="3" t="s">
        <v>9</v>
      </c>
      <c r="E16218" s="3">
        <v>22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  <c r="O16218" s="3" t="s">
        <v>10</v>
      </c>
      <c r="P16218" s="3" t="s">
        <v>9</v>
      </c>
      <c r="Q16218" s="3"/>
    </row>
    <row r="16219" spans="1:17" ht="15" x14ac:dyDescent="0.25">
      <c r="A16219" s="3">
        <f>16212</f>
        <v>16212</v>
      </c>
      <c r="B16219" s="3" t="s">
        <v>16221</v>
      </c>
      <c r="C16219" s="3" t="s">
        <v>10</v>
      </c>
      <c r="D16219" s="3" t="s">
        <v>9</v>
      </c>
      <c r="E16219" s="3">
        <v>22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s="3" t="s">
        <v>10</v>
      </c>
      <c r="P16219" s="3" t="s">
        <v>9</v>
      </c>
      <c r="Q16219" s="3"/>
    </row>
    <row r="16220" spans="1:17" ht="15" x14ac:dyDescent="0.25">
      <c r="A16220" s="3">
        <f>16213</f>
        <v>16213</v>
      </c>
      <c r="B16220" s="3" t="s">
        <v>16222</v>
      </c>
      <c r="C16220" s="3" t="s">
        <v>10</v>
      </c>
      <c r="D16220" s="3" t="s">
        <v>9</v>
      </c>
      <c r="E16220" s="3">
        <v>22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s="3" t="s">
        <v>10</v>
      </c>
      <c r="P16220" s="3" t="s">
        <v>9</v>
      </c>
      <c r="Q16220" s="3"/>
    </row>
    <row r="16221" spans="1:17" ht="15" x14ac:dyDescent="0.25">
      <c r="A16221" s="3">
        <f>16214</f>
        <v>16214</v>
      </c>
      <c r="B16221" s="3" t="s">
        <v>16223</v>
      </c>
      <c r="C16221" s="3" t="s">
        <v>10</v>
      </c>
      <c r="D16221" s="3" t="s">
        <v>9</v>
      </c>
      <c r="E16221" s="3">
        <v>22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 t="s">
        <v>10</v>
      </c>
      <c r="P16221" s="3" t="s">
        <v>9</v>
      </c>
      <c r="Q16221" s="3"/>
    </row>
    <row r="16222" spans="1:17" ht="15" x14ac:dyDescent="0.25">
      <c r="A16222" s="3">
        <f>16215</f>
        <v>16215</v>
      </c>
      <c r="B16222" s="3" t="s">
        <v>16224</v>
      </c>
      <c r="C16222" s="3" t="s">
        <v>10</v>
      </c>
      <c r="D16222" s="3" t="s">
        <v>9</v>
      </c>
      <c r="E16222" s="3">
        <v>22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0</v>
      </c>
      <c r="O16222" s="3" t="s">
        <v>10</v>
      </c>
      <c r="P16222" s="3" t="s">
        <v>9</v>
      </c>
      <c r="Q16222" s="3"/>
    </row>
    <row r="16223" spans="1:17" ht="15" x14ac:dyDescent="0.25">
      <c r="A16223" s="3">
        <f>16216</f>
        <v>16216</v>
      </c>
      <c r="B16223" s="3" t="s">
        <v>16225</v>
      </c>
      <c r="C16223" s="3" t="s">
        <v>10</v>
      </c>
      <c r="D16223" s="3" t="s">
        <v>9</v>
      </c>
      <c r="E16223" s="3">
        <v>22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s="3" t="s">
        <v>10</v>
      </c>
      <c r="P16223" s="3" t="s">
        <v>9</v>
      </c>
      <c r="Q16223" s="3"/>
    </row>
    <row r="16224" spans="1:17" ht="15" x14ac:dyDescent="0.25">
      <c r="A16224" s="3">
        <f>16217</f>
        <v>16217</v>
      </c>
      <c r="B16224" s="3" t="s">
        <v>16226</v>
      </c>
      <c r="C16224" s="3" t="s">
        <v>10</v>
      </c>
      <c r="D16224" s="3" t="s">
        <v>9</v>
      </c>
      <c r="E16224" s="3">
        <v>22</v>
      </c>
      <c r="F16224" s="3">
        <v>0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s="3" t="s">
        <v>10</v>
      </c>
      <c r="P16224" s="3" t="s">
        <v>9</v>
      </c>
      <c r="Q16224" s="3"/>
    </row>
    <row r="16225" spans="1:17" ht="15" x14ac:dyDescent="0.25">
      <c r="A16225" s="3">
        <f>16218</f>
        <v>16218</v>
      </c>
      <c r="B16225" s="3" t="s">
        <v>16227</v>
      </c>
      <c r="C16225" s="3" t="s">
        <v>10</v>
      </c>
      <c r="D16225" s="3" t="s">
        <v>9</v>
      </c>
      <c r="E16225" s="3">
        <v>22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s="3" t="s">
        <v>10</v>
      </c>
      <c r="P16225" s="3" t="s">
        <v>9</v>
      </c>
      <c r="Q16225" s="3"/>
    </row>
    <row r="16226" spans="1:17" ht="15" x14ac:dyDescent="0.25">
      <c r="A16226" s="3">
        <f>16219</f>
        <v>16219</v>
      </c>
      <c r="B16226" s="3" t="s">
        <v>16228</v>
      </c>
      <c r="C16226" s="3" t="s">
        <v>10</v>
      </c>
      <c r="D16226" s="3" t="s">
        <v>9</v>
      </c>
      <c r="E16226" s="3">
        <v>22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0</v>
      </c>
      <c r="O16226" s="3" t="s">
        <v>10</v>
      </c>
      <c r="P16226" s="3" t="s">
        <v>9</v>
      </c>
      <c r="Q16226" s="3"/>
    </row>
    <row r="16227" spans="1:17" ht="15" x14ac:dyDescent="0.25">
      <c r="A16227" s="3">
        <f>16220</f>
        <v>16220</v>
      </c>
      <c r="B16227" s="3" t="s">
        <v>16229</v>
      </c>
      <c r="C16227" s="3" t="s">
        <v>10</v>
      </c>
      <c r="D16227" s="3" t="s">
        <v>9</v>
      </c>
      <c r="E16227" s="3">
        <v>22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s="3" t="s">
        <v>10</v>
      </c>
      <c r="P16227" s="3" t="s">
        <v>9</v>
      </c>
      <c r="Q16227" s="3"/>
    </row>
    <row r="16228" spans="1:17" ht="15" x14ac:dyDescent="0.25">
      <c r="A16228" s="3">
        <f>16221</f>
        <v>16221</v>
      </c>
      <c r="B16228" s="3" t="s">
        <v>16230</v>
      </c>
      <c r="C16228" s="3" t="s">
        <v>10</v>
      </c>
      <c r="D16228" s="3" t="s">
        <v>9</v>
      </c>
      <c r="E16228" s="3">
        <v>22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>
        <v>0</v>
      </c>
      <c r="O16228" s="3" t="s">
        <v>10</v>
      </c>
      <c r="P16228" s="3" t="s">
        <v>9</v>
      </c>
      <c r="Q16228" s="3"/>
    </row>
    <row r="16229" spans="1:17" ht="15" x14ac:dyDescent="0.25">
      <c r="A16229" s="3">
        <f>16222</f>
        <v>16222</v>
      </c>
      <c r="B16229" s="3" t="s">
        <v>16231</v>
      </c>
      <c r="C16229" s="3" t="s">
        <v>10</v>
      </c>
      <c r="D16229" s="3" t="s">
        <v>9</v>
      </c>
      <c r="E16229" s="3">
        <v>22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3">
        <v>0</v>
      </c>
      <c r="N16229" s="3">
        <v>0</v>
      </c>
      <c r="O16229" s="3" t="s">
        <v>10</v>
      </c>
      <c r="P16229" s="3" t="s">
        <v>9</v>
      </c>
      <c r="Q16229" s="3"/>
    </row>
    <row r="16230" spans="1:17" ht="15" x14ac:dyDescent="0.25">
      <c r="A16230" s="3">
        <f>16223</f>
        <v>16223</v>
      </c>
      <c r="B16230" s="3" t="s">
        <v>16232</v>
      </c>
      <c r="C16230" s="3" t="s">
        <v>10</v>
      </c>
      <c r="D16230" s="3" t="s">
        <v>9</v>
      </c>
      <c r="E16230" s="3">
        <v>22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>
        <v>0</v>
      </c>
      <c r="O16230" s="3" t="s">
        <v>10</v>
      </c>
      <c r="P16230" s="3" t="s">
        <v>9</v>
      </c>
      <c r="Q16230" s="3"/>
    </row>
    <row r="16231" spans="1:17" ht="15" x14ac:dyDescent="0.25">
      <c r="A16231" s="3">
        <f>16224</f>
        <v>16224</v>
      </c>
      <c r="B16231" s="3" t="s">
        <v>16233</v>
      </c>
      <c r="C16231" s="3" t="s">
        <v>10</v>
      </c>
      <c r="D16231" s="3" t="s">
        <v>9</v>
      </c>
      <c r="E16231" s="3">
        <v>22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s="3" t="s">
        <v>10</v>
      </c>
      <c r="P16231" s="3" t="s">
        <v>9</v>
      </c>
      <c r="Q16231" s="3"/>
    </row>
    <row r="16232" spans="1:17" ht="15" x14ac:dyDescent="0.25">
      <c r="A16232" s="3">
        <f>16225</f>
        <v>16225</v>
      </c>
      <c r="B16232" s="3" t="s">
        <v>16234</v>
      </c>
      <c r="C16232" s="3" t="s">
        <v>10</v>
      </c>
      <c r="D16232" s="3" t="s">
        <v>9</v>
      </c>
      <c r="E16232" s="3">
        <v>22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>
        <v>0</v>
      </c>
      <c r="O16232" s="3" t="s">
        <v>10</v>
      </c>
      <c r="P16232" s="3" t="s">
        <v>9</v>
      </c>
      <c r="Q16232" s="3"/>
    </row>
    <row r="16233" spans="1:17" ht="15" x14ac:dyDescent="0.25">
      <c r="A16233" s="3">
        <f>16226</f>
        <v>16226</v>
      </c>
      <c r="B16233" s="3" t="s">
        <v>16235</v>
      </c>
      <c r="C16233" s="3" t="s">
        <v>10</v>
      </c>
      <c r="D16233" s="3" t="s">
        <v>9</v>
      </c>
      <c r="E16233" s="3">
        <v>22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3">
        <v>0</v>
      </c>
      <c r="N16233" s="3">
        <v>0</v>
      </c>
      <c r="O16233" s="3" t="s">
        <v>10</v>
      </c>
      <c r="P16233" s="3" t="s">
        <v>9</v>
      </c>
      <c r="Q16233" s="3"/>
    </row>
    <row r="16234" spans="1:17" ht="15" x14ac:dyDescent="0.25">
      <c r="A16234" s="3">
        <f>16227</f>
        <v>16227</v>
      </c>
      <c r="B16234" s="3" t="s">
        <v>16236</v>
      </c>
      <c r="C16234" s="3" t="s">
        <v>10</v>
      </c>
      <c r="D16234" s="3" t="s">
        <v>9</v>
      </c>
      <c r="E16234" s="3">
        <v>22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>
        <v>0</v>
      </c>
      <c r="O16234" s="3" t="s">
        <v>10</v>
      </c>
      <c r="P16234" s="3" t="s">
        <v>9</v>
      </c>
      <c r="Q16234" s="3"/>
    </row>
    <row r="16235" spans="1:17" ht="15" x14ac:dyDescent="0.25">
      <c r="A16235" s="3">
        <f>16228</f>
        <v>16228</v>
      </c>
      <c r="B16235" s="3" t="s">
        <v>16237</v>
      </c>
      <c r="C16235" s="3" t="s">
        <v>10</v>
      </c>
      <c r="D16235" s="3" t="s">
        <v>9</v>
      </c>
      <c r="E16235" s="3">
        <v>22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s="3" t="s">
        <v>10</v>
      </c>
      <c r="P16235" s="3" t="s">
        <v>9</v>
      </c>
      <c r="Q16235" s="3"/>
    </row>
    <row r="16236" spans="1:17" ht="15" x14ac:dyDescent="0.25">
      <c r="A16236" s="3">
        <f>16229</f>
        <v>16229</v>
      </c>
      <c r="B16236" s="3" t="s">
        <v>16238</v>
      </c>
      <c r="C16236" s="3" t="s">
        <v>10</v>
      </c>
      <c r="D16236" s="3" t="s">
        <v>9</v>
      </c>
      <c r="E16236" s="3">
        <v>22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0</v>
      </c>
      <c r="O16236" s="3" t="s">
        <v>10</v>
      </c>
      <c r="P16236" s="3" t="s">
        <v>9</v>
      </c>
      <c r="Q16236" s="3"/>
    </row>
    <row r="16237" spans="1:17" ht="15" x14ac:dyDescent="0.25">
      <c r="A16237" s="3">
        <f>16230</f>
        <v>16230</v>
      </c>
      <c r="B16237" s="3" t="s">
        <v>16239</v>
      </c>
      <c r="C16237" s="3" t="s">
        <v>10</v>
      </c>
      <c r="D16237" s="3" t="s">
        <v>9</v>
      </c>
      <c r="E16237" s="3">
        <v>22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s="3" t="s">
        <v>10</v>
      </c>
      <c r="P16237" s="3" t="s">
        <v>9</v>
      </c>
      <c r="Q16237" s="3"/>
    </row>
    <row r="16238" spans="1:17" ht="15" x14ac:dyDescent="0.25">
      <c r="A16238" s="3">
        <f>16231</f>
        <v>16231</v>
      </c>
      <c r="B16238" s="3" t="s">
        <v>16240</v>
      </c>
      <c r="C16238" s="3" t="s">
        <v>10</v>
      </c>
      <c r="D16238" s="3" t="s">
        <v>9</v>
      </c>
      <c r="E16238" s="3">
        <v>22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s="3" t="s">
        <v>10</v>
      </c>
      <c r="P16238" s="3" t="s">
        <v>9</v>
      </c>
      <c r="Q16238" s="3"/>
    </row>
    <row r="16239" spans="1:17" ht="15" x14ac:dyDescent="0.25">
      <c r="A16239" s="3">
        <f>16232</f>
        <v>16232</v>
      </c>
      <c r="B16239" s="3" t="s">
        <v>16241</v>
      </c>
      <c r="C16239" s="3" t="s">
        <v>10</v>
      </c>
      <c r="D16239" s="3" t="s">
        <v>9</v>
      </c>
      <c r="E16239" s="3">
        <v>22</v>
      </c>
      <c r="F16239" s="3">
        <v>0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s="3" t="s">
        <v>10</v>
      </c>
      <c r="P16239" s="3" t="s">
        <v>9</v>
      </c>
      <c r="Q16239" s="3"/>
    </row>
    <row r="16240" spans="1:17" ht="15" x14ac:dyDescent="0.25">
      <c r="A16240" s="3">
        <f>16233</f>
        <v>16233</v>
      </c>
      <c r="B16240" s="3" t="s">
        <v>16242</v>
      </c>
      <c r="C16240" s="3" t="s">
        <v>10</v>
      </c>
      <c r="D16240" s="3" t="s">
        <v>9</v>
      </c>
      <c r="E16240" s="3">
        <v>22</v>
      </c>
      <c r="F16240" s="3">
        <v>0</v>
      </c>
      <c r="G16240" s="3">
        <v>0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0</v>
      </c>
      <c r="O16240" s="3" t="s">
        <v>10</v>
      </c>
      <c r="P16240" s="3" t="s">
        <v>9</v>
      </c>
      <c r="Q16240" s="3"/>
    </row>
    <row r="16241" spans="1:17" ht="15" x14ac:dyDescent="0.25">
      <c r="A16241" s="3">
        <f>16234</f>
        <v>16234</v>
      </c>
      <c r="B16241" s="3" t="s">
        <v>16243</v>
      </c>
      <c r="C16241" s="3" t="s">
        <v>10</v>
      </c>
      <c r="D16241" s="3" t="s">
        <v>9</v>
      </c>
      <c r="E16241" s="3">
        <v>22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s="3" t="s">
        <v>10</v>
      </c>
      <c r="P16241" s="3" t="s">
        <v>9</v>
      </c>
      <c r="Q16241" s="3"/>
    </row>
    <row r="16242" spans="1:17" ht="15" x14ac:dyDescent="0.25">
      <c r="A16242" s="3">
        <f>16235</f>
        <v>16235</v>
      </c>
      <c r="B16242" s="3" t="s">
        <v>16244</v>
      </c>
      <c r="C16242" s="3" t="s">
        <v>10</v>
      </c>
      <c r="D16242" s="3" t="s">
        <v>9</v>
      </c>
      <c r="E16242" s="3">
        <v>22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 t="s">
        <v>10</v>
      </c>
      <c r="P16242" s="3" t="s">
        <v>9</v>
      </c>
      <c r="Q16242" s="3"/>
    </row>
    <row r="16243" spans="1:17" ht="15" x14ac:dyDescent="0.25">
      <c r="A16243" s="3">
        <f>16236</f>
        <v>16236</v>
      </c>
      <c r="B16243" s="3" t="s">
        <v>16245</v>
      </c>
      <c r="C16243" s="3" t="s">
        <v>10</v>
      </c>
      <c r="D16243" s="3" t="s">
        <v>9</v>
      </c>
      <c r="E16243" s="3">
        <v>22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0</v>
      </c>
      <c r="O16243" s="3" t="s">
        <v>10</v>
      </c>
      <c r="P16243" s="3" t="s">
        <v>9</v>
      </c>
      <c r="Q16243" s="3"/>
    </row>
    <row r="16244" spans="1:17" ht="15" x14ac:dyDescent="0.25">
      <c r="A16244" s="3">
        <f>16237</f>
        <v>16237</v>
      </c>
      <c r="B16244" s="3" t="s">
        <v>16246</v>
      </c>
      <c r="C16244" s="3" t="s">
        <v>10</v>
      </c>
      <c r="D16244" s="3" t="s">
        <v>9</v>
      </c>
      <c r="E16244" s="3">
        <v>22</v>
      </c>
      <c r="F16244" s="3">
        <v>0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0</v>
      </c>
      <c r="O16244" s="3" t="s">
        <v>10</v>
      </c>
      <c r="P16244" s="3" t="s">
        <v>9</v>
      </c>
      <c r="Q16244" s="3"/>
    </row>
    <row r="16245" spans="1:17" ht="15" x14ac:dyDescent="0.25">
      <c r="A16245" s="3">
        <f>16238</f>
        <v>16238</v>
      </c>
      <c r="B16245" s="3" t="s">
        <v>16247</v>
      </c>
      <c r="C16245" s="3" t="s">
        <v>10</v>
      </c>
      <c r="D16245" s="3" t="s">
        <v>9</v>
      </c>
      <c r="E16245" s="3">
        <v>22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 t="s">
        <v>10</v>
      </c>
      <c r="P16245" s="3" t="s">
        <v>9</v>
      </c>
      <c r="Q16245" s="3"/>
    </row>
    <row r="16246" spans="1:17" ht="15" x14ac:dyDescent="0.25">
      <c r="A16246" s="3">
        <f>16239</f>
        <v>16239</v>
      </c>
      <c r="B16246" s="3" t="s">
        <v>16248</v>
      </c>
      <c r="C16246" s="3" t="s">
        <v>10</v>
      </c>
      <c r="D16246" s="3" t="s">
        <v>9</v>
      </c>
      <c r="E16246" s="3">
        <v>22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s="3" t="s">
        <v>10</v>
      </c>
      <c r="P16246" s="3" t="s">
        <v>9</v>
      </c>
      <c r="Q16246" s="3"/>
    </row>
    <row r="16247" spans="1:17" ht="15" x14ac:dyDescent="0.25">
      <c r="A16247" s="3">
        <f>16240</f>
        <v>16240</v>
      </c>
      <c r="B16247" s="3" t="s">
        <v>16249</v>
      </c>
      <c r="C16247" s="3" t="s">
        <v>10</v>
      </c>
      <c r="D16247" s="3" t="s">
        <v>9</v>
      </c>
      <c r="E16247" s="3">
        <v>22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s="3" t="s">
        <v>10</v>
      </c>
      <c r="P16247" s="3" t="s">
        <v>9</v>
      </c>
      <c r="Q16247" s="3"/>
    </row>
    <row r="16248" spans="1:17" ht="15" x14ac:dyDescent="0.25">
      <c r="A16248" s="3">
        <f>16241</f>
        <v>16241</v>
      </c>
      <c r="B16248" s="3" t="s">
        <v>16250</v>
      </c>
      <c r="C16248" s="3" t="s">
        <v>10</v>
      </c>
      <c r="D16248" s="3" t="s">
        <v>9</v>
      </c>
      <c r="E16248" s="3">
        <v>22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3">
        <v>0</v>
      </c>
      <c r="N16248" s="3">
        <v>0</v>
      </c>
      <c r="O16248" s="3" t="s">
        <v>10</v>
      </c>
      <c r="P16248" s="3" t="s">
        <v>9</v>
      </c>
      <c r="Q16248" s="3"/>
    </row>
    <row r="16249" spans="1:17" ht="15" x14ac:dyDescent="0.25">
      <c r="A16249" s="3">
        <f>16242</f>
        <v>16242</v>
      </c>
      <c r="B16249" s="3" t="s">
        <v>16251</v>
      </c>
      <c r="C16249" s="3" t="s">
        <v>10</v>
      </c>
      <c r="D16249" s="3" t="s">
        <v>9</v>
      </c>
      <c r="E16249" s="3">
        <v>22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0</v>
      </c>
      <c r="O16249" s="3" t="s">
        <v>10</v>
      </c>
      <c r="P16249" s="3" t="s">
        <v>9</v>
      </c>
      <c r="Q16249" s="3"/>
    </row>
    <row r="16250" spans="1:17" ht="15" x14ac:dyDescent="0.25">
      <c r="A16250" s="3">
        <f>16243</f>
        <v>16243</v>
      </c>
      <c r="B16250" s="3" t="s">
        <v>16252</v>
      </c>
      <c r="C16250" s="3" t="s">
        <v>10</v>
      </c>
      <c r="D16250" s="3" t="s">
        <v>9</v>
      </c>
      <c r="E16250" s="3">
        <v>22</v>
      </c>
      <c r="F16250" s="3">
        <v>0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>
        <v>0</v>
      </c>
      <c r="O16250" s="3" t="s">
        <v>10</v>
      </c>
      <c r="P16250" s="3" t="s">
        <v>9</v>
      </c>
      <c r="Q16250" s="3"/>
    </row>
    <row r="16251" spans="1:17" ht="15" x14ac:dyDescent="0.25">
      <c r="A16251" s="3">
        <f>16244</f>
        <v>16244</v>
      </c>
      <c r="B16251" s="3" t="s">
        <v>16253</v>
      </c>
      <c r="C16251" s="3" t="s">
        <v>10</v>
      </c>
      <c r="D16251" s="3" t="s">
        <v>9</v>
      </c>
      <c r="E16251" s="3">
        <v>22</v>
      </c>
      <c r="F16251" s="3">
        <v>0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3">
        <v>0</v>
      </c>
      <c r="N16251" s="3">
        <v>0</v>
      </c>
      <c r="O16251" s="3" t="s">
        <v>10</v>
      </c>
      <c r="P16251" s="3" t="s">
        <v>9</v>
      </c>
      <c r="Q16251" s="3"/>
    </row>
    <row r="16252" spans="1:17" ht="15" x14ac:dyDescent="0.25">
      <c r="A16252" s="3">
        <f>16245</f>
        <v>16245</v>
      </c>
      <c r="B16252" s="3" t="s">
        <v>16254</v>
      </c>
      <c r="C16252" s="3" t="s">
        <v>10</v>
      </c>
      <c r="D16252" s="3" t="s">
        <v>9</v>
      </c>
      <c r="E16252" s="3">
        <v>22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s="3" t="s">
        <v>10</v>
      </c>
      <c r="P16252" s="3" t="s">
        <v>9</v>
      </c>
      <c r="Q16252" s="3"/>
    </row>
    <row r="16253" spans="1:17" ht="15" x14ac:dyDescent="0.25">
      <c r="A16253" s="3">
        <f>16246</f>
        <v>16246</v>
      </c>
      <c r="B16253" s="3" t="s">
        <v>16255</v>
      </c>
      <c r="C16253" s="3" t="s">
        <v>10</v>
      </c>
      <c r="D16253" s="3" t="s">
        <v>9</v>
      </c>
      <c r="E16253" s="3">
        <v>22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s="3" t="s">
        <v>10</v>
      </c>
      <c r="P16253" s="3" t="s">
        <v>9</v>
      </c>
      <c r="Q16253" s="3"/>
    </row>
    <row r="16254" spans="1:17" ht="15" x14ac:dyDescent="0.25">
      <c r="A16254" s="3">
        <f>16247</f>
        <v>16247</v>
      </c>
      <c r="B16254" s="3" t="s">
        <v>16256</v>
      </c>
      <c r="C16254" s="3" t="s">
        <v>10</v>
      </c>
      <c r="D16254" s="3" t="s">
        <v>9</v>
      </c>
      <c r="E16254" s="3">
        <v>22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0</v>
      </c>
      <c r="O16254" s="3" t="s">
        <v>10</v>
      </c>
      <c r="P16254" s="3" t="s">
        <v>9</v>
      </c>
      <c r="Q16254" s="3"/>
    </row>
    <row r="16255" spans="1:17" ht="15" x14ac:dyDescent="0.25">
      <c r="A16255" s="3">
        <f>16248</f>
        <v>16248</v>
      </c>
      <c r="B16255" s="3" t="s">
        <v>16257</v>
      </c>
      <c r="C16255" s="3" t="s">
        <v>10</v>
      </c>
      <c r="D16255" s="3" t="s">
        <v>9</v>
      </c>
      <c r="E16255" s="3">
        <v>22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>
        <v>0</v>
      </c>
      <c r="O16255" s="3" t="s">
        <v>10</v>
      </c>
      <c r="P16255" s="3" t="s">
        <v>9</v>
      </c>
      <c r="Q16255" s="3"/>
    </row>
    <row r="16256" spans="1:17" ht="15" x14ac:dyDescent="0.25">
      <c r="A16256" s="3">
        <f>16249</f>
        <v>16249</v>
      </c>
      <c r="B16256" s="3" t="s">
        <v>16258</v>
      </c>
      <c r="C16256" s="3" t="s">
        <v>10</v>
      </c>
      <c r="D16256" s="3" t="s">
        <v>9</v>
      </c>
      <c r="E16256" s="3">
        <v>22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0</v>
      </c>
      <c r="O16256" s="3" t="s">
        <v>10</v>
      </c>
      <c r="P16256" s="3" t="s">
        <v>9</v>
      </c>
      <c r="Q16256" s="3"/>
    </row>
    <row r="16257" spans="1:17" ht="15" x14ac:dyDescent="0.25">
      <c r="A16257" s="3">
        <f>16250</f>
        <v>16250</v>
      </c>
      <c r="B16257" s="3" t="s">
        <v>16259</v>
      </c>
      <c r="C16257" s="3" t="s">
        <v>10</v>
      </c>
      <c r="D16257" s="3" t="s">
        <v>9</v>
      </c>
      <c r="E16257" s="3">
        <v>22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s="3" t="s">
        <v>10</v>
      </c>
      <c r="P16257" s="3" t="s">
        <v>9</v>
      </c>
      <c r="Q16257" s="3"/>
    </row>
    <row r="16258" spans="1:17" ht="15" x14ac:dyDescent="0.25">
      <c r="A16258" s="3">
        <f>16251</f>
        <v>16251</v>
      </c>
      <c r="B16258" s="3" t="s">
        <v>16260</v>
      </c>
      <c r="C16258" s="3" t="s">
        <v>10</v>
      </c>
      <c r="D16258" s="3" t="s">
        <v>9</v>
      </c>
      <c r="E16258" s="3">
        <v>22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0</v>
      </c>
      <c r="O16258" s="3" t="s">
        <v>10</v>
      </c>
      <c r="P16258" s="3" t="s">
        <v>9</v>
      </c>
      <c r="Q16258" s="3"/>
    </row>
    <row r="16259" spans="1:17" ht="15" x14ac:dyDescent="0.25">
      <c r="A16259" s="3">
        <f>16252</f>
        <v>16252</v>
      </c>
      <c r="B16259" s="3" t="s">
        <v>16261</v>
      </c>
      <c r="C16259" s="3" t="s">
        <v>10</v>
      </c>
      <c r="D16259" s="3" t="s">
        <v>9</v>
      </c>
      <c r="E16259" s="3">
        <v>22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  <c r="O16259" s="3" t="s">
        <v>10</v>
      </c>
      <c r="P16259" s="3" t="s">
        <v>9</v>
      </c>
      <c r="Q16259" s="3"/>
    </row>
    <row r="16260" spans="1:17" ht="15" x14ac:dyDescent="0.25">
      <c r="A16260" s="3">
        <f>16253</f>
        <v>16253</v>
      </c>
      <c r="B16260" s="3" t="s">
        <v>16262</v>
      </c>
      <c r="C16260" s="3" t="s">
        <v>10</v>
      </c>
      <c r="D16260" s="3" t="s">
        <v>9</v>
      </c>
      <c r="E16260" s="3">
        <v>22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s="3" t="s">
        <v>10</v>
      </c>
      <c r="P16260" s="3" t="s">
        <v>9</v>
      </c>
      <c r="Q16260" s="3"/>
    </row>
    <row r="16261" spans="1:17" ht="15" x14ac:dyDescent="0.25">
      <c r="A16261" s="3">
        <f>16254</f>
        <v>16254</v>
      </c>
      <c r="B16261" s="3" t="s">
        <v>16263</v>
      </c>
      <c r="C16261" s="3" t="s">
        <v>10</v>
      </c>
      <c r="D16261" s="3" t="s">
        <v>9</v>
      </c>
      <c r="E16261" s="3">
        <v>22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s="3" t="s">
        <v>10</v>
      </c>
      <c r="P16261" s="3" t="s">
        <v>9</v>
      </c>
      <c r="Q16261" s="3"/>
    </row>
    <row r="16262" spans="1:17" ht="15" x14ac:dyDescent="0.25">
      <c r="A16262" s="3">
        <f>16255</f>
        <v>16255</v>
      </c>
      <c r="B16262" s="3" t="s">
        <v>16264</v>
      </c>
      <c r="C16262" s="3" t="s">
        <v>10</v>
      </c>
      <c r="D16262" s="3" t="s">
        <v>9</v>
      </c>
      <c r="E16262" s="3">
        <v>22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s="3" t="s">
        <v>10</v>
      </c>
      <c r="P16262" s="3" t="s">
        <v>9</v>
      </c>
      <c r="Q16262" s="3"/>
    </row>
    <row r="16263" spans="1:17" ht="15" x14ac:dyDescent="0.25">
      <c r="A16263" s="3">
        <f>16256</f>
        <v>16256</v>
      </c>
      <c r="B16263" s="3" t="s">
        <v>16265</v>
      </c>
      <c r="C16263" s="3" t="s">
        <v>10</v>
      </c>
      <c r="D16263" s="3" t="s">
        <v>9</v>
      </c>
      <c r="E16263" s="3">
        <v>22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s="3" t="s">
        <v>10</v>
      </c>
      <c r="P16263" s="3" t="s">
        <v>9</v>
      </c>
      <c r="Q16263" s="3"/>
    </row>
    <row r="16264" spans="1:17" ht="15" x14ac:dyDescent="0.25">
      <c r="A16264" s="3">
        <f>16257</f>
        <v>16257</v>
      </c>
      <c r="B16264" s="3" t="s">
        <v>16266</v>
      </c>
      <c r="C16264" s="3" t="s">
        <v>10</v>
      </c>
      <c r="D16264" s="3" t="s">
        <v>9</v>
      </c>
      <c r="E16264" s="3">
        <v>22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s="3" t="s">
        <v>10</v>
      </c>
      <c r="P16264" s="3" t="s">
        <v>9</v>
      </c>
      <c r="Q16264" s="3"/>
    </row>
    <row r="16265" spans="1:17" ht="15" x14ac:dyDescent="0.25">
      <c r="A16265" s="3">
        <f>16258</f>
        <v>16258</v>
      </c>
      <c r="B16265" s="3" t="s">
        <v>16267</v>
      </c>
      <c r="C16265" s="3" t="s">
        <v>10</v>
      </c>
      <c r="D16265" s="3" t="s">
        <v>9</v>
      </c>
      <c r="E16265" s="3">
        <v>22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s="3" t="s">
        <v>10</v>
      </c>
      <c r="P16265" s="3" t="s">
        <v>9</v>
      </c>
      <c r="Q16265" s="3"/>
    </row>
    <row r="16266" spans="1:17" ht="15" x14ac:dyDescent="0.25">
      <c r="A16266" s="3">
        <f>16259</f>
        <v>16259</v>
      </c>
      <c r="B16266" s="3" t="s">
        <v>16268</v>
      </c>
      <c r="C16266" s="3" t="s">
        <v>10</v>
      </c>
      <c r="D16266" s="3" t="s">
        <v>9</v>
      </c>
      <c r="E16266" s="3">
        <v>22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  <c r="O16266" s="3" t="s">
        <v>10</v>
      </c>
      <c r="P16266" s="3" t="s">
        <v>9</v>
      </c>
      <c r="Q16266" s="3"/>
    </row>
    <row r="16267" spans="1:17" ht="15" x14ac:dyDescent="0.25">
      <c r="A16267" s="3">
        <f>16260</f>
        <v>16260</v>
      </c>
      <c r="B16267" s="3" t="s">
        <v>16269</v>
      </c>
      <c r="C16267" s="3" t="s">
        <v>10</v>
      </c>
      <c r="D16267" s="3" t="s">
        <v>9</v>
      </c>
      <c r="E16267" s="3">
        <v>22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>
        <v>0</v>
      </c>
      <c r="O16267" s="3" t="s">
        <v>10</v>
      </c>
      <c r="P16267" s="3" t="s">
        <v>9</v>
      </c>
      <c r="Q16267" s="3"/>
    </row>
    <row r="16268" spans="1:17" ht="15" x14ac:dyDescent="0.25">
      <c r="A16268" s="3">
        <f>16261</f>
        <v>16261</v>
      </c>
      <c r="B16268" s="3" t="s">
        <v>16270</v>
      </c>
      <c r="C16268" s="3" t="s">
        <v>10</v>
      </c>
      <c r="D16268" s="3" t="s">
        <v>9</v>
      </c>
      <c r="E16268" s="3">
        <v>22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>
        <v>0</v>
      </c>
      <c r="O16268" s="3" t="s">
        <v>10</v>
      </c>
      <c r="P16268" s="3" t="s">
        <v>9</v>
      </c>
      <c r="Q16268" s="3"/>
    </row>
    <row r="16269" spans="1:17" ht="15" x14ac:dyDescent="0.25">
      <c r="A16269" s="3">
        <f>16262</f>
        <v>16262</v>
      </c>
      <c r="B16269" s="3" t="s">
        <v>16271</v>
      </c>
      <c r="C16269" s="3" t="s">
        <v>10</v>
      </c>
      <c r="D16269" s="3" t="s">
        <v>9</v>
      </c>
      <c r="E16269" s="3">
        <v>22</v>
      </c>
      <c r="F16269" s="3">
        <v>0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s="3" t="s">
        <v>10</v>
      </c>
      <c r="P16269" s="3" t="s">
        <v>9</v>
      </c>
      <c r="Q16269" s="3"/>
    </row>
    <row r="16270" spans="1:17" ht="15" x14ac:dyDescent="0.25">
      <c r="A16270" s="3">
        <f>16263</f>
        <v>16263</v>
      </c>
      <c r="B16270" s="3" t="s">
        <v>16272</v>
      </c>
      <c r="C16270" s="3" t="s">
        <v>10</v>
      </c>
      <c r="D16270" s="3" t="s">
        <v>9</v>
      </c>
      <c r="E16270" s="3">
        <v>22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>
        <v>0</v>
      </c>
      <c r="O16270" s="3" t="s">
        <v>10</v>
      </c>
      <c r="P16270" s="3" t="s">
        <v>9</v>
      </c>
      <c r="Q16270" s="3"/>
    </row>
    <row r="16271" spans="1:17" ht="15" x14ac:dyDescent="0.25">
      <c r="A16271" s="3">
        <f>16264</f>
        <v>16264</v>
      </c>
      <c r="B16271" s="3" t="s">
        <v>16273</v>
      </c>
      <c r="C16271" s="3" t="s">
        <v>10</v>
      </c>
      <c r="D16271" s="3" t="s">
        <v>9</v>
      </c>
      <c r="E16271" s="3">
        <v>22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0</v>
      </c>
      <c r="O16271" s="3" t="s">
        <v>10</v>
      </c>
      <c r="P16271" s="3" t="s">
        <v>9</v>
      </c>
      <c r="Q16271" s="3"/>
    </row>
    <row r="16272" spans="1:17" ht="15" x14ac:dyDescent="0.25">
      <c r="A16272" s="3">
        <f>16265</f>
        <v>16265</v>
      </c>
      <c r="B16272" s="3" t="s">
        <v>16274</v>
      </c>
      <c r="C16272" s="3" t="s">
        <v>10</v>
      </c>
      <c r="D16272" s="3" t="s">
        <v>9</v>
      </c>
      <c r="E16272" s="3">
        <v>22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0</v>
      </c>
      <c r="O16272" s="3" t="s">
        <v>10</v>
      </c>
      <c r="P16272" s="3" t="s">
        <v>9</v>
      </c>
      <c r="Q16272" s="3"/>
    </row>
    <row r="16273" spans="1:17" ht="15" x14ac:dyDescent="0.25">
      <c r="A16273" s="3">
        <f>16266</f>
        <v>16266</v>
      </c>
      <c r="B16273" s="3" t="s">
        <v>16275</v>
      </c>
      <c r="C16273" s="3" t="s">
        <v>10</v>
      </c>
      <c r="D16273" s="3" t="s">
        <v>9</v>
      </c>
      <c r="E16273" s="3">
        <v>22</v>
      </c>
      <c r="F16273" s="3">
        <v>0</v>
      </c>
      <c r="G16273" s="3">
        <v>0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  <c r="O16273" s="3" t="s">
        <v>10</v>
      </c>
      <c r="P16273" s="3" t="s">
        <v>9</v>
      </c>
      <c r="Q16273" s="3"/>
    </row>
    <row r="16274" spans="1:17" ht="15" x14ac:dyDescent="0.25">
      <c r="A16274" s="3">
        <f>16267</f>
        <v>16267</v>
      </c>
      <c r="B16274" s="3" t="s">
        <v>16276</v>
      </c>
      <c r="C16274" s="3" t="s">
        <v>10</v>
      </c>
      <c r="D16274" s="3" t="s">
        <v>9</v>
      </c>
      <c r="E16274" s="3">
        <v>22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s="3" t="s">
        <v>10</v>
      </c>
      <c r="P16274" s="3" t="s">
        <v>9</v>
      </c>
      <c r="Q16274" s="3"/>
    </row>
    <row r="16275" spans="1:17" ht="15" x14ac:dyDescent="0.25">
      <c r="A16275" s="3">
        <f>16268</f>
        <v>16268</v>
      </c>
      <c r="B16275" s="3" t="s">
        <v>16277</v>
      </c>
      <c r="C16275" s="3" t="s">
        <v>10</v>
      </c>
      <c r="D16275" s="3" t="s">
        <v>9</v>
      </c>
      <c r="E16275" s="3">
        <v>22</v>
      </c>
      <c r="F16275" s="3">
        <v>0</v>
      </c>
      <c r="G16275" s="3">
        <v>0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s="3">
        <v>0</v>
      </c>
      <c r="O16275" s="3" t="s">
        <v>10</v>
      </c>
      <c r="P16275" s="3" t="s">
        <v>9</v>
      </c>
      <c r="Q16275" s="3"/>
    </row>
    <row r="16276" spans="1:17" ht="15" x14ac:dyDescent="0.25">
      <c r="A16276" s="3">
        <f>16269</f>
        <v>16269</v>
      </c>
      <c r="B16276" s="3" t="s">
        <v>16278</v>
      </c>
      <c r="C16276" s="3" t="s">
        <v>10</v>
      </c>
      <c r="D16276" s="3" t="s">
        <v>9</v>
      </c>
      <c r="E16276" s="3">
        <v>22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s="3" t="s">
        <v>10</v>
      </c>
      <c r="P16276" s="3" t="s">
        <v>9</v>
      </c>
      <c r="Q16276" s="3"/>
    </row>
    <row r="16277" spans="1:17" ht="15" x14ac:dyDescent="0.25">
      <c r="A16277" s="3">
        <f>16270</f>
        <v>16270</v>
      </c>
      <c r="B16277" s="3" t="s">
        <v>16279</v>
      </c>
      <c r="C16277" s="3" t="s">
        <v>10</v>
      </c>
      <c r="D16277" s="3" t="s">
        <v>9</v>
      </c>
      <c r="E16277" s="3">
        <v>22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0</v>
      </c>
      <c r="O16277" s="3" t="s">
        <v>10</v>
      </c>
      <c r="P16277" s="3" t="s">
        <v>9</v>
      </c>
      <c r="Q16277" s="3"/>
    </row>
    <row r="16278" spans="1:17" ht="15" x14ac:dyDescent="0.25">
      <c r="A16278" s="3">
        <f>16271</f>
        <v>16271</v>
      </c>
      <c r="B16278" s="3" t="s">
        <v>16280</v>
      </c>
      <c r="C16278" s="3" t="s">
        <v>10</v>
      </c>
      <c r="D16278" s="3" t="s">
        <v>9</v>
      </c>
      <c r="E16278" s="3">
        <v>22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>
        <v>0</v>
      </c>
      <c r="O16278" s="3" t="s">
        <v>10</v>
      </c>
      <c r="P16278" s="3" t="s">
        <v>9</v>
      </c>
      <c r="Q16278" s="3"/>
    </row>
    <row r="16279" spans="1:17" ht="15" x14ac:dyDescent="0.25">
      <c r="A16279" s="3">
        <f>16272</f>
        <v>16272</v>
      </c>
      <c r="B16279" s="3" t="s">
        <v>16281</v>
      </c>
      <c r="C16279" s="3" t="s">
        <v>10</v>
      </c>
      <c r="D16279" s="3" t="s">
        <v>9</v>
      </c>
      <c r="E16279" s="3">
        <v>22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s="3" t="s">
        <v>10</v>
      </c>
      <c r="P16279" s="3" t="s">
        <v>9</v>
      </c>
      <c r="Q16279" s="3"/>
    </row>
    <row r="16280" spans="1:17" ht="15" x14ac:dyDescent="0.25">
      <c r="A16280" s="3">
        <f>16273</f>
        <v>16273</v>
      </c>
      <c r="B16280" s="3" t="s">
        <v>16282</v>
      </c>
      <c r="C16280" s="3" t="s">
        <v>10</v>
      </c>
      <c r="D16280" s="3" t="s">
        <v>9</v>
      </c>
      <c r="E16280" s="3">
        <v>22</v>
      </c>
      <c r="F16280" s="3">
        <v>0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>
        <v>0</v>
      </c>
      <c r="O16280" s="3" t="s">
        <v>10</v>
      </c>
      <c r="P16280" s="3" t="s">
        <v>9</v>
      </c>
      <c r="Q16280" s="3"/>
    </row>
    <row r="16281" spans="1:17" ht="15" x14ac:dyDescent="0.25">
      <c r="A16281" s="3">
        <f>16274</f>
        <v>16274</v>
      </c>
      <c r="B16281" s="3" t="s">
        <v>16283</v>
      </c>
      <c r="C16281" s="3" t="s">
        <v>10</v>
      </c>
      <c r="D16281" s="3" t="s">
        <v>9</v>
      </c>
      <c r="E16281" s="3">
        <v>22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  <c r="O16281" s="3" t="s">
        <v>10</v>
      </c>
      <c r="P16281" s="3" t="s">
        <v>9</v>
      </c>
      <c r="Q16281" s="3"/>
    </row>
    <row r="16282" spans="1:17" ht="15" x14ac:dyDescent="0.25">
      <c r="A16282" s="3">
        <f>16275</f>
        <v>16275</v>
      </c>
      <c r="B16282" s="3" t="s">
        <v>16284</v>
      </c>
      <c r="C16282" s="3" t="s">
        <v>10</v>
      </c>
      <c r="D16282" s="3" t="s">
        <v>9</v>
      </c>
      <c r="E16282" s="3">
        <v>22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0</v>
      </c>
      <c r="O16282" s="3" t="s">
        <v>10</v>
      </c>
      <c r="P16282" s="3" t="s">
        <v>9</v>
      </c>
      <c r="Q16282" s="3"/>
    </row>
    <row r="16283" spans="1:17" ht="15" x14ac:dyDescent="0.25">
      <c r="A16283" s="3">
        <f>16276</f>
        <v>16276</v>
      </c>
      <c r="B16283" s="3" t="s">
        <v>16285</v>
      </c>
      <c r="C16283" s="3" t="s">
        <v>10</v>
      </c>
      <c r="D16283" s="3" t="s">
        <v>9</v>
      </c>
      <c r="E16283" s="3">
        <v>22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>
        <v>0</v>
      </c>
      <c r="O16283" s="3" t="s">
        <v>10</v>
      </c>
      <c r="P16283" s="3" t="s">
        <v>9</v>
      </c>
      <c r="Q16283" s="3"/>
    </row>
    <row r="16284" spans="1:17" ht="15" x14ac:dyDescent="0.25">
      <c r="A16284" s="3">
        <f>16277</f>
        <v>16277</v>
      </c>
      <c r="B16284" s="3" t="s">
        <v>16286</v>
      </c>
      <c r="C16284" s="3" t="s">
        <v>10</v>
      </c>
      <c r="D16284" s="3" t="s">
        <v>9</v>
      </c>
      <c r="E16284" s="3">
        <v>22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s="3" t="s">
        <v>10</v>
      </c>
      <c r="P16284" s="3" t="s">
        <v>9</v>
      </c>
      <c r="Q16284" s="3"/>
    </row>
    <row r="16285" spans="1:17" ht="15" x14ac:dyDescent="0.25">
      <c r="A16285" s="3">
        <f>16278</f>
        <v>16278</v>
      </c>
      <c r="B16285" s="3" t="s">
        <v>16287</v>
      </c>
      <c r="C16285" s="3" t="s">
        <v>10</v>
      </c>
      <c r="D16285" s="3" t="s">
        <v>9</v>
      </c>
      <c r="E16285" s="3">
        <v>22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s="3" t="s">
        <v>10</v>
      </c>
      <c r="P16285" s="3" t="s">
        <v>9</v>
      </c>
      <c r="Q16285" s="3"/>
    </row>
    <row r="16286" spans="1:17" ht="15" x14ac:dyDescent="0.25">
      <c r="A16286" s="3">
        <f>16279</f>
        <v>16279</v>
      </c>
      <c r="B16286" s="3" t="s">
        <v>16288</v>
      </c>
      <c r="C16286" s="3" t="s">
        <v>10</v>
      </c>
      <c r="D16286" s="3" t="s">
        <v>9</v>
      </c>
      <c r="E16286" s="3">
        <v>22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s="3" t="s">
        <v>10</v>
      </c>
      <c r="P16286" s="3" t="s">
        <v>9</v>
      </c>
      <c r="Q16286" s="3"/>
    </row>
    <row r="16287" spans="1:17" ht="15" x14ac:dyDescent="0.25">
      <c r="A16287" s="3">
        <f>16280</f>
        <v>16280</v>
      </c>
      <c r="B16287" s="3" t="s">
        <v>16289</v>
      </c>
      <c r="C16287" s="3" t="s">
        <v>10</v>
      </c>
      <c r="D16287" s="3" t="s">
        <v>9</v>
      </c>
      <c r="E16287" s="3">
        <v>22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>
        <v>0</v>
      </c>
      <c r="O16287" s="3" t="s">
        <v>10</v>
      </c>
      <c r="P16287" s="3" t="s">
        <v>9</v>
      </c>
      <c r="Q16287" s="3"/>
    </row>
    <row r="16288" spans="1:17" ht="15" x14ac:dyDescent="0.25">
      <c r="A16288" s="3">
        <f>16281</f>
        <v>16281</v>
      </c>
      <c r="B16288" s="3" t="s">
        <v>16290</v>
      </c>
      <c r="C16288" s="3" t="s">
        <v>10</v>
      </c>
      <c r="D16288" s="3" t="s">
        <v>9</v>
      </c>
      <c r="E16288" s="3">
        <v>22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>
        <v>0</v>
      </c>
      <c r="O16288" s="3" t="s">
        <v>10</v>
      </c>
      <c r="P16288" s="3" t="s">
        <v>9</v>
      </c>
      <c r="Q16288" s="3"/>
    </row>
    <row r="16289" spans="1:17" ht="15" x14ac:dyDescent="0.25">
      <c r="A16289" s="3">
        <f>16282</f>
        <v>16282</v>
      </c>
      <c r="B16289" s="3" t="s">
        <v>16291</v>
      </c>
      <c r="C16289" s="3" t="s">
        <v>10</v>
      </c>
      <c r="D16289" s="3" t="s">
        <v>9</v>
      </c>
      <c r="E16289" s="3">
        <v>22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0</v>
      </c>
      <c r="O16289" s="3" t="s">
        <v>10</v>
      </c>
      <c r="P16289" s="3" t="s">
        <v>9</v>
      </c>
      <c r="Q16289" s="3"/>
    </row>
    <row r="16290" spans="1:17" ht="15" x14ac:dyDescent="0.25">
      <c r="A16290" s="3">
        <f>16283</f>
        <v>16283</v>
      </c>
      <c r="B16290" s="3" t="s">
        <v>16292</v>
      </c>
      <c r="C16290" s="3" t="s">
        <v>10</v>
      </c>
      <c r="D16290" s="3" t="s">
        <v>9</v>
      </c>
      <c r="E16290" s="3">
        <v>22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>
        <v>0</v>
      </c>
      <c r="O16290" s="3" t="s">
        <v>10</v>
      </c>
      <c r="P16290" s="3" t="s">
        <v>9</v>
      </c>
      <c r="Q16290" s="3"/>
    </row>
    <row r="16291" spans="1:17" ht="15" x14ac:dyDescent="0.25">
      <c r="A16291" s="3">
        <f>16284</f>
        <v>16284</v>
      </c>
      <c r="B16291" s="3" t="s">
        <v>16293</v>
      </c>
      <c r="C16291" s="3" t="s">
        <v>10</v>
      </c>
      <c r="D16291" s="3" t="s">
        <v>9</v>
      </c>
      <c r="E16291" s="3">
        <v>22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3">
        <v>0</v>
      </c>
      <c r="N16291" s="3">
        <v>0</v>
      </c>
      <c r="O16291" s="3" t="s">
        <v>10</v>
      </c>
      <c r="P16291" s="3" t="s">
        <v>9</v>
      </c>
      <c r="Q16291" s="3"/>
    </row>
    <row r="16292" spans="1:17" ht="15" x14ac:dyDescent="0.25">
      <c r="A16292" s="3">
        <f>16285</f>
        <v>16285</v>
      </c>
      <c r="B16292" s="3" t="s">
        <v>16294</v>
      </c>
      <c r="C16292" s="3" t="s">
        <v>10</v>
      </c>
      <c r="D16292" s="3" t="s">
        <v>9</v>
      </c>
      <c r="E16292" s="3">
        <v>22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s="3" t="s">
        <v>10</v>
      </c>
      <c r="P16292" s="3" t="s">
        <v>9</v>
      </c>
      <c r="Q16292" s="3"/>
    </row>
    <row r="16293" spans="1:17" ht="15" x14ac:dyDescent="0.25">
      <c r="A16293" s="3">
        <f>16286</f>
        <v>16286</v>
      </c>
      <c r="B16293" s="3" t="s">
        <v>16295</v>
      </c>
      <c r="C16293" s="3" t="s">
        <v>10</v>
      </c>
      <c r="D16293" s="3" t="s">
        <v>9</v>
      </c>
      <c r="E16293" s="3">
        <v>22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>
        <v>0</v>
      </c>
      <c r="O16293" s="3" t="s">
        <v>10</v>
      </c>
      <c r="P16293" s="3" t="s">
        <v>9</v>
      </c>
      <c r="Q16293" s="3"/>
    </row>
    <row r="16294" spans="1:17" ht="15" x14ac:dyDescent="0.25">
      <c r="A16294" s="3">
        <f>16287</f>
        <v>16287</v>
      </c>
      <c r="B16294" s="3" t="s">
        <v>16296</v>
      </c>
      <c r="C16294" s="3" t="s">
        <v>10</v>
      </c>
      <c r="D16294" s="3" t="s">
        <v>9</v>
      </c>
      <c r="E16294" s="3">
        <v>22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  <c r="O16294" s="3" t="s">
        <v>10</v>
      </c>
      <c r="P16294" s="3" t="s">
        <v>9</v>
      </c>
      <c r="Q16294" s="3"/>
    </row>
    <row r="16295" spans="1:17" ht="15" x14ac:dyDescent="0.25">
      <c r="A16295" s="3">
        <f>16288</f>
        <v>16288</v>
      </c>
      <c r="B16295" s="3" t="s">
        <v>16297</v>
      </c>
      <c r="C16295" s="3" t="s">
        <v>10</v>
      </c>
      <c r="D16295" s="3" t="s">
        <v>9</v>
      </c>
      <c r="E16295" s="3">
        <v>22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s="3" t="s">
        <v>10</v>
      </c>
      <c r="P16295" s="3" t="s">
        <v>9</v>
      </c>
      <c r="Q16295" s="3"/>
    </row>
    <row r="16296" spans="1:17" ht="15" x14ac:dyDescent="0.25">
      <c r="A16296" s="3">
        <f>16289</f>
        <v>16289</v>
      </c>
      <c r="B16296" s="3" t="s">
        <v>16298</v>
      </c>
      <c r="C16296" s="3" t="s">
        <v>10</v>
      </c>
      <c r="D16296" s="3" t="s">
        <v>9</v>
      </c>
      <c r="E16296" s="3">
        <v>22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>
        <v>0</v>
      </c>
      <c r="O16296" s="3" t="s">
        <v>10</v>
      </c>
      <c r="P16296" s="3" t="s">
        <v>9</v>
      </c>
      <c r="Q16296" s="3"/>
    </row>
    <row r="16297" spans="1:17" ht="15" x14ac:dyDescent="0.25">
      <c r="A16297" s="3">
        <f>16290</f>
        <v>16290</v>
      </c>
      <c r="B16297" s="3" t="s">
        <v>16299</v>
      </c>
      <c r="C16297" s="3" t="s">
        <v>10</v>
      </c>
      <c r="D16297" s="3" t="s">
        <v>9</v>
      </c>
      <c r="E16297" s="3">
        <v>22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>
        <v>0</v>
      </c>
      <c r="O16297" s="3" t="s">
        <v>10</v>
      </c>
      <c r="P16297" s="3" t="s">
        <v>9</v>
      </c>
      <c r="Q16297" s="3"/>
    </row>
    <row r="16298" spans="1:17" ht="15" x14ac:dyDescent="0.25">
      <c r="A16298" s="3">
        <f>16291</f>
        <v>16291</v>
      </c>
      <c r="B16298" s="3" t="s">
        <v>16300</v>
      </c>
      <c r="C16298" s="3" t="s">
        <v>10</v>
      </c>
      <c r="D16298" s="3" t="s">
        <v>9</v>
      </c>
      <c r="E16298" s="3">
        <v>22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s="3" t="s">
        <v>10</v>
      </c>
      <c r="P16298" s="3" t="s">
        <v>9</v>
      </c>
      <c r="Q16298" s="3"/>
    </row>
    <row r="16299" spans="1:17" ht="15" x14ac:dyDescent="0.25">
      <c r="A16299" s="3">
        <f>16292</f>
        <v>16292</v>
      </c>
      <c r="B16299" s="3" t="s">
        <v>16301</v>
      </c>
      <c r="C16299" s="3" t="s">
        <v>10</v>
      </c>
      <c r="D16299" s="3" t="s">
        <v>9</v>
      </c>
      <c r="E16299" s="3">
        <v>22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s="3" t="s">
        <v>10</v>
      </c>
      <c r="P16299" s="3" t="s">
        <v>9</v>
      </c>
      <c r="Q16299" s="3"/>
    </row>
    <row r="16300" spans="1:17" ht="15" x14ac:dyDescent="0.25">
      <c r="A16300" s="3">
        <f>16293</f>
        <v>16293</v>
      </c>
      <c r="B16300" s="3" t="s">
        <v>16302</v>
      </c>
      <c r="C16300" s="3" t="s">
        <v>10</v>
      </c>
      <c r="D16300" s="3" t="s">
        <v>9</v>
      </c>
      <c r="E16300" s="3">
        <v>22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0</v>
      </c>
      <c r="O16300" s="3" t="s">
        <v>10</v>
      </c>
      <c r="P16300" s="3" t="s">
        <v>9</v>
      </c>
      <c r="Q16300" s="3"/>
    </row>
    <row r="16301" spans="1:17" ht="15" x14ac:dyDescent="0.25">
      <c r="A16301" s="3">
        <f>16294</f>
        <v>16294</v>
      </c>
      <c r="B16301" s="3" t="s">
        <v>16303</v>
      </c>
      <c r="C16301" s="3" t="s">
        <v>10</v>
      </c>
      <c r="D16301" s="3" t="s">
        <v>9</v>
      </c>
      <c r="E16301" s="3">
        <v>22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  <c r="O16301" s="3" t="s">
        <v>10</v>
      </c>
      <c r="P16301" s="3" t="s">
        <v>9</v>
      </c>
      <c r="Q16301" s="3"/>
    </row>
    <row r="16302" spans="1:17" ht="15" x14ac:dyDescent="0.25">
      <c r="A16302" s="3">
        <f>16295</f>
        <v>16295</v>
      </c>
      <c r="B16302" s="3" t="s">
        <v>16304</v>
      </c>
      <c r="C16302" s="3" t="s">
        <v>10</v>
      </c>
      <c r="D16302" s="3" t="s">
        <v>9</v>
      </c>
      <c r="E16302" s="3">
        <v>22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>
        <v>0</v>
      </c>
      <c r="O16302" s="3" t="s">
        <v>10</v>
      </c>
      <c r="P16302" s="3" t="s">
        <v>9</v>
      </c>
      <c r="Q16302" s="3"/>
    </row>
    <row r="16303" spans="1:17" ht="15" x14ac:dyDescent="0.25">
      <c r="A16303" s="3">
        <f>16296</f>
        <v>16296</v>
      </c>
      <c r="B16303" s="3" t="s">
        <v>16305</v>
      </c>
      <c r="C16303" s="3" t="s">
        <v>10</v>
      </c>
      <c r="D16303" s="3" t="s">
        <v>9</v>
      </c>
      <c r="E16303" s="3">
        <v>22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s="3" t="s">
        <v>10</v>
      </c>
      <c r="P16303" s="3" t="s">
        <v>9</v>
      </c>
      <c r="Q16303" s="3"/>
    </row>
    <row r="16304" spans="1:17" ht="15" x14ac:dyDescent="0.25">
      <c r="A16304" s="3">
        <f>16297</f>
        <v>16297</v>
      </c>
      <c r="B16304" s="3" t="s">
        <v>16306</v>
      </c>
      <c r="C16304" s="3" t="s">
        <v>10</v>
      </c>
      <c r="D16304" s="3" t="s">
        <v>9</v>
      </c>
      <c r="E16304" s="3">
        <v>22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0</v>
      </c>
      <c r="O16304" s="3" t="s">
        <v>10</v>
      </c>
      <c r="P16304" s="3" t="s">
        <v>9</v>
      </c>
      <c r="Q16304" s="3"/>
    </row>
    <row r="16305" spans="1:17" ht="15" x14ac:dyDescent="0.25">
      <c r="A16305" s="3">
        <f>16298</f>
        <v>16298</v>
      </c>
      <c r="B16305" s="3" t="s">
        <v>16307</v>
      </c>
      <c r="C16305" s="3" t="s">
        <v>10</v>
      </c>
      <c r="D16305" s="3" t="s">
        <v>9</v>
      </c>
      <c r="E16305" s="3">
        <v>22</v>
      </c>
      <c r="F16305" s="3">
        <v>0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>
        <v>0</v>
      </c>
      <c r="O16305" s="3" t="s">
        <v>10</v>
      </c>
      <c r="P16305" s="3" t="s">
        <v>9</v>
      </c>
      <c r="Q16305" s="3"/>
    </row>
    <row r="16306" spans="1:17" ht="15" x14ac:dyDescent="0.25">
      <c r="A16306" s="3">
        <f>16299</f>
        <v>16299</v>
      </c>
      <c r="B16306" s="3" t="s">
        <v>16308</v>
      </c>
      <c r="C16306" s="3" t="s">
        <v>10</v>
      </c>
      <c r="D16306" s="3" t="s">
        <v>9</v>
      </c>
      <c r="E16306" s="3">
        <v>22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s="3" t="s">
        <v>10</v>
      </c>
      <c r="P16306" s="3" t="s">
        <v>9</v>
      </c>
      <c r="Q16306" s="3"/>
    </row>
    <row r="16307" spans="1:17" ht="15" x14ac:dyDescent="0.25">
      <c r="A16307" s="3">
        <f>16300</f>
        <v>16300</v>
      </c>
      <c r="B16307" s="3" t="s">
        <v>16309</v>
      </c>
      <c r="C16307" s="3" t="s">
        <v>10</v>
      </c>
      <c r="D16307" s="3" t="s">
        <v>9</v>
      </c>
      <c r="E16307" s="3">
        <v>22</v>
      </c>
      <c r="F16307" s="3">
        <v>0</v>
      </c>
      <c r="G16307" s="3">
        <v>0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3">
        <v>0</v>
      </c>
      <c r="N16307" s="3">
        <v>0</v>
      </c>
      <c r="O16307" s="3" t="s">
        <v>10</v>
      </c>
      <c r="P16307" s="3" t="s">
        <v>9</v>
      </c>
      <c r="Q16307" s="3"/>
    </row>
    <row r="16308" spans="1:17" ht="15" x14ac:dyDescent="0.25">
      <c r="A16308" s="3">
        <f>16301</f>
        <v>16301</v>
      </c>
      <c r="B16308" s="3" t="s">
        <v>16310</v>
      </c>
      <c r="C16308" s="3" t="s">
        <v>10</v>
      </c>
      <c r="D16308" s="3" t="s">
        <v>9</v>
      </c>
      <c r="E16308" s="3">
        <v>22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s="3" t="s">
        <v>10</v>
      </c>
      <c r="P16308" s="3" t="s">
        <v>9</v>
      </c>
      <c r="Q16308" s="3"/>
    </row>
    <row r="16309" spans="1:17" ht="15" x14ac:dyDescent="0.25">
      <c r="A16309" s="3">
        <f>16302</f>
        <v>16302</v>
      </c>
      <c r="B16309" s="3" t="s">
        <v>16311</v>
      </c>
      <c r="C16309" s="3" t="s">
        <v>10</v>
      </c>
      <c r="D16309" s="3" t="s">
        <v>9</v>
      </c>
      <c r="E16309" s="3">
        <v>22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  <c r="O16309" s="3" t="s">
        <v>10</v>
      </c>
      <c r="P16309" s="3" t="s">
        <v>9</v>
      </c>
      <c r="Q16309" s="3"/>
    </row>
    <row r="16310" spans="1:17" ht="15" x14ac:dyDescent="0.25">
      <c r="A16310" s="3">
        <f>16303</f>
        <v>16303</v>
      </c>
      <c r="B16310" s="3" t="s">
        <v>16312</v>
      </c>
      <c r="C16310" s="3" t="s">
        <v>10</v>
      </c>
      <c r="D16310" s="3" t="s">
        <v>9</v>
      </c>
      <c r="E16310" s="3">
        <v>22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s="3" t="s">
        <v>10</v>
      </c>
      <c r="P16310" s="3" t="s">
        <v>9</v>
      </c>
      <c r="Q16310" s="3"/>
    </row>
    <row r="16311" spans="1:17" ht="15" x14ac:dyDescent="0.25">
      <c r="A16311" s="3">
        <f>16304</f>
        <v>16304</v>
      </c>
      <c r="B16311" s="3" t="s">
        <v>16313</v>
      </c>
      <c r="C16311" s="3" t="s">
        <v>10</v>
      </c>
      <c r="D16311" s="3" t="s">
        <v>9</v>
      </c>
      <c r="E16311" s="3">
        <v>22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s="3" t="s">
        <v>10</v>
      </c>
      <c r="P16311" s="3" t="s">
        <v>9</v>
      </c>
      <c r="Q16311" s="3"/>
    </row>
    <row r="16312" spans="1:17" ht="15" x14ac:dyDescent="0.25">
      <c r="A16312" s="3">
        <f>16305</f>
        <v>16305</v>
      </c>
      <c r="B16312" s="3" t="s">
        <v>16314</v>
      </c>
      <c r="C16312" s="3" t="s">
        <v>10</v>
      </c>
      <c r="D16312" s="3" t="s">
        <v>9</v>
      </c>
      <c r="E16312" s="3">
        <v>22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 t="s">
        <v>10</v>
      </c>
      <c r="P16312" s="3" t="s">
        <v>9</v>
      </c>
      <c r="Q16312" s="3"/>
    </row>
    <row r="16313" spans="1:17" ht="15" x14ac:dyDescent="0.25">
      <c r="A16313" s="3">
        <f>16306</f>
        <v>16306</v>
      </c>
      <c r="B16313" s="3" t="s">
        <v>16315</v>
      </c>
      <c r="C16313" s="3" t="s">
        <v>10</v>
      </c>
      <c r="D16313" s="3" t="s">
        <v>9</v>
      </c>
      <c r="E16313" s="3">
        <v>22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 t="s">
        <v>10</v>
      </c>
      <c r="P16313" s="3" t="s">
        <v>9</v>
      </c>
      <c r="Q16313" s="3"/>
    </row>
    <row r="16314" spans="1:17" ht="15" x14ac:dyDescent="0.25">
      <c r="A16314" s="3">
        <f>16307</f>
        <v>16307</v>
      </c>
      <c r="B16314" s="3" t="s">
        <v>16316</v>
      </c>
      <c r="C16314" s="3" t="s">
        <v>10</v>
      </c>
      <c r="D16314" s="3" t="s">
        <v>9</v>
      </c>
      <c r="E16314" s="3">
        <v>22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0</v>
      </c>
      <c r="O16314" s="3" t="s">
        <v>10</v>
      </c>
      <c r="P16314" s="3" t="s">
        <v>9</v>
      </c>
      <c r="Q16314" s="3"/>
    </row>
    <row r="16315" spans="1:17" ht="15" x14ac:dyDescent="0.25">
      <c r="A16315" s="3">
        <f>16308</f>
        <v>16308</v>
      </c>
      <c r="B16315" s="3" t="s">
        <v>16317</v>
      </c>
      <c r="C16315" s="3" t="s">
        <v>10</v>
      </c>
      <c r="D16315" s="3" t="s">
        <v>9</v>
      </c>
      <c r="E16315" s="3">
        <v>22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  <c r="O16315" s="3" t="s">
        <v>10</v>
      </c>
      <c r="P16315" s="3" t="s">
        <v>9</v>
      </c>
      <c r="Q16315" s="3"/>
    </row>
    <row r="16316" spans="1:17" ht="15" x14ac:dyDescent="0.25">
      <c r="A16316" s="3">
        <f>16309</f>
        <v>16309</v>
      </c>
      <c r="B16316" s="3" t="s">
        <v>16318</v>
      </c>
      <c r="C16316" s="3" t="s">
        <v>10</v>
      </c>
      <c r="D16316" s="3" t="s">
        <v>9</v>
      </c>
      <c r="E16316" s="3">
        <v>22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>
        <v>0</v>
      </c>
      <c r="O16316" s="3" t="s">
        <v>10</v>
      </c>
      <c r="P16316" s="3" t="s">
        <v>9</v>
      </c>
      <c r="Q16316" s="3"/>
    </row>
    <row r="16317" spans="1:17" ht="15" x14ac:dyDescent="0.25">
      <c r="A16317" s="3">
        <f>16310</f>
        <v>16310</v>
      </c>
      <c r="B16317" s="3" t="s">
        <v>16319</v>
      </c>
      <c r="C16317" s="3" t="s">
        <v>10</v>
      </c>
      <c r="D16317" s="3" t="s">
        <v>9</v>
      </c>
      <c r="E16317" s="3">
        <v>22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0</v>
      </c>
      <c r="O16317" s="3" t="s">
        <v>10</v>
      </c>
      <c r="P16317" s="3" t="s">
        <v>9</v>
      </c>
      <c r="Q16317" s="3"/>
    </row>
    <row r="16318" spans="1:17" ht="15" x14ac:dyDescent="0.25">
      <c r="A16318" s="3">
        <f>16311</f>
        <v>16311</v>
      </c>
      <c r="B16318" s="3" t="s">
        <v>16320</v>
      </c>
      <c r="C16318" s="3" t="s">
        <v>10</v>
      </c>
      <c r="D16318" s="3" t="s">
        <v>9</v>
      </c>
      <c r="E16318" s="3">
        <v>22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>
        <v>0</v>
      </c>
      <c r="O16318" s="3" t="s">
        <v>10</v>
      </c>
      <c r="P16318" s="3" t="s">
        <v>9</v>
      </c>
      <c r="Q16318" s="3"/>
    </row>
    <row r="16319" spans="1:17" ht="15" x14ac:dyDescent="0.25">
      <c r="A16319" s="3">
        <f>16312</f>
        <v>16312</v>
      </c>
      <c r="B16319" s="3" t="s">
        <v>16321</v>
      </c>
      <c r="C16319" s="3" t="s">
        <v>10</v>
      </c>
      <c r="D16319" s="3" t="s">
        <v>9</v>
      </c>
      <c r="E16319" s="3">
        <v>22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0</v>
      </c>
      <c r="O16319" s="3" t="s">
        <v>10</v>
      </c>
      <c r="P16319" s="3" t="s">
        <v>9</v>
      </c>
      <c r="Q16319" s="3"/>
    </row>
    <row r="16320" spans="1:17" ht="15" x14ac:dyDescent="0.25">
      <c r="A16320" s="3">
        <f>16313</f>
        <v>16313</v>
      </c>
      <c r="B16320" s="3" t="s">
        <v>16322</v>
      </c>
      <c r="C16320" s="3" t="s">
        <v>10</v>
      </c>
      <c r="D16320" s="3" t="s">
        <v>9</v>
      </c>
      <c r="E16320" s="3">
        <v>22</v>
      </c>
      <c r="F16320" s="3">
        <v>0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>
        <v>0</v>
      </c>
      <c r="O16320" s="3" t="s">
        <v>10</v>
      </c>
      <c r="P16320" s="3" t="s">
        <v>9</v>
      </c>
      <c r="Q16320" s="3"/>
    </row>
    <row r="16321" spans="1:17" ht="15" x14ac:dyDescent="0.25">
      <c r="A16321" s="3">
        <f>16314</f>
        <v>16314</v>
      </c>
      <c r="B16321" s="3" t="s">
        <v>16323</v>
      </c>
      <c r="C16321" s="3" t="s">
        <v>10</v>
      </c>
      <c r="D16321" s="3" t="s">
        <v>9</v>
      </c>
      <c r="E16321" s="3">
        <v>22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0</v>
      </c>
      <c r="O16321" s="3" t="s">
        <v>10</v>
      </c>
      <c r="P16321" s="3" t="s">
        <v>9</v>
      </c>
      <c r="Q16321" s="3"/>
    </row>
    <row r="16322" spans="1:17" ht="15" x14ac:dyDescent="0.25">
      <c r="A16322" s="3">
        <f>16315</f>
        <v>16315</v>
      </c>
      <c r="B16322" s="3" t="s">
        <v>16324</v>
      </c>
      <c r="C16322" s="3" t="s">
        <v>10</v>
      </c>
      <c r="D16322" s="3" t="s">
        <v>9</v>
      </c>
      <c r="E16322" s="3">
        <v>22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>
        <v>0</v>
      </c>
      <c r="O16322" s="3" t="s">
        <v>10</v>
      </c>
      <c r="P16322" s="3" t="s">
        <v>9</v>
      </c>
      <c r="Q16322" s="3"/>
    </row>
    <row r="16323" spans="1:17" ht="15" x14ac:dyDescent="0.25">
      <c r="A16323" s="3">
        <f>16316</f>
        <v>16316</v>
      </c>
      <c r="B16323" s="3" t="s">
        <v>16325</v>
      </c>
      <c r="C16323" s="3" t="s">
        <v>10</v>
      </c>
      <c r="D16323" s="3" t="s">
        <v>9</v>
      </c>
      <c r="E16323" s="3">
        <v>22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>
        <v>0</v>
      </c>
      <c r="N16323" s="3">
        <v>0</v>
      </c>
      <c r="O16323" s="3" t="s">
        <v>10</v>
      </c>
      <c r="P16323" s="3" t="s">
        <v>9</v>
      </c>
      <c r="Q16323" s="3"/>
    </row>
    <row r="16324" spans="1:17" ht="15" x14ac:dyDescent="0.25">
      <c r="A16324" s="3">
        <f>16317</f>
        <v>16317</v>
      </c>
      <c r="B16324" s="3" t="s">
        <v>16326</v>
      </c>
      <c r="C16324" s="3" t="s">
        <v>10</v>
      </c>
      <c r="D16324" s="3" t="s">
        <v>9</v>
      </c>
      <c r="E16324" s="3">
        <v>22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>
        <v>0</v>
      </c>
      <c r="O16324" s="3" t="s">
        <v>10</v>
      </c>
      <c r="P16324" s="3" t="s">
        <v>9</v>
      </c>
      <c r="Q16324" s="3"/>
    </row>
    <row r="16325" spans="1:17" ht="15" x14ac:dyDescent="0.25">
      <c r="A16325" s="3">
        <f>16318</f>
        <v>16318</v>
      </c>
      <c r="B16325" s="3" t="s">
        <v>16327</v>
      </c>
      <c r="C16325" s="3" t="s">
        <v>10</v>
      </c>
      <c r="D16325" s="3" t="s">
        <v>9</v>
      </c>
      <c r="E16325" s="3">
        <v>22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3">
        <v>0</v>
      </c>
      <c r="N16325" s="3">
        <v>0</v>
      </c>
      <c r="O16325" s="3" t="s">
        <v>10</v>
      </c>
      <c r="P16325" s="3" t="s">
        <v>9</v>
      </c>
      <c r="Q16325" s="3"/>
    </row>
    <row r="16326" spans="1:17" ht="15" x14ac:dyDescent="0.25">
      <c r="A16326" s="3">
        <f>16319</f>
        <v>16319</v>
      </c>
      <c r="B16326" s="3" t="s">
        <v>16328</v>
      </c>
      <c r="C16326" s="3" t="s">
        <v>10</v>
      </c>
      <c r="D16326" s="3" t="s">
        <v>9</v>
      </c>
      <c r="E16326" s="3">
        <v>22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>
        <v>0</v>
      </c>
      <c r="O16326" s="3" t="s">
        <v>10</v>
      </c>
      <c r="P16326" s="3" t="s">
        <v>9</v>
      </c>
      <c r="Q16326" s="3"/>
    </row>
    <row r="16327" spans="1:17" ht="15" x14ac:dyDescent="0.25">
      <c r="A16327" s="3">
        <f>16320</f>
        <v>16320</v>
      </c>
      <c r="B16327" s="3" t="s">
        <v>16329</v>
      </c>
      <c r="C16327" s="3" t="s">
        <v>10</v>
      </c>
      <c r="D16327" s="3" t="s">
        <v>9</v>
      </c>
      <c r="E16327" s="3">
        <v>22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s="3" t="s">
        <v>10</v>
      </c>
      <c r="P16327" s="3" t="s">
        <v>9</v>
      </c>
      <c r="Q16327" s="3"/>
    </row>
    <row r="16328" spans="1:17" ht="15" x14ac:dyDescent="0.25">
      <c r="A16328" s="3">
        <f>16321</f>
        <v>16321</v>
      </c>
      <c r="B16328" s="3" t="s">
        <v>16330</v>
      </c>
      <c r="C16328" s="3" t="s">
        <v>10</v>
      </c>
      <c r="D16328" s="3" t="s">
        <v>9</v>
      </c>
      <c r="E16328" s="3">
        <v>22</v>
      </c>
      <c r="F16328" s="3">
        <v>0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3">
        <v>0</v>
      </c>
      <c r="N16328" s="3">
        <v>0</v>
      </c>
      <c r="O16328" s="3" t="s">
        <v>10</v>
      </c>
      <c r="P16328" s="3" t="s">
        <v>9</v>
      </c>
      <c r="Q16328" s="3"/>
    </row>
    <row r="16329" spans="1:17" ht="15" x14ac:dyDescent="0.25">
      <c r="A16329" s="3">
        <f>16322</f>
        <v>16322</v>
      </c>
      <c r="B16329" s="3" t="s">
        <v>16331</v>
      </c>
      <c r="C16329" s="3" t="s">
        <v>10</v>
      </c>
      <c r="D16329" s="3" t="s">
        <v>9</v>
      </c>
      <c r="E16329" s="3">
        <v>22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  <c r="O16329" s="3" t="s">
        <v>10</v>
      </c>
      <c r="P16329" s="3" t="s">
        <v>9</v>
      </c>
      <c r="Q16329" s="3"/>
    </row>
    <row r="16330" spans="1:17" ht="15" x14ac:dyDescent="0.25">
      <c r="A16330" s="3">
        <f>16323</f>
        <v>16323</v>
      </c>
      <c r="B16330" s="3" t="s">
        <v>16332</v>
      </c>
      <c r="C16330" s="3" t="s">
        <v>10</v>
      </c>
      <c r="D16330" s="3" t="s">
        <v>9</v>
      </c>
      <c r="E16330" s="3">
        <v>22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>
        <v>0</v>
      </c>
      <c r="O16330" s="3" t="s">
        <v>10</v>
      </c>
      <c r="P16330" s="3" t="s">
        <v>9</v>
      </c>
      <c r="Q16330" s="3"/>
    </row>
    <row r="16331" spans="1:17" ht="15" x14ac:dyDescent="0.25">
      <c r="A16331" s="3">
        <f>16324</f>
        <v>16324</v>
      </c>
      <c r="B16331" s="3" t="s">
        <v>16333</v>
      </c>
      <c r="C16331" s="3" t="s">
        <v>10</v>
      </c>
      <c r="D16331" s="3" t="s">
        <v>9</v>
      </c>
      <c r="E16331" s="3">
        <v>22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0</v>
      </c>
      <c r="O16331" s="3" t="s">
        <v>10</v>
      </c>
      <c r="P16331" s="3" t="s">
        <v>9</v>
      </c>
      <c r="Q16331" s="3"/>
    </row>
    <row r="16332" spans="1:17" ht="15" x14ac:dyDescent="0.25">
      <c r="A16332" s="3">
        <f>16325</f>
        <v>16325</v>
      </c>
      <c r="B16332" s="3" t="s">
        <v>16334</v>
      </c>
      <c r="C16332" s="3" t="s">
        <v>10</v>
      </c>
      <c r="D16332" s="3" t="s">
        <v>9</v>
      </c>
      <c r="E16332" s="3">
        <v>22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0</v>
      </c>
      <c r="O16332" s="3" t="s">
        <v>10</v>
      </c>
      <c r="P16332" s="3" t="s">
        <v>9</v>
      </c>
      <c r="Q16332" s="3"/>
    </row>
    <row r="16333" spans="1:17" ht="15" x14ac:dyDescent="0.25">
      <c r="A16333" s="3">
        <f>16326</f>
        <v>16326</v>
      </c>
      <c r="B16333" s="3" t="s">
        <v>16335</v>
      </c>
      <c r="C16333" s="3" t="s">
        <v>10</v>
      </c>
      <c r="D16333" s="3" t="s">
        <v>9</v>
      </c>
      <c r="E16333" s="3">
        <v>22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>
        <v>0</v>
      </c>
      <c r="O16333" s="3" t="s">
        <v>10</v>
      </c>
      <c r="P16333" s="3" t="s">
        <v>9</v>
      </c>
      <c r="Q16333" s="3"/>
    </row>
    <row r="16334" spans="1:17" ht="15" x14ac:dyDescent="0.25">
      <c r="A16334" s="3">
        <f>16327</f>
        <v>16327</v>
      </c>
      <c r="B16334" s="3" t="s">
        <v>16336</v>
      </c>
      <c r="C16334" s="3" t="s">
        <v>10</v>
      </c>
      <c r="D16334" s="3" t="s">
        <v>9</v>
      </c>
      <c r="E16334" s="3">
        <v>22</v>
      </c>
      <c r="F16334" s="3">
        <v>0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3">
        <v>0</v>
      </c>
      <c r="N16334" s="3">
        <v>0</v>
      </c>
      <c r="O16334" s="3" t="s">
        <v>10</v>
      </c>
      <c r="P16334" s="3" t="s">
        <v>9</v>
      </c>
      <c r="Q16334" s="3"/>
    </row>
    <row r="16335" spans="1:17" ht="15" x14ac:dyDescent="0.25">
      <c r="A16335" s="3">
        <f>16328</f>
        <v>16328</v>
      </c>
      <c r="B16335" s="3" t="s">
        <v>16337</v>
      </c>
      <c r="C16335" s="3" t="s">
        <v>10</v>
      </c>
      <c r="D16335" s="3" t="s">
        <v>9</v>
      </c>
      <c r="E16335" s="3">
        <v>22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3">
        <v>0</v>
      </c>
      <c r="N16335" s="3">
        <v>0</v>
      </c>
      <c r="O16335" s="3" t="s">
        <v>10</v>
      </c>
      <c r="P16335" s="3" t="s">
        <v>9</v>
      </c>
      <c r="Q16335" s="3"/>
    </row>
    <row r="16336" spans="1:17" ht="15" x14ac:dyDescent="0.25">
      <c r="A16336" s="3">
        <f>16329</f>
        <v>16329</v>
      </c>
      <c r="B16336" s="3" t="s">
        <v>16338</v>
      </c>
      <c r="C16336" s="3" t="s">
        <v>10</v>
      </c>
      <c r="D16336" s="3" t="s">
        <v>9</v>
      </c>
      <c r="E16336" s="3">
        <v>22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3">
        <v>0</v>
      </c>
      <c r="N16336" s="3">
        <v>0</v>
      </c>
      <c r="O16336" s="3" t="s">
        <v>10</v>
      </c>
      <c r="P16336" s="3" t="s">
        <v>9</v>
      </c>
      <c r="Q16336" s="3"/>
    </row>
    <row r="16337" spans="1:17" ht="15" x14ac:dyDescent="0.25">
      <c r="A16337" s="3">
        <f>16330</f>
        <v>16330</v>
      </c>
      <c r="B16337" s="3" t="s">
        <v>16339</v>
      </c>
      <c r="C16337" s="3" t="s">
        <v>10</v>
      </c>
      <c r="D16337" s="3" t="s">
        <v>9</v>
      </c>
      <c r="E16337" s="3">
        <v>22</v>
      </c>
      <c r="F16337" s="3">
        <v>0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  <c r="O16337" s="3" t="s">
        <v>10</v>
      </c>
      <c r="P16337" s="3" t="s">
        <v>9</v>
      </c>
      <c r="Q16337" s="3"/>
    </row>
    <row r="16338" spans="1:17" ht="15" x14ac:dyDescent="0.25">
      <c r="A16338" s="3">
        <f>16331</f>
        <v>16331</v>
      </c>
      <c r="B16338" s="3" t="s">
        <v>16340</v>
      </c>
      <c r="C16338" s="3" t="s">
        <v>10</v>
      </c>
      <c r="D16338" s="3" t="s">
        <v>9</v>
      </c>
      <c r="E16338" s="3">
        <v>22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s="3" t="s">
        <v>10</v>
      </c>
      <c r="P16338" s="3" t="s">
        <v>9</v>
      </c>
      <c r="Q16338" s="3"/>
    </row>
    <row r="16339" spans="1:17" ht="15" x14ac:dyDescent="0.25">
      <c r="A16339" s="3">
        <f>16332</f>
        <v>16332</v>
      </c>
      <c r="B16339" s="3" t="s">
        <v>16341</v>
      </c>
      <c r="C16339" s="3" t="s">
        <v>10</v>
      </c>
      <c r="D16339" s="3" t="s">
        <v>9</v>
      </c>
      <c r="E16339" s="3">
        <v>22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 t="s">
        <v>10</v>
      </c>
      <c r="P16339" s="3" t="s">
        <v>9</v>
      </c>
      <c r="Q16339" s="3"/>
    </row>
    <row r="16340" spans="1:17" ht="15" x14ac:dyDescent="0.25">
      <c r="A16340" s="3">
        <f>16333</f>
        <v>16333</v>
      </c>
      <c r="B16340" s="3" t="s">
        <v>16342</v>
      </c>
      <c r="C16340" s="3" t="s">
        <v>10</v>
      </c>
      <c r="D16340" s="3" t="s">
        <v>9</v>
      </c>
      <c r="E16340" s="3">
        <v>22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s="3" t="s">
        <v>10</v>
      </c>
      <c r="P16340" s="3" t="s">
        <v>9</v>
      </c>
      <c r="Q16340" s="3"/>
    </row>
    <row r="16341" spans="1:17" ht="15" x14ac:dyDescent="0.25">
      <c r="A16341" s="3">
        <f>16334</f>
        <v>16334</v>
      </c>
      <c r="B16341" s="3" t="s">
        <v>16343</v>
      </c>
      <c r="C16341" s="3" t="s">
        <v>10</v>
      </c>
      <c r="D16341" s="3" t="s">
        <v>9</v>
      </c>
      <c r="E16341" s="3">
        <v>22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s="3" t="s">
        <v>10</v>
      </c>
      <c r="P16341" s="3" t="s">
        <v>9</v>
      </c>
      <c r="Q16341" s="3"/>
    </row>
    <row r="16342" spans="1:17" ht="15" x14ac:dyDescent="0.25">
      <c r="A16342" s="3">
        <f>16335</f>
        <v>16335</v>
      </c>
      <c r="B16342" s="3" t="s">
        <v>16344</v>
      </c>
      <c r="C16342" s="3" t="s">
        <v>10</v>
      </c>
      <c r="D16342" s="3" t="s">
        <v>9</v>
      </c>
      <c r="E16342" s="3">
        <v>22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s="3" t="s">
        <v>10</v>
      </c>
      <c r="P16342" s="3" t="s">
        <v>9</v>
      </c>
      <c r="Q16342" s="3"/>
    </row>
    <row r="16343" spans="1:17" ht="15" x14ac:dyDescent="0.25">
      <c r="A16343" s="3">
        <f>16336</f>
        <v>16336</v>
      </c>
      <c r="B16343" s="3" t="s">
        <v>16345</v>
      </c>
      <c r="C16343" s="3" t="s">
        <v>10</v>
      </c>
      <c r="D16343" s="3" t="s">
        <v>9</v>
      </c>
      <c r="E16343" s="3">
        <v>22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  <c r="O16343" s="3" t="s">
        <v>10</v>
      </c>
      <c r="P16343" s="3" t="s">
        <v>9</v>
      </c>
      <c r="Q16343" s="3"/>
    </row>
    <row r="16344" spans="1:17" ht="15" x14ac:dyDescent="0.25">
      <c r="A16344" s="3">
        <f>16337</f>
        <v>16337</v>
      </c>
      <c r="B16344" s="3" t="s">
        <v>16346</v>
      </c>
      <c r="C16344" s="3" t="s">
        <v>10</v>
      </c>
      <c r="D16344" s="3" t="s">
        <v>9</v>
      </c>
      <c r="E16344" s="3">
        <v>22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s="3" t="s">
        <v>10</v>
      </c>
      <c r="P16344" s="3" t="s">
        <v>9</v>
      </c>
      <c r="Q16344" s="3"/>
    </row>
    <row r="16345" spans="1:17" ht="15" x14ac:dyDescent="0.25">
      <c r="A16345" s="3">
        <f>16338</f>
        <v>16338</v>
      </c>
      <c r="B16345" s="3" t="s">
        <v>16347</v>
      </c>
      <c r="C16345" s="3" t="s">
        <v>10</v>
      </c>
      <c r="D16345" s="3" t="s">
        <v>9</v>
      </c>
      <c r="E16345" s="3">
        <v>22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>
        <v>0</v>
      </c>
      <c r="O16345" s="3" t="s">
        <v>10</v>
      </c>
      <c r="P16345" s="3" t="s">
        <v>9</v>
      </c>
      <c r="Q16345" s="3"/>
    </row>
    <row r="16346" spans="1:17" ht="15" x14ac:dyDescent="0.25">
      <c r="A16346" s="3">
        <f>16339</f>
        <v>16339</v>
      </c>
      <c r="B16346" s="3" t="s">
        <v>16348</v>
      </c>
      <c r="C16346" s="3" t="s">
        <v>10</v>
      </c>
      <c r="D16346" s="3" t="s">
        <v>9</v>
      </c>
      <c r="E16346" s="3">
        <v>22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s="3" t="s">
        <v>10</v>
      </c>
      <c r="P16346" s="3" t="s">
        <v>9</v>
      </c>
      <c r="Q16346" s="3"/>
    </row>
    <row r="16347" spans="1:17" ht="15" x14ac:dyDescent="0.25">
      <c r="A16347" s="3">
        <f>16340</f>
        <v>16340</v>
      </c>
      <c r="B16347" s="3" t="s">
        <v>16349</v>
      </c>
      <c r="C16347" s="3" t="s">
        <v>10</v>
      </c>
      <c r="D16347" s="3" t="s">
        <v>9</v>
      </c>
      <c r="E16347" s="3">
        <v>22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0</v>
      </c>
      <c r="O16347" s="3" t="s">
        <v>10</v>
      </c>
      <c r="P16347" s="3" t="s">
        <v>9</v>
      </c>
      <c r="Q16347" s="3"/>
    </row>
    <row r="16348" spans="1:17" ht="15" x14ac:dyDescent="0.25">
      <c r="A16348" s="3">
        <f>16341</f>
        <v>16341</v>
      </c>
      <c r="B16348" s="3" t="s">
        <v>16350</v>
      </c>
      <c r="C16348" s="3" t="s">
        <v>10</v>
      </c>
      <c r="D16348" s="3" t="s">
        <v>9</v>
      </c>
      <c r="E16348" s="3">
        <v>22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0</v>
      </c>
      <c r="O16348" s="3" t="s">
        <v>10</v>
      </c>
      <c r="P16348" s="3" t="s">
        <v>9</v>
      </c>
      <c r="Q16348" s="3"/>
    </row>
    <row r="16349" spans="1:17" ht="15" x14ac:dyDescent="0.25">
      <c r="A16349" s="3">
        <f>16342</f>
        <v>16342</v>
      </c>
      <c r="B16349" s="3" t="s">
        <v>16351</v>
      </c>
      <c r="C16349" s="3" t="s">
        <v>10</v>
      </c>
      <c r="D16349" s="3" t="s">
        <v>9</v>
      </c>
      <c r="E16349" s="3">
        <v>22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 t="s">
        <v>10</v>
      </c>
      <c r="P16349" s="3" t="s">
        <v>9</v>
      </c>
      <c r="Q16349" s="3"/>
    </row>
    <row r="16350" spans="1:17" ht="15" x14ac:dyDescent="0.25">
      <c r="A16350" s="3">
        <f>16343</f>
        <v>16343</v>
      </c>
      <c r="B16350" s="3" t="s">
        <v>16352</v>
      </c>
      <c r="C16350" s="3" t="s">
        <v>10</v>
      </c>
      <c r="D16350" s="3" t="s">
        <v>9</v>
      </c>
      <c r="E16350" s="3">
        <v>22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3">
        <v>0</v>
      </c>
      <c r="N16350" s="3">
        <v>0</v>
      </c>
      <c r="O16350" s="3" t="s">
        <v>10</v>
      </c>
      <c r="P16350" s="3" t="s">
        <v>9</v>
      </c>
      <c r="Q16350" s="3"/>
    </row>
    <row r="16351" spans="1:17" ht="15" x14ac:dyDescent="0.25">
      <c r="A16351" s="3">
        <f>16344</f>
        <v>16344</v>
      </c>
      <c r="B16351" s="3" t="s">
        <v>16353</v>
      </c>
      <c r="C16351" s="3" t="s">
        <v>10</v>
      </c>
      <c r="D16351" s="3" t="s">
        <v>9</v>
      </c>
      <c r="E16351" s="3">
        <v>22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s="3" t="s">
        <v>10</v>
      </c>
      <c r="P16351" s="3" t="s">
        <v>9</v>
      </c>
      <c r="Q16351" s="3"/>
    </row>
    <row r="16352" spans="1:17" ht="15" x14ac:dyDescent="0.25">
      <c r="A16352" s="3">
        <f>16345</f>
        <v>16345</v>
      </c>
      <c r="B16352" s="3" t="s">
        <v>16354</v>
      </c>
      <c r="C16352" s="3" t="s">
        <v>10</v>
      </c>
      <c r="D16352" s="3" t="s">
        <v>9</v>
      </c>
      <c r="E16352" s="3">
        <v>22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 t="s">
        <v>10</v>
      </c>
      <c r="P16352" s="3" t="s">
        <v>9</v>
      </c>
      <c r="Q16352" s="3"/>
    </row>
    <row r="16353" spans="1:17" ht="15" x14ac:dyDescent="0.25">
      <c r="A16353" s="3">
        <f>16346</f>
        <v>16346</v>
      </c>
      <c r="B16353" s="3" t="s">
        <v>16355</v>
      </c>
      <c r="C16353" s="3" t="s">
        <v>10</v>
      </c>
      <c r="D16353" s="3" t="s">
        <v>9</v>
      </c>
      <c r="E16353" s="3">
        <v>22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s="3" t="s">
        <v>10</v>
      </c>
      <c r="P16353" s="3" t="s">
        <v>9</v>
      </c>
      <c r="Q16353" s="3"/>
    </row>
    <row r="16354" spans="1:17" ht="15" x14ac:dyDescent="0.25">
      <c r="A16354" s="3">
        <f>16347</f>
        <v>16347</v>
      </c>
      <c r="B16354" s="3" t="s">
        <v>16356</v>
      </c>
      <c r="C16354" s="3" t="s">
        <v>10</v>
      </c>
      <c r="D16354" s="3" t="s">
        <v>9</v>
      </c>
      <c r="E16354" s="3">
        <v>22</v>
      </c>
      <c r="F16354" s="3">
        <v>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0</v>
      </c>
      <c r="O16354" s="3" t="s">
        <v>10</v>
      </c>
      <c r="P16354" s="3" t="s">
        <v>9</v>
      </c>
      <c r="Q16354" s="3"/>
    </row>
    <row r="16355" spans="1:17" ht="15" x14ac:dyDescent="0.25">
      <c r="A16355" s="3">
        <f>16348</f>
        <v>16348</v>
      </c>
      <c r="B16355" s="3" t="s">
        <v>16357</v>
      </c>
      <c r="C16355" s="3" t="s">
        <v>10</v>
      </c>
      <c r="D16355" s="3" t="s">
        <v>9</v>
      </c>
      <c r="E16355" s="3">
        <v>22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0</v>
      </c>
      <c r="O16355" s="3" t="s">
        <v>10</v>
      </c>
      <c r="P16355" s="3" t="s">
        <v>9</v>
      </c>
      <c r="Q16355" s="3"/>
    </row>
    <row r="16356" spans="1:17" ht="15" x14ac:dyDescent="0.25">
      <c r="A16356" s="3">
        <f>16349</f>
        <v>16349</v>
      </c>
      <c r="B16356" s="3" t="s">
        <v>16358</v>
      </c>
      <c r="C16356" s="3" t="s">
        <v>10</v>
      </c>
      <c r="D16356" s="3" t="s">
        <v>9</v>
      </c>
      <c r="E16356" s="3">
        <v>22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s="3" t="s">
        <v>10</v>
      </c>
      <c r="P16356" s="3" t="s">
        <v>9</v>
      </c>
      <c r="Q16356" s="3"/>
    </row>
    <row r="16357" spans="1:17" ht="15" x14ac:dyDescent="0.25">
      <c r="A16357" s="3">
        <f>16350</f>
        <v>16350</v>
      </c>
      <c r="B16357" s="3" t="s">
        <v>16359</v>
      </c>
      <c r="C16357" s="3" t="s">
        <v>10</v>
      </c>
      <c r="D16357" s="3" t="s">
        <v>9</v>
      </c>
      <c r="E16357" s="3">
        <v>22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3">
        <v>0</v>
      </c>
      <c r="N16357" s="3">
        <v>0</v>
      </c>
      <c r="O16357" s="3" t="s">
        <v>10</v>
      </c>
      <c r="P16357" s="3" t="s">
        <v>9</v>
      </c>
      <c r="Q16357" s="3"/>
    </row>
    <row r="16358" spans="1:17" ht="15" x14ac:dyDescent="0.25">
      <c r="A16358" s="3">
        <f>16351</f>
        <v>16351</v>
      </c>
      <c r="B16358" s="3" t="s">
        <v>16360</v>
      </c>
      <c r="C16358" s="3" t="s">
        <v>10</v>
      </c>
      <c r="D16358" s="3" t="s">
        <v>9</v>
      </c>
      <c r="E16358" s="3">
        <v>22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 t="s">
        <v>10</v>
      </c>
      <c r="P16358" s="3" t="s">
        <v>9</v>
      </c>
      <c r="Q16358" s="3"/>
    </row>
    <row r="16359" spans="1:17" ht="15" x14ac:dyDescent="0.25">
      <c r="A16359" s="3">
        <f>16352</f>
        <v>16352</v>
      </c>
      <c r="B16359" s="3" t="s">
        <v>16361</v>
      </c>
      <c r="C16359" s="3" t="s">
        <v>10</v>
      </c>
      <c r="D16359" s="3" t="s">
        <v>9</v>
      </c>
      <c r="E16359" s="3">
        <v>22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3">
        <v>0</v>
      </c>
      <c r="N16359" s="3">
        <v>0</v>
      </c>
      <c r="O16359" s="3" t="s">
        <v>10</v>
      </c>
      <c r="P16359" s="3" t="s">
        <v>9</v>
      </c>
      <c r="Q16359" s="3"/>
    </row>
    <row r="16360" spans="1:17" ht="15" x14ac:dyDescent="0.25">
      <c r="A16360" s="3">
        <f>16353</f>
        <v>16353</v>
      </c>
      <c r="B16360" s="3" t="s">
        <v>16362</v>
      </c>
      <c r="C16360" s="3" t="s">
        <v>10</v>
      </c>
      <c r="D16360" s="3" t="s">
        <v>9</v>
      </c>
      <c r="E16360" s="3">
        <v>22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 t="s">
        <v>10</v>
      </c>
      <c r="P16360" s="3" t="s">
        <v>9</v>
      </c>
      <c r="Q16360" s="3"/>
    </row>
    <row r="16361" spans="1:17" ht="15" x14ac:dyDescent="0.25">
      <c r="A16361" s="3">
        <f>16354</f>
        <v>16354</v>
      </c>
      <c r="B16361" s="3" t="s">
        <v>16363</v>
      </c>
      <c r="C16361" s="3" t="s">
        <v>10</v>
      </c>
      <c r="D16361" s="3" t="s">
        <v>9</v>
      </c>
      <c r="E16361" s="3">
        <v>22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s="3" t="s">
        <v>10</v>
      </c>
      <c r="P16361" s="3" t="s">
        <v>9</v>
      </c>
      <c r="Q16361" s="3"/>
    </row>
    <row r="16362" spans="1:17" ht="15" x14ac:dyDescent="0.25">
      <c r="A16362" s="3">
        <f>16355</f>
        <v>16355</v>
      </c>
      <c r="B16362" s="3" t="s">
        <v>16364</v>
      </c>
      <c r="C16362" s="3" t="s">
        <v>10</v>
      </c>
      <c r="D16362" s="3" t="s">
        <v>9</v>
      </c>
      <c r="E16362" s="3">
        <v>22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0</v>
      </c>
      <c r="O16362" s="3" t="s">
        <v>10</v>
      </c>
      <c r="P16362" s="3" t="s">
        <v>9</v>
      </c>
      <c r="Q16362" s="3"/>
    </row>
    <row r="16363" spans="1:17" ht="15" x14ac:dyDescent="0.25">
      <c r="A16363" s="3">
        <f>16356</f>
        <v>16356</v>
      </c>
      <c r="B16363" s="3" t="s">
        <v>16365</v>
      </c>
      <c r="C16363" s="3" t="s">
        <v>10</v>
      </c>
      <c r="D16363" s="3" t="s">
        <v>9</v>
      </c>
      <c r="E16363" s="3">
        <v>22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s="3" t="s">
        <v>10</v>
      </c>
      <c r="P16363" s="3" t="s">
        <v>9</v>
      </c>
      <c r="Q16363" s="3"/>
    </row>
    <row r="16364" spans="1:17" ht="15" x14ac:dyDescent="0.25">
      <c r="A16364" s="3">
        <f>16357</f>
        <v>16357</v>
      </c>
      <c r="B16364" s="3" t="s">
        <v>16366</v>
      </c>
      <c r="C16364" s="3" t="s">
        <v>10</v>
      </c>
      <c r="D16364" s="3" t="s">
        <v>9</v>
      </c>
      <c r="E16364" s="3">
        <v>22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  <c r="O16364" s="3" t="s">
        <v>10</v>
      </c>
      <c r="P16364" s="3" t="s">
        <v>9</v>
      </c>
      <c r="Q16364" s="3"/>
    </row>
    <row r="16365" spans="1:17" ht="15" x14ac:dyDescent="0.25">
      <c r="A16365" s="3">
        <f>16358</f>
        <v>16358</v>
      </c>
      <c r="B16365" s="3" t="s">
        <v>16367</v>
      </c>
      <c r="C16365" s="3" t="s">
        <v>10</v>
      </c>
      <c r="D16365" s="3" t="s">
        <v>9</v>
      </c>
      <c r="E16365" s="3">
        <v>22</v>
      </c>
      <c r="F16365" s="3">
        <v>0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  <c r="O16365" s="3" t="s">
        <v>10</v>
      </c>
      <c r="P16365" s="3" t="s">
        <v>9</v>
      </c>
      <c r="Q16365" s="3"/>
    </row>
    <row r="16366" spans="1:17" ht="15" x14ac:dyDescent="0.25">
      <c r="A16366" s="3">
        <f>16359</f>
        <v>16359</v>
      </c>
      <c r="B16366" s="3" t="s">
        <v>16368</v>
      </c>
      <c r="C16366" s="3" t="s">
        <v>10</v>
      </c>
      <c r="D16366" s="3" t="s">
        <v>9</v>
      </c>
      <c r="E16366" s="3">
        <v>22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s="3" t="s">
        <v>10</v>
      </c>
      <c r="P16366" s="3" t="s">
        <v>9</v>
      </c>
      <c r="Q16366" s="3"/>
    </row>
    <row r="16367" spans="1:17" ht="15" x14ac:dyDescent="0.25">
      <c r="A16367" s="3">
        <f>16360</f>
        <v>16360</v>
      </c>
      <c r="B16367" s="3" t="s">
        <v>16369</v>
      </c>
      <c r="C16367" s="3" t="s">
        <v>10</v>
      </c>
      <c r="D16367" s="3" t="s">
        <v>9</v>
      </c>
      <c r="E16367" s="3">
        <v>22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s="3" t="s">
        <v>10</v>
      </c>
      <c r="P16367" s="3" t="s">
        <v>9</v>
      </c>
      <c r="Q16367" s="3"/>
    </row>
    <row r="16368" spans="1:17" ht="15" x14ac:dyDescent="0.25">
      <c r="A16368" s="3">
        <f>16361</f>
        <v>16361</v>
      </c>
      <c r="B16368" s="3" t="s">
        <v>16370</v>
      </c>
      <c r="C16368" s="3" t="s">
        <v>10</v>
      </c>
      <c r="D16368" s="3" t="s">
        <v>9</v>
      </c>
      <c r="E16368" s="3">
        <v>22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s="3" t="s">
        <v>10</v>
      </c>
      <c r="P16368" s="3" t="s">
        <v>9</v>
      </c>
      <c r="Q16368" s="3"/>
    </row>
    <row r="16369" spans="1:17" ht="15" x14ac:dyDescent="0.25">
      <c r="A16369" s="3">
        <f>16362</f>
        <v>16362</v>
      </c>
      <c r="B16369" s="3" t="s">
        <v>16371</v>
      </c>
      <c r="C16369" s="3" t="s">
        <v>10</v>
      </c>
      <c r="D16369" s="3" t="s">
        <v>9</v>
      </c>
      <c r="E16369" s="3">
        <v>22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>
        <v>0</v>
      </c>
      <c r="O16369" s="3" t="s">
        <v>10</v>
      </c>
      <c r="P16369" s="3" t="s">
        <v>9</v>
      </c>
      <c r="Q16369" s="3"/>
    </row>
    <row r="16370" spans="1:17" ht="15" x14ac:dyDescent="0.25">
      <c r="A16370" s="3">
        <f>16363</f>
        <v>16363</v>
      </c>
      <c r="B16370" s="3" t="s">
        <v>16372</v>
      </c>
      <c r="C16370" s="3" t="s">
        <v>10</v>
      </c>
      <c r="D16370" s="3" t="s">
        <v>9</v>
      </c>
      <c r="E16370" s="3">
        <v>22</v>
      </c>
      <c r="F16370" s="3">
        <v>0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0</v>
      </c>
      <c r="O16370" s="3" t="s">
        <v>10</v>
      </c>
      <c r="P16370" s="3" t="s">
        <v>9</v>
      </c>
      <c r="Q16370" s="3"/>
    </row>
    <row r="16371" spans="1:17" ht="15" x14ac:dyDescent="0.25">
      <c r="A16371" s="3">
        <f>16364</f>
        <v>16364</v>
      </c>
      <c r="B16371" s="3" t="s">
        <v>16373</v>
      </c>
      <c r="C16371" s="3" t="s">
        <v>10</v>
      </c>
      <c r="D16371" s="3" t="s">
        <v>9</v>
      </c>
      <c r="E16371" s="3">
        <v>22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s="3" t="s">
        <v>10</v>
      </c>
      <c r="P16371" s="3" t="s">
        <v>9</v>
      </c>
      <c r="Q16371" s="3"/>
    </row>
    <row r="16372" spans="1:17" ht="15" x14ac:dyDescent="0.25">
      <c r="A16372" s="3">
        <f>16365</f>
        <v>16365</v>
      </c>
      <c r="B16372" s="3" t="s">
        <v>16374</v>
      </c>
      <c r="C16372" s="3" t="s">
        <v>10</v>
      </c>
      <c r="D16372" s="3" t="s">
        <v>9</v>
      </c>
      <c r="E16372" s="3">
        <v>22</v>
      </c>
      <c r="F16372" s="3">
        <v>0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>
        <v>0</v>
      </c>
      <c r="O16372" s="3" t="s">
        <v>10</v>
      </c>
      <c r="P16372" s="3" t="s">
        <v>9</v>
      </c>
      <c r="Q16372" s="3"/>
    </row>
    <row r="16373" spans="1:17" ht="15" x14ac:dyDescent="0.25">
      <c r="A16373" s="3">
        <f>16366</f>
        <v>16366</v>
      </c>
      <c r="B16373" s="3" t="s">
        <v>16375</v>
      </c>
      <c r="C16373" s="3" t="s">
        <v>10</v>
      </c>
      <c r="D16373" s="3" t="s">
        <v>9</v>
      </c>
      <c r="E16373" s="3">
        <v>22</v>
      </c>
      <c r="F16373" s="3">
        <v>0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>
        <v>0</v>
      </c>
      <c r="O16373" s="3" t="s">
        <v>10</v>
      </c>
      <c r="P16373" s="3" t="s">
        <v>9</v>
      </c>
      <c r="Q16373" s="3"/>
    </row>
    <row r="16374" spans="1:17" ht="15" x14ac:dyDescent="0.25">
      <c r="A16374" s="3">
        <f>16367</f>
        <v>16367</v>
      </c>
      <c r="B16374" s="3" t="s">
        <v>16376</v>
      </c>
      <c r="C16374" s="3" t="s">
        <v>10</v>
      </c>
      <c r="D16374" s="3" t="s">
        <v>9</v>
      </c>
      <c r="E16374" s="3">
        <v>22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>
        <v>0</v>
      </c>
      <c r="O16374" s="3" t="s">
        <v>10</v>
      </c>
      <c r="P16374" s="3" t="s">
        <v>9</v>
      </c>
      <c r="Q16374" s="3"/>
    </row>
    <row r="16375" spans="1:17" ht="15" x14ac:dyDescent="0.25">
      <c r="A16375" s="3">
        <f>16368</f>
        <v>16368</v>
      </c>
      <c r="B16375" s="3" t="s">
        <v>16377</v>
      </c>
      <c r="C16375" s="3" t="s">
        <v>10</v>
      </c>
      <c r="D16375" s="3" t="s">
        <v>9</v>
      </c>
      <c r="E16375" s="3">
        <v>22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 t="s">
        <v>10</v>
      </c>
      <c r="P16375" s="3" t="s">
        <v>9</v>
      </c>
      <c r="Q16375" s="3"/>
    </row>
    <row r="16376" spans="1:17" ht="15" x14ac:dyDescent="0.25">
      <c r="A16376" s="3">
        <f>16369</f>
        <v>16369</v>
      </c>
      <c r="B16376" s="3" t="s">
        <v>16378</v>
      </c>
      <c r="C16376" s="3" t="s">
        <v>10</v>
      </c>
      <c r="D16376" s="3" t="s">
        <v>9</v>
      </c>
      <c r="E16376" s="3">
        <v>22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s="3" t="s">
        <v>10</v>
      </c>
      <c r="P16376" s="3" t="s">
        <v>9</v>
      </c>
      <c r="Q16376" s="3"/>
    </row>
    <row r="16377" spans="1:17" ht="15" x14ac:dyDescent="0.25">
      <c r="A16377" s="3">
        <f>16370</f>
        <v>16370</v>
      </c>
      <c r="B16377" s="3" t="s">
        <v>16379</v>
      </c>
      <c r="C16377" s="3" t="s">
        <v>10</v>
      </c>
      <c r="D16377" s="3" t="s">
        <v>9</v>
      </c>
      <c r="E16377" s="3">
        <v>22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s="3" t="s">
        <v>10</v>
      </c>
      <c r="P16377" s="3" t="s">
        <v>9</v>
      </c>
      <c r="Q16377" s="3"/>
    </row>
    <row r="16378" spans="1:17" ht="15" x14ac:dyDescent="0.25">
      <c r="A16378" s="3">
        <f>16371</f>
        <v>16371</v>
      </c>
      <c r="B16378" s="3" t="s">
        <v>16380</v>
      </c>
      <c r="C16378" s="3" t="s">
        <v>10</v>
      </c>
      <c r="D16378" s="3" t="s">
        <v>9</v>
      </c>
      <c r="E16378" s="3">
        <v>22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 t="s">
        <v>10</v>
      </c>
      <c r="P16378" s="3" t="s">
        <v>9</v>
      </c>
      <c r="Q16378" s="3"/>
    </row>
    <row r="16379" spans="1:17" ht="15" x14ac:dyDescent="0.25">
      <c r="A16379" s="3">
        <f>16372</f>
        <v>16372</v>
      </c>
      <c r="B16379" s="3" t="s">
        <v>16381</v>
      </c>
      <c r="C16379" s="3" t="s">
        <v>10</v>
      </c>
      <c r="D16379" s="3" t="s">
        <v>9</v>
      </c>
      <c r="E16379" s="3">
        <v>22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0</v>
      </c>
      <c r="O16379" s="3" t="s">
        <v>10</v>
      </c>
      <c r="P16379" s="3" t="s">
        <v>9</v>
      </c>
      <c r="Q16379" s="3"/>
    </row>
    <row r="16380" spans="1:17" ht="15" x14ac:dyDescent="0.25">
      <c r="A16380" s="3">
        <f>16373</f>
        <v>16373</v>
      </c>
      <c r="B16380" s="3" t="s">
        <v>16382</v>
      </c>
      <c r="C16380" s="3" t="s">
        <v>10</v>
      </c>
      <c r="D16380" s="3" t="s">
        <v>9</v>
      </c>
      <c r="E16380" s="3">
        <v>22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3">
        <v>0</v>
      </c>
      <c r="N16380" s="3">
        <v>0</v>
      </c>
      <c r="O16380" s="3" t="s">
        <v>10</v>
      </c>
      <c r="P16380" s="3" t="s">
        <v>9</v>
      </c>
      <c r="Q16380" s="3"/>
    </row>
    <row r="16381" spans="1:17" ht="15" x14ac:dyDescent="0.25">
      <c r="A16381" s="3">
        <f>16374</f>
        <v>16374</v>
      </c>
      <c r="B16381" s="3" t="s">
        <v>16383</v>
      </c>
      <c r="C16381" s="3" t="s">
        <v>10</v>
      </c>
      <c r="D16381" s="3" t="s">
        <v>9</v>
      </c>
      <c r="E16381" s="3">
        <v>22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3">
        <v>0</v>
      </c>
      <c r="N16381" s="3">
        <v>0</v>
      </c>
      <c r="O16381" s="3" t="s">
        <v>10</v>
      </c>
      <c r="P16381" s="3" t="s">
        <v>9</v>
      </c>
      <c r="Q16381" s="3"/>
    </row>
    <row r="16382" spans="1:17" ht="15" x14ac:dyDescent="0.25">
      <c r="A16382" s="3">
        <f>16375</f>
        <v>16375</v>
      </c>
      <c r="B16382" s="3" t="s">
        <v>16384</v>
      </c>
      <c r="C16382" s="3" t="s">
        <v>10</v>
      </c>
      <c r="D16382" s="3" t="s">
        <v>9</v>
      </c>
      <c r="E16382" s="3">
        <v>22</v>
      </c>
      <c r="F16382" s="3">
        <v>0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>
        <v>0</v>
      </c>
      <c r="O16382" s="3" t="s">
        <v>10</v>
      </c>
      <c r="P16382" s="3" t="s">
        <v>9</v>
      </c>
      <c r="Q16382" s="3"/>
    </row>
    <row r="16383" spans="1:17" ht="15" x14ac:dyDescent="0.25">
      <c r="A16383" s="3">
        <f>16376</f>
        <v>16376</v>
      </c>
      <c r="B16383" s="3" t="s">
        <v>16385</v>
      </c>
      <c r="C16383" s="3" t="s">
        <v>10</v>
      </c>
      <c r="D16383" s="3" t="s">
        <v>9</v>
      </c>
      <c r="E16383" s="3">
        <v>22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0</v>
      </c>
      <c r="O16383" s="3" t="s">
        <v>10</v>
      </c>
      <c r="P16383" s="3" t="s">
        <v>9</v>
      </c>
      <c r="Q16383" s="3"/>
    </row>
    <row r="16384" spans="1:17" ht="15" x14ac:dyDescent="0.25">
      <c r="A16384" s="3">
        <f>16377</f>
        <v>16377</v>
      </c>
      <c r="B16384" s="3" t="s">
        <v>16386</v>
      </c>
      <c r="C16384" s="3" t="s">
        <v>10</v>
      </c>
      <c r="D16384" s="3" t="s">
        <v>9</v>
      </c>
      <c r="E16384" s="3">
        <v>22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3">
        <v>0</v>
      </c>
      <c r="N16384" s="3">
        <v>0</v>
      </c>
      <c r="O16384" s="3" t="s">
        <v>10</v>
      </c>
      <c r="P16384" s="3" t="s">
        <v>9</v>
      </c>
      <c r="Q16384" s="3"/>
    </row>
    <row r="16385" spans="1:17" ht="15" x14ac:dyDescent="0.25">
      <c r="A16385" s="3">
        <f>16378</f>
        <v>16378</v>
      </c>
      <c r="B16385" s="3" t="s">
        <v>16387</v>
      </c>
      <c r="C16385" s="3" t="s">
        <v>10</v>
      </c>
      <c r="D16385" s="3" t="s">
        <v>9</v>
      </c>
      <c r="E16385" s="3">
        <v>22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s="3" t="s">
        <v>10</v>
      </c>
      <c r="P16385" s="3" t="s">
        <v>9</v>
      </c>
      <c r="Q16385" s="3"/>
    </row>
    <row r="16386" spans="1:17" ht="15" x14ac:dyDescent="0.25">
      <c r="A16386" s="3">
        <f>16379</f>
        <v>16379</v>
      </c>
      <c r="B16386" s="3" t="s">
        <v>16388</v>
      </c>
      <c r="C16386" s="3" t="s">
        <v>10</v>
      </c>
      <c r="D16386" s="3" t="s">
        <v>9</v>
      </c>
      <c r="E16386" s="3">
        <v>22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s="3" t="s">
        <v>10</v>
      </c>
      <c r="P16386" s="3" t="s">
        <v>9</v>
      </c>
      <c r="Q16386" s="3"/>
    </row>
    <row r="16387" spans="1:17" ht="15" x14ac:dyDescent="0.25">
      <c r="A16387" s="3">
        <f>16380</f>
        <v>16380</v>
      </c>
      <c r="B16387" s="3" t="s">
        <v>16389</v>
      </c>
      <c r="C16387" s="3" t="s">
        <v>10</v>
      </c>
      <c r="D16387" s="3" t="s">
        <v>9</v>
      </c>
      <c r="E16387" s="3">
        <v>22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0</v>
      </c>
      <c r="O16387" s="3" t="s">
        <v>10</v>
      </c>
      <c r="P16387" s="3" t="s">
        <v>9</v>
      </c>
      <c r="Q16387" s="3"/>
    </row>
    <row r="16388" spans="1:17" ht="15" x14ac:dyDescent="0.25">
      <c r="A16388" s="3">
        <f>16381</f>
        <v>16381</v>
      </c>
      <c r="B16388" s="3" t="s">
        <v>16390</v>
      </c>
      <c r="C16388" s="3" t="s">
        <v>10</v>
      </c>
      <c r="D16388" s="3" t="s">
        <v>9</v>
      </c>
      <c r="E16388" s="3">
        <v>22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0</v>
      </c>
      <c r="O16388" s="3" t="s">
        <v>10</v>
      </c>
      <c r="P16388" s="3" t="s">
        <v>9</v>
      </c>
      <c r="Q16388" s="3"/>
    </row>
    <row r="16389" spans="1:17" ht="15" x14ac:dyDescent="0.25">
      <c r="A16389" s="3">
        <f>16382</f>
        <v>16382</v>
      </c>
      <c r="B16389" s="3" t="s">
        <v>16391</v>
      </c>
      <c r="C16389" s="3" t="s">
        <v>10</v>
      </c>
      <c r="D16389" s="3" t="s">
        <v>9</v>
      </c>
      <c r="E16389" s="3">
        <v>22</v>
      </c>
      <c r="F16389" s="3">
        <v>0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s="3" t="s">
        <v>10</v>
      </c>
      <c r="P16389" s="3" t="s">
        <v>9</v>
      </c>
      <c r="Q16389" s="3"/>
    </row>
    <row r="16390" spans="1:17" ht="15" x14ac:dyDescent="0.25">
      <c r="A16390" s="3">
        <f>16383</f>
        <v>16383</v>
      </c>
      <c r="B16390" s="3" t="s">
        <v>16392</v>
      </c>
      <c r="C16390" s="3" t="s">
        <v>10</v>
      </c>
      <c r="D16390" s="3" t="s">
        <v>9</v>
      </c>
      <c r="E16390" s="3">
        <v>22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>
        <v>0</v>
      </c>
      <c r="O16390" s="3" t="s">
        <v>10</v>
      </c>
      <c r="P16390" s="3" t="s">
        <v>9</v>
      </c>
      <c r="Q16390" s="3"/>
    </row>
    <row r="16391" spans="1:17" ht="15" x14ac:dyDescent="0.25">
      <c r="A16391" s="3">
        <f>16384</f>
        <v>16384</v>
      </c>
      <c r="B16391" s="3" t="s">
        <v>16393</v>
      </c>
      <c r="C16391" s="3" t="s">
        <v>10</v>
      </c>
      <c r="D16391" s="3" t="s">
        <v>9</v>
      </c>
      <c r="E16391" s="3">
        <v>22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>
        <v>0</v>
      </c>
      <c r="O16391" s="3" t="s">
        <v>10</v>
      </c>
      <c r="P16391" s="3" t="s">
        <v>9</v>
      </c>
      <c r="Q16391" s="3"/>
    </row>
    <row r="16392" spans="1:17" ht="15" x14ac:dyDescent="0.25">
      <c r="A16392" s="3">
        <f>16385</f>
        <v>16385</v>
      </c>
      <c r="B16392" s="3" t="s">
        <v>16394</v>
      </c>
      <c r="C16392" s="3" t="s">
        <v>10</v>
      </c>
      <c r="D16392" s="3" t="s">
        <v>9</v>
      </c>
      <c r="E16392" s="3">
        <v>22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 t="s">
        <v>10</v>
      </c>
      <c r="P16392" s="3" t="s">
        <v>9</v>
      </c>
      <c r="Q16392" s="3"/>
    </row>
    <row r="16393" spans="1:17" ht="15" x14ac:dyDescent="0.25">
      <c r="A16393" s="3">
        <f>16386</f>
        <v>16386</v>
      </c>
      <c r="B16393" s="3" t="s">
        <v>16395</v>
      </c>
      <c r="C16393" s="3" t="s">
        <v>10</v>
      </c>
      <c r="D16393" s="3" t="s">
        <v>9</v>
      </c>
      <c r="E16393" s="3">
        <v>22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  <c r="O16393" s="3" t="s">
        <v>10</v>
      </c>
      <c r="P16393" s="3" t="s">
        <v>9</v>
      </c>
      <c r="Q16393" s="3"/>
    </row>
    <row r="16394" spans="1:17" ht="15" x14ac:dyDescent="0.25">
      <c r="A16394" s="3">
        <f>16387</f>
        <v>16387</v>
      </c>
      <c r="B16394" s="3" t="s">
        <v>16396</v>
      </c>
      <c r="C16394" s="3" t="s">
        <v>10</v>
      </c>
      <c r="D16394" s="3" t="s">
        <v>9</v>
      </c>
      <c r="E16394" s="3">
        <v>22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0</v>
      </c>
      <c r="O16394" s="3" t="s">
        <v>10</v>
      </c>
      <c r="P16394" s="3" t="s">
        <v>9</v>
      </c>
      <c r="Q16394" s="3"/>
    </row>
    <row r="16395" spans="1:17" ht="15" x14ac:dyDescent="0.25">
      <c r="A16395" s="3">
        <f>16388</f>
        <v>16388</v>
      </c>
      <c r="B16395" s="3" t="s">
        <v>16397</v>
      </c>
      <c r="C16395" s="3" t="s">
        <v>10</v>
      </c>
      <c r="D16395" s="3" t="s">
        <v>9</v>
      </c>
      <c r="E16395" s="3">
        <v>22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 t="s">
        <v>10</v>
      </c>
      <c r="P16395" s="3" t="s">
        <v>9</v>
      </c>
      <c r="Q16395" s="3"/>
    </row>
    <row r="16396" spans="1:17" ht="15" x14ac:dyDescent="0.25">
      <c r="A16396" s="3">
        <f>16389</f>
        <v>16389</v>
      </c>
      <c r="B16396" s="3" t="s">
        <v>16398</v>
      </c>
      <c r="C16396" s="3" t="s">
        <v>10</v>
      </c>
      <c r="D16396" s="3" t="s">
        <v>9</v>
      </c>
      <c r="E16396" s="3">
        <v>22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0</v>
      </c>
      <c r="O16396" s="3" t="s">
        <v>10</v>
      </c>
      <c r="P16396" s="3" t="s">
        <v>9</v>
      </c>
      <c r="Q16396" s="3"/>
    </row>
    <row r="16397" spans="1:17" ht="15" x14ac:dyDescent="0.25">
      <c r="A16397" s="3">
        <f>16390</f>
        <v>16390</v>
      </c>
      <c r="B16397" s="3" t="s">
        <v>16399</v>
      </c>
      <c r="C16397" s="3" t="s">
        <v>10</v>
      </c>
      <c r="D16397" s="3" t="s">
        <v>9</v>
      </c>
      <c r="E16397" s="3">
        <v>22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0</v>
      </c>
      <c r="O16397" s="3" t="s">
        <v>10</v>
      </c>
      <c r="P16397" s="3" t="s">
        <v>9</v>
      </c>
      <c r="Q16397" s="3"/>
    </row>
    <row r="16398" spans="1:17" ht="15" x14ac:dyDescent="0.25">
      <c r="A16398" s="3">
        <f>16391</f>
        <v>16391</v>
      </c>
      <c r="B16398" s="3" t="s">
        <v>16400</v>
      </c>
      <c r="C16398" s="3" t="s">
        <v>10</v>
      </c>
      <c r="D16398" s="3" t="s">
        <v>9</v>
      </c>
      <c r="E16398" s="3">
        <v>22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s="3" t="s">
        <v>10</v>
      </c>
      <c r="P16398" s="3" t="s">
        <v>9</v>
      </c>
      <c r="Q16398" s="3"/>
    </row>
    <row r="16399" spans="1:17" ht="15" x14ac:dyDescent="0.25">
      <c r="A16399" s="3">
        <f>16392</f>
        <v>16392</v>
      </c>
      <c r="B16399" s="3" t="s">
        <v>16401</v>
      </c>
      <c r="C16399" s="3" t="s">
        <v>10</v>
      </c>
      <c r="D16399" s="3" t="s">
        <v>9</v>
      </c>
      <c r="E16399" s="3">
        <v>22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  <c r="O16399" s="3" t="s">
        <v>10</v>
      </c>
      <c r="P16399" s="3" t="s">
        <v>9</v>
      </c>
      <c r="Q16399" s="3"/>
    </row>
    <row r="16400" spans="1:17" ht="15" x14ac:dyDescent="0.25">
      <c r="A16400" s="3">
        <f>16393</f>
        <v>16393</v>
      </c>
      <c r="B16400" s="3" t="s">
        <v>16402</v>
      </c>
      <c r="C16400" s="3" t="s">
        <v>10</v>
      </c>
      <c r="D16400" s="3" t="s">
        <v>9</v>
      </c>
      <c r="E16400" s="3">
        <v>22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s="3" t="s">
        <v>10</v>
      </c>
      <c r="P16400" s="3" t="s">
        <v>9</v>
      </c>
      <c r="Q16400" s="3"/>
    </row>
    <row r="16401" spans="1:17" ht="15" x14ac:dyDescent="0.25">
      <c r="A16401" s="3">
        <f>16394</f>
        <v>16394</v>
      </c>
      <c r="B16401" s="3" t="s">
        <v>16403</v>
      </c>
      <c r="C16401" s="3" t="s">
        <v>10</v>
      </c>
      <c r="D16401" s="3" t="s">
        <v>9</v>
      </c>
      <c r="E16401" s="3">
        <v>22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s="3" t="s">
        <v>10</v>
      </c>
      <c r="P16401" s="3" t="s">
        <v>9</v>
      </c>
      <c r="Q16401" s="3"/>
    </row>
    <row r="16402" spans="1:17" ht="15" x14ac:dyDescent="0.25">
      <c r="A16402" s="3">
        <f>16395</f>
        <v>16395</v>
      </c>
      <c r="B16402" s="3" t="s">
        <v>16404</v>
      </c>
      <c r="C16402" s="3" t="s">
        <v>10</v>
      </c>
      <c r="D16402" s="3" t="s">
        <v>9</v>
      </c>
      <c r="E16402" s="3">
        <v>22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 t="s">
        <v>10</v>
      </c>
      <c r="P16402" s="3" t="s">
        <v>9</v>
      </c>
      <c r="Q16402" s="3"/>
    </row>
    <row r="16403" spans="1:17" ht="15" x14ac:dyDescent="0.25">
      <c r="A16403" s="3">
        <f>16396</f>
        <v>16396</v>
      </c>
      <c r="B16403" s="3" t="s">
        <v>16405</v>
      </c>
      <c r="C16403" s="3" t="s">
        <v>10</v>
      </c>
      <c r="D16403" s="3" t="s">
        <v>9</v>
      </c>
      <c r="E16403" s="3">
        <v>22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 t="s">
        <v>10</v>
      </c>
      <c r="P16403" s="3" t="s">
        <v>9</v>
      </c>
      <c r="Q16403" s="3"/>
    </row>
    <row r="16404" spans="1:17" ht="15" x14ac:dyDescent="0.25">
      <c r="A16404" s="3">
        <f>16397</f>
        <v>16397</v>
      </c>
      <c r="B16404" s="3" t="s">
        <v>16406</v>
      </c>
      <c r="C16404" s="3" t="s">
        <v>10</v>
      </c>
      <c r="D16404" s="3" t="s">
        <v>9</v>
      </c>
      <c r="E16404" s="3">
        <v>22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s="3" t="s">
        <v>10</v>
      </c>
      <c r="P16404" s="3" t="s">
        <v>9</v>
      </c>
      <c r="Q16404" s="3"/>
    </row>
    <row r="16405" spans="1:17" ht="15" x14ac:dyDescent="0.25">
      <c r="A16405" s="3">
        <f>16398</f>
        <v>16398</v>
      </c>
      <c r="B16405" s="3" t="s">
        <v>16407</v>
      </c>
      <c r="C16405" s="3" t="s">
        <v>10</v>
      </c>
      <c r="D16405" s="3" t="s">
        <v>9</v>
      </c>
      <c r="E16405" s="3">
        <v>22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s="3" t="s">
        <v>10</v>
      </c>
      <c r="P16405" s="3" t="s">
        <v>9</v>
      </c>
      <c r="Q16405" s="3"/>
    </row>
    <row r="16406" spans="1:17" ht="15" x14ac:dyDescent="0.25">
      <c r="A16406" s="3">
        <f>16399</f>
        <v>16399</v>
      </c>
      <c r="B16406" s="3" t="s">
        <v>16408</v>
      </c>
      <c r="C16406" s="3" t="s">
        <v>10</v>
      </c>
      <c r="D16406" s="3" t="s">
        <v>9</v>
      </c>
      <c r="E16406" s="3">
        <v>22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s="3" t="s">
        <v>10</v>
      </c>
      <c r="P16406" s="3" t="s">
        <v>9</v>
      </c>
      <c r="Q16406" s="3"/>
    </row>
    <row r="16407" spans="1:17" ht="15" x14ac:dyDescent="0.25">
      <c r="A16407" s="3">
        <f>16400</f>
        <v>16400</v>
      </c>
      <c r="B16407" s="3" t="s">
        <v>16409</v>
      </c>
      <c r="C16407" s="3" t="s">
        <v>10</v>
      </c>
      <c r="D16407" s="3" t="s">
        <v>9</v>
      </c>
      <c r="E16407" s="3">
        <v>22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s="3" t="s">
        <v>10</v>
      </c>
      <c r="P16407" s="3" t="s">
        <v>9</v>
      </c>
      <c r="Q16407" s="3"/>
    </row>
    <row r="16408" spans="1:17" ht="15" x14ac:dyDescent="0.25">
      <c r="A16408" s="3">
        <f>16401</f>
        <v>16401</v>
      </c>
      <c r="B16408" s="3" t="s">
        <v>16410</v>
      </c>
      <c r="C16408" s="3" t="s">
        <v>10</v>
      </c>
      <c r="D16408" s="3" t="s">
        <v>9</v>
      </c>
      <c r="E16408" s="3">
        <v>22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 t="s">
        <v>10</v>
      </c>
      <c r="P16408" s="3" t="s">
        <v>9</v>
      </c>
      <c r="Q16408" s="3"/>
    </row>
    <row r="16409" spans="1:17" ht="15" x14ac:dyDescent="0.25">
      <c r="A16409" s="3">
        <f>16402</f>
        <v>16402</v>
      </c>
      <c r="B16409" s="3" t="s">
        <v>16411</v>
      </c>
      <c r="C16409" s="3" t="s">
        <v>10</v>
      </c>
      <c r="D16409" s="3" t="s">
        <v>9</v>
      </c>
      <c r="E16409" s="3">
        <v>22</v>
      </c>
      <c r="F16409" s="3">
        <v>0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>
        <v>0</v>
      </c>
      <c r="O16409" s="3" t="s">
        <v>10</v>
      </c>
      <c r="P16409" s="3" t="s">
        <v>9</v>
      </c>
      <c r="Q16409" s="3"/>
    </row>
    <row r="16410" spans="1:17" ht="15" x14ac:dyDescent="0.25">
      <c r="A16410" s="3">
        <f>16403</f>
        <v>16403</v>
      </c>
      <c r="B16410" s="3" t="s">
        <v>16412</v>
      </c>
      <c r="C16410" s="3" t="s">
        <v>10</v>
      </c>
      <c r="D16410" s="3" t="s">
        <v>9</v>
      </c>
      <c r="E16410" s="3">
        <v>22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s="3" t="s">
        <v>9</v>
      </c>
      <c r="P16410" s="3" t="s">
        <v>9</v>
      </c>
      <c r="Q16410" s="3"/>
    </row>
    <row r="16411" spans="1:17" ht="15" x14ac:dyDescent="0.25">
      <c r="A16411" s="3">
        <f>16404</f>
        <v>16404</v>
      </c>
      <c r="B16411" s="3" t="s">
        <v>16413</v>
      </c>
      <c r="C16411" s="3" t="s">
        <v>10</v>
      </c>
      <c r="D16411" s="3" t="s">
        <v>9</v>
      </c>
      <c r="E16411" s="3">
        <v>22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3">
        <v>0</v>
      </c>
      <c r="N16411" s="3">
        <v>0</v>
      </c>
      <c r="O16411" s="3" t="s">
        <v>9</v>
      </c>
      <c r="P16411" s="3" t="s">
        <v>9</v>
      </c>
      <c r="Q16411" s="3"/>
    </row>
    <row r="16412" spans="1:17" ht="15" x14ac:dyDescent="0.25">
      <c r="A16412" s="3">
        <f>16405</f>
        <v>16405</v>
      </c>
      <c r="B16412" s="3" t="s">
        <v>16414</v>
      </c>
      <c r="C16412" s="3" t="s">
        <v>10</v>
      </c>
      <c r="D16412" s="3" t="s">
        <v>9</v>
      </c>
      <c r="E16412" s="3">
        <v>22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0</v>
      </c>
      <c r="O16412" s="3" t="s">
        <v>9</v>
      </c>
      <c r="P16412" s="3" t="s">
        <v>9</v>
      </c>
      <c r="Q16412" s="3"/>
    </row>
    <row r="16413" spans="1:17" ht="15" x14ac:dyDescent="0.25">
      <c r="A16413" s="3">
        <f>16406</f>
        <v>16406</v>
      </c>
      <c r="B16413" s="3" t="s">
        <v>16415</v>
      </c>
      <c r="C16413" s="3" t="s">
        <v>10</v>
      </c>
      <c r="D16413" s="3" t="s">
        <v>9</v>
      </c>
      <c r="E16413" s="3">
        <v>22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s="3" t="s">
        <v>9</v>
      </c>
      <c r="P16413" s="3" t="s">
        <v>9</v>
      </c>
      <c r="Q16413" s="3"/>
    </row>
    <row r="16414" spans="1:17" ht="15" x14ac:dyDescent="0.25">
      <c r="A16414" s="3">
        <f>16407</f>
        <v>16407</v>
      </c>
      <c r="B16414" s="3" t="s">
        <v>16416</v>
      </c>
      <c r="C16414" s="3" t="s">
        <v>10</v>
      </c>
      <c r="D16414" s="3" t="s">
        <v>9</v>
      </c>
      <c r="E16414" s="3">
        <v>22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s="3" t="s">
        <v>9</v>
      </c>
      <c r="P16414" s="3" t="s">
        <v>9</v>
      </c>
      <c r="Q16414" s="3"/>
    </row>
    <row r="16415" spans="1:17" ht="15" x14ac:dyDescent="0.25">
      <c r="A16415" s="3">
        <f>16408</f>
        <v>16408</v>
      </c>
      <c r="B16415" s="3" t="s">
        <v>16417</v>
      </c>
      <c r="C16415" s="3" t="s">
        <v>10</v>
      </c>
      <c r="D16415" s="3" t="s">
        <v>9</v>
      </c>
      <c r="E16415" s="3">
        <v>22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>
        <v>0</v>
      </c>
      <c r="O16415" s="3" t="s">
        <v>9</v>
      </c>
      <c r="P16415" s="3" t="s">
        <v>9</v>
      </c>
      <c r="Q16415" s="3"/>
    </row>
    <row r="16416" spans="1:17" ht="15" x14ac:dyDescent="0.25">
      <c r="A16416" s="3">
        <f>16409</f>
        <v>16409</v>
      </c>
      <c r="B16416" s="3" t="s">
        <v>16418</v>
      </c>
      <c r="C16416" s="3" t="s">
        <v>10</v>
      </c>
      <c r="D16416" s="3" t="s">
        <v>9</v>
      </c>
      <c r="E16416" s="3">
        <v>22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s="3" t="s">
        <v>9</v>
      </c>
      <c r="P16416" s="3" t="s">
        <v>9</v>
      </c>
      <c r="Q16416" s="3"/>
    </row>
    <row r="16417" spans="1:17" ht="15" x14ac:dyDescent="0.25">
      <c r="A16417" s="3">
        <f>16410</f>
        <v>16410</v>
      </c>
      <c r="B16417" s="3" t="s">
        <v>16419</v>
      </c>
      <c r="C16417" s="3" t="s">
        <v>10</v>
      </c>
      <c r="D16417" s="3" t="s">
        <v>9</v>
      </c>
      <c r="E16417" s="3">
        <v>22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3">
        <v>0</v>
      </c>
      <c r="N16417" s="3">
        <v>0</v>
      </c>
      <c r="O16417" s="3" t="s">
        <v>9</v>
      </c>
      <c r="P16417" s="3" t="s">
        <v>9</v>
      </c>
      <c r="Q16417" s="3"/>
    </row>
    <row r="16418" spans="1:17" ht="15" x14ac:dyDescent="0.25">
      <c r="A16418" s="3">
        <f>16411</f>
        <v>16411</v>
      </c>
      <c r="B16418" s="3" t="s">
        <v>16420</v>
      </c>
      <c r="C16418" s="3" t="s">
        <v>10</v>
      </c>
      <c r="D16418" s="3" t="s">
        <v>9</v>
      </c>
      <c r="E16418" s="3">
        <v>22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0</v>
      </c>
      <c r="O16418" s="3" t="s">
        <v>9</v>
      </c>
      <c r="P16418" s="3" t="s">
        <v>9</v>
      </c>
      <c r="Q16418" s="3"/>
    </row>
    <row r="16419" spans="1:17" ht="15" x14ac:dyDescent="0.25">
      <c r="A16419" s="3">
        <f>16412</f>
        <v>16412</v>
      </c>
      <c r="B16419" s="3" t="s">
        <v>16421</v>
      </c>
      <c r="C16419" s="3" t="s">
        <v>10</v>
      </c>
      <c r="D16419" s="3" t="s">
        <v>9</v>
      </c>
      <c r="E16419" s="3">
        <v>22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s="3" t="s">
        <v>9</v>
      </c>
      <c r="P16419" s="3" t="s">
        <v>9</v>
      </c>
      <c r="Q16419" s="3"/>
    </row>
    <row r="16420" spans="1:17" ht="15" x14ac:dyDescent="0.25">
      <c r="A16420" s="3">
        <f>16413</f>
        <v>16413</v>
      </c>
      <c r="B16420" s="3" t="s">
        <v>16422</v>
      </c>
      <c r="C16420" s="3" t="s">
        <v>10</v>
      </c>
      <c r="D16420" s="3" t="s">
        <v>9</v>
      </c>
      <c r="E16420" s="3">
        <v>22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>
        <v>0</v>
      </c>
      <c r="O16420" s="3" t="s">
        <v>9</v>
      </c>
      <c r="P16420" s="3" t="s">
        <v>9</v>
      </c>
      <c r="Q16420" s="3"/>
    </row>
    <row r="16421" spans="1:17" ht="15" x14ac:dyDescent="0.25">
      <c r="A16421" s="3">
        <f>16414</f>
        <v>16414</v>
      </c>
      <c r="B16421" s="3" t="s">
        <v>16423</v>
      </c>
      <c r="C16421" s="3" t="s">
        <v>10</v>
      </c>
      <c r="D16421" s="3" t="s">
        <v>9</v>
      </c>
      <c r="E16421" s="3">
        <v>22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>
        <v>0</v>
      </c>
      <c r="O16421" s="3" t="s">
        <v>9</v>
      </c>
      <c r="P16421" s="3" t="s">
        <v>9</v>
      </c>
      <c r="Q16421" s="3"/>
    </row>
    <row r="16422" spans="1:17" ht="15" x14ac:dyDescent="0.25">
      <c r="A16422" s="3">
        <f>16415</f>
        <v>16415</v>
      </c>
      <c r="B16422" s="3" t="s">
        <v>16424</v>
      </c>
      <c r="C16422" s="3" t="s">
        <v>10</v>
      </c>
      <c r="D16422" s="3" t="s">
        <v>9</v>
      </c>
      <c r="E16422" s="3">
        <v>22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s="3" t="s">
        <v>9</v>
      </c>
      <c r="P16422" s="3" t="s">
        <v>9</v>
      </c>
      <c r="Q16422" s="3"/>
    </row>
    <row r="16423" spans="1:17" ht="15" x14ac:dyDescent="0.25">
      <c r="A16423" s="3">
        <f>16416</f>
        <v>16416</v>
      </c>
      <c r="B16423" s="3" t="s">
        <v>16425</v>
      </c>
      <c r="C16423" s="3" t="s">
        <v>10</v>
      </c>
      <c r="D16423" s="3" t="s">
        <v>9</v>
      </c>
      <c r="E16423" s="3">
        <v>22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s="3" t="s">
        <v>9</v>
      </c>
      <c r="P16423" s="3" t="s">
        <v>9</v>
      </c>
      <c r="Q16423" s="3"/>
    </row>
    <row r="16424" spans="1:17" ht="15" x14ac:dyDescent="0.25">
      <c r="A16424" s="3">
        <f>16417</f>
        <v>16417</v>
      </c>
      <c r="B16424" s="3" t="s">
        <v>16426</v>
      </c>
      <c r="C16424" s="3" t="s">
        <v>10</v>
      </c>
      <c r="D16424" s="3" t="s">
        <v>9</v>
      </c>
      <c r="E16424" s="3">
        <v>22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s="3">
        <v>0</v>
      </c>
      <c r="O16424" s="3" t="s">
        <v>9</v>
      </c>
      <c r="P16424" s="3" t="s">
        <v>9</v>
      </c>
      <c r="Q16424" s="3"/>
    </row>
    <row r="16425" spans="1:17" ht="15" x14ac:dyDescent="0.25">
      <c r="A16425" s="3">
        <f>16418</f>
        <v>16418</v>
      </c>
      <c r="B16425" s="3" t="s">
        <v>16427</v>
      </c>
      <c r="C16425" s="3" t="s">
        <v>10</v>
      </c>
      <c r="D16425" s="3" t="s">
        <v>9</v>
      </c>
      <c r="E16425" s="3">
        <v>22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 t="s">
        <v>9</v>
      </c>
      <c r="P16425" s="3" t="s">
        <v>9</v>
      </c>
      <c r="Q16425" s="3"/>
    </row>
    <row r="16426" spans="1:17" ht="15" x14ac:dyDescent="0.25">
      <c r="A16426" s="3">
        <f>16419</f>
        <v>16419</v>
      </c>
      <c r="B16426" s="3" t="s">
        <v>16428</v>
      </c>
      <c r="C16426" s="3" t="s">
        <v>10</v>
      </c>
      <c r="D16426" s="3" t="s">
        <v>9</v>
      </c>
      <c r="E16426" s="3">
        <v>22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s="3" t="s">
        <v>9</v>
      </c>
      <c r="P16426" s="3" t="s">
        <v>9</v>
      </c>
      <c r="Q16426" s="3"/>
    </row>
    <row r="16427" spans="1:17" ht="15" x14ac:dyDescent="0.25">
      <c r="A16427" s="3">
        <f>16420</f>
        <v>16420</v>
      </c>
      <c r="B16427" s="3" t="s">
        <v>16429</v>
      </c>
      <c r="C16427" s="3" t="s">
        <v>10</v>
      </c>
      <c r="D16427" s="3" t="s">
        <v>9</v>
      </c>
      <c r="E16427" s="3">
        <v>22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s="3">
        <v>0</v>
      </c>
      <c r="O16427" s="3" t="s">
        <v>9</v>
      </c>
      <c r="P16427" s="3" t="s">
        <v>9</v>
      </c>
      <c r="Q16427" s="3"/>
    </row>
    <row r="16428" spans="1:17" ht="15" x14ac:dyDescent="0.25">
      <c r="A16428" s="3">
        <f>16421</f>
        <v>16421</v>
      </c>
      <c r="B16428" s="3" t="s">
        <v>16430</v>
      </c>
      <c r="C16428" s="3" t="s">
        <v>10</v>
      </c>
      <c r="D16428" s="3" t="s">
        <v>9</v>
      </c>
      <c r="E16428" s="3">
        <v>22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  <c r="O16428" s="3" t="s">
        <v>9</v>
      </c>
      <c r="P16428" s="3" t="s">
        <v>9</v>
      </c>
      <c r="Q16428" s="3"/>
    </row>
    <row r="16429" spans="1:17" ht="15" x14ac:dyDescent="0.25">
      <c r="A16429" s="3">
        <f>16422</f>
        <v>16422</v>
      </c>
      <c r="B16429" s="3" t="s">
        <v>16431</v>
      </c>
      <c r="C16429" s="3" t="s">
        <v>10</v>
      </c>
      <c r="D16429" s="3" t="s">
        <v>9</v>
      </c>
      <c r="E16429" s="3">
        <v>22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s="3" t="s">
        <v>9</v>
      </c>
      <c r="P16429" s="3" t="s">
        <v>9</v>
      </c>
      <c r="Q16429" s="3"/>
    </row>
    <row r="16430" spans="1:17" ht="15" x14ac:dyDescent="0.25">
      <c r="A16430" s="3">
        <f>16423</f>
        <v>16423</v>
      </c>
      <c r="B16430" s="3" t="s">
        <v>16432</v>
      </c>
      <c r="C16430" s="3" t="s">
        <v>10</v>
      </c>
      <c r="D16430" s="3" t="s">
        <v>9</v>
      </c>
      <c r="E16430" s="3">
        <v>22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s="3">
        <v>0</v>
      </c>
      <c r="O16430" s="3" t="s">
        <v>9</v>
      </c>
      <c r="P16430" s="3" t="s">
        <v>9</v>
      </c>
      <c r="Q16430" s="3"/>
    </row>
    <row r="16431" spans="1:17" ht="15" x14ac:dyDescent="0.25">
      <c r="A16431" s="3">
        <f>16424</f>
        <v>16424</v>
      </c>
      <c r="B16431" s="3" t="s">
        <v>16433</v>
      </c>
      <c r="C16431" s="3" t="s">
        <v>10</v>
      </c>
      <c r="D16431" s="3" t="s">
        <v>9</v>
      </c>
      <c r="E16431" s="3">
        <v>22</v>
      </c>
      <c r="F16431" s="3">
        <v>0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3">
        <v>0</v>
      </c>
      <c r="N16431" s="3">
        <v>0</v>
      </c>
      <c r="O16431" s="3" t="s">
        <v>9</v>
      </c>
      <c r="P16431" s="3" t="s">
        <v>9</v>
      </c>
      <c r="Q16431" s="3"/>
    </row>
    <row r="16432" spans="1:17" ht="15" x14ac:dyDescent="0.25">
      <c r="A16432" s="3">
        <f>16425</f>
        <v>16425</v>
      </c>
      <c r="B16432" s="3" t="s">
        <v>16434</v>
      </c>
      <c r="C16432" s="3" t="s">
        <v>10</v>
      </c>
      <c r="D16432" s="3" t="s">
        <v>9</v>
      </c>
      <c r="E16432" s="3">
        <v>22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 t="s">
        <v>9</v>
      </c>
      <c r="P16432" s="3" t="s">
        <v>9</v>
      </c>
      <c r="Q16432" s="3"/>
    </row>
    <row r="16433" spans="1:17" ht="15" x14ac:dyDescent="0.25">
      <c r="A16433" s="3">
        <f>16426</f>
        <v>16426</v>
      </c>
      <c r="B16433" s="3" t="s">
        <v>16435</v>
      </c>
      <c r="C16433" s="3" t="s">
        <v>10</v>
      </c>
      <c r="D16433" s="3" t="s">
        <v>9</v>
      </c>
      <c r="E16433" s="3">
        <v>22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0</v>
      </c>
      <c r="O16433" s="3" t="s">
        <v>9</v>
      </c>
      <c r="P16433" s="3" t="s">
        <v>9</v>
      </c>
      <c r="Q16433" s="3"/>
    </row>
    <row r="16434" spans="1:17" ht="15" x14ac:dyDescent="0.25">
      <c r="A16434" s="3">
        <f>16427</f>
        <v>16427</v>
      </c>
      <c r="B16434" s="3" t="s">
        <v>16436</v>
      </c>
      <c r="C16434" s="3" t="s">
        <v>10</v>
      </c>
      <c r="D16434" s="3" t="s">
        <v>9</v>
      </c>
      <c r="E16434" s="3">
        <v>22</v>
      </c>
      <c r="F16434" s="3">
        <v>0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0</v>
      </c>
      <c r="O16434" s="3" t="s">
        <v>9</v>
      </c>
      <c r="P16434" s="3" t="s">
        <v>9</v>
      </c>
      <c r="Q16434" s="3"/>
    </row>
    <row r="16435" spans="1:17" ht="15" x14ac:dyDescent="0.25">
      <c r="A16435" s="3">
        <f>16428</f>
        <v>16428</v>
      </c>
      <c r="B16435" s="3" t="s">
        <v>16437</v>
      </c>
      <c r="C16435" s="3" t="s">
        <v>10</v>
      </c>
      <c r="D16435" s="3" t="s">
        <v>9</v>
      </c>
      <c r="E16435" s="3">
        <v>22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s="3" t="s">
        <v>9</v>
      </c>
      <c r="P16435" s="3" t="s">
        <v>9</v>
      </c>
      <c r="Q16435" s="3"/>
    </row>
    <row r="16436" spans="1:17" ht="15" x14ac:dyDescent="0.25">
      <c r="A16436" s="3">
        <f>16429</f>
        <v>16429</v>
      </c>
      <c r="B16436" s="3" t="s">
        <v>16438</v>
      </c>
      <c r="C16436" s="3" t="s">
        <v>10</v>
      </c>
      <c r="D16436" s="3" t="s">
        <v>9</v>
      </c>
      <c r="E16436" s="3">
        <v>22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3">
        <v>0</v>
      </c>
      <c r="N16436" s="3">
        <v>0</v>
      </c>
      <c r="O16436" s="3" t="s">
        <v>9</v>
      </c>
      <c r="P16436" s="3" t="s">
        <v>9</v>
      </c>
      <c r="Q16436" s="3"/>
    </row>
    <row r="16437" spans="1:17" ht="15" x14ac:dyDescent="0.25">
      <c r="A16437" s="3">
        <f>16430</f>
        <v>16430</v>
      </c>
      <c r="B16437" s="3" t="s">
        <v>16439</v>
      </c>
      <c r="C16437" s="3" t="s">
        <v>10</v>
      </c>
      <c r="D16437" s="3" t="s">
        <v>9</v>
      </c>
      <c r="E16437" s="3">
        <v>22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3">
        <v>0</v>
      </c>
      <c r="N16437" s="3">
        <v>0</v>
      </c>
      <c r="O16437" s="3" t="s">
        <v>9</v>
      </c>
      <c r="P16437" s="3" t="s">
        <v>9</v>
      </c>
      <c r="Q16437" s="3"/>
    </row>
    <row r="16438" spans="1:17" ht="15" x14ac:dyDescent="0.25">
      <c r="A16438" s="3">
        <f>16431</f>
        <v>16431</v>
      </c>
      <c r="B16438" s="3" t="s">
        <v>16440</v>
      </c>
      <c r="C16438" s="3" t="s">
        <v>10</v>
      </c>
      <c r="D16438" s="3" t="s">
        <v>9</v>
      </c>
      <c r="E16438" s="3">
        <v>22</v>
      </c>
      <c r="F16438" s="3">
        <v>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>
        <v>0</v>
      </c>
      <c r="O16438" s="3" t="s">
        <v>9</v>
      </c>
      <c r="P16438" s="3" t="s">
        <v>9</v>
      </c>
      <c r="Q16438" s="3"/>
    </row>
    <row r="16439" spans="1:17" ht="15" x14ac:dyDescent="0.25">
      <c r="A16439" s="3">
        <f>16432</f>
        <v>16432</v>
      </c>
      <c r="B16439" s="3" t="s">
        <v>16441</v>
      </c>
      <c r="C16439" s="3" t="s">
        <v>10</v>
      </c>
      <c r="D16439" s="3" t="s">
        <v>9</v>
      </c>
      <c r="E16439" s="3">
        <v>22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  <c r="O16439" s="3" t="s">
        <v>9</v>
      </c>
      <c r="P16439" s="3" t="s">
        <v>9</v>
      </c>
      <c r="Q16439" s="3"/>
    </row>
    <row r="16440" spans="1:17" ht="15" x14ac:dyDescent="0.25">
      <c r="A16440" s="3">
        <f>16433</f>
        <v>16433</v>
      </c>
      <c r="B16440" s="3" t="s">
        <v>16442</v>
      </c>
      <c r="C16440" s="3" t="s">
        <v>10</v>
      </c>
      <c r="D16440" s="3" t="s">
        <v>9</v>
      </c>
      <c r="E16440" s="3">
        <v>22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s="3" t="s">
        <v>9</v>
      </c>
      <c r="P16440" s="3" t="s">
        <v>9</v>
      </c>
      <c r="Q16440" s="3"/>
    </row>
    <row r="16441" spans="1:17" ht="15" x14ac:dyDescent="0.25">
      <c r="A16441" s="3">
        <f>16434</f>
        <v>16434</v>
      </c>
      <c r="B16441" s="3" t="s">
        <v>16443</v>
      </c>
      <c r="C16441" s="3" t="s">
        <v>10</v>
      </c>
      <c r="D16441" s="3" t="s">
        <v>9</v>
      </c>
      <c r="E16441" s="3">
        <v>22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>
        <v>0</v>
      </c>
      <c r="O16441" s="3" t="s">
        <v>9</v>
      </c>
      <c r="P16441" s="3" t="s">
        <v>9</v>
      </c>
      <c r="Q16441" s="3"/>
    </row>
    <row r="16442" spans="1:17" ht="15" x14ac:dyDescent="0.25">
      <c r="A16442" s="3">
        <f>16435</f>
        <v>16435</v>
      </c>
      <c r="B16442" s="3" t="s">
        <v>16444</v>
      </c>
      <c r="C16442" s="3" t="s">
        <v>10</v>
      </c>
      <c r="D16442" s="3" t="s">
        <v>9</v>
      </c>
      <c r="E16442" s="3">
        <v>22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s="3" t="s">
        <v>9</v>
      </c>
      <c r="P16442" s="3" t="s">
        <v>9</v>
      </c>
      <c r="Q16442" s="3"/>
    </row>
    <row r="16443" spans="1:17" ht="15" x14ac:dyDescent="0.25">
      <c r="A16443" s="3">
        <f>16436</f>
        <v>16436</v>
      </c>
      <c r="B16443" s="3" t="s">
        <v>16445</v>
      </c>
      <c r="C16443" s="3" t="s">
        <v>10</v>
      </c>
      <c r="D16443" s="3" t="s">
        <v>9</v>
      </c>
      <c r="E16443" s="3">
        <v>22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>
        <v>0</v>
      </c>
      <c r="O16443" s="3" t="s">
        <v>9</v>
      </c>
      <c r="P16443" s="3" t="s">
        <v>9</v>
      </c>
      <c r="Q16443" s="3"/>
    </row>
    <row r="16444" spans="1:17" ht="15" x14ac:dyDescent="0.25">
      <c r="A16444" s="3">
        <f>16437</f>
        <v>16437</v>
      </c>
      <c r="B16444" s="3" t="s">
        <v>16446</v>
      </c>
      <c r="C16444" s="3" t="s">
        <v>10</v>
      </c>
      <c r="D16444" s="3" t="s">
        <v>9</v>
      </c>
      <c r="E16444" s="3">
        <v>22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s="3" t="s">
        <v>9</v>
      </c>
      <c r="P16444" s="3" t="s">
        <v>9</v>
      </c>
      <c r="Q16444" s="3"/>
    </row>
    <row r="16445" spans="1:17" ht="15" x14ac:dyDescent="0.25">
      <c r="A16445" s="3">
        <f>16438</f>
        <v>16438</v>
      </c>
      <c r="B16445" s="3" t="s">
        <v>16447</v>
      </c>
      <c r="C16445" s="3" t="s">
        <v>10</v>
      </c>
      <c r="D16445" s="3" t="s">
        <v>9</v>
      </c>
      <c r="E16445" s="3">
        <v>22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0</v>
      </c>
      <c r="O16445" s="3" t="s">
        <v>9</v>
      </c>
      <c r="P16445" s="3" t="s">
        <v>9</v>
      </c>
      <c r="Q16445" s="3"/>
    </row>
    <row r="16446" spans="1:17" ht="15" x14ac:dyDescent="0.25">
      <c r="A16446" s="3">
        <f>16439</f>
        <v>16439</v>
      </c>
      <c r="B16446" s="3" t="s">
        <v>16448</v>
      </c>
      <c r="C16446" s="3" t="s">
        <v>10</v>
      </c>
      <c r="D16446" s="3" t="s">
        <v>9</v>
      </c>
      <c r="E16446" s="3">
        <v>22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  <c r="O16446" s="3" t="s">
        <v>9</v>
      </c>
      <c r="P16446" s="3" t="s">
        <v>9</v>
      </c>
      <c r="Q16446" s="3"/>
    </row>
    <row r="16447" spans="1:17" ht="15" x14ac:dyDescent="0.25">
      <c r="A16447" s="3">
        <f>16440</f>
        <v>16440</v>
      </c>
      <c r="B16447" s="3" t="s">
        <v>16449</v>
      </c>
      <c r="C16447" s="3" t="s">
        <v>10</v>
      </c>
      <c r="D16447" s="3" t="s">
        <v>9</v>
      </c>
      <c r="E16447" s="3">
        <v>22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  <c r="O16447" s="3" t="s">
        <v>9</v>
      </c>
      <c r="P16447" s="3" t="s">
        <v>9</v>
      </c>
      <c r="Q16447" s="3"/>
    </row>
    <row r="16448" spans="1:17" ht="15" x14ac:dyDescent="0.25">
      <c r="A16448" s="3">
        <f>16441</f>
        <v>16441</v>
      </c>
      <c r="B16448" s="3" t="s">
        <v>16450</v>
      </c>
      <c r="C16448" s="3" t="s">
        <v>10</v>
      </c>
      <c r="D16448" s="3" t="s">
        <v>9</v>
      </c>
      <c r="E16448" s="3">
        <v>22</v>
      </c>
      <c r="F16448" s="3">
        <v>0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3">
        <v>0</v>
      </c>
      <c r="N16448" s="3">
        <v>0</v>
      </c>
      <c r="O16448" s="3" t="s">
        <v>9</v>
      </c>
      <c r="P16448" s="3" t="s">
        <v>9</v>
      </c>
      <c r="Q16448" s="3"/>
    </row>
    <row r="16449" spans="1:17" ht="15" x14ac:dyDescent="0.25">
      <c r="A16449" s="3">
        <f>16442</f>
        <v>16442</v>
      </c>
      <c r="B16449" s="3" t="s">
        <v>16451</v>
      </c>
      <c r="C16449" s="3" t="s">
        <v>10</v>
      </c>
      <c r="D16449" s="3" t="s">
        <v>9</v>
      </c>
      <c r="E16449" s="3">
        <v>22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s="3" t="s">
        <v>9</v>
      </c>
      <c r="P16449" s="3" t="s">
        <v>9</v>
      </c>
      <c r="Q16449" s="3"/>
    </row>
    <row r="16450" spans="1:17" ht="15" x14ac:dyDescent="0.25">
      <c r="A16450" s="3">
        <f>16443</f>
        <v>16443</v>
      </c>
      <c r="B16450" s="3" t="s">
        <v>16452</v>
      </c>
      <c r="C16450" s="3" t="s">
        <v>10</v>
      </c>
      <c r="D16450" s="3" t="s">
        <v>9</v>
      </c>
      <c r="E16450" s="3">
        <v>22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s="3" t="s">
        <v>9</v>
      </c>
      <c r="P16450" s="3" t="s">
        <v>9</v>
      </c>
      <c r="Q16450" s="3"/>
    </row>
    <row r="16451" spans="1:17" ht="15" x14ac:dyDescent="0.25">
      <c r="A16451" s="3">
        <f>16444</f>
        <v>16444</v>
      </c>
      <c r="B16451" s="3" t="s">
        <v>16453</v>
      </c>
      <c r="C16451" s="3" t="s">
        <v>10</v>
      </c>
      <c r="D16451" s="3" t="s">
        <v>9</v>
      </c>
      <c r="E16451" s="3">
        <v>22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 t="s">
        <v>10</v>
      </c>
      <c r="P16451" s="3" t="s">
        <v>9</v>
      </c>
      <c r="Q16451" s="3"/>
    </row>
    <row r="16452" spans="1:17" ht="15" x14ac:dyDescent="0.25">
      <c r="A16452" s="3">
        <f>16445</f>
        <v>16445</v>
      </c>
      <c r="B16452" s="3" t="s">
        <v>16454</v>
      </c>
      <c r="C16452" s="3" t="s">
        <v>10</v>
      </c>
      <c r="D16452" s="3" t="s">
        <v>9</v>
      </c>
      <c r="E16452" s="3">
        <v>22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s="3" t="s">
        <v>10</v>
      </c>
      <c r="P16452" s="3" t="s">
        <v>9</v>
      </c>
      <c r="Q16452" s="3"/>
    </row>
    <row r="16453" spans="1:17" ht="15" x14ac:dyDescent="0.25">
      <c r="A16453" s="3">
        <f>16446</f>
        <v>16446</v>
      </c>
      <c r="B16453" s="3" t="s">
        <v>16455</v>
      </c>
      <c r="C16453" s="3" t="s">
        <v>10</v>
      </c>
      <c r="D16453" s="3" t="s">
        <v>9</v>
      </c>
      <c r="E16453" s="3">
        <v>22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>
        <v>0</v>
      </c>
      <c r="O16453" s="3" t="s">
        <v>10</v>
      </c>
      <c r="P16453" s="3" t="s">
        <v>9</v>
      </c>
      <c r="Q16453" s="3"/>
    </row>
    <row r="16454" spans="1:17" ht="15" x14ac:dyDescent="0.25">
      <c r="A16454" s="3">
        <f>16447</f>
        <v>16447</v>
      </c>
      <c r="B16454" s="3" t="s">
        <v>16456</v>
      </c>
      <c r="C16454" s="3" t="s">
        <v>10</v>
      </c>
      <c r="D16454" s="3" t="s">
        <v>9</v>
      </c>
      <c r="E16454" s="3">
        <v>22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  <c r="O16454" s="3" t="s">
        <v>10</v>
      </c>
      <c r="P16454" s="3" t="s">
        <v>9</v>
      </c>
      <c r="Q16454" s="3"/>
    </row>
    <row r="16455" spans="1:17" ht="15" x14ac:dyDescent="0.25">
      <c r="A16455" s="3">
        <f>16448</f>
        <v>16448</v>
      </c>
      <c r="B16455" s="3" t="s">
        <v>16457</v>
      </c>
      <c r="C16455" s="3" t="s">
        <v>10</v>
      </c>
      <c r="D16455" s="3" t="s">
        <v>9</v>
      </c>
      <c r="E16455" s="3">
        <v>22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3">
        <v>0</v>
      </c>
      <c r="N16455" s="3">
        <v>0</v>
      </c>
      <c r="O16455" s="3" t="s">
        <v>10</v>
      </c>
      <c r="P16455" s="3" t="s">
        <v>9</v>
      </c>
      <c r="Q16455" s="3"/>
    </row>
    <row r="16456" spans="1:17" ht="15" x14ac:dyDescent="0.25">
      <c r="A16456" s="3">
        <f>16449</f>
        <v>16449</v>
      </c>
      <c r="B16456" s="3" t="s">
        <v>16458</v>
      </c>
      <c r="C16456" s="3" t="s">
        <v>10</v>
      </c>
      <c r="D16456" s="3" t="s">
        <v>9</v>
      </c>
      <c r="E16456" s="3">
        <v>22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3">
        <v>0</v>
      </c>
      <c r="N16456" s="3">
        <v>0</v>
      </c>
      <c r="O16456" s="3" t="s">
        <v>10</v>
      </c>
      <c r="P16456" s="3" t="s">
        <v>9</v>
      </c>
      <c r="Q16456" s="3"/>
    </row>
    <row r="16457" spans="1:17" ht="15" x14ac:dyDescent="0.25">
      <c r="A16457" s="3">
        <f>16450</f>
        <v>16450</v>
      </c>
      <c r="B16457" s="3" t="s">
        <v>16459</v>
      </c>
      <c r="C16457" s="3" t="s">
        <v>10</v>
      </c>
      <c r="D16457" s="3" t="s">
        <v>9</v>
      </c>
      <c r="E16457" s="3">
        <v>22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0</v>
      </c>
      <c r="M16457" s="3">
        <v>0</v>
      </c>
      <c r="N16457" s="3">
        <v>0</v>
      </c>
      <c r="O16457" s="3" t="s">
        <v>10</v>
      </c>
      <c r="P16457" s="3" t="s">
        <v>9</v>
      </c>
      <c r="Q16457" s="3"/>
    </row>
    <row r="16458" spans="1:17" ht="15" x14ac:dyDescent="0.25">
      <c r="A16458" s="3">
        <f>16451</f>
        <v>16451</v>
      </c>
      <c r="B16458" s="3" t="s">
        <v>16460</v>
      </c>
      <c r="C16458" s="3" t="s">
        <v>10</v>
      </c>
      <c r="D16458" s="3" t="s">
        <v>9</v>
      </c>
      <c r="E16458" s="3">
        <v>22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s="3" t="s">
        <v>10</v>
      </c>
      <c r="P16458" s="3" t="s">
        <v>9</v>
      </c>
      <c r="Q16458" s="3"/>
    </row>
    <row r="16459" spans="1:17" ht="15" x14ac:dyDescent="0.25">
      <c r="A16459" s="3">
        <f>16452</f>
        <v>16452</v>
      </c>
      <c r="B16459" s="3" t="s">
        <v>16461</v>
      </c>
      <c r="C16459" s="3" t="s">
        <v>10</v>
      </c>
      <c r="D16459" s="3" t="s">
        <v>9</v>
      </c>
      <c r="E16459" s="3">
        <v>22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0</v>
      </c>
      <c r="O16459" s="3" t="s">
        <v>10</v>
      </c>
      <c r="P16459" s="3" t="s">
        <v>9</v>
      </c>
      <c r="Q16459" s="3"/>
    </row>
    <row r="16460" spans="1:17" ht="15" x14ac:dyDescent="0.25">
      <c r="A16460" s="3">
        <f>16453</f>
        <v>16453</v>
      </c>
      <c r="B16460" s="3" t="s">
        <v>16462</v>
      </c>
      <c r="C16460" s="3" t="s">
        <v>10</v>
      </c>
      <c r="D16460" s="3" t="s">
        <v>9</v>
      </c>
      <c r="E16460" s="3">
        <v>22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s="3" t="s">
        <v>10</v>
      </c>
      <c r="P16460" s="3" t="s">
        <v>9</v>
      </c>
      <c r="Q16460" s="3"/>
    </row>
    <row r="16461" spans="1:17" ht="15" x14ac:dyDescent="0.25">
      <c r="A16461" s="3">
        <f>16454</f>
        <v>16454</v>
      </c>
      <c r="B16461" s="3" t="s">
        <v>16463</v>
      </c>
      <c r="C16461" s="3" t="s">
        <v>10</v>
      </c>
      <c r="D16461" s="3" t="s">
        <v>9</v>
      </c>
      <c r="E16461" s="3">
        <v>22</v>
      </c>
      <c r="F16461" s="3">
        <v>0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s="3" t="s">
        <v>10</v>
      </c>
      <c r="P16461" s="3" t="s">
        <v>9</v>
      </c>
      <c r="Q16461" s="3"/>
    </row>
    <row r="16462" spans="1:17" ht="15" x14ac:dyDescent="0.25">
      <c r="A16462" s="3">
        <f>16455</f>
        <v>16455</v>
      </c>
      <c r="B16462" s="3" t="s">
        <v>16464</v>
      </c>
      <c r="C16462" s="3" t="s">
        <v>10</v>
      </c>
      <c r="D16462" s="3" t="s">
        <v>9</v>
      </c>
      <c r="E16462" s="3">
        <v>22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 t="s">
        <v>10</v>
      </c>
      <c r="P16462" s="3" t="s">
        <v>9</v>
      </c>
      <c r="Q16462" s="3"/>
    </row>
    <row r="16463" spans="1:17" ht="15" x14ac:dyDescent="0.25">
      <c r="A16463" s="3">
        <f>16456</f>
        <v>16456</v>
      </c>
      <c r="B16463" s="3" t="s">
        <v>16465</v>
      </c>
      <c r="C16463" s="3" t="s">
        <v>10</v>
      </c>
      <c r="D16463" s="3" t="s">
        <v>9</v>
      </c>
      <c r="E16463" s="3">
        <v>22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3">
        <v>0</v>
      </c>
      <c r="N16463" s="3">
        <v>0</v>
      </c>
      <c r="O16463" s="3" t="s">
        <v>10</v>
      </c>
      <c r="P16463" s="3" t="s">
        <v>9</v>
      </c>
      <c r="Q16463" s="3"/>
    </row>
    <row r="16464" spans="1:17" ht="15" x14ac:dyDescent="0.25">
      <c r="A16464" s="3">
        <f>16457</f>
        <v>16457</v>
      </c>
      <c r="B16464" s="3" t="s">
        <v>16466</v>
      </c>
      <c r="C16464" s="3" t="s">
        <v>10</v>
      </c>
      <c r="D16464" s="3" t="s">
        <v>9</v>
      </c>
      <c r="E16464" s="3">
        <v>22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0</v>
      </c>
      <c r="O16464" s="3" t="s">
        <v>10</v>
      </c>
      <c r="P16464" s="3" t="s">
        <v>9</v>
      </c>
      <c r="Q16464" s="3"/>
    </row>
    <row r="16465" spans="1:17" ht="15" x14ac:dyDescent="0.25">
      <c r="A16465" s="3">
        <f>16458</f>
        <v>16458</v>
      </c>
      <c r="B16465" s="3" t="s">
        <v>16467</v>
      </c>
      <c r="C16465" s="3" t="s">
        <v>10</v>
      </c>
      <c r="D16465" s="3" t="s">
        <v>9</v>
      </c>
      <c r="E16465" s="3">
        <v>22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>
        <v>0</v>
      </c>
      <c r="O16465" s="3" t="s">
        <v>10</v>
      </c>
      <c r="P16465" s="3" t="s">
        <v>9</v>
      </c>
      <c r="Q16465" s="3"/>
    </row>
    <row r="16466" spans="1:17" ht="15" x14ac:dyDescent="0.25">
      <c r="A16466" s="3">
        <f>16459</f>
        <v>16459</v>
      </c>
      <c r="B16466" s="3" t="s">
        <v>16468</v>
      </c>
      <c r="C16466" s="3" t="s">
        <v>10</v>
      </c>
      <c r="D16466" s="3" t="s">
        <v>9</v>
      </c>
      <c r="E16466" s="3">
        <v>22</v>
      </c>
      <c r="F16466" s="3">
        <v>0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>
        <v>0</v>
      </c>
      <c r="O16466" s="3" t="s">
        <v>10</v>
      </c>
      <c r="P16466" s="3" t="s">
        <v>9</v>
      </c>
      <c r="Q16466" s="3"/>
    </row>
    <row r="16467" spans="1:17" ht="15" x14ac:dyDescent="0.25">
      <c r="A16467" s="3">
        <f>16460</f>
        <v>16460</v>
      </c>
      <c r="B16467" s="3" t="s">
        <v>16469</v>
      </c>
      <c r="C16467" s="3" t="s">
        <v>10</v>
      </c>
      <c r="D16467" s="3" t="s">
        <v>9</v>
      </c>
      <c r="E16467" s="3">
        <v>22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s="3" t="s">
        <v>10</v>
      </c>
      <c r="P16467" s="3" t="s">
        <v>9</v>
      </c>
      <c r="Q16467" s="3"/>
    </row>
    <row r="16468" spans="1:17" ht="15" x14ac:dyDescent="0.25">
      <c r="A16468" s="3">
        <f>16461</f>
        <v>16461</v>
      </c>
      <c r="B16468" s="3" t="s">
        <v>16470</v>
      </c>
      <c r="C16468" s="3" t="s">
        <v>10</v>
      </c>
      <c r="D16468" s="3" t="s">
        <v>9</v>
      </c>
      <c r="E16468" s="3">
        <v>22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0</v>
      </c>
      <c r="O16468" s="3" t="s">
        <v>10</v>
      </c>
      <c r="P16468" s="3" t="s">
        <v>9</v>
      </c>
      <c r="Q16468" s="3"/>
    </row>
    <row r="16469" spans="1:17" ht="15" x14ac:dyDescent="0.25">
      <c r="A16469" s="3">
        <f>16462</f>
        <v>16462</v>
      </c>
      <c r="B16469" s="3" t="s">
        <v>16471</v>
      </c>
      <c r="C16469" s="3" t="s">
        <v>10</v>
      </c>
      <c r="D16469" s="3" t="s">
        <v>9</v>
      </c>
      <c r="E16469" s="3">
        <v>22</v>
      </c>
      <c r="F16469" s="3">
        <v>0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3">
        <v>0</v>
      </c>
      <c r="N16469" s="3">
        <v>0</v>
      </c>
      <c r="O16469" s="3" t="s">
        <v>10</v>
      </c>
      <c r="P16469" s="3" t="s">
        <v>9</v>
      </c>
      <c r="Q16469" s="3"/>
    </row>
    <row r="16470" spans="1:17" ht="15" x14ac:dyDescent="0.25">
      <c r="A16470" s="3">
        <f>16463</f>
        <v>16463</v>
      </c>
      <c r="B16470" s="3" t="s">
        <v>16472</v>
      </c>
      <c r="C16470" s="3" t="s">
        <v>10</v>
      </c>
      <c r="D16470" s="3" t="s">
        <v>9</v>
      </c>
      <c r="E16470" s="3">
        <v>22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 t="s">
        <v>10</v>
      </c>
      <c r="P16470" s="3" t="s">
        <v>9</v>
      </c>
      <c r="Q16470" s="3"/>
    </row>
    <row r="16471" spans="1:17" ht="15" x14ac:dyDescent="0.25">
      <c r="A16471" s="3">
        <f>16464</f>
        <v>16464</v>
      </c>
      <c r="B16471" s="3" t="s">
        <v>16473</v>
      </c>
      <c r="C16471" s="3" t="s">
        <v>10</v>
      </c>
      <c r="D16471" s="3" t="s">
        <v>9</v>
      </c>
      <c r="E16471" s="3">
        <v>22</v>
      </c>
      <c r="F16471" s="3">
        <v>0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3">
        <v>0</v>
      </c>
      <c r="N16471" s="3">
        <v>0</v>
      </c>
      <c r="O16471" s="3" t="s">
        <v>10</v>
      </c>
      <c r="P16471" s="3" t="s">
        <v>9</v>
      </c>
      <c r="Q16471" s="3"/>
    </row>
    <row r="16472" spans="1:17" ht="15" x14ac:dyDescent="0.25">
      <c r="A16472" s="3">
        <f>16465</f>
        <v>16465</v>
      </c>
      <c r="B16472" s="3" t="s">
        <v>16474</v>
      </c>
      <c r="C16472" s="3" t="s">
        <v>10</v>
      </c>
      <c r="D16472" s="3" t="s">
        <v>9</v>
      </c>
      <c r="E16472" s="3">
        <v>22</v>
      </c>
      <c r="F16472" s="3">
        <v>0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>
        <v>0</v>
      </c>
      <c r="O16472" s="3" t="s">
        <v>10</v>
      </c>
      <c r="P16472" s="3" t="s">
        <v>9</v>
      </c>
      <c r="Q16472" s="3"/>
    </row>
    <row r="16473" spans="1:17" ht="15" x14ac:dyDescent="0.25">
      <c r="A16473" s="3">
        <f>16466</f>
        <v>16466</v>
      </c>
      <c r="B16473" s="3" t="s">
        <v>16475</v>
      </c>
      <c r="C16473" s="3" t="s">
        <v>10</v>
      </c>
      <c r="D16473" s="3" t="s">
        <v>9</v>
      </c>
      <c r="E16473" s="3">
        <v>22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 t="s">
        <v>10</v>
      </c>
      <c r="P16473" s="3" t="s">
        <v>9</v>
      </c>
      <c r="Q16473" s="3"/>
    </row>
    <row r="16474" spans="1:17" ht="15" x14ac:dyDescent="0.25">
      <c r="A16474" s="3">
        <f>16467</f>
        <v>16467</v>
      </c>
      <c r="B16474" s="3" t="s">
        <v>16476</v>
      </c>
      <c r="C16474" s="3" t="s">
        <v>10</v>
      </c>
      <c r="D16474" s="3" t="s">
        <v>9</v>
      </c>
      <c r="E16474" s="3">
        <v>22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>
        <v>0</v>
      </c>
      <c r="O16474" s="3" t="s">
        <v>10</v>
      </c>
      <c r="P16474" s="3" t="s">
        <v>9</v>
      </c>
      <c r="Q16474" s="3"/>
    </row>
    <row r="16475" spans="1:17" ht="15" x14ac:dyDescent="0.25">
      <c r="A16475" s="3">
        <f>16468</f>
        <v>16468</v>
      </c>
      <c r="B16475" s="3" t="s">
        <v>16477</v>
      </c>
      <c r="C16475" s="3" t="s">
        <v>10</v>
      </c>
      <c r="D16475" s="3" t="s">
        <v>9</v>
      </c>
      <c r="E16475" s="3">
        <v>22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s="3" t="s">
        <v>10</v>
      </c>
      <c r="P16475" s="3" t="s">
        <v>9</v>
      </c>
      <c r="Q16475" s="3"/>
    </row>
    <row r="16476" spans="1:17" ht="15" x14ac:dyDescent="0.25">
      <c r="A16476" s="3">
        <f>16469</f>
        <v>16469</v>
      </c>
      <c r="B16476" s="3" t="s">
        <v>16478</v>
      </c>
      <c r="C16476" s="3" t="s">
        <v>10</v>
      </c>
      <c r="D16476" s="3" t="s">
        <v>9</v>
      </c>
      <c r="E16476" s="3">
        <v>22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s="3" t="s">
        <v>10</v>
      </c>
      <c r="P16476" s="3" t="s">
        <v>9</v>
      </c>
      <c r="Q16476" s="3"/>
    </row>
    <row r="16477" spans="1:17" ht="15" x14ac:dyDescent="0.25">
      <c r="A16477" s="3">
        <f>16470</f>
        <v>16470</v>
      </c>
      <c r="B16477" s="3" t="s">
        <v>16479</v>
      </c>
      <c r="C16477" s="3" t="s">
        <v>10</v>
      </c>
      <c r="D16477" s="3" t="s">
        <v>9</v>
      </c>
      <c r="E16477" s="3">
        <v>22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s="3">
        <v>0</v>
      </c>
      <c r="O16477" s="3" t="s">
        <v>10</v>
      </c>
      <c r="P16477" s="3" t="s">
        <v>9</v>
      </c>
      <c r="Q16477" s="3"/>
    </row>
    <row r="16478" spans="1:17" ht="15" x14ac:dyDescent="0.25">
      <c r="A16478" s="3">
        <f>16471</f>
        <v>16471</v>
      </c>
      <c r="B16478" s="3" t="s">
        <v>16480</v>
      </c>
      <c r="C16478" s="3" t="s">
        <v>10</v>
      </c>
      <c r="D16478" s="3" t="s">
        <v>9</v>
      </c>
      <c r="E16478" s="3">
        <v>22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0</v>
      </c>
      <c r="O16478" s="3" t="s">
        <v>10</v>
      </c>
      <c r="P16478" s="3" t="s">
        <v>9</v>
      </c>
      <c r="Q16478" s="3"/>
    </row>
    <row r="16479" spans="1:17" ht="15" x14ac:dyDescent="0.25">
      <c r="A16479" s="3">
        <f>16472</f>
        <v>16472</v>
      </c>
      <c r="B16479" s="3" t="s">
        <v>16481</v>
      </c>
      <c r="C16479" s="3" t="s">
        <v>10</v>
      </c>
      <c r="D16479" s="3" t="s">
        <v>9</v>
      </c>
      <c r="E16479" s="3">
        <v>22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>
        <v>0</v>
      </c>
      <c r="O16479" s="3" t="s">
        <v>10</v>
      </c>
      <c r="P16479" s="3" t="s">
        <v>9</v>
      </c>
      <c r="Q16479" s="3"/>
    </row>
    <row r="16480" spans="1:17" ht="15" x14ac:dyDescent="0.25">
      <c r="A16480" s="3">
        <f>16473</f>
        <v>16473</v>
      </c>
      <c r="B16480" s="3" t="s">
        <v>16482</v>
      </c>
      <c r="C16480" s="3" t="s">
        <v>10</v>
      </c>
      <c r="D16480" s="3" t="s">
        <v>9</v>
      </c>
      <c r="E16480" s="3">
        <v>22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s="3" t="s">
        <v>10</v>
      </c>
      <c r="P16480" s="3" t="s">
        <v>9</v>
      </c>
      <c r="Q16480" s="3"/>
    </row>
    <row r="16481" spans="1:17" ht="15" x14ac:dyDescent="0.25">
      <c r="A16481" s="3">
        <f>16474</f>
        <v>16474</v>
      </c>
      <c r="B16481" s="3" t="s">
        <v>16483</v>
      </c>
      <c r="C16481" s="3" t="s">
        <v>10</v>
      </c>
      <c r="D16481" s="3" t="s">
        <v>9</v>
      </c>
      <c r="E16481" s="3">
        <v>22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0</v>
      </c>
      <c r="O16481" s="3" t="s">
        <v>10</v>
      </c>
      <c r="P16481" s="3" t="s">
        <v>9</v>
      </c>
      <c r="Q16481" s="3"/>
    </row>
    <row r="16482" spans="1:17" ht="15" x14ac:dyDescent="0.25">
      <c r="A16482" s="3">
        <f>16475</f>
        <v>16475</v>
      </c>
      <c r="B16482" s="3" t="s">
        <v>16484</v>
      </c>
      <c r="C16482" s="3" t="s">
        <v>10</v>
      </c>
      <c r="D16482" s="3" t="s">
        <v>9</v>
      </c>
      <c r="E16482" s="3">
        <v>22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  <c r="O16482" s="3" t="s">
        <v>10</v>
      </c>
      <c r="P16482" s="3" t="s">
        <v>9</v>
      </c>
      <c r="Q16482" s="3"/>
    </row>
    <row r="16483" spans="1:17" ht="15" x14ac:dyDescent="0.25">
      <c r="A16483" s="3">
        <f>16476</f>
        <v>16476</v>
      </c>
      <c r="B16483" s="3" t="s">
        <v>16485</v>
      </c>
      <c r="C16483" s="3" t="s">
        <v>10</v>
      </c>
      <c r="D16483" s="3" t="s">
        <v>9</v>
      </c>
      <c r="E16483" s="3">
        <v>22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s="3">
        <v>0</v>
      </c>
      <c r="O16483" s="3" t="s">
        <v>10</v>
      </c>
      <c r="P16483" s="3" t="s">
        <v>9</v>
      </c>
      <c r="Q16483" s="3"/>
    </row>
    <row r="16484" spans="1:17" ht="15" x14ac:dyDescent="0.25">
      <c r="A16484" s="3">
        <f>16477</f>
        <v>16477</v>
      </c>
      <c r="B16484" s="3" t="s">
        <v>16486</v>
      </c>
      <c r="C16484" s="3" t="s">
        <v>10</v>
      </c>
      <c r="D16484" s="3" t="s">
        <v>9</v>
      </c>
      <c r="E16484" s="3">
        <v>22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>
        <v>0</v>
      </c>
      <c r="O16484" s="3" t="s">
        <v>10</v>
      </c>
      <c r="P16484" s="3" t="s">
        <v>9</v>
      </c>
      <c r="Q16484" s="3"/>
    </row>
    <row r="16485" spans="1:17" ht="15" x14ac:dyDescent="0.25">
      <c r="A16485" s="3">
        <f>16478</f>
        <v>16478</v>
      </c>
      <c r="B16485" s="3" t="s">
        <v>16487</v>
      </c>
      <c r="C16485" s="3" t="s">
        <v>10</v>
      </c>
      <c r="D16485" s="3" t="s">
        <v>9</v>
      </c>
      <c r="E16485" s="3">
        <v>22</v>
      </c>
      <c r="F16485" s="3">
        <v>0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s="3" t="s">
        <v>10</v>
      </c>
      <c r="P16485" s="3" t="s">
        <v>9</v>
      </c>
      <c r="Q16485" s="3"/>
    </row>
    <row r="16486" spans="1:17" ht="15" x14ac:dyDescent="0.25">
      <c r="A16486" s="3">
        <f>16479</f>
        <v>16479</v>
      </c>
      <c r="B16486" s="3" t="s">
        <v>16488</v>
      </c>
      <c r="C16486" s="3" t="s">
        <v>10</v>
      </c>
      <c r="D16486" s="3" t="s">
        <v>9</v>
      </c>
      <c r="E16486" s="3">
        <v>22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3">
        <v>0</v>
      </c>
      <c r="N16486" s="3">
        <v>0</v>
      </c>
      <c r="O16486" s="3" t="s">
        <v>10</v>
      </c>
      <c r="P16486" s="3" t="s">
        <v>9</v>
      </c>
      <c r="Q16486" s="3"/>
    </row>
    <row r="16487" spans="1:17" ht="15" x14ac:dyDescent="0.25">
      <c r="A16487" s="3">
        <f>16480</f>
        <v>16480</v>
      </c>
      <c r="B16487" s="3" t="s">
        <v>16489</v>
      </c>
      <c r="C16487" s="3" t="s">
        <v>10</v>
      </c>
      <c r="D16487" s="3" t="s">
        <v>9</v>
      </c>
      <c r="E16487" s="3">
        <v>22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s="3" t="s">
        <v>10</v>
      </c>
      <c r="P16487" s="3" t="s">
        <v>9</v>
      </c>
      <c r="Q16487" s="3"/>
    </row>
    <row r="16488" spans="1:17" ht="15" x14ac:dyDescent="0.25">
      <c r="A16488" s="3">
        <f>16481</f>
        <v>16481</v>
      </c>
      <c r="B16488" s="3" t="s">
        <v>16490</v>
      </c>
      <c r="C16488" s="3" t="s">
        <v>10</v>
      </c>
      <c r="D16488" s="3" t="s">
        <v>9</v>
      </c>
      <c r="E16488" s="3">
        <v>22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  <c r="O16488" s="3" t="s">
        <v>10</v>
      </c>
      <c r="P16488" s="3" t="s">
        <v>9</v>
      </c>
      <c r="Q16488" s="3"/>
    </row>
    <row r="16489" spans="1:17" ht="15" x14ac:dyDescent="0.25">
      <c r="A16489" s="3">
        <f>16482</f>
        <v>16482</v>
      </c>
      <c r="B16489" s="3" t="s">
        <v>16491</v>
      </c>
      <c r="C16489" s="3" t="s">
        <v>10</v>
      </c>
      <c r="D16489" s="3" t="s">
        <v>9</v>
      </c>
      <c r="E16489" s="3">
        <v>22</v>
      </c>
      <c r="F16489" s="3">
        <v>0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  <c r="O16489" s="3" t="s">
        <v>10</v>
      </c>
      <c r="P16489" s="3" t="s">
        <v>9</v>
      </c>
      <c r="Q16489" s="3"/>
    </row>
    <row r="16490" spans="1:17" ht="15" x14ac:dyDescent="0.25">
      <c r="A16490" s="3">
        <f>16483</f>
        <v>16483</v>
      </c>
      <c r="B16490" s="3" t="s">
        <v>16492</v>
      </c>
      <c r="C16490" s="3" t="s">
        <v>10</v>
      </c>
      <c r="D16490" s="3" t="s">
        <v>9</v>
      </c>
      <c r="E16490" s="3">
        <v>22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s="3" t="s">
        <v>10</v>
      </c>
      <c r="P16490" s="3" t="s">
        <v>9</v>
      </c>
      <c r="Q16490" s="3"/>
    </row>
    <row r="16491" spans="1:17" ht="15" x14ac:dyDescent="0.25">
      <c r="A16491" s="3">
        <f>16484</f>
        <v>16484</v>
      </c>
      <c r="B16491" s="3" t="s">
        <v>16493</v>
      </c>
      <c r="C16491" s="3" t="s">
        <v>10</v>
      </c>
      <c r="D16491" s="3" t="s">
        <v>9</v>
      </c>
      <c r="E16491" s="3">
        <v>22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0</v>
      </c>
      <c r="O16491" s="3" t="s">
        <v>10</v>
      </c>
      <c r="P16491" s="3" t="s">
        <v>9</v>
      </c>
      <c r="Q16491" s="3"/>
    </row>
    <row r="16492" spans="1:17" ht="15" x14ac:dyDescent="0.25">
      <c r="A16492" s="3">
        <f>16485</f>
        <v>16485</v>
      </c>
      <c r="B16492" s="3" t="s">
        <v>16494</v>
      </c>
      <c r="C16492" s="3" t="s">
        <v>10</v>
      </c>
      <c r="D16492" s="3" t="s">
        <v>9</v>
      </c>
      <c r="E16492" s="3">
        <v>22</v>
      </c>
      <c r="F16492" s="3">
        <v>0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3">
        <v>0</v>
      </c>
      <c r="N16492" s="3">
        <v>0</v>
      </c>
      <c r="O16492" s="3" t="s">
        <v>10</v>
      </c>
      <c r="P16492" s="3" t="s">
        <v>9</v>
      </c>
      <c r="Q16492" s="3"/>
    </row>
    <row r="16493" spans="1:17" ht="15" x14ac:dyDescent="0.25">
      <c r="A16493" s="3">
        <f>16486</f>
        <v>16486</v>
      </c>
      <c r="B16493" s="3" t="s">
        <v>16495</v>
      </c>
      <c r="C16493" s="3" t="s">
        <v>10</v>
      </c>
      <c r="D16493" s="3" t="s">
        <v>9</v>
      </c>
      <c r="E16493" s="3">
        <v>22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0</v>
      </c>
      <c r="O16493" s="3" t="s">
        <v>10</v>
      </c>
      <c r="P16493" s="3" t="s">
        <v>9</v>
      </c>
      <c r="Q16493" s="3"/>
    </row>
    <row r="16494" spans="1:17" ht="15" x14ac:dyDescent="0.25">
      <c r="A16494" s="3">
        <f>16487</f>
        <v>16487</v>
      </c>
      <c r="B16494" s="3" t="s">
        <v>16496</v>
      </c>
      <c r="C16494" s="3" t="s">
        <v>10</v>
      </c>
      <c r="D16494" s="3" t="s">
        <v>9</v>
      </c>
      <c r="E16494" s="3">
        <v>22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s="3" t="s">
        <v>10</v>
      </c>
      <c r="P16494" s="3" t="s">
        <v>9</v>
      </c>
      <c r="Q16494" s="3"/>
    </row>
    <row r="16495" spans="1:17" ht="15" x14ac:dyDescent="0.25">
      <c r="A16495" s="3">
        <f>16488</f>
        <v>16488</v>
      </c>
      <c r="B16495" s="3" t="s">
        <v>16497</v>
      </c>
      <c r="C16495" s="3" t="s">
        <v>10</v>
      </c>
      <c r="D16495" s="3" t="s">
        <v>9</v>
      </c>
      <c r="E16495" s="3">
        <v>22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0</v>
      </c>
      <c r="M16495" s="3">
        <v>0</v>
      </c>
      <c r="N16495" s="3">
        <v>0</v>
      </c>
      <c r="O16495" s="3" t="s">
        <v>10</v>
      </c>
      <c r="P16495" s="3" t="s">
        <v>9</v>
      </c>
      <c r="Q16495" s="3"/>
    </row>
    <row r="16496" spans="1:17" ht="15" x14ac:dyDescent="0.25">
      <c r="A16496" s="3">
        <f>16489</f>
        <v>16489</v>
      </c>
      <c r="B16496" s="3" t="s">
        <v>16498</v>
      </c>
      <c r="C16496" s="3" t="s">
        <v>10</v>
      </c>
      <c r="D16496" s="3" t="s">
        <v>9</v>
      </c>
      <c r="E16496" s="3">
        <v>22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s="3" t="s">
        <v>10</v>
      </c>
      <c r="P16496" s="3" t="s">
        <v>9</v>
      </c>
      <c r="Q16496" s="3"/>
    </row>
    <row r="16497" spans="1:17" ht="15" x14ac:dyDescent="0.25">
      <c r="A16497" s="3">
        <f>16490</f>
        <v>16490</v>
      </c>
      <c r="B16497" s="3" t="s">
        <v>16499</v>
      </c>
      <c r="C16497" s="3" t="s">
        <v>10</v>
      </c>
      <c r="D16497" s="3" t="s">
        <v>9</v>
      </c>
      <c r="E16497" s="3">
        <v>22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0</v>
      </c>
      <c r="O16497" s="3" t="s">
        <v>10</v>
      </c>
      <c r="P16497" s="3" t="s">
        <v>9</v>
      </c>
      <c r="Q16497" s="3"/>
    </row>
    <row r="16498" spans="1:17" ht="15" x14ac:dyDescent="0.25">
      <c r="A16498" s="3">
        <f>16491</f>
        <v>16491</v>
      </c>
      <c r="B16498" s="3" t="s">
        <v>16500</v>
      </c>
      <c r="C16498" s="3" t="s">
        <v>10</v>
      </c>
      <c r="D16498" s="3" t="s">
        <v>9</v>
      </c>
      <c r="E16498" s="3">
        <v>22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s="3" t="s">
        <v>10</v>
      </c>
      <c r="P16498" s="3" t="s">
        <v>9</v>
      </c>
      <c r="Q16498" s="3"/>
    </row>
    <row r="16499" spans="1:17" ht="15" x14ac:dyDescent="0.25">
      <c r="A16499" s="3">
        <f>16492</f>
        <v>16492</v>
      </c>
      <c r="B16499" s="3" t="s">
        <v>16501</v>
      </c>
      <c r="C16499" s="3" t="s">
        <v>10</v>
      </c>
      <c r="D16499" s="3" t="s">
        <v>9</v>
      </c>
      <c r="E16499" s="3">
        <v>22</v>
      </c>
      <c r="F16499" s="3">
        <v>0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0</v>
      </c>
      <c r="O16499" s="3" t="s">
        <v>10</v>
      </c>
      <c r="P16499" s="3" t="s">
        <v>9</v>
      </c>
      <c r="Q16499" s="3"/>
    </row>
    <row r="16500" spans="1:17" ht="15" x14ac:dyDescent="0.25">
      <c r="A16500" s="3">
        <f>16493</f>
        <v>16493</v>
      </c>
      <c r="B16500" s="3" t="s">
        <v>16502</v>
      </c>
      <c r="C16500" s="3" t="s">
        <v>10</v>
      </c>
      <c r="D16500" s="3" t="s">
        <v>9</v>
      </c>
      <c r="E16500" s="3">
        <v>22</v>
      </c>
      <c r="F16500" s="3">
        <v>0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>
        <v>0</v>
      </c>
      <c r="O16500" s="3" t="s">
        <v>10</v>
      </c>
      <c r="P16500" s="3" t="s">
        <v>9</v>
      </c>
      <c r="Q16500" s="3"/>
    </row>
    <row r="16501" spans="1:17" ht="15" x14ac:dyDescent="0.25">
      <c r="A16501" s="3">
        <f>16494</f>
        <v>16494</v>
      </c>
      <c r="B16501" s="3" t="s">
        <v>16503</v>
      </c>
      <c r="C16501" s="3" t="s">
        <v>10</v>
      </c>
      <c r="D16501" s="3" t="s">
        <v>9</v>
      </c>
      <c r="E16501" s="3">
        <v>22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s="3" t="s">
        <v>10</v>
      </c>
      <c r="P16501" s="3" t="s">
        <v>9</v>
      </c>
      <c r="Q16501" s="3"/>
    </row>
    <row r="16502" spans="1:17" ht="15" x14ac:dyDescent="0.25">
      <c r="A16502" s="3">
        <f>16495</f>
        <v>16495</v>
      </c>
      <c r="B16502" s="3" t="s">
        <v>16504</v>
      </c>
      <c r="C16502" s="3" t="s">
        <v>10</v>
      </c>
      <c r="D16502" s="3" t="s">
        <v>9</v>
      </c>
      <c r="E16502" s="3">
        <v>22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>
        <v>0</v>
      </c>
      <c r="O16502" s="3" t="s">
        <v>10</v>
      </c>
      <c r="P16502" s="3" t="s">
        <v>9</v>
      </c>
      <c r="Q16502" s="3"/>
    </row>
    <row r="16503" spans="1:17" ht="15" x14ac:dyDescent="0.25">
      <c r="A16503" s="3">
        <f>16496</f>
        <v>16496</v>
      </c>
      <c r="B16503" s="3" t="s">
        <v>16505</v>
      </c>
      <c r="C16503" s="3" t="s">
        <v>10</v>
      </c>
      <c r="D16503" s="3" t="s">
        <v>9</v>
      </c>
      <c r="E16503" s="3">
        <v>22</v>
      </c>
      <c r="F16503" s="3">
        <v>0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s="3" t="s">
        <v>10</v>
      </c>
      <c r="P16503" s="3" t="s">
        <v>9</v>
      </c>
      <c r="Q16503" s="3"/>
    </row>
    <row r="16504" spans="1:17" ht="15" x14ac:dyDescent="0.25">
      <c r="A16504" s="3">
        <f>16497</f>
        <v>16497</v>
      </c>
      <c r="B16504" s="3" t="s">
        <v>16506</v>
      </c>
      <c r="C16504" s="3" t="s">
        <v>10</v>
      </c>
      <c r="D16504" s="3" t="s">
        <v>9</v>
      </c>
      <c r="E16504" s="3">
        <v>22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s="3" t="s">
        <v>10</v>
      </c>
      <c r="P16504" s="3" t="s">
        <v>9</v>
      </c>
      <c r="Q16504" s="3"/>
    </row>
    <row r="16505" spans="1:17" ht="15" x14ac:dyDescent="0.25">
      <c r="A16505" s="3">
        <f>16498</f>
        <v>16498</v>
      </c>
      <c r="B16505" s="3" t="s">
        <v>16507</v>
      </c>
      <c r="C16505" s="3" t="s">
        <v>10</v>
      </c>
      <c r="D16505" s="3" t="s">
        <v>9</v>
      </c>
      <c r="E16505" s="3">
        <v>22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3">
        <v>0</v>
      </c>
      <c r="N16505" s="3">
        <v>0</v>
      </c>
      <c r="O16505" s="3" t="s">
        <v>10</v>
      </c>
      <c r="P16505" s="3" t="s">
        <v>9</v>
      </c>
      <c r="Q16505" s="3"/>
    </row>
    <row r="16506" spans="1:17" ht="15" x14ac:dyDescent="0.25">
      <c r="A16506" s="3">
        <f>16499</f>
        <v>16499</v>
      </c>
      <c r="B16506" s="3" t="s">
        <v>16508</v>
      </c>
      <c r="C16506" s="3" t="s">
        <v>10</v>
      </c>
      <c r="D16506" s="3" t="s">
        <v>9</v>
      </c>
      <c r="E16506" s="3">
        <v>22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3">
        <v>0</v>
      </c>
      <c r="N16506" s="3">
        <v>0</v>
      </c>
      <c r="O16506" s="3" t="s">
        <v>10</v>
      </c>
      <c r="P16506" s="3" t="s">
        <v>9</v>
      </c>
      <c r="Q16506" s="3"/>
    </row>
    <row r="16507" spans="1:17" ht="15" x14ac:dyDescent="0.25">
      <c r="A16507" s="3">
        <f>16500</f>
        <v>16500</v>
      </c>
      <c r="B16507" s="3" t="s">
        <v>16509</v>
      </c>
      <c r="C16507" s="3" t="s">
        <v>10</v>
      </c>
      <c r="D16507" s="3" t="s">
        <v>9</v>
      </c>
      <c r="E16507" s="3">
        <v>22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  <c r="O16507" s="3" t="s">
        <v>10</v>
      </c>
      <c r="P16507" s="3" t="s">
        <v>9</v>
      </c>
      <c r="Q16507" s="3"/>
    </row>
    <row r="16508" spans="1:17" ht="15" x14ac:dyDescent="0.25">
      <c r="A16508" s="3">
        <f>16501</f>
        <v>16501</v>
      </c>
      <c r="B16508" s="3" t="s">
        <v>16510</v>
      </c>
      <c r="C16508" s="3" t="s">
        <v>10</v>
      </c>
      <c r="D16508" s="3" t="s">
        <v>9</v>
      </c>
      <c r="E16508" s="3">
        <v>22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0</v>
      </c>
      <c r="L16508" s="3">
        <v>0</v>
      </c>
      <c r="M16508" s="3">
        <v>0</v>
      </c>
      <c r="N16508" s="3">
        <v>0</v>
      </c>
      <c r="O16508" s="3" t="s">
        <v>10</v>
      </c>
      <c r="P16508" s="3" t="s">
        <v>9</v>
      </c>
      <c r="Q16508" s="3"/>
    </row>
    <row r="16509" spans="1:17" ht="15" x14ac:dyDescent="0.25">
      <c r="A16509" s="3">
        <f>16502</f>
        <v>16502</v>
      </c>
      <c r="B16509" s="3" t="s">
        <v>16511</v>
      </c>
      <c r="C16509" s="3" t="s">
        <v>10</v>
      </c>
      <c r="D16509" s="3" t="s">
        <v>9</v>
      </c>
      <c r="E16509" s="3">
        <v>22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  <c r="L16509" s="3">
        <v>0</v>
      </c>
      <c r="M16509" s="3">
        <v>0</v>
      </c>
      <c r="N16509" s="3">
        <v>0</v>
      </c>
      <c r="O16509" s="3" t="s">
        <v>10</v>
      </c>
      <c r="P16509" s="3" t="s">
        <v>9</v>
      </c>
      <c r="Q16509" s="3"/>
    </row>
    <row r="16510" spans="1:17" ht="15" x14ac:dyDescent="0.25">
      <c r="A16510" s="3">
        <f>16503</f>
        <v>16503</v>
      </c>
      <c r="B16510" s="3" t="s">
        <v>16512</v>
      </c>
      <c r="C16510" s="3" t="s">
        <v>10</v>
      </c>
      <c r="D16510" s="3" t="s">
        <v>9</v>
      </c>
      <c r="E16510" s="3">
        <v>22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3">
        <v>0</v>
      </c>
      <c r="N16510" s="3">
        <v>0</v>
      </c>
      <c r="O16510" s="3" t="s">
        <v>10</v>
      </c>
      <c r="P16510" s="3" t="s">
        <v>9</v>
      </c>
      <c r="Q16510" s="3"/>
    </row>
    <row r="16511" spans="1:17" ht="15" x14ac:dyDescent="0.25">
      <c r="A16511" s="3">
        <f>16504</f>
        <v>16504</v>
      </c>
      <c r="B16511" s="3" t="s">
        <v>16513</v>
      </c>
      <c r="C16511" s="3" t="s">
        <v>10</v>
      </c>
      <c r="D16511" s="3" t="s">
        <v>9</v>
      </c>
      <c r="E16511" s="3">
        <v>22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>
        <v>0</v>
      </c>
      <c r="O16511" s="3" t="s">
        <v>10</v>
      </c>
      <c r="P16511" s="3" t="s">
        <v>9</v>
      </c>
      <c r="Q16511" s="3"/>
    </row>
    <row r="16512" spans="1:17" ht="15" x14ac:dyDescent="0.25">
      <c r="A16512" s="3">
        <f>16505</f>
        <v>16505</v>
      </c>
      <c r="B16512" s="3" t="s">
        <v>16514</v>
      </c>
      <c r="C16512" s="3" t="s">
        <v>10</v>
      </c>
      <c r="D16512" s="3" t="s">
        <v>9</v>
      </c>
      <c r="E16512" s="3">
        <v>22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0</v>
      </c>
      <c r="O16512" s="3" t="s">
        <v>10</v>
      </c>
      <c r="P16512" s="3" t="s">
        <v>9</v>
      </c>
      <c r="Q16512" s="3"/>
    </row>
    <row r="16513" spans="1:17" ht="15" x14ac:dyDescent="0.25">
      <c r="A16513" s="3">
        <f>16506</f>
        <v>16506</v>
      </c>
      <c r="B16513" s="3" t="s">
        <v>16515</v>
      </c>
      <c r="C16513" s="3" t="s">
        <v>10</v>
      </c>
      <c r="D16513" s="3" t="s">
        <v>9</v>
      </c>
      <c r="E16513" s="3">
        <v>22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3">
        <v>0</v>
      </c>
      <c r="N16513" s="3">
        <v>0</v>
      </c>
      <c r="O16513" s="3" t="s">
        <v>10</v>
      </c>
      <c r="P16513" s="3" t="s">
        <v>9</v>
      </c>
      <c r="Q16513" s="3"/>
    </row>
    <row r="16514" spans="1:17" ht="15" x14ac:dyDescent="0.25">
      <c r="A16514" s="3">
        <f>16507</f>
        <v>16507</v>
      </c>
      <c r="B16514" s="3" t="s">
        <v>16516</v>
      </c>
      <c r="C16514" s="3" t="s">
        <v>10</v>
      </c>
      <c r="D16514" s="3" t="s">
        <v>9</v>
      </c>
      <c r="E16514" s="3">
        <v>22</v>
      </c>
      <c r="F16514" s="3">
        <v>0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3">
        <v>0</v>
      </c>
      <c r="N16514" s="3">
        <v>0</v>
      </c>
      <c r="O16514" s="3" t="s">
        <v>10</v>
      </c>
      <c r="P16514" s="3" t="s">
        <v>9</v>
      </c>
      <c r="Q16514" s="3"/>
    </row>
    <row r="16515" spans="1:17" ht="15" x14ac:dyDescent="0.25">
      <c r="A16515" s="3">
        <f>16508</f>
        <v>16508</v>
      </c>
      <c r="B16515" s="3" t="s">
        <v>16517</v>
      </c>
      <c r="C16515" s="3" t="s">
        <v>10</v>
      </c>
      <c r="D16515" s="3" t="s">
        <v>9</v>
      </c>
      <c r="E16515" s="3">
        <v>22</v>
      </c>
      <c r="F16515" s="3">
        <v>0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>
        <v>0</v>
      </c>
      <c r="O16515" s="3" t="s">
        <v>10</v>
      </c>
      <c r="P16515" s="3" t="s">
        <v>9</v>
      </c>
      <c r="Q16515" s="3"/>
    </row>
    <row r="16516" spans="1:17" ht="15" x14ac:dyDescent="0.25">
      <c r="A16516" s="3">
        <f>16509</f>
        <v>16509</v>
      </c>
      <c r="B16516" s="3" t="s">
        <v>16518</v>
      </c>
      <c r="C16516" s="3" t="s">
        <v>10</v>
      </c>
      <c r="D16516" s="3" t="s">
        <v>9</v>
      </c>
      <c r="E16516" s="3">
        <v>22</v>
      </c>
      <c r="F16516" s="3">
        <v>0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3">
        <v>0</v>
      </c>
      <c r="N16516" s="3">
        <v>0</v>
      </c>
      <c r="O16516" s="3" t="s">
        <v>10</v>
      </c>
      <c r="P16516" s="3" t="s">
        <v>9</v>
      </c>
      <c r="Q16516" s="3"/>
    </row>
    <row r="16517" spans="1:17" ht="15" x14ac:dyDescent="0.25">
      <c r="A16517" s="3">
        <f>16510</f>
        <v>16510</v>
      </c>
      <c r="B16517" s="3" t="s">
        <v>16519</v>
      </c>
      <c r="C16517" s="3" t="s">
        <v>10</v>
      </c>
      <c r="D16517" s="3" t="s">
        <v>9</v>
      </c>
      <c r="E16517" s="3">
        <v>22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s="3" t="s">
        <v>10</v>
      </c>
      <c r="P16517" s="3" t="s">
        <v>9</v>
      </c>
      <c r="Q16517" s="3"/>
    </row>
    <row r="16518" spans="1:17" ht="15" x14ac:dyDescent="0.25">
      <c r="A16518" s="3">
        <f>16511</f>
        <v>16511</v>
      </c>
      <c r="B16518" s="3" t="s">
        <v>16520</v>
      </c>
      <c r="C16518" s="3" t="s">
        <v>10</v>
      </c>
      <c r="D16518" s="3" t="s">
        <v>9</v>
      </c>
      <c r="E16518" s="3">
        <v>22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s="3" t="s">
        <v>10</v>
      </c>
      <c r="P16518" s="3" t="s">
        <v>9</v>
      </c>
      <c r="Q16518" s="3"/>
    </row>
    <row r="16519" spans="1:17" ht="15" x14ac:dyDescent="0.25">
      <c r="A16519" s="3">
        <f>16512</f>
        <v>16512</v>
      </c>
      <c r="B16519" s="3" t="s">
        <v>16521</v>
      </c>
      <c r="C16519" s="3" t="s">
        <v>10</v>
      </c>
      <c r="D16519" s="3" t="s">
        <v>9</v>
      </c>
      <c r="E16519" s="3">
        <v>22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3">
        <v>0</v>
      </c>
      <c r="N16519" s="3">
        <v>0</v>
      </c>
      <c r="O16519" s="3" t="s">
        <v>10</v>
      </c>
      <c r="P16519" s="3" t="s">
        <v>9</v>
      </c>
      <c r="Q16519" s="3"/>
    </row>
    <row r="16520" spans="1:17" ht="15" x14ac:dyDescent="0.25">
      <c r="A16520" s="3">
        <f>16513</f>
        <v>16513</v>
      </c>
      <c r="B16520" s="3" t="s">
        <v>16522</v>
      </c>
      <c r="C16520" s="3" t="s">
        <v>10</v>
      </c>
      <c r="D16520" s="3" t="s">
        <v>9</v>
      </c>
      <c r="E16520" s="3">
        <v>22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s="3" t="s">
        <v>10</v>
      </c>
      <c r="P16520" s="3" t="s">
        <v>9</v>
      </c>
      <c r="Q16520" s="3"/>
    </row>
    <row r="16521" spans="1:17" ht="15" x14ac:dyDescent="0.25">
      <c r="A16521" s="3">
        <f>16514</f>
        <v>16514</v>
      </c>
      <c r="B16521" s="3" t="s">
        <v>16523</v>
      </c>
      <c r="C16521" s="3" t="s">
        <v>10</v>
      </c>
      <c r="D16521" s="3" t="s">
        <v>9</v>
      </c>
      <c r="E16521" s="3">
        <v>22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  <c r="O16521" s="3" t="s">
        <v>10</v>
      </c>
      <c r="P16521" s="3" t="s">
        <v>9</v>
      </c>
      <c r="Q16521" s="3"/>
    </row>
    <row r="16522" spans="1:17" ht="15" x14ac:dyDescent="0.25">
      <c r="A16522" s="3">
        <f>16515</f>
        <v>16515</v>
      </c>
      <c r="B16522" s="3" t="s">
        <v>16524</v>
      </c>
      <c r="C16522" s="3" t="s">
        <v>10</v>
      </c>
      <c r="D16522" s="3" t="s">
        <v>9</v>
      </c>
      <c r="E16522" s="3">
        <v>22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3">
        <v>0</v>
      </c>
      <c r="N16522" s="3">
        <v>0</v>
      </c>
      <c r="O16522" s="3" t="s">
        <v>10</v>
      </c>
      <c r="P16522" s="3" t="s">
        <v>9</v>
      </c>
      <c r="Q16522" s="3"/>
    </row>
    <row r="16523" spans="1:17" ht="15" x14ac:dyDescent="0.25">
      <c r="A16523" s="3">
        <f>16516</f>
        <v>16516</v>
      </c>
      <c r="B16523" s="3" t="s">
        <v>16525</v>
      </c>
      <c r="C16523" s="3" t="s">
        <v>10</v>
      </c>
      <c r="D16523" s="3" t="s">
        <v>9</v>
      </c>
      <c r="E16523" s="3">
        <v>22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3">
        <v>0</v>
      </c>
      <c r="N16523" s="3">
        <v>0</v>
      </c>
      <c r="O16523" s="3" t="s">
        <v>10</v>
      </c>
      <c r="P16523" s="3" t="s">
        <v>9</v>
      </c>
      <c r="Q16523" s="3"/>
    </row>
    <row r="16524" spans="1:17" ht="15" x14ac:dyDescent="0.25">
      <c r="A16524" s="3">
        <f>16517</f>
        <v>16517</v>
      </c>
      <c r="B16524" s="3" t="s">
        <v>16526</v>
      </c>
      <c r="C16524" s="3" t="s">
        <v>10</v>
      </c>
      <c r="D16524" s="3" t="s">
        <v>9</v>
      </c>
      <c r="E16524" s="3">
        <v>22</v>
      </c>
      <c r="F16524" s="3">
        <v>0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3">
        <v>0</v>
      </c>
      <c r="N16524" s="3">
        <v>0</v>
      </c>
      <c r="O16524" s="3" t="s">
        <v>10</v>
      </c>
      <c r="P16524" s="3" t="s">
        <v>9</v>
      </c>
      <c r="Q16524" s="3"/>
    </row>
    <row r="16525" spans="1:17" ht="15" x14ac:dyDescent="0.25">
      <c r="A16525" s="3">
        <f>16518</f>
        <v>16518</v>
      </c>
      <c r="B16525" s="3" t="s">
        <v>16527</v>
      </c>
      <c r="C16525" s="3" t="s">
        <v>10</v>
      </c>
      <c r="D16525" s="3" t="s">
        <v>9</v>
      </c>
      <c r="E16525" s="3">
        <v>22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>
        <v>0</v>
      </c>
      <c r="O16525" s="3" t="s">
        <v>10</v>
      </c>
      <c r="P16525" s="3" t="s">
        <v>9</v>
      </c>
      <c r="Q16525" s="3"/>
    </row>
    <row r="16526" spans="1:17" ht="15" x14ac:dyDescent="0.25">
      <c r="A16526" s="3">
        <f>16519</f>
        <v>16519</v>
      </c>
      <c r="B16526" s="3" t="s">
        <v>16528</v>
      </c>
      <c r="C16526" s="3" t="s">
        <v>10</v>
      </c>
      <c r="D16526" s="3" t="s">
        <v>9</v>
      </c>
      <c r="E16526" s="3">
        <v>22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s="3" t="s">
        <v>10</v>
      </c>
      <c r="P16526" s="3" t="s">
        <v>9</v>
      </c>
      <c r="Q16526" s="3"/>
    </row>
    <row r="16527" spans="1:17" ht="15" x14ac:dyDescent="0.25">
      <c r="A16527" s="3">
        <f>16520</f>
        <v>16520</v>
      </c>
      <c r="B16527" s="3" t="s">
        <v>16529</v>
      </c>
      <c r="C16527" s="3" t="s">
        <v>10</v>
      </c>
      <c r="D16527" s="3" t="s">
        <v>9</v>
      </c>
      <c r="E16527" s="3">
        <v>22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0</v>
      </c>
      <c r="O16527" s="3" t="s">
        <v>10</v>
      </c>
      <c r="P16527" s="3" t="s">
        <v>9</v>
      </c>
      <c r="Q16527" s="3"/>
    </row>
    <row r="16528" spans="1:17" ht="15" x14ac:dyDescent="0.25">
      <c r="A16528" s="3">
        <f>16521</f>
        <v>16521</v>
      </c>
      <c r="B16528" s="3" t="s">
        <v>16530</v>
      </c>
      <c r="C16528" s="3" t="s">
        <v>10</v>
      </c>
      <c r="D16528" s="3" t="s">
        <v>9</v>
      </c>
      <c r="E16528" s="3">
        <v>22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  <c r="O16528" s="3" t="s">
        <v>10</v>
      </c>
      <c r="P16528" s="3" t="s">
        <v>9</v>
      </c>
      <c r="Q16528" s="3"/>
    </row>
    <row r="16529" spans="1:17" ht="15" x14ac:dyDescent="0.25">
      <c r="A16529" s="3">
        <f>16522</f>
        <v>16522</v>
      </c>
      <c r="B16529" s="3" t="s">
        <v>16531</v>
      </c>
      <c r="C16529" s="3" t="s">
        <v>10</v>
      </c>
      <c r="D16529" s="3" t="s">
        <v>9</v>
      </c>
      <c r="E16529" s="3">
        <v>22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s="3" t="s">
        <v>10</v>
      </c>
      <c r="P16529" s="3" t="s">
        <v>9</v>
      </c>
      <c r="Q16529" s="3"/>
    </row>
    <row r="16530" spans="1:17" ht="15" x14ac:dyDescent="0.25">
      <c r="A16530" s="3">
        <f>16523</f>
        <v>16523</v>
      </c>
      <c r="B16530" s="3" t="s">
        <v>16532</v>
      </c>
      <c r="C16530" s="3" t="s">
        <v>10</v>
      </c>
      <c r="D16530" s="3" t="s">
        <v>9</v>
      </c>
      <c r="E16530" s="3">
        <v>22</v>
      </c>
      <c r="F16530" s="3">
        <v>0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3">
        <v>0</v>
      </c>
      <c r="N16530" s="3">
        <v>0</v>
      </c>
      <c r="O16530" s="3" t="s">
        <v>10</v>
      </c>
      <c r="P16530" s="3" t="s">
        <v>9</v>
      </c>
      <c r="Q16530" s="3"/>
    </row>
    <row r="16531" spans="1:17" ht="15" x14ac:dyDescent="0.25">
      <c r="A16531" s="3">
        <f>16524</f>
        <v>16524</v>
      </c>
      <c r="B16531" s="3" t="s">
        <v>16533</v>
      </c>
      <c r="C16531" s="3" t="s">
        <v>10</v>
      </c>
      <c r="D16531" s="3" t="s">
        <v>9</v>
      </c>
      <c r="E16531" s="3">
        <v>22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0</v>
      </c>
      <c r="O16531" s="3" t="s">
        <v>10</v>
      </c>
      <c r="P16531" s="3" t="s">
        <v>9</v>
      </c>
      <c r="Q16531" s="3"/>
    </row>
    <row r="16532" spans="1:17" ht="15" x14ac:dyDescent="0.25">
      <c r="A16532" s="3">
        <f>16525</f>
        <v>16525</v>
      </c>
      <c r="B16532" s="3" t="s">
        <v>16534</v>
      </c>
      <c r="C16532" s="3" t="s">
        <v>10</v>
      </c>
      <c r="D16532" s="3" t="s">
        <v>9</v>
      </c>
      <c r="E16532" s="3">
        <v>22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0</v>
      </c>
      <c r="O16532" s="3" t="s">
        <v>10</v>
      </c>
      <c r="P16532" s="3" t="s">
        <v>9</v>
      </c>
      <c r="Q16532" s="3"/>
    </row>
    <row r="16533" spans="1:17" ht="15" x14ac:dyDescent="0.25">
      <c r="A16533" s="3">
        <f>16526</f>
        <v>16526</v>
      </c>
      <c r="B16533" s="3" t="s">
        <v>16535</v>
      </c>
      <c r="C16533" s="3" t="s">
        <v>10</v>
      </c>
      <c r="D16533" s="3" t="s">
        <v>9</v>
      </c>
      <c r="E16533" s="3">
        <v>22</v>
      </c>
      <c r="F16533" s="3">
        <v>0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3">
        <v>0</v>
      </c>
      <c r="N16533" s="3">
        <v>0</v>
      </c>
      <c r="O16533" s="3" t="s">
        <v>10</v>
      </c>
      <c r="P16533" s="3" t="s">
        <v>9</v>
      </c>
      <c r="Q16533" s="3"/>
    </row>
    <row r="16534" spans="1:17" ht="15" x14ac:dyDescent="0.25">
      <c r="A16534" s="3">
        <f>16527</f>
        <v>16527</v>
      </c>
      <c r="B16534" s="3" t="s">
        <v>16536</v>
      </c>
      <c r="C16534" s="3" t="s">
        <v>10</v>
      </c>
      <c r="D16534" s="3" t="s">
        <v>9</v>
      </c>
      <c r="E16534" s="3">
        <v>22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0</v>
      </c>
      <c r="O16534" s="3" t="s">
        <v>10</v>
      </c>
      <c r="P16534" s="3" t="s">
        <v>9</v>
      </c>
      <c r="Q16534" s="3"/>
    </row>
    <row r="16535" spans="1:17" ht="15" x14ac:dyDescent="0.25">
      <c r="A16535" s="3">
        <f>16528</f>
        <v>16528</v>
      </c>
      <c r="B16535" s="3" t="s">
        <v>16537</v>
      </c>
      <c r="C16535" s="3" t="s">
        <v>10</v>
      </c>
      <c r="D16535" s="3" t="s">
        <v>9</v>
      </c>
      <c r="E16535" s="3">
        <v>22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3">
        <v>0</v>
      </c>
      <c r="N16535" s="3">
        <v>0</v>
      </c>
      <c r="O16535" s="3" t="s">
        <v>10</v>
      </c>
      <c r="P16535" s="3" t="s">
        <v>9</v>
      </c>
      <c r="Q16535" s="3"/>
    </row>
    <row r="16536" spans="1:17" ht="15" x14ac:dyDescent="0.25">
      <c r="A16536" s="3">
        <f>16529</f>
        <v>16529</v>
      </c>
      <c r="B16536" s="3" t="s">
        <v>16538</v>
      </c>
      <c r="C16536" s="3" t="s">
        <v>10</v>
      </c>
      <c r="D16536" s="3" t="s">
        <v>9</v>
      </c>
      <c r="E16536" s="3">
        <v>22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s="3" t="s">
        <v>10</v>
      </c>
      <c r="P16536" s="3" t="s">
        <v>9</v>
      </c>
      <c r="Q16536" s="3"/>
    </row>
    <row r="16537" spans="1:17" ht="15" x14ac:dyDescent="0.25">
      <c r="A16537" s="3">
        <f>16530</f>
        <v>16530</v>
      </c>
      <c r="B16537" s="3" t="s">
        <v>16539</v>
      </c>
      <c r="C16537" s="3" t="s">
        <v>10</v>
      </c>
      <c r="D16537" s="3" t="s">
        <v>9</v>
      </c>
      <c r="E16537" s="3">
        <v>22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3">
        <v>0</v>
      </c>
      <c r="N16537" s="3">
        <v>0</v>
      </c>
      <c r="O16537" s="3" t="s">
        <v>10</v>
      </c>
      <c r="P16537" s="3" t="s">
        <v>9</v>
      </c>
      <c r="Q16537" s="3"/>
    </row>
    <row r="16538" spans="1:17" ht="15" x14ac:dyDescent="0.25">
      <c r="A16538" s="3">
        <f>16531</f>
        <v>16531</v>
      </c>
      <c r="B16538" s="3" t="s">
        <v>16540</v>
      </c>
      <c r="C16538" s="3" t="s">
        <v>10</v>
      </c>
      <c r="D16538" s="3" t="s">
        <v>9</v>
      </c>
      <c r="E16538" s="3">
        <v>22</v>
      </c>
      <c r="F16538" s="3">
        <v>0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0</v>
      </c>
      <c r="M16538" s="3">
        <v>0</v>
      </c>
      <c r="N16538" s="3">
        <v>0</v>
      </c>
      <c r="O16538" s="3" t="s">
        <v>10</v>
      </c>
      <c r="P16538" s="3" t="s">
        <v>9</v>
      </c>
      <c r="Q16538" s="3"/>
    </row>
    <row r="16539" spans="1:17" ht="15" x14ac:dyDescent="0.25">
      <c r="A16539" s="3">
        <f>16532</f>
        <v>16532</v>
      </c>
      <c r="B16539" s="3" t="s">
        <v>16541</v>
      </c>
      <c r="C16539" s="3" t="s">
        <v>10</v>
      </c>
      <c r="D16539" s="3" t="s">
        <v>9</v>
      </c>
      <c r="E16539" s="3">
        <v>22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0</v>
      </c>
      <c r="O16539" s="3" t="s">
        <v>10</v>
      </c>
      <c r="P16539" s="3" t="s">
        <v>9</v>
      </c>
      <c r="Q16539" s="3"/>
    </row>
    <row r="16540" spans="1:17" ht="15" x14ac:dyDescent="0.25">
      <c r="A16540" s="3">
        <f>16533</f>
        <v>16533</v>
      </c>
      <c r="B16540" s="3" t="s">
        <v>16542</v>
      </c>
      <c r="C16540" s="3" t="s">
        <v>10</v>
      </c>
      <c r="D16540" s="3" t="s">
        <v>9</v>
      </c>
      <c r="E16540" s="3">
        <v>22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0</v>
      </c>
      <c r="O16540" s="3" t="s">
        <v>10</v>
      </c>
      <c r="P16540" s="3" t="s">
        <v>9</v>
      </c>
      <c r="Q16540" s="3"/>
    </row>
    <row r="16541" spans="1:17" ht="15" x14ac:dyDescent="0.25">
      <c r="A16541" s="3">
        <f>16534</f>
        <v>16534</v>
      </c>
      <c r="B16541" s="3" t="s">
        <v>16543</v>
      </c>
      <c r="C16541" s="3" t="s">
        <v>10</v>
      </c>
      <c r="D16541" s="3" t="s">
        <v>9</v>
      </c>
      <c r="E16541" s="3">
        <v>22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>
        <v>0</v>
      </c>
      <c r="O16541" s="3" t="s">
        <v>10</v>
      </c>
      <c r="P16541" s="3" t="s">
        <v>9</v>
      </c>
      <c r="Q16541" s="3"/>
    </row>
    <row r="16542" spans="1:17" ht="15" x14ac:dyDescent="0.25">
      <c r="A16542" s="3">
        <f>16535</f>
        <v>16535</v>
      </c>
      <c r="B16542" s="3" t="s">
        <v>16544</v>
      </c>
      <c r="C16542" s="3" t="s">
        <v>10</v>
      </c>
      <c r="D16542" s="3" t="s">
        <v>9</v>
      </c>
      <c r="E16542" s="3">
        <v>22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s="3" t="s">
        <v>10</v>
      </c>
      <c r="P16542" s="3" t="s">
        <v>9</v>
      </c>
      <c r="Q16542" s="3"/>
    </row>
    <row r="16543" spans="1:17" ht="15" x14ac:dyDescent="0.25">
      <c r="A16543" s="3">
        <f>16536</f>
        <v>16536</v>
      </c>
      <c r="B16543" s="3" t="s">
        <v>16545</v>
      </c>
      <c r="C16543" s="3" t="s">
        <v>10</v>
      </c>
      <c r="D16543" s="3" t="s">
        <v>9</v>
      </c>
      <c r="E16543" s="3">
        <v>22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  <c r="O16543" s="3" t="s">
        <v>10</v>
      </c>
      <c r="P16543" s="3" t="s">
        <v>9</v>
      </c>
      <c r="Q16543" s="3"/>
    </row>
    <row r="16544" spans="1:17" ht="15" x14ac:dyDescent="0.25">
      <c r="A16544" s="3">
        <f>16537</f>
        <v>16537</v>
      </c>
      <c r="B16544" s="3" t="s">
        <v>16546</v>
      </c>
      <c r="C16544" s="3" t="s">
        <v>10</v>
      </c>
      <c r="D16544" s="3" t="s">
        <v>9</v>
      </c>
      <c r="E16544" s="3">
        <v>22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 t="s">
        <v>10</v>
      </c>
      <c r="P16544" s="3" t="s">
        <v>9</v>
      </c>
      <c r="Q16544" s="3"/>
    </row>
    <row r="16545" spans="1:17" ht="15" x14ac:dyDescent="0.25">
      <c r="A16545" s="3">
        <f>16538</f>
        <v>16538</v>
      </c>
      <c r="B16545" s="3" t="s">
        <v>16547</v>
      </c>
      <c r="C16545" s="3" t="s">
        <v>10</v>
      </c>
      <c r="D16545" s="3" t="s">
        <v>9</v>
      </c>
      <c r="E16545" s="3">
        <v>22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3">
        <v>0</v>
      </c>
      <c r="N16545" s="3">
        <v>0</v>
      </c>
      <c r="O16545" s="3" t="s">
        <v>10</v>
      </c>
      <c r="P16545" s="3" t="s">
        <v>9</v>
      </c>
      <c r="Q16545" s="3"/>
    </row>
    <row r="16546" spans="1:17" ht="15" x14ac:dyDescent="0.25">
      <c r="A16546" s="3">
        <f>16539</f>
        <v>16539</v>
      </c>
      <c r="B16546" s="3" t="s">
        <v>16548</v>
      </c>
      <c r="C16546" s="3" t="s">
        <v>10</v>
      </c>
      <c r="D16546" s="3" t="s">
        <v>9</v>
      </c>
      <c r="E16546" s="3">
        <v>22</v>
      </c>
      <c r="F16546" s="3">
        <v>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3">
        <v>0</v>
      </c>
      <c r="N16546" s="3">
        <v>0</v>
      </c>
      <c r="O16546" s="3" t="s">
        <v>10</v>
      </c>
      <c r="P16546" s="3" t="s">
        <v>9</v>
      </c>
      <c r="Q16546" s="3"/>
    </row>
    <row r="16547" spans="1:17" ht="15" x14ac:dyDescent="0.25">
      <c r="A16547" s="3">
        <f>16540</f>
        <v>16540</v>
      </c>
      <c r="B16547" s="3" t="s">
        <v>16549</v>
      </c>
      <c r="C16547" s="3" t="s">
        <v>10</v>
      </c>
      <c r="D16547" s="3" t="s">
        <v>9</v>
      </c>
      <c r="E16547" s="3">
        <v>22</v>
      </c>
      <c r="F16547" s="3">
        <v>0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>
        <v>0</v>
      </c>
      <c r="O16547" s="3" t="s">
        <v>10</v>
      </c>
      <c r="P16547" s="3" t="s">
        <v>9</v>
      </c>
      <c r="Q16547" s="3"/>
    </row>
    <row r="16548" spans="1:17" ht="15" x14ac:dyDescent="0.25">
      <c r="A16548" s="3">
        <f>16541</f>
        <v>16541</v>
      </c>
      <c r="B16548" s="3" t="s">
        <v>16550</v>
      </c>
      <c r="C16548" s="3" t="s">
        <v>10</v>
      </c>
      <c r="D16548" s="3" t="s">
        <v>9</v>
      </c>
      <c r="E16548" s="3">
        <v>22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0</v>
      </c>
      <c r="O16548" s="3" t="s">
        <v>10</v>
      </c>
      <c r="P16548" s="3" t="s">
        <v>9</v>
      </c>
      <c r="Q16548" s="3"/>
    </row>
    <row r="16549" spans="1:17" ht="15" x14ac:dyDescent="0.25">
      <c r="A16549" s="3">
        <f>16542</f>
        <v>16542</v>
      </c>
      <c r="B16549" s="3" t="s">
        <v>16551</v>
      </c>
      <c r="C16549" s="3" t="s">
        <v>10</v>
      </c>
      <c r="D16549" s="3" t="s">
        <v>9</v>
      </c>
      <c r="E16549" s="3">
        <v>22</v>
      </c>
      <c r="F16549" s="3">
        <v>0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  <c r="O16549" s="3" t="s">
        <v>10</v>
      </c>
      <c r="P16549" s="3" t="s">
        <v>9</v>
      </c>
      <c r="Q16549" s="3"/>
    </row>
    <row r="16550" spans="1:17" ht="15" x14ac:dyDescent="0.25">
      <c r="A16550" s="3">
        <f>16543</f>
        <v>16543</v>
      </c>
      <c r="B16550" s="3" t="s">
        <v>16552</v>
      </c>
      <c r="C16550" s="3" t="s">
        <v>10</v>
      </c>
      <c r="D16550" s="3" t="s">
        <v>9</v>
      </c>
      <c r="E16550" s="3">
        <v>22</v>
      </c>
      <c r="F16550" s="3">
        <v>0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  <c r="O16550" s="3" t="s">
        <v>10</v>
      </c>
      <c r="P16550" s="3" t="s">
        <v>9</v>
      </c>
      <c r="Q16550" s="3"/>
    </row>
    <row r="16551" spans="1:17" ht="15" x14ac:dyDescent="0.25">
      <c r="A16551" s="3">
        <f>16544</f>
        <v>16544</v>
      </c>
      <c r="B16551" s="3" t="s">
        <v>16553</v>
      </c>
      <c r="C16551" s="3" t="s">
        <v>10</v>
      </c>
      <c r="D16551" s="3" t="s">
        <v>9</v>
      </c>
      <c r="E16551" s="3">
        <v>22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 t="s">
        <v>10</v>
      </c>
      <c r="P16551" s="3" t="s">
        <v>9</v>
      </c>
      <c r="Q16551" s="3"/>
    </row>
    <row r="16552" spans="1:17" ht="15" x14ac:dyDescent="0.25">
      <c r="A16552" s="3">
        <f>16545</f>
        <v>16545</v>
      </c>
      <c r="B16552" s="3" t="s">
        <v>16554</v>
      </c>
      <c r="C16552" s="3" t="s">
        <v>10</v>
      </c>
      <c r="D16552" s="3" t="s">
        <v>9</v>
      </c>
      <c r="E16552" s="3">
        <v>22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0</v>
      </c>
      <c r="O16552" s="3" t="s">
        <v>10</v>
      </c>
      <c r="P16552" s="3" t="s">
        <v>9</v>
      </c>
      <c r="Q16552" s="3"/>
    </row>
    <row r="16553" spans="1:17" ht="15" x14ac:dyDescent="0.25">
      <c r="A16553" s="3">
        <f>16546</f>
        <v>16546</v>
      </c>
      <c r="B16553" s="3" t="s">
        <v>16555</v>
      </c>
      <c r="C16553" s="3" t="s">
        <v>10</v>
      </c>
      <c r="D16553" s="3" t="s">
        <v>9</v>
      </c>
      <c r="E16553" s="3">
        <v>22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s="3" t="s">
        <v>10</v>
      </c>
      <c r="P16553" s="3" t="s">
        <v>9</v>
      </c>
      <c r="Q16553" s="3"/>
    </row>
    <row r="16554" spans="1:17" ht="15" x14ac:dyDescent="0.25">
      <c r="A16554" s="3">
        <f>16547</f>
        <v>16547</v>
      </c>
      <c r="B16554" s="3" t="s">
        <v>16556</v>
      </c>
      <c r="C16554" s="3" t="s">
        <v>10</v>
      </c>
      <c r="D16554" s="3" t="s">
        <v>9</v>
      </c>
      <c r="E16554" s="3">
        <v>22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s="3" t="s">
        <v>10</v>
      </c>
      <c r="P16554" s="3" t="s">
        <v>9</v>
      </c>
      <c r="Q16554" s="3"/>
    </row>
    <row r="16555" spans="1:17" ht="15" x14ac:dyDescent="0.25">
      <c r="A16555" s="3">
        <f>16548</f>
        <v>16548</v>
      </c>
      <c r="B16555" s="3" t="s">
        <v>16557</v>
      </c>
      <c r="C16555" s="3" t="s">
        <v>10</v>
      </c>
      <c r="D16555" s="3" t="s">
        <v>9</v>
      </c>
      <c r="E16555" s="3">
        <v>22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 t="s">
        <v>10</v>
      </c>
      <c r="P16555" s="3" t="s">
        <v>9</v>
      </c>
      <c r="Q16555" s="3"/>
    </row>
    <row r="16556" spans="1:17" ht="15" x14ac:dyDescent="0.25">
      <c r="A16556" s="3">
        <f>16549</f>
        <v>16549</v>
      </c>
      <c r="B16556" s="3" t="s">
        <v>16558</v>
      </c>
      <c r="C16556" s="3" t="s">
        <v>10</v>
      </c>
      <c r="D16556" s="3" t="s">
        <v>9</v>
      </c>
      <c r="E16556" s="3">
        <v>22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s="3" t="s">
        <v>10</v>
      </c>
      <c r="P16556" s="3" t="s">
        <v>9</v>
      </c>
      <c r="Q16556" s="3"/>
    </row>
    <row r="16557" spans="1:17" ht="15" x14ac:dyDescent="0.25">
      <c r="A16557" s="3">
        <f>16550</f>
        <v>16550</v>
      </c>
      <c r="B16557" s="3" t="s">
        <v>16559</v>
      </c>
      <c r="C16557" s="3" t="s">
        <v>10</v>
      </c>
      <c r="D16557" s="3" t="s">
        <v>9</v>
      </c>
      <c r="E16557" s="3">
        <v>22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 t="s">
        <v>10</v>
      </c>
      <c r="P16557" s="3" t="s">
        <v>9</v>
      </c>
      <c r="Q16557" s="3"/>
    </row>
    <row r="16558" spans="1:17" ht="15" x14ac:dyDescent="0.25">
      <c r="A16558" s="3">
        <f>16551</f>
        <v>16551</v>
      </c>
      <c r="B16558" s="3" t="s">
        <v>16560</v>
      </c>
      <c r="C16558" s="3" t="s">
        <v>10</v>
      </c>
      <c r="D16558" s="3" t="s">
        <v>9</v>
      </c>
      <c r="E16558" s="3">
        <v>22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0</v>
      </c>
      <c r="O16558" s="3" t="s">
        <v>10</v>
      </c>
      <c r="P16558" s="3" t="s">
        <v>9</v>
      </c>
      <c r="Q16558" s="3"/>
    </row>
    <row r="16559" spans="1:17" ht="15" x14ac:dyDescent="0.25">
      <c r="A16559" s="3">
        <f>16552</f>
        <v>16552</v>
      </c>
      <c r="B16559" s="3" t="s">
        <v>16561</v>
      </c>
      <c r="C16559" s="3" t="s">
        <v>10</v>
      </c>
      <c r="D16559" s="3" t="s">
        <v>9</v>
      </c>
      <c r="E16559" s="3">
        <v>22</v>
      </c>
      <c r="F16559" s="3">
        <v>0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>
        <v>0</v>
      </c>
      <c r="O16559" s="3" t="s">
        <v>10</v>
      </c>
      <c r="P16559" s="3" t="s">
        <v>9</v>
      </c>
      <c r="Q16559" s="3"/>
    </row>
    <row r="16560" spans="1:17" ht="15" x14ac:dyDescent="0.25">
      <c r="A16560" s="3">
        <f>16553</f>
        <v>16553</v>
      </c>
      <c r="B16560" s="3" t="s">
        <v>16562</v>
      </c>
      <c r="C16560" s="3" t="s">
        <v>10</v>
      </c>
      <c r="D16560" s="3" t="s">
        <v>9</v>
      </c>
      <c r="E16560" s="3">
        <v>22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s="3" t="s">
        <v>10</v>
      </c>
      <c r="P16560" s="3" t="s">
        <v>9</v>
      </c>
      <c r="Q16560" s="3"/>
    </row>
    <row r="16561" spans="1:17" ht="15" x14ac:dyDescent="0.25">
      <c r="A16561" s="3">
        <f>16554</f>
        <v>16554</v>
      </c>
      <c r="B16561" s="3" t="s">
        <v>16563</v>
      </c>
      <c r="C16561" s="3" t="s">
        <v>10</v>
      </c>
      <c r="D16561" s="3" t="s">
        <v>9</v>
      </c>
      <c r="E16561" s="3">
        <v>22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 t="s">
        <v>10</v>
      </c>
      <c r="P16561" s="3" t="s">
        <v>9</v>
      </c>
      <c r="Q16561" s="3"/>
    </row>
    <row r="16562" spans="1:17" ht="15" x14ac:dyDescent="0.25">
      <c r="A16562" s="3">
        <f>16555</f>
        <v>16555</v>
      </c>
      <c r="B16562" s="3" t="s">
        <v>16564</v>
      </c>
      <c r="C16562" s="3" t="s">
        <v>10</v>
      </c>
      <c r="D16562" s="3" t="s">
        <v>9</v>
      </c>
      <c r="E16562" s="3">
        <v>22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s="3" t="s">
        <v>10</v>
      </c>
      <c r="P16562" s="3" t="s">
        <v>9</v>
      </c>
      <c r="Q16562" s="3"/>
    </row>
    <row r="16563" spans="1:17" ht="15" x14ac:dyDescent="0.25">
      <c r="A16563" s="3">
        <f>16556</f>
        <v>16556</v>
      </c>
      <c r="B16563" s="3" t="s">
        <v>16565</v>
      </c>
      <c r="C16563" s="3" t="s">
        <v>10</v>
      </c>
      <c r="D16563" s="3" t="s">
        <v>9</v>
      </c>
      <c r="E16563" s="3">
        <v>22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s="3" t="s">
        <v>10</v>
      </c>
      <c r="P16563" s="3" t="s">
        <v>9</v>
      </c>
      <c r="Q16563" s="3"/>
    </row>
    <row r="16564" spans="1:17" ht="15" x14ac:dyDescent="0.25">
      <c r="A16564" s="3">
        <f>16557</f>
        <v>16557</v>
      </c>
      <c r="B16564" s="3" t="s">
        <v>16566</v>
      </c>
      <c r="C16564" s="3" t="s">
        <v>10</v>
      </c>
      <c r="D16564" s="3" t="s">
        <v>9</v>
      </c>
      <c r="E16564" s="3">
        <v>22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s="3" t="s">
        <v>10</v>
      </c>
      <c r="P16564" s="3" t="s">
        <v>9</v>
      </c>
      <c r="Q16564" s="3"/>
    </row>
    <row r="16565" spans="1:17" ht="15" x14ac:dyDescent="0.25">
      <c r="A16565" s="3">
        <f>16558</f>
        <v>16558</v>
      </c>
      <c r="B16565" s="3" t="s">
        <v>16567</v>
      </c>
      <c r="C16565" s="3" t="s">
        <v>10</v>
      </c>
      <c r="D16565" s="3" t="s">
        <v>9</v>
      </c>
      <c r="E16565" s="3">
        <v>22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s="3" t="s">
        <v>10</v>
      </c>
      <c r="P16565" s="3" t="s">
        <v>9</v>
      </c>
      <c r="Q16565" s="3"/>
    </row>
    <row r="16566" spans="1:17" ht="15" x14ac:dyDescent="0.25">
      <c r="A16566" s="3">
        <f>16559</f>
        <v>16559</v>
      </c>
      <c r="B16566" s="3" t="s">
        <v>16568</v>
      </c>
      <c r="C16566" s="3" t="s">
        <v>10</v>
      </c>
      <c r="D16566" s="3" t="s">
        <v>9</v>
      </c>
      <c r="E16566" s="3">
        <v>22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>
        <v>0</v>
      </c>
      <c r="O16566" s="3" t="s">
        <v>10</v>
      </c>
      <c r="P16566" s="3" t="s">
        <v>9</v>
      </c>
      <c r="Q16566" s="3"/>
    </row>
    <row r="16567" spans="1:17" ht="15" x14ac:dyDescent="0.25">
      <c r="A16567" s="3">
        <f>16560</f>
        <v>16560</v>
      </c>
      <c r="B16567" s="3" t="s">
        <v>16569</v>
      </c>
      <c r="C16567" s="3" t="s">
        <v>10</v>
      </c>
      <c r="D16567" s="3" t="s">
        <v>9</v>
      </c>
      <c r="E16567" s="3">
        <v>22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s="3" t="s">
        <v>10</v>
      </c>
      <c r="P16567" s="3" t="s">
        <v>9</v>
      </c>
      <c r="Q16567" s="3"/>
    </row>
    <row r="16568" spans="1:17" ht="15" x14ac:dyDescent="0.25">
      <c r="A16568" s="3">
        <f>16561</f>
        <v>16561</v>
      </c>
      <c r="B16568" s="3" t="s">
        <v>16570</v>
      </c>
      <c r="C16568" s="3" t="s">
        <v>10</v>
      </c>
      <c r="D16568" s="3" t="s">
        <v>9</v>
      </c>
      <c r="E16568" s="3">
        <v>22</v>
      </c>
      <c r="F16568" s="3">
        <v>0</v>
      </c>
      <c r="G16568" s="3">
        <v>0</v>
      </c>
      <c r="H16568" s="3">
        <v>0</v>
      </c>
      <c r="I16568" s="3">
        <v>0</v>
      </c>
      <c r="J16568" s="3">
        <v>0</v>
      </c>
      <c r="K16568" s="3">
        <v>0</v>
      </c>
      <c r="L16568" s="3">
        <v>0</v>
      </c>
      <c r="M16568" s="3">
        <v>0</v>
      </c>
      <c r="N16568" s="3">
        <v>0</v>
      </c>
      <c r="O16568" s="3" t="s">
        <v>10</v>
      </c>
      <c r="P16568" s="3" t="s">
        <v>9</v>
      </c>
      <c r="Q16568" s="3"/>
    </row>
    <row r="16569" spans="1:17" ht="15" x14ac:dyDescent="0.25">
      <c r="A16569" s="3">
        <f>16562</f>
        <v>16562</v>
      </c>
      <c r="B16569" s="3" t="s">
        <v>16571</v>
      </c>
      <c r="C16569" s="3" t="s">
        <v>10</v>
      </c>
      <c r="D16569" s="3" t="s">
        <v>9</v>
      </c>
      <c r="E16569" s="3">
        <v>22</v>
      </c>
      <c r="F16569" s="3">
        <v>0</v>
      </c>
      <c r="G16569" s="3">
        <v>0</v>
      </c>
      <c r="H16569" s="3">
        <v>0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0</v>
      </c>
      <c r="O16569" s="3" t="s">
        <v>10</v>
      </c>
      <c r="P16569" s="3" t="s">
        <v>9</v>
      </c>
      <c r="Q16569" s="3"/>
    </row>
    <row r="16570" spans="1:17" ht="15" x14ac:dyDescent="0.25">
      <c r="A16570" s="3">
        <f>16563</f>
        <v>16563</v>
      </c>
      <c r="B16570" s="3" t="s">
        <v>16572</v>
      </c>
      <c r="C16570" s="3" t="s">
        <v>10</v>
      </c>
      <c r="D16570" s="3" t="s">
        <v>9</v>
      </c>
      <c r="E16570" s="3">
        <v>22</v>
      </c>
      <c r="F16570" s="3">
        <v>0</v>
      </c>
      <c r="G16570" s="3">
        <v>0</v>
      </c>
      <c r="H16570" s="3">
        <v>0</v>
      </c>
      <c r="I16570" s="3">
        <v>0</v>
      </c>
      <c r="J16570" s="3">
        <v>0</v>
      </c>
      <c r="K16570" s="3">
        <v>0</v>
      </c>
      <c r="L16570" s="3">
        <v>0</v>
      </c>
      <c r="M16570" s="3">
        <v>0</v>
      </c>
      <c r="N16570" s="3">
        <v>0</v>
      </c>
      <c r="O16570" s="3" t="s">
        <v>10</v>
      </c>
      <c r="P16570" s="3" t="s">
        <v>9</v>
      </c>
      <c r="Q16570" s="3"/>
    </row>
    <row r="16571" spans="1:17" ht="15" x14ac:dyDescent="0.25">
      <c r="A16571" s="3">
        <f>16564</f>
        <v>16564</v>
      </c>
      <c r="B16571" s="3" t="s">
        <v>16573</v>
      </c>
      <c r="C16571" s="3" t="s">
        <v>10</v>
      </c>
      <c r="D16571" s="3" t="s">
        <v>9</v>
      </c>
      <c r="E16571" s="3">
        <v>22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  <c r="O16571" s="3" t="s">
        <v>10</v>
      </c>
      <c r="P16571" s="3" t="s">
        <v>9</v>
      </c>
      <c r="Q16571" s="3"/>
    </row>
    <row r="16572" spans="1:17" ht="15" x14ac:dyDescent="0.25">
      <c r="A16572" s="3">
        <f>16565</f>
        <v>16565</v>
      </c>
      <c r="B16572" s="3" t="s">
        <v>16574</v>
      </c>
      <c r="C16572" s="3" t="s">
        <v>10</v>
      </c>
      <c r="D16572" s="3" t="s">
        <v>9</v>
      </c>
      <c r="E16572" s="3">
        <v>22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0</v>
      </c>
      <c r="O16572" s="3" t="s">
        <v>10</v>
      </c>
      <c r="P16572" s="3" t="s">
        <v>9</v>
      </c>
      <c r="Q16572" s="3"/>
    </row>
    <row r="16573" spans="1:17" ht="15" x14ac:dyDescent="0.25">
      <c r="A16573" s="3">
        <f>16566</f>
        <v>16566</v>
      </c>
      <c r="B16573" s="3" t="s">
        <v>16575</v>
      </c>
      <c r="C16573" s="3" t="s">
        <v>10</v>
      </c>
      <c r="D16573" s="3" t="s">
        <v>9</v>
      </c>
      <c r="E16573" s="3">
        <v>22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0</v>
      </c>
      <c r="O16573" s="3" t="s">
        <v>10</v>
      </c>
      <c r="P16573" s="3" t="s">
        <v>9</v>
      </c>
      <c r="Q16573" s="3"/>
    </row>
    <row r="16574" spans="1:17" ht="15" x14ac:dyDescent="0.25">
      <c r="A16574" s="3">
        <f>16567</f>
        <v>16567</v>
      </c>
      <c r="B16574" s="3" t="s">
        <v>16576</v>
      </c>
      <c r="C16574" s="3" t="s">
        <v>10</v>
      </c>
      <c r="D16574" s="3" t="s">
        <v>9</v>
      </c>
      <c r="E16574" s="3">
        <v>22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0</v>
      </c>
      <c r="O16574" s="3" t="s">
        <v>10</v>
      </c>
      <c r="P16574" s="3" t="s">
        <v>9</v>
      </c>
      <c r="Q16574" s="3"/>
    </row>
    <row r="16575" spans="1:17" ht="15" x14ac:dyDescent="0.25">
      <c r="A16575" s="3">
        <f>16568</f>
        <v>16568</v>
      </c>
      <c r="B16575" s="3" t="s">
        <v>16577</v>
      </c>
      <c r="C16575" s="3" t="s">
        <v>10</v>
      </c>
      <c r="D16575" s="3" t="s">
        <v>9</v>
      </c>
      <c r="E16575" s="3">
        <v>22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0</v>
      </c>
      <c r="O16575" s="3" t="s">
        <v>10</v>
      </c>
      <c r="P16575" s="3" t="s">
        <v>9</v>
      </c>
      <c r="Q16575" s="3"/>
    </row>
    <row r="16576" spans="1:17" ht="15" x14ac:dyDescent="0.25">
      <c r="A16576" s="3">
        <f>16569</f>
        <v>16569</v>
      </c>
      <c r="B16576" s="3" t="s">
        <v>16578</v>
      </c>
      <c r="C16576" s="3" t="s">
        <v>10</v>
      </c>
      <c r="D16576" s="3" t="s">
        <v>9</v>
      </c>
      <c r="E16576" s="3">
        <v>22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s="3" t="s">
        <v>10</v>
      </c>
      <c r="P16576" s="3" t="s">
        <v>9</v>
      </c>
      <c r="Q16576" s="3"/>
    </row>
    <row r="16577" spans="1:17" ht="15" x14ac:dyDescent="0.25">
      <c r="A16577" s="3">
        <f>16570</f>
        <v>16570</v>
      </c>
      <c r="B16577" s="3" t="s">
        <v>16579</v>
      </c>
      <c r="C16577" s="3" t="s">
        <v>10</v>
      </c>
      <c r="D16577" s="3" t="s">
        <v>9</v>
      </c>
      <c r="E16577" s="3">
        <v>22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s="3" t="s">
        <v>10</v>
      </c>
      <c r="P16577" s="3" t="s">
        <v>9</v>
      </c>
      <c r="Q16577" s="3"/>
    </row>
    <row r="16578" spans="1:17" ht="15" x14ac:dyDescent="0.25">
      <c r="A16578" s="3">
        <f>16571</f>
        <v>16571</v>
      </c>
      <c r="B16578" s="3" t="s">
        <v>16580</v>
      </c>
      <c r="C16578" s="3" t="s">
        <v>10</v>
      </c>
      <c r="D16578" s="3" t="s">
        <v>9</v>
      </c>
      <c r="E16578" s="3">
        <v>22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s="3" t="s">
        <v>10</v>
      </c>
      <c r="P16578" s="3" t="s">
        <v>9</v>
      </c>
      <c r="Q16578" s="3"/>
    </row>
    <row r="16579" spans="1:17" ht="15" x14ac:dyDescent="0.25">
      <c r="A16579" s="3">
        <f>16572</f>
        <v>16572</v>
      </c>
      <c r="B16579" s="3" t="s">
        <v>16581</v>
      </c>
      <c r="C16579" s="3" t="s">
        <v>10</v>
      </c>
      <c r="D16579" s="3" t="s">
        <v>9</v>
      </c>
      <c r="E16579" s="3">
        <v>22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0</v>
      </c>
      <c r="O16579" s="3" t="s">
        <v>10</v>
      </c>
      <c r="P16579" s="3" t="s">
        <v>9</v>
      </c>
      <c r="Q16579" s="3"/>
    </row>
    <row r="16580" spans="1:17" ht="15" x14ac:dyDescent="0.25">
      <c r="A16580" s="3">
        <f>16573</f>
        <v>16573</v>
      </c>
      <c r="B16580" s="3" t="s">
        <v>16582</v>
      </c>
      <c r="C16580" s="3" t="s">
        <v>10</v>
      </c>
      <c r="D16580" s="3" t="s">
        <v>9</v>
      </c>
      <c r="E16580" s="3">
        <v>22</v>
      </c>
      <c r="F16580" s="3">
        <v>0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s="3" t="s">
        <v>10</v>
      </c>
      <c r="P16580" s="3" t="s">
        <v>9</v>
      </c>
      <c r="Q16580" s="3"/>
    </row>
    <row r="16581" spans="1:17" ht="15" x14ac:dyDescent="0.25">
      <c r="A16581" s="3">
        <f>16574</f>
        <v>16574</v>
      </c>
      <c r="B16581" s="3" t="s">
        <v>16583</v>
      </c>
      <c r="C16581" s="3" t="s">
        <v>10</v>
      </c>
      <c r="D16581" s="3" t="s">
        <v>9</v>
      </c>
      <c r="E16581" s="3">
        <v>22</v>
      </c>
      <c r="F16581" s="3">
        <v>0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>
        <v>0</v>
      </c>
      <c r="O16581" s="3" t="s">
        <v>10</v>
      </c>
      <c r="P16581" s="3" t="s">
        <v>9</v>
      </c>
      <c r="Q16581" s="3"/>
    </row>
    <row r="16582" spans="1:17" ht="15" x14ac:dyDescent="0.25">
      <c r="A16582" s="3">
        <f>16575</f>
        <v>16575</v>
      </c>
      <c r="B16582" s="3" t="s">
        <v>16584</v>
      </c>
      <c r="C16582" s="3" t="s">
        <v>10</v>
      </c>
      <c r="D16582" s="3" t="s">
        <v>9</v>
      </c>
      <c r="E16582" s="3">
        <v>22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>
        <v>0</v>
      </c>
      <c r="O16582" s="3" t="s">
        <v>10</v>
      </c>
      <c r="P16582" s="3" t="s">
        <v>9</v>
      </c>
      <c r="Q16582" s="3"/>
    </row>
    <row r="16583" spans="1:17" ht="15" x14ac:dyDescent="0.25">
      <c r="A16583" s="3">
        <f>16576</f>
        <v>16576</v>
      </c>
      <c r="B16583" s="3" t="s">
        <v>16585</v>
      </c>
      <c r="C16583" s="3" t="s">
        <v>10</v>
      </c>
      <c r="D16583" s="3" t="s">
        <v>9</v>
      </c>
      <c r="E16583" s="3">
        <v>22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>
        <v>0</v>
      </c>
      <c r="O16583" s="3" t="s">
        <v>10</v>
      </c>
      <c r="P16583" s="3" t="s">
        <v>9</v>
      </c>
      <c r="Q16583" s="3"/>
    </row>
    <row r="16584" spans="1:17" ht="15" x14ac:dyDescent="0.25">
      <c r="A16584" s="3">
        <f>16577</f>
        <v>16577</v>
      </c>
      <c r="B16584" s="3" t="s">
        <v>16586</v>
      </c>
      <c r="C16584" s="3" t="s">
        <v>10</v>
      </c>
      <c r="D16584" s="3" t="s">
        <v>9</v>
      </c>
      <c r="E16584" s="3">
        <v>22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3">
        <v>0</v>
      </c>
      <c r="N16584" s="3">
        <v>0</v>
      </c>
      <c r="O16584" s="3" t="s">
        <v>10</v>
      </c>
      <c r="P16584" s="3" t="s">
        <v>9</v>
      </c>
      <c r="Q16584" s="3"/>
    </row>
    <row r="16585" spans="1:17" ht="15" x14ac:dyDescent="0.25">
      <c r="A16585" s="3">
        <f>16578</f>
        <v>16578</v>
      </c>
      <c r="B16585" s="3" t="s">
        <v>16587</v>
      </c>
      <c r="C16585" s="3" t="s">
        <v>10</v>
      </c>
      <c r="D16585" s="3" t="s">
        <v>9</v>
      </c>
      <c r="E16585" s="3">
        <v>22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3">
        <v>0</v>
      </c>
      <c r="N16585" s="3">
        <v>0</v>
      </c>
      <c r="O16585" s="3" t="s">
        <v>10</v>
      </c>
      <c r="P16585" s="3" t="s">
        <v>9</v>
      </c>
      <c r="Q16585" s="3"/>
    </row>
    <row r="16586" spans="1:17" ht="15" x14ac:dyDescent="0.25">
      <c r="A16586" s="3">
        <f>16579</f>
        <v>16579</v>
      </c>
      <c r="B16586" s="3" t="s">
        <v>16588</v>
      </c>
      <c r="C16586" s="3" t="s">
        <v>10</v>
      </c>
      <c r="D16586" s="3" t="s">
        <v>9</v>
      </c>
      <c r="E16586" s="3">
        <v>22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  <c r="L16586" s="3">
        <v>0</v>
      </c>
      <c r="M16586" s="3">
        <v>0</v>
      </c>
      <c r="N16586" s="3">
        <v>0</v>
      </c>
      <c r="O16586" s="3" t="s">
        <v>10</v>
      </c>
      <c r="P16586" s="3" t="s">
        <v>9</v>
      </c>
      <c r="Q16586" s="3"/>
    </row>
    <row r="16587" spans="1:17" ht="15" x14ac:dyDescent="0.25">
      <c r="A16587" s="3">
        <f>16580</f>
        <v>16580</v>
      </c>
      <c r="B16587" s="3" t="s">
        <v>16589</v>
      </c>
      <c r="C16587" s="3" t="s">
        <v>10</v>
      </c>
      <c r="D16587" s="3" t="s">
        <v>9</v>
      </c>
      <c r="E16587" s="3">
        <v>22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>
        <v>0</v>
      </c>
      <c r="O16587" s="3" t="s">
        <v>10</v>
      </c>
      <c r="P16587" s="3" t="s">
        <v>9</v>
      </c>
      <c r="Q16587" s="3"/>
    </row>
    <row r="16588" spans="1:17" ht="15" x14ac:dyDescent="0.25">
      <c r="A16588" s="3">
        <f>16581</f>
        <v>16581</v>
      </c>
      <c r="B16588" s="3" t="s">
        <v>16590</v>
      </c>
      <c r="C16588" s="3" t="s">
        <v>10</v>
      </c>
      <c r="D16588" s="3" t="s">
        <v>9</v>
      </c>
      <c r="E16588" s="3">
        <v>22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0</v>
      </c>
      <c r="O16588" s="3" t="s">
        <v>10</v>
      </c>
      <c r="P16588" s="3" t="s">
        <v>9</v>
      </c>
      <c r="Q16588" s="3"/>
    </row>
    <row r="16589" spans="1:17" ht="15" x14ac:dyDescent="0.25">
      <c r="A16589" s="3">
        <f>16582</f>
        <v>16582</v>
      </c>
      <c r="B16589" s="3" t="s">
        <v>16591</v>
      </c>
      <c r="C16589" s="3" t="s">
        <v>10</v>
      </c>
      <c r="D16589" s="3" t="s">
        <v>9</v>
      </c>
      <c r="E16589" s="3">
        <v>22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s="3" t="s">
        <v>10</v>
      </c>
      <c r="P16589" s="3" t="s">
        <v>9</v>
      </c>
      <c r="Q16589" s="3"/>
    </row>
    <row r="16590" spans="1:17" ht="15" x14ac:dyDescent="0.25">
      <c r="A16590" s="3">
        <f>16583</f>
        <v>16583</v>
      </c>
      <c r="B16590" s="3" t="s">
        <v>16592</v>
      </c>
      <c r="C16590" s="3" t="s">
        <v>10</v>
      </c>
      <c r="D16590" s="3" t="s">
        <v>9</v>
      </c>
      <c r="E16590" s="3">
        <v>22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>
        <v>0</v>
      </c>
      <c r="O16590" s="3" t="s">
        <v>10</v>
      </c>
      <c r="P16590" s="3" t="s">
        <v>9</v>
      </c>
      <c r="Q16590" s="3"/>
    </row>
    <row r="16591" spans="1:17" ht="15" x14ac:dyDescent="0.25">
      <c r="A16591" s="3">
        <f>16584</f>
        <v>16584</v>
      </c>
      <c r="B16591" s="3" t="s">
        <v>16593</v>
      </c>
      <c r="C16591" s="3" t="s">
        <v>10</v>
      </c>
      <c r="D16591" s="3" t="s">
        <v>9</v>
      </c>
      <c r="E16591" s="3">
        <v>22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  <c r="O16591" s="3" t="s">
        <v>10</v>
      </c>
      <c r="P16591" s="3" t="s">
        <v>9</v>
      </c>
      <c r="Q16591" s="3"/>
    </row>
    <row r="16592" spans="1:17" ht="15" x14ac:dyDescent="0.25">
      <c r="A16592" s="3">
        <f>16585</f>
        <v>16585</v>
      </c>
      <c r="B16592" s="3" t="s">
        <v>16594</v>
      </c>
      <c r="C16592" s="3" t="s">
        <v>10</v>
      </c>
      <c r="D16592" s="3" t="s">
        <v>9</v>
      </c>
      <c r="E16592" s="3">
        <v>22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s="3" t="s">
        <v>10</v>
      </c>
      <c r="P16592" s="3" t="s">
        <v>9</v>
      </c>
      <c r="Q16592" s="3"/>
    </row>
    <row r="16593" spans="1:17" ht="15" x14ac:dyDescent="0.25">
      <c r="A16593" s="3">
        <f>16586</f>
        <v>16586</v>
      </c>
      <c r="B16593" s="3" t="s">
        <v>16595</v>
      </c>
      <c r="C16593" s="3" t="s">
        <v>10</v>
      </c>
      <c r="D16593" s="3" t="s">
        <v>9</v>
      </c>
      <c r="E16593" s="3">
        <v>22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>
        <v>0</v>
      </c>
      <c r="O16593" s="3" t="s">
        <v>10</v>
      </c>
      <c r="P16593" s="3" t="s">
        <v>9</v>
      </c>
      <c r="Q16593" s="3"/>
    </row>
    <row r="16594" spans="1:17" ht="15" x14ac:dyDescent="0.25">
      <c r="A16594" s="3">
        <f>16587</f>
        <v>16587</v>
      </c>
      <c r="B16594" s="3" t="s">
        <v>16596</v>
      </c>
      <c r="C16594" s="3" t="s">
        <v>10</v>
      </c>
      <c r="D16594" s="3" t="s">
        <v>9</v>
      </c>
      <c r="E16594" s="3">
        <v>22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0</v>
      </c>
      <c r="O16594" s="3" t="s">
        <v>10</v>
      </c>
      <c r="P16594" s="3" t="s">
        <v>9</v>
      </c>
      <c r="Q16594" s="3"/>
    </row>
    <row r="16595" spans="1:17" ht="15" x14ac:dyDescent="0.25">
      <c r="A16595" s="3">
        <f>16588</f>
        <v>16588</v>
      </c>
      <c r="B16595" s="3" t="s">
        <v>16597</v>
      </c>
      <c r="C16595" s="3" t="s">
        <v>10</v>
      </c>
      <c r="D16595" s="3" t="s">
        <v>9</v>
      </c>
      <c r="E16595" s="3">
        <v>22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s="3" t="s">
        <v>10</v>
      </c>
      <c r="P16595" s="3" t="s">
        <v>9</v>
      </c>
      <c r="Q16595" s="3"/>
    </row>
    <row r="16596" spans="1:17" ht="15" x14ac:dyDescent="0.25">
      <c r="A16596" s="3">
        <f>16589</f>
        <v>16589</v>
      </c>
      <c r="B16596" s="3" t="s">
        <v>16598</v>
      </c>
      <c r="C16596" s="3" t="s">
        <v>10</v>
      </c>
      <c r="D16596" s="3" t="s">
        <v>9</v>
      </c>
      <c r="E16596" s="3">
        <v>22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s="3" t="s">
        <v>10</v>
      </c>
      <c r="P16596" s="3" t="s">
        <v>9</v>
      </c>
      <c r="Q16596" s="3"/>
    </row>
    <row r="16597" spans="1:17" ht="15" x14ac:dyDescent="0.25">
      <c r="A16597" s="3">
        <f>16590</f>
        <v>16590</v>
      </c>
      <c r="B16597" s="3" t="s">
        <v>16599</v>
      </c>
      <c r="C16597" s="3" t="s">
        <v>10</v>
      </c>
      <c r="D16597" s="3" t="s">
        <v>9</v>
      </c>
      <c r="E16597" s="3">
        <v>22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0</v>
      </c>
      <c r="O16597" s="3" t="s">
        <v>10</v>
      </c>
      <c r="P16597" s="3" t="s">
        <v>9</v>
      </c>
      <c r="Q16597" s="3"/>
    </row>
    <row r="16598" spans="1:17" ht="15" x14ac:dyDescent="0.25">
      <c r="A16598" s="3">
        <f>16591</f>
        <v>16591</v>
      </c>
      <c r="B16598" s="3" t="s">
        <v>16600</v>
      </c>
      <c r="C16598" s="3" t="s">
        <v>10</v>
      </c>
      <c r="D16598" s="3" t="s">
        <v>9</v>
      </c>
      <c r="E16598" s="3">
        <v>22</v>
      </c>
      <c r="F16598" s="3">
        <v>0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>
        <v>0</v>
      </c>
      <c r="O16598" s="3" t="s">
        <v>10</v>
      </c>
      <c r="P16598" s="3" t="s">
        <v>9</v>
      </c>
      <c r="Q16598" s="3"/>
    </row>
    <row r="16599" spans="1:17" ht="15" x14ac:dyDescent="0.25">
      <c r="A16599" s="3">
        <f>16592</f>
        <v>16592</v>
      </c>
      <c r="B16599" s="3" t="s">
        <v>16601</v>
      </c>
      <c r="C16599" s="3" t="s">
        <v>10</v>
      </c>
      <c r="D16599" s="3" t="s">
        <v>9</v>
      </c>
      <c r="E16599" s="3">
        <v>22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>
        <v>0</v>
      </c>
      <c r="O16599" s="3" t="s">
        <v>10</v>
      </c>
      <c r="P16599" s="3" t="s">
        <v>9</v>
      </c>
      <c r="Q16599" s="3"/>
    </row>
    <row r="16600" spans="1:17" ht="15" x14ac:dyDescent="0.25">
      <c r="A16600" s="3">
        <f>16593</f>
        <v>16593</v>
      </c>
      <c r="B16600" s="3" t="s">
        <v>16602</v>
      </c>
      <c r="C16600" s="3" t="s">
        <v>10</v>
      </c>
      <c r="D16600" s="3" t="s">
        <v>9</v>
      </c>
      <c r="E16600" s="3">
        <v>22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>
        <v>0</v>
      </c>
      <c r="O16600" s="3" t="s">
        <v>10</v>
      </c>
      <c r="P16600" s="3" t="s">
        <v>9</v>
      </c>
      <c r="Q16600" s="3"/>
    </row>
    <row r="16601" spans="1:17" ht="15" x14ac:dyDescent="0.25">
      <c r="A16601" s="3">
        <f>16594</f>
        <v>16594</v>
      </c>
      <c r="B16601" s="3" t="s">
        <v>16603</v>
      </c>
      <c r="C16601" s="3" t="s">
        <v>10</v>
      </c>
      <c r="D16601" s="3" t="s">
        <v>9</v>
      </c>
      <c r="E16601" s="3">
        <v>22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s="3" t="s">
        <v>10</v>
      </c>
      <c r="P16601" s="3" t="s">
        <v>9</v>
      </c>
      <c r="Q16601" s="3"/>
    </row>
    <row r="16602" spans="1:17" ht="15" x14ac:dyDescent="0.25">
      <c r="A16602" s="3">
        <f>16595</f>
        <v>16595</v>
      </c>
      <c r="B16602" s="3" t="s">
        <v>16604</v>
      </c>
      <c r="C16602" s="3" t="s">
        <v>10</v>
      </c>
      <c r="D16602" s="3" t="s">
        <v>9</v>
      </c>
      <c r="E16602" s="3">
        <v>22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0</v>
      </c>
      <c r="O16602" s="3" t="s">
        <v>10</v>
      </c>
      <c r="P16602" s="3" t="s">
        <v>9</v>
      </c>
      <c r="Q16602" s="3"/>
    </row>
    <row r="16603" spans="1:17" ht="15" x14ac:dyDescent="0.25">
      <c r="A16603" s="3">
        <f>16596</f>
        <v>16596</v>
      </c>
      <c r="B16603" s="3" t="s">
        <v>16605</v>
      </c>
      <c r="C16603" s="3" t="s">
        <v>10</v>
      </c>
      <c r="D16603" s="3" t="s">
        <v>9</v>
      </c>
      <c r="E16603" s="3">
        <v>22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 t="s">
        <v>10</v>
      </c>
      <c r="P16603" s="3" t="s">
        <v>9</v>
      </c>
      <c r="Q16603" s="3"/>
    </row>
    <row r="16604" spans="1:17" ht="15" x14ac:dyDescent="0.25">
      <c r="A16604" s="3">
        <f>16597</f>
        <v>16597</v>
      </c>
      <c r="B16604" s="3" t="s">
        <v>16606</v>
      </c>
      <c r="C16604" s="3" t="s">
        <v>10</v>
      </c>
      <c r="D16604" s="3" t="s">
        <v>9</v>
      </c>
      <c r="E16604" s="3">
        <v>22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>
        <v>0</v>
      </c>
      <c r="O16604" s="3" t="s">
        <v>10</v>
      </c>
      <c r="P16604" s="3" t="s">
        <v>9</v>
      </c>
      <c r="Q16604" s="3"/>
    </row>
    <row r="16605" spans="1:17" ht="15" x14ac:dyDescent="0.25">
      <c r="A16605" s="3">
        <f>16598</f>
        <v>16598</v>
      </c>
      <c r="B16605" s="3" t="s">
        <v>16607</v>
      </c>
      <c r="C16605" s="3" t="s">
        <v>10</v>
      </c>
      <c r="D16605" s="3" t="s">
        <v>9</v>
      </c>
      <c r="E16605" s="3">
        <v>22</v>
      </c>
      <c r="F16605" s="3">
        <v>0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s="3" t="s">
        <v>10</v>
      </c>
      <c r="P16605" s="3" t="s">
        <v>9</v>
      </c>
      <c r="Q16605" s="3"/>
    </row>
    <row r="16606" spans="1:17" ht="15" x14ac:dyDescent="0.25">
      <c r="A16606" s="3">
        <f>16599</f>
        <v>16599</v>
      </c>
      <c r="B16606" s="3" t="s">
        <v>16608</v>
      </c>
      <c r="C16606" s="3" t="s">
        <v>10</v>
      </c>
      <c r="D16606" s="3" t="s">
        <v>9</v>
      </c>
      <c r="E16606" s="3">
        <v>22</v>
      </c>
      <c r="F16606" s="3">
        <v>0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>
        <v>0</v>
      </c>
      <c r="O16606" s="3" t="s">
        <v>10</v>
      </c>
      <c r="P16606" s="3" t="s">
        <v>9</v>
      </c>
      <c r="Q16606" s="3"/>
    </row>
    <row r="16607" spans="1:17" ht="15" x14ac:dyDescent="0.25">
      <c r="A16607" s="3">
        <f>16600</f>
        <v>16600</v>
      </c>
      <c r="B16607" s="3" t="s">
        <v>16609</v>
      </c>
      <c r="C16607" s="3" t="s">
        <v>10</v>
      </c>
      <c r="D16607" s="3" t="s">
        <v>9</v>
      </c>
      <c r="E16607" s="3">
        <v>22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 t="s">
        <v>10</v>
      </c>
      <c r="P16607" s="3" t="s">
        <v>9</v>
      </c>
      <c r="Q16607" s="3"/>
    </row>
    <row r="16608" spans="1:17" ht="15" x14ac:dyDescent="0.25">
      <c r="A16608" s="3">
        <f>16601</f>
        <v>16601</v>
      </c>
      <c r="B16608" s="3" t="s">
        <v>16610</v>
      </c>
      <c r="C16608" s="3" t="s">
        <v>10</v>
      </c>
      <c r="D16608" s="3" t="s">
        <v>9</v>
      </c>
      <c r="E16608" s="3">
        <v>22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>
        <v>0</v>
      </c>
      <c r="O16608" s="3" t="s">
        <v>10</v>
      </c>
      <c r="P16608" s="3" t="s">
        <v>9</v>
      </c>
      <c r="Q16608" s="3"/>
    </row>
    <row r="16609" spans="1:17" ht="15" x14ac:dyDescent="0.25">
      <c r="A16609" s="3">
        <f>16602</f>
        <v>16602</v>
      </c>
      <c r="B16609" s="3" t="s">
        <v>16611</v>
      </c>
      <c r="C16609" s="3" t="s">
        <v>10</v>
      </c>
      <c r="D16609" s="3" t="s">
        <v>9</v>
      </c>
      <c r="E16609" s="3">
        <v>22</v>
      </c>
      <c r="F16609" s="3">
        <v>0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 t="s">
        <v>10</v>
      </c>
      <c r="P16609" s="3" t="s">
        <v>9</v>
      </c>
      <c r="Q16609" s="3"/>
    </row>
    <row r="16610" spans="1:17" ht="15" x14ac:dyDescent="0.25">
      <c r="A16610" s="3">
        <f>16603</f>
        <v>16603</v>
      </c>
      <c r="B16610" s="3" t="s">
        <v>16612</v>
      </c>
      <c r="C16610" s="3" t="s">
        <v>10</v>
      </c>
      <c r="D16610" s="3" t="s">
        <v>9</v>
      </c>
      <c r="E16610" s="3">
        <v>22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s="3" t="s">
        <v>10</v>
      </c>
      <c r="P16610" s="3" t="s">
        <v>9</v>
      </c>
      <c r="Q16610" s="3"/>
    </row>
    <row r="16611" spans="1:17" ht="15" x14ac:dyDescent="0.25">
      <c r="A16611" s="3">
        <f>16604</f>
        <v>16604</v>
      </c>
      <c r="B16611" s="3" t="s">
        <v>16613</v>
      </c>
      <c r="C16611" s="3" t="s">
        <v>10</v>
      </c>
      <c r="D16611" s="3" t="s">
        <v>9</v>
      </c>
      <c r="E16611" s="3">
        <v>22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 t="s">
        <v>10</v>
      </c>
      <c r="P16611" s="3" t="s">
        <v>9</v>
      </c>
      <c r="Q16611" s="3"/>
    </row>
    <row r="16612" spans="1:17" ht="15" x14ac:dyDescent="0.25">
      <c r="A16612" s="3">
        <f>16605</f>
        <v>16605</v>
      </c>
      <c r="B16612" s="3" t="s">
        <v>16614</v>
      </c>
      <c r="C16612" s="3" t="s">
        <v>10</v>
      </c>
      <c r="D16612" s="3" t="s">
        <v>9</v>
      </c>
      <c r="E16612" s="3">
        <v>22</v>
      </c>
      <c r="F16612" s="3">
        <v>0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s="3" t="s">
        <v>10</v>
      </c>
      <c r="P16612" s="3" t="s">
        <v>9</v>
      </c>
      <c r="Q16612" s="3"/>
    </row>
    <row r="16613" spans="1:17" ht="15" x14ac:dyDescent="0.25">
      <c r="A16613" s="3">
        <f>16606</f>
        <v>16606</v>
      </c>
      <c r="B16613" s="3" t="s">
        <v>16615</v>
      </c>
      <c r="C16613" s="3" t="s">
        <v>10</v>
      </c>
      <c r="D16613" s="3" t="s">
        <v>9</v>
      </c>
      <c r="E16613" s="3">
        <v>22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 t="s">
        <v>10</v>
      </c>
      <c r="P16613" s="3" t="s">
        <v>9</v>
      </c>
      <c r="Q16613" s="3"/>
    </row>
    <row r="16614" spans="1:17" ht="15" x14ac:dyDescent="0.25">
      <c r="A16614" s="3">
        <f>16607</f>
        <v>16607</v>
      </c>
      <c r="B16614" s="3" t="s">
        <v>16616</v>
      </c>
      <c r="C16614" s="3" t="s">
        <v>10</v>
      </c>
      <c r="D16614" s="3" t="s">
        <v>9</v>
      </c>
      <c r="E16614" s="3">
        <v>22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s="3" t="s">
        <v>10</v>
      </c>
      <c r="P16614" s="3" t="s">
        <v>9</v>
      </c>
      <c r="Q16614" s="3"/>
    </row>
    <row r="16615" spans="1:17" ht="15" x14ac:dyDescent="0.25">
      <c r="A16615" s="3">
        <f>16608</f>
        <v>16608</v>
      </c>
      <c r="B16615" s="3" t="s">
        <v>16617</v>
      </c>
      <c r="C16615" s="3" t="s">
        <v>10</v>
      </c>
      <c r="D16615" s="3" t="s">
        <v>9</v>
      </c>
      <c r="E16615" s="3">
        <v>22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 t="s">
        <v>10</v>
      </c>
      <c r="P16615" s="3" t="s">
        <v>9</v>
      </c>
      <c r="Q16615" s="3"/>
    </row>
    <row r="16616" spans="1:17" ht="15" x14ac:dyDescent="0.25">
      <c r="A16616" s="3">
        <f>16609</f>
        <v>16609</v>
      </c>
      <c r="B16616" s="3" t="s">
        <v>16618</v>
      </c>
      <c r="C16616" s="3" t="s">
        <v>10</v>
      </c>
      <c r="D16616" s="3" t="s">
        <v>9</v>
      </c>
      <c r="E16616" s="3">
        <v>22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0</v>
      </c>
      <c r="O16616" s="3" t="s">
        <v>10</v>
      </c>
      <c r="P16616" s="3" t="s">
        <v>9</v>
      </c>
      <c r="Q16616" s="3"/>
    </row>
    <row r="16617" spans="1:17" ht="15" x14ac:dyDescent="0.25">
      <c r="A16617" s="3">
        <f>16610</f>
        <v>16610</v>
      </c>
      <c r="B16617" s="3" t="s">
        <v>16619</v>
      </c>
      <c r="C16617" s="3" t="s">
        <v>10</v>
      </c>
      <c r="D16617" s="3" t="s">
        <v>9</v>
      </c>
      <c r="E16617" s="3">
        <v>22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s="3" t="s">
        <v>10</v>
      </c>
      <c r="P16617" s="3" t="s">
        <v>9</v>
      </c>
      <c r="Q16617" s="3"/>
    </row>
    <row r="16618" spans="1:17" ht="15" x14ac:dyDescent="0.25">
      <c r="A16618" s="3">
        <f>16611</f>
        <v>16611</v>
      </c>
      <c r="B16618" s="3" t="s">
        <v>16620</v>
      </c>
      <c r="C16618" s="3" t="s">
        <v>10</v>
      </c>
      <c r="D16618" s="3" t="s">
        <v>9</v>
      </c>
      <c r="E16618" s="3">
        <v>22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s="3" t="s">
        <v>10</v>
      </c>
      <c r="P16618" s="3" t="s">
        <v>9</v>
      </c>
      <c r="Q16618" s="3"/>
    </row>
    <row r="16619" spans="1:17" ht="15" x14ac:dyDescent="0.25">
      <c r="A16619" s="3">
        <f>16612</f>
        <v>16612</v>
      </c>
      <c r="B16619" s="3" t="s">
        <v>16621</v>
      </c>
      <c r="C16619" s="3" t="s">
        <v>10</v>
      </c>
      <c r="D16619" s="3" t="s">
        <v>9</v>
      </c>
      <c r="E16619" s="3">
        <v>22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  <c r="O16619" s="3" t="s">
        <v>10</v>
      </c>
      <c r="P16619" s="3" t="s">
        <v>9</v>
      </c>
      <c r="Q16619" s="3"/>
    </row>
    <row r="16620" spans="1:17" ht="15" x14ac:dyDescent="0.25">
      <c r="A16620" s="3">
        <f>16613</f>
        <v>16613</v>
      </c>
      <c r="B16620" s="3" t="s">
        <v>16622</v>
      </c>
      <c r="C16620" s="3" t="s">
        <v>10</v>
      </c>
      <c r="D16620" s="3" t="s">
        <v>9</v>
      </c>
      <c r="E16620" s="3">
        <v>22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  <c r="O16620" s="3" t="s">
        <v>10</v>
      </c>
      <c r="P16620" s="3" t="s">
        <v>9</v>
      </c>
      <c r="Q16620" s="3"/>
    </row>
    <row r="16621" spans="1:17" ht="15" x14ac:dyDescent="0.25">
      <c r="A16621" s="3">
        <f>16614</f>
        <v>16614</v>
      </c>
      <c r="B16621" s="3" t="s">
        <v>16623</v>
      </c>
      <c r="C16621" s="3" t="s">
        <v>10</v>
      </c>
      <c r="D16621" s="3" t="s">
        <v>9</v>
      </c>
      <c r="E16621" s="3">
        <v>22</v>
      </c>
      <c r="F16621" s="3">
        <v>0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3">
        <v>0</v>
      </c>
      <c r="N16621" s="3">
        <v>0</v>
      </c>
      <c r="O16621" s="3" t="s">
        <v>10</v>
      </c>
      <c r="P16621" s="3" t="s">
        <v>9</v>
      </c>
      <c r="Q16621" s="3"/>
    </row>
    <row r="16622" spans="1:17" ht="15" x14ac:dyDescent="0.25">
      <c r="A16622" s="3">
        <f>16615</f>
        <v>16615</v>
      </c>
      <c r="B16622" s="3" t="s">
        <v>16624</v>
      </c>
      <c r="C16622" s="3" t="s">
        <v>10</v>
      </c>
      <c r="D16622" s="3" t="s">
        <v>9</v>
      </c>
      <c r="E16622" s="3">
        <v>22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0</v>
      </c>
      <c r="O16622" s="3" t="s">
        <v>10</v>
      </c>
      <c r="P16622" s="3" t="s">
        <v>9</v>
      </c>
      <c r="Q16622" s="3"/>
    </row>
    <row r="16623" spans="1:17" ht="15" x14ac:dyDescent="0.25">
      <c r="A16623" s="3">
        <f>16616</f>
        <v>16616</v>
      </c>
      <c r="B16623" s="3" t="s">
        <v>16625</v>
      </c>
      <c r="C16623" s="3" t="s">
        <v>10</v>
      </c>
      <c r="D16623" s="3" t="s">
        <v>9</v>
      </c>
      <c r="E16623" s="3">
        <v>22</v>
      </c>
      <c r="F16623" s="3">
        <v>0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3">
        <v>0</v>
      </c>
      <c r="N16623" s="3">
        <v>0</v>
      </c>
      <c r="O16623" s="3" t="s">
        <v>10</v>
      </c>
      <c r="P16623" s="3" t="s">
        <v>9</v>
      </c>
      <c r="Q16623" s="3"/>
    </row>
    <row r="16624" spans="1:17" ht="15" x14ac:dyDescent="0.25">
      <c r="A16624" s="3">
        <f>16617</f>
        <v>16617</v>
      </c>
      <c r="B16624" s="3" t="s">
        <v>16626</v>
      </c>
      <c r="C16624" s="3" t="s">
        <v>10</v>
      </c>
      <c r="D16624" s="3" t="s">
        <v>9</v>
      </c>
      <c r="E16624" s="3">
        <v>22</v>
      </c>
      <c r="F16624" s="3">
        <v>0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3">
        <v>0</v>
      </c>
      <c r="O16624" s="3" t="s">
        <v>10</v>
      </c>
      <c r="P16624" s="3" t="s">
        <v>9</v>
      </c>
      <c r="Q16624" s="3"/>
    </row>
    <row r="16625" spans="1:17" ht="15" x14ac:dyDescent="0.25">
      <c r="A16625" s="3">
        <f>16618</f>
        <v>16618</v>
      </c>
      <c r="B16625" s="3" t="s">
        <v>16627</v>
      </c>
      <c r="C16625" s="3" t="s">
        <v>10</v>
      </c>
      <c r="D16625" s="3" t="s">
        <v>9</v>
      </c>
      <c r="E16625" s="3">
        <v>22</v>
      </c>
      <c r="F16625" s="3">
        <v>0</v>
      </c>
      <c r="G16625" s="3">
        <v>0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>
        <v>0</v>
      </c>
      <c r="O16625" s="3" t="s">
        <v>10</v>
      </c>
      <c r="P16625" s="3" t="s">
        <v>9</v>
      </c>
      <c r="Q16625" s="3"/>
    </row>
    <row r="16626" spans="1:17" ht="15" x14ac:dyDescent="0.25">
      <c r="A16626" s="3">
        <f>16619</f>
        <v>16619</v>
      </c>
      <c r="B16626" s="3" t="s">
        <v>16628</v>
      </c>
      <c r="C16626" s="3" t="s">
        <v>10</v>
      </c>
      <c r="D16626" s="3" t="s">
        <v>9</v>
      </c>
      <c r="E16626" s="3">
        <v>22</v>
      </c>
      <c r="F16626" s="3">
        <v>0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>
        <v>0</v>
      </c>
      <c r="O16626" s="3" t="s">
        <v>10</v>
      </c>
      <c r="P16626" s="3" t="s">
        <v>9</v>
      </c>
      <c r="Q16626" s="3"/>
    </row>
    <row r="16627" spans="1:17" ht="15" x14ac:dyDescent="0.25">
      <c r="A16627" s="3">
        <f>16620</f>
        <v>16620</v>
      </c>
      <c r="B16627" s="3" t="s">
        <v>16629</v>
      </c>
      <c r="C16627" s="3" t="s">
        <v>10</v>
      </c>
      <c r="D16627" s="3" t="s">
        <v>9</v>
      </c>
      <c r="E16627" s="3">
        <v>22</v>
      </c>
      <c r="F16627" s="3">
        <v>0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3">
        <v>0</v>
      </c>
      <c r="O16627" s="3" t="s">
        <v>10</v>
      </c>
      <c r="P16627" s="3" t="s">
        <v>9</v>
      </c>
      <c r="Q16627" s="3"/>
    </row>
    <row r="16628" spans="1:17" ht="15" x14ac:dyDescent="0.25">
      <c r="A16628" s="3">
        <f>16621</f>
        <v>16621</v>
      </c>
      <c r="B16628" s="3" t="s">
        <v>16630</v>
      </c>
      <c r="C16628" s="3" t="s">
        <v>10</v>
      </c>
      <c r="D16628" s="3" t="s">
        <v>9</v>
      </c>
      <c r="E16628" s="3">
        <v>22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3">
        <v>0</v>
      </c>
      <c r="N16628" s="3">
        <v>0</v>
      </c>
      <c r="O16628" s="3" t="s">
        <v>10</v>
      </c>
      <c r="P16628" s="3" t="s">
        <v>9</v>
      </c>
      <c r="Q16628" s="3"/>
    </row>
    <row r="16629" spans="1:17" ht="15" x14ac:dyDescent="0.25">
      <c r="A16629" s="3">
        <f>16622</f>
        <v>16622</v>
      </c>
      <c r="B16629" s="3" t="s">
        <v>16631</v>
      </c>
      <c r="C16629" s="3" t="s">
        <v>10</v>
      </c>
      <c r="D16629" s="3" t="s">
        <v>9</v>
      </c>
      <c r="E16629" s="3">
        <v>22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s="3" t="s">
        <v>10</v>
      </c>
      <c r="P16629" s="3" t="s">
        <v>9</v>
      </c>
      <c r="Q16629" s="3"/>
    </row>
    <row r="16630" spans="1:17" ht="15" x14ac:dyDescent="0.25">
      <c r="A16630" s="3">
        <f>16623</f>
        <v>16623</v>
      </c>
      <c r="B16630" s="3" t="s">
        <v>16632</v>
      </c>
      <c r="C16630" s="3" t="s">
        <v>10</v>
      </c>
      <c r="D16630" s="3" t="s">
        <v>9</v>
      </c>
      <c r="E16630" s="3">
        <v>22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0</v>
      </c>
      <c r="O16630" s="3" t="s">
        <v>10</v>
      </c>
      <c r="P16630" s="3" t="s">
        <v>9</v>
      </c>
      <c r="Q16630" s="3"/>
    </row>
    <row r="16631" spans="1:17" ht="15" x14ac:dyDescent="0.25">
      <c r="A16631" s="3">
        <f>16624</f>
        <v>16624</v>
      </c>
      <c r="B16631" s="3" t="s">
        <v>16633</v>
      </c>
      <c r="C16631" s="3" t="s">
        <v>10</v>
      </c>
      <c r="D16631" s="3" t="s">
        <v>9</v>
      </c>
      <c r="E16631" s="3">
        <v>22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s="3" t="s">
        <v>10</v>
      </c>
      <c r="P16631" s="3" t="s">
        <v>9</v>
      </c>
      <c r="Q16631" s="3"/>
    </row>
    <row r="16632" spans="1:17" ht="15" x14ac:dyDescent="0.25">
      <c r="A16632" s="3">
        <f>16625</f>
        <v>16625</v>
      </c>
      <c r="B16632" s="3" t="s">
        <v>16634</v>
      </c>
      <c r="C16632" s="3" t="s">
        <v>10</v>
      </c>
      <c r="D16632" s="3" t="s">
        <v>9</v>
      </c>
      <c r="E16632" s="3">
        <v>22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0</v>
      </c>
      <c r="O16632" s="3" t="s">
        <v>10</v>
      </c>
      <c r="P16632" s="3" t="s">
        <v>9</v>
      </c>
      <c r="Q16632" s="3"/>
    </row>
    <row r="16633" spans="1:17" ht="15" x14ac:dyDescent="0.25">
      <c r="A16633" s="3">
        <f>16626</f>
        <v>16626</v>
      </c>
      <c r="B16633" s="3" t="s">
        <v>16635</v>
      </c>
      <c r="C16633" s="3" t="s">
        <v>10</v>
      </c>
      <c r="D16633" s="3" t="s">
        <v>9</v>
      </c>
      <c r="E16633" s="3">
        <v>22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 t="s">
        <v>10</v>
      </c>
      <c r="P16633" s="3" t="s">
        <v>9</v>
      </c>
      <c r="Q16633" s="3"/>
    </row>
    <row r="16634" spans="1:17" ht="15" x14ac:dyDescent="0.25">
      <c r="A16634" s="3">
        <f>16627</f>
        <v>16627</v>
      </c>
      <c r="B16634" s="3" t="s">
        <v>16636</v>
      </c>
      <c r="C16634" s="3" t="s">
        <v>10</v>
      </c>
      <c r="D16634" s="3" t="s">
        <v>9</v>
      </c>
      <c r="E16634" s="3">
        <v>22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 t="s">
        <v>10</v>
      </c>
      <c r="P16634" s="3" t="s">
        <v>9</v>
      </c>
      <c r="Q16634" s="3"/>
    </row>
    <row r="16635" spans="1:17" ht="15" x14ac:dyDescent="0.25">
      <c r="A16635" s="3">
        <f>16628</f>
        <v>16628</v>
      </c>
      <c r="B16635" s="3" t="s">
        <v>16637</v>
      </c>
      <c r="C16635" s="3" t="s">
        <v>10</v>
      </c>
      <c r="D16635" s="3" t="s">
        <v>9</v>
      </c>
      <c r="E16635" s="3">
        <v>22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s="3" t="s">
        <v>10</v>
      </c>
      <c r="P16635" s="3" t="s">
        <v>9</v>
      </c>
      <c r="Q16635" s="3"/>
    </row>
    <row r="16636" spans="1:17" ht="15" x14ac:dyDescent="0.25">
      <c r="A16636" s="3">
        <f>16629</f>
        <v>16629</v>
      </c>
      <c r="B16636" s="3" t="s">
        <v>16638</v>
      </c>
      <c r="C16636" s="3" t="s">
        <v>10</v>
      </c>
      <c r="D16636" s="3" t="s">
        <v>9</v>
      </c>
      <c r="E16636" s="3">
        <v>22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s="3" t="s">
        <v>10</v>
      </c>
      <c r="P16636" s="3" t="s">
        <v>9</v>
      </c>
      <c r="Q16636" s="3"/>
    </row>
    <row r="16637" spans="1:17" ht="15" x14ac:dyDescent="0.25">
      <c r="A16637" s="3">
        <f>16630</f>
        <v>16630</v>
      </c>
      <c r="B16637" s="3" t="s">
        <v>16639</v>
      </c>
      <c r="C16637" s="3" t="s">
        <v>10</v>
      </c>
      <c r="D16637" s="3" t="s">
        <v>9</v>
      </c>
      <c r="E16637" s="3">
        <v>22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s="3" t="s">
        <v>10</v>
      </c>
      <c r="P16637" s="3" t="s">
        <v>9</v>
      </c>
      <c r="Q16637" s="3"/>
    </row>
    <row r="16638" spans="1:17" ht="15" x14ac:dyDescent="0.25">
      <c r="A16638" s="3">
        <f>16631</f>
        <v>16631</v>
      </c>
      <c r="B16638" s="3" t="s">
        <v>16640</v>
      </c>
      <c r="C16638" s="3" t="s">
        <v>10</v>
      </c>
      <c r="D16638" s="3" t="s">
        <v>9</v>
      </c>
      <c r="E16638" s="3">
        <v>22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s="3" t="s">
        <v>10</v>
      </c>
      <c r="P16638" s="3" t="s">
        <v>9</v>
      </c>
      <c r="Q16638" s="3"/>
    </row>
    <row r="16639" spans="1:17" ht="15" x14ac:dyDescent="0.25">
      <c r="A16639" s="3">
        <f>16632</f>
        <v>16632</v>
      </c>
      <c r="B16639" s="3" t="s">
        <v>16641</v>
      </c>
      <c r="C16639" s="3" t="s">
        <v>10</v>
      </c>
      <c r="D16639" s="3" t="s">
        <v>9</v>
      </c>
      <c r="E16639" s="3">
        <v>22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s="3" t="s">
        <v>10</v>
      </c>
      <c r="P16639" s="3" t="s">
        <v>9</v>
      </c>
      <c r="Q16639" s="3"/>
    </row>
    <row r="16640" spans="1:17" ht="15" x14ac:dyDescent="0.25">
      <c r="A16640" s="3">
        <f>16633</f>
        <v>16633</v>
      </c>
      <c r="B16640" s="3" t="s">
        <v>16642</v>
      </c>
      <c r="C16640" s="3" t="s">
        <v>10</v>
      </c>
      <c r="D16640" s="3" t="s">
        <v>9</v>
      </c>
      <c r="E16640" s="3">
        <v>22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s="3" t="s">
        <v>10</v>
      </c>
      <c r="P16640" s="3" t="s">
        <v>9</v>
      </c>
      <c r="Q16640" s="3"/>
    </row>
    <row r="16641" spans="1:17" ht="15" x14ac:dyDescent="0.25">
      <c r="A16641" s="3">
        <f>16634</f>
        <v>16634</v>
      </c>
      <c r="B16641" s="3" t="s">
        <v>16643</v>
      </c>
      <c r="C16641" s="3" t="s">
        <v>10</v>
      </c>
      <c r="D16641" s="3" t="s">
        <v>9</v>
      </c>
      <c r="E16641" s="3">
        <v>22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  <c r="O16641" s="3" t="s">
        <v>10</v>
      </c>
      <c r="P16641" s="3" t="s">
        <v>9</v>
      </c>
      <c r="Q16641" s="3"/>
    </row>
    <row r="16642" spans="1:17" ht="15" x14ac:dyDescent="0.25">
      <c r="A16642" s="3">
        <f>16635</f>
        <v>16635</v>
      </c>
      <c r="B16642" s="3" t="s">
        <v>16644</v>
      </c>
      <c r="C16642" s="3" t="s">
        <v>10</v>
      </c>
      <c r="D16642" s="3" t="s">
        <v>9</v>
      </c>
      <c r="E16642" s="3">
        <v>22</v>
      </c>
      <c r="F16642" s="3">
        <v>0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3">
        <v>0</v>
      </c>
      <c r="N16642" s="3">
        <v>0</v>
      </c>
      <c r="O16642" s="3" t="s">
        <v>10</v>
      </c>
      <c r="P16642" s="3" t="s">
        <v>9</v>
      </c>
      <c r="Q16642" s="3"/>
    </row>
    <row r="16643" spans="1:17" ht="15" x14ac:dyDescent="0.25">
      <c r="A16643" s="3">
        <f>16636</f>
        <v>16636</v>
      </c>
      <c r="B16643" s="3" t="s">
        <v>16645</v>
      </c>
      <c r="C16643" s="3" t="s">
        <v>10</v>
      </c>
      <c r="D16643" s="3" t="s">
        <v>9</v>
      </c>
      <c r="E16643" s="3">
        <v>22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>
        <v>0</v>
      </c>
      <c r="O16643" s="3" t="s">
        <v>10</v>
      </c>
      <c r="P16643" s="3" t="s">
        <v>9</v>
      </c>
      <c r="Q16643" s="3"/>
    </row>
    <row r="16644" spans="1:17" ht="15" x14ac:dyDescent="0.25">
      <c r="A16644" s="3">
        <f>16637</f>
        <v>16637</v>
      </c>
      <c r="B16644" s="3" t="s">
        <v>16646</v>
      </c>
      <c r="C16644" s="3" t="s">
        <v>10</v>
      </c>
      <c r="D16644" s="3" t="s">
        <v>9</v>
      </c>
      <c r="E16644" s="3">
        <v>22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s="3" t="s">
        <v>10</v>
      </c>
      <c r="P16644" s="3" t="s">
        <v>9</v>
      </c>
      <c r="Q16644" s="3"/>
    </row>
    <row r="16645" spans="1:17" ht="15" x14ac:dyDescent="0.25">
      <c r="A16645" s="3">
        <f>16638</f>
        <v>16638</v>
      </c>
      <c r="B16645" s="3" t="s">
        <v>16647</v>
      </c>
      <c r="C16645" s="3" t="s">
        <v>10</v>
      </c>
      <c r="D16645" s="3" t="s">
        <v>9</v>
      </c>
      <c r="E16645" s="3">
        <v>22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s="3" t="s">
        <v>10</v>
      </c>
      <c r="P16645" s="3" t="s">
        <v>9</v>
      </c>
      <c r="Q16645" s="3"/>
    </row>
    <row r="16646" spans="1:17" ht="15" x14ac:dyDescent="0.25">
      <c r="A16646" s="3">
        <f>16639</f>
        <v>16639</v>
      </c>
      <c r="B16646" s="3" t="s">
        <v>16648</v>
      </c>
      <c r="C16646" s="3" t="s">
        <v>10</v>
      </c>
      <c r="D16646" s="3" t="s">
        <v>9</v>
      </c>
      <c r="E16646" s="3">
        <v>22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s="3" t="s">
        <v>10</v>
      </c>
      <c r="P16646" s="3" t="s">
        <v>9</v>
      </c>
      <c r="Q16646" s="3"/>
    </row>
    <row r="16647" spans="1:17" ht="15" x14ac:dyDescent="0.25">
      <c r="A16647" s="3">
        <f>16640</f>
        <v>16640</v>
      </c>
      <c r="B16647" s="3" t="s">
        <v>16649</v>
      </c>
      <c r="C16647" s="3" t="s">
        <v>10</v>
      </c>
      <c r="D16647" s="3" t="s">
        <v>9</v>
      </c>
      <c r="E16647" s="3">
        <v>22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3">
        <v>0</v>
      </c>
      <c r="N16647" s="3">
        <v>0</v>
      </c>
      <c r="O16647" s="3" t="s">
        <v>10</v>
      </c>
      <c r="P16647" s="3" t="s">
        <v>9</v>
      </c>
      <c r="Q16647" s="3"/>
    </row>
    <row r="16648" spans="1:17" ht="15" x14ac:dyDescent="0.25">
      <c r="A16648" s="3">
        <f>16641</f>
        <v>16641</v>
      </c>
      <c r="B16648" s="3" t="s">
        <v>16650</v>
      </c>
      <c r="C16648" s="3" t="s">
        <v>10</v>
      </c>
      <c r="D16648" s="3" t="s">
        <v>9</v>
      </c>
      <c r="E16648" s="3">
        <v>22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  <c r="O16648" s="3" t="s">
        <v>10</v>
      </c>
      <c r="P16648" s="3" t="s">
        <v>9</v>
      </c>
      <c r="Q16648" s="3"/>
    </row>
    <row r="16649" spans="1:17" ht="15" x14ac:dyDescent="0.25">
      <c r="A16649" s="3">
        <f>16642</f>
        <v>16642</v>
      </c>
      <c r="B16649" s="3" t="s">
        <v>16651</v>
      </c>
      <c r="C16649" s="3" t="s">
        <v>10</v>
      </c>
      <c r="D16649" s="3" t="s">
        <v>9</v>
      </c>
      <c r="E16649" s="3">
        <v>22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 t="s">
        <v>10</v>
      </c>
      <c r="P16649" s="3" t="s">
        <v>9</v>
      </c>
      <c r="Q16649" s="3"/>
    </row>
    <row r="16650" spans="1:17" ht="15" x14ac:dyDescent="0.25">
      <c r="A16650" s="3">
        <f>16643</f>
        <v>16643</v>
      </c>
      <c r="B16650" s="3" t="s">
        <v>16652</v>
      </c>
      <c r="C16650" s="3" t="s">
        <v>10</v>
      </c>
      <c r="D16650" s="3" t="s">
        <v>9</v>
      </c>
      <c r="E16650" s="3">
        <v>22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s="3" t="s">
        <v>10</v>
      </c>
      <c r="P16650" s="3" t="s">
        <v>9</v>
      </c>
      <c r="Q16650" s="3"/>
    </row>
    <row r="16651" spans="1:17" ht="15" x14ac:dyDescent="0.25">
      <c r="A16651" s="3">
        <f>16644</f>
        <v>16644</v>
      </c>
      <c r="B16651" s="3" t="s">
        <v>16653</v>
      </c>
      <c r="C16651" s="3" t="s">
        <v>10</v>
      </c>
      <c r="D16651" s="3" t="s">
        <v>9</v>
      </c>
      <c r="E16651" s="3">
        <v>22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s="3" t="s">
        <v>10</v>
      </c>
      <c r="P16651" s="3" t="s">
        <v>9</v>
      </c>
      <c r="Q16651" s="3"/>
    </row>
    <row r="16652" spans="1:17" ht="15" x14ac:dyDescent="0.25">
      <c r="A16652" s="3">
        <f>16645</f>
        <v>16645</v>
      </c>
      <c r="B16652" s="3" t="s">
        <v>16654</v>
      </c>
      <c r="C16652" s="3" t="s">
        <v>10</v>
      </c>
      <c r="D16652" s="3" t="s">
        <v>9</v>
      </c>
      <c r="E16652" s="3">
        <v>22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s="3" t="s">
        <v>10</v>
      </c>
      <c r="P16652" s="3" t="s">
        <v>9</v>
      </c>
      <c r="Q16652" s="3"/>
    </row>
    <row r="16653" spans="1:17" ht="15" x14ac:dyDescent="0.25">
      <c r="A16653" s="3">
        <f>16646</f>
        <v>16646</v>
      </c>
      <c r="B16653" s="3" t="s">
        <v>16655</v>
      </c>
      <c r="C16653" s="3" t="s">
        <v>10</v>
      </c>
      <c r="D16653" s="3" t="s">
        <v>9</v>
      </c>
      <c r="E16653" s="3">
        <v>22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s="3" t="s">
        <v>10</v>
      </c>
      <c r="P16653" s="3" t="s">
        <v>9</v>
      </c>
      <c r="Q16653" s="3"/>
    </row>
    <row r="16654" spans="1:17" ht="15" x14ac:dyDescent="0.25">
      <c r="A16654" s="3">
        <f>16647</f>
        <v>16647</v>
      </c>
      <c r="B16654" s="3" t="s">
        <v>16656</v>
      </c>
      <c r="C16654" s="3" t="s">
        <v>10</v>
      </c>
      <c r="D16654" s="3" t="s">
        <v>9</v>
      </c>
      <c r="E16654" s="3">
        <v>22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  <c r="O16654" s="3" t="s">
        <v>10</v>
      </c>
      <c r="P16654" s="3" t="s">
        <v>9</v>
      </c>
      <c r="Q16654" s="3"/>
    </row>
    <row r="16655" spans="1:17" ht="15" x14ac:dyDescent="0.25">
      <c r="A16655" s="3">
        <f>16648</f>
        <v>16648</v>
      </c>
      <c r="B16655" s="3" t="s">
        <v>16657</v>
      </c>
      <c r="C16655" s="3" t="s">
        <v>10</v>
      </c>
      <c r="D16655" s="3" t="s">
        <v>9</v>
      </c>
      <c r="E16655" s="3">
        <v>22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3">
        <v>0</v>
      </c>
      <c r="N16655" s="3">
        <v>0</v>
      </c>
      <c r="O16655" s="3" t="s">
        <v>10</v>
      </c>
      <c r="P16655" s="3" t="s">
        <v>9</v>
      </c>
      <c r="Q16655" s="3"/>
    </row>
    <row r="16656" spans="1:17" ht="15" x14ac:dyDescent="0.25">
      <c r="A16656" s="3">
        <f>16649</f>
        <v>16649</v>
      </c>
      <c r="B16656" s="3" t="s">
        <v>16658</v>
      </c>
      <c r="C16656" s="3" t="s">
        <v>10</v>
      </c>
      <c r="D16656" s="3" t="s">
        <v>9</v>
      </c>
      <c r="E16656" s="3">
        <v>22</v>
      </c>
      <c r="F16656" s="3">
        <v>0</v>
      </c>
      <c r="G16656" s="3">
        <v>0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>
        <v>0</v>
      </c>
      <c r="O16656" s="3" t="s">
        <v>10</v>
      </c>
      <c r="P16656" s="3" t="s">
        <v>9</v>
      </c>
      <c r="Q16656" s="3"/>
    </row>
    <row r="16657" spans="1:17" ht="15" x14ac:dyDescent="0.25">
      <c r="A16657" s="3">
        <f>16650</f>
        <v>16650</v>
      </c>
      <c r="B16657" s="3" t="s">
        <v>16659</v>
      </c>
      <c r="C16657" s="3" t="s">
        <v>10</v>
      </c>
      <c r="D16657" s="3" t="s">
        <v>9</v>
      </c>
      <c r="E16657" s="3">
        <v>22</v>
      </c>
      <c r="F16657" s="3">
        <v>0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s="3" t="s">
        <v>10</v>
      </c>
      <c r="P16657" s="3" t="s">
        <v>9</v>
      </c>
      <c r="Q16657" s="3"/>
    </row>
    <row r="16658" spans="1:17" ht="15" x14ac:dyDescent="0.25">
      <c r="A16658" s="3">
        <f>16651</f>
        <v>16651</v>
      </c>
      <c r="B16658" s="3" t="s">
        <v>16660</v>
      </c>
      <c r="C16658" s="3" t="s">
        <v>10</v>
      </c>
      <c r="D16658" s="3" t="s">
        <v>9</v>
      </c>
      <c r="E16658" s="3">
        <v>22</v>
      </c>
      <c r="F16658" s="3">
        <v>0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s="3" t="s">
        <v>10</v>
      </c>
      <c r="P16658" s="3" t="s">
        <v>9</v>
      </c>
      <c r="Q16658" s="3"/>
    </row>
    <row r="16659" spans="1:17" ht="15" x14ac:dyDescent="0.25">
      <c r="A16659" s="3">
        <f>16652</f>
        <v>16652</v>
      </c>
      <c r="B16659" s="3" t="s">
        <v>16661</v>
      </c>
      <c r="C16659" s="3" t="s">
        <v>9</v>
      </c>
      <c r="D16659" s="3" t="s">
        <v>10</v>
      </c>
      <c r="E16659" s="3">
        <v>0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0</v>
      </c>
      <c r="O16659" s="3" t="s">
        <v>10</v>
      </c>
      <c r="P16659" s="3" t="s">
        <v>9</v>
      </c>
      <c r="Q16659" s="3"/>
    </row>
    <row r="16660" spans="1:17" ht="15" x14ac:dyDescent="0.25">
      <c r="A16660" s="3">
        <f>16653</f>
        <v>16653</v>
      </c>
      <c r="B16660" s="3" t="s">
        <v>16662</v>
      </c>
      <c r="C16660" s="3" t="s">
        <v>10</v>
      </c>
      <c r="D16660" s="3" t="s">
        <v>9</v>
      </c>
      <c r="E16660" s="3">
        <v>0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s="3" t="s">
        <v>9</v>
      </c>
      <c r="P16660" s="3" t="s">
        <v>9</v>
      </c>
      <c r="Q16660" s="3"/>
    </row>
    <row r="16661" spans="1:17" ht="15" x14ac:dyDescent="0.25">
      <c r="A16661" s="3">
        <f>16654</f>
        <v>16654</v>
      </c>
      <c r="B16661" s="3" t="s">
        <v>16663</v>
      </c>
      <c r="C16661" s="3" t="s">
        <v>10</v>
      </c>
      <c r="D16661" s="3" t="s">
        <v>9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  <c r="O16661" s="3" t="s">
        <v>9</v>
      </c>
      <c r="P16661" s="3" t="s">
        <v>9</v>
      </c>
      <c r="Q16661" s="3"/>
    </row>
    <row r="16662" spans="1:17" ht="15" x14ac:dyDescent="0.25">
      <c r="A16662" s="3">
        <f>16655</f>
        <v>16655</v>
      </c>
      <c r="B16662" s="3" t="s">
        <v>16664</v>
      </c>
      <c r="C16662" s="3" t="s">
        <v>9</v>
      </c>
      <c r="D16662" s="3" t="s">
        <v>10</v>
      </c>
      <c r="E16662" s="3">
        <v>0</v>
      </c>
      <c r="F16662" s="3">
        <v>0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  <c r="O16662" s="3" t="s">
        <v>10</v>
      </c>
      <c r="P16662" s="3" t="s">
        <v>9</v>
      </c>
      <c r="Q16662" s="3"/>
    </row>
    <row r="16663" spans="1:17" ht="15" x14ac:dyDescent="0.25">
      <c r="A16663" s="3">
        <f>16656</f>
        <v>16656</v>
      </c>
      <c r="B16663" s="3" t="s">
        <v>16665</v>
      </c>
      <c r="C16663" s="3" t="s">
        <v>9</v>
      </c>
      <c r="D16663" s="3" t="s">
        <v>10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s="3" t="s">
        <v>10</v>
      </c>
      <c r="P16663" s="3" t="s">
        <v>9</v>
      </c>
      <c r="Q16663" s="3"/>
    </row>
    <row r="16664" spans="1:17" ht="15" x14ac:dyDescent="0.25">
      <c r="A16664" s="3">
        <f>16657</f>
        <v>16657</v>
      </c>
      <c r="B16664" s="3" t="s">
        <v>16666</v>
      </c>
      <c r="C16664" s="3" t="s">
        <v>9</v>
      </c>
      <c r="D16664" s="3" t="s">
        <v>10</v>
      </c>
      <c r="E16664" s="3">
        <v>0</v>
      </c>
      <c r="F16664" s="3">
        <v>0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0</v>
      </c>
      <c r="O16664" s="3" t="s">
        <v>10</v>
      </c>
      <c r="P16664" s="3" t="s">
        <v>9</v>
      </c>
      <c r="Q16664" s="3"/>
    </row>
    <row r="16665" spans="1:17" ht="15" x14ac:dyDescent="0.25">
      <c r="A16665" s="3">
        <f>16658</f>
        <v>16658</v>
      </c>
      <c r="B16665" s="3" t="s">
        <v>16667</v>
      </c>
      <c r="C16665" s="3" t="s">
        <v>9</v>
      </c>
      <c r="D16665" s="3" t="s">
        <v>10</v>
      </c>
      <c r="E16665" s="3">
        <v>0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0</v>
      </c>
      <c r="O16665" s="3" t="s">
        <v>10</v>
      </c>
      <c r="P16665" s="3" t="s">
        <v>9</v>
      </c>
      <c r="Q16665" s="3"/>
    </row>
    <row r="16666" spans="1:17" ht="15" x14ac:dyDescent="0.25">
      <c r="A16666" s="3">
        <f>16659</f>
        <v>16659</v>
      </c>
      <c r="B16666" s="3" t="s">
        <v>16668</v>
      </c>
      <c r="C16666" s="3" t="s">
        <v>9</v>
      </c>
      <c r="D16666" s="3" t="s">
        <v>10</v>
      </c>
      <c r="E16666" s="3">
        <v>0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>
        <v>0</v>
      </c>
      <c r="O16666" s="3" t="s">
        <v>10</v>
      </c>
      <c r="P16666" s="3" t="s">
        <v>9</v>
      </c>
      <c r="Q16666" s="3"/>
    </row>
    <row r="16667" spans="1:17" ht="15" x14ac:dyDescent="0.25">
      <c r="A16667" s="3">
        <f>16660</f>
        <v>16660</v>
      </c>
      <c r="B16667" s="3" t="s">
        <v>16669</v>
      </c>
      <c r="C16667" s="3" t="s">
        <v>9</v>
      </c>
      <c r="D16667" s="3" t="s">
        <v>10</v>
      </c>
      <c r="E16667" s="3">
        <v>0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s="3" t="s">
        <v>10</v>
      </c>
      <c r="P16667" s="3" t="s">
        <v>9</v>
      </c>
      <c r="Q16667" s="3"/>
    </row>
    <row r="16668" spans="1:17" ht="15" x14ac:dyDescent="0.25">
      <c r="A16668" s="3">
        <f>16661</f>
        <v>16661</v>
      </c>
      <c r="B16668" s="3" t="s">
        <v>16670</v>
      </c>
      <c r="C16668" s="3" t="s">
        <v>9</v>
      </c>
      <c r="D16668" s="3" t="s">
        <v>10</v>
      </c>
      <c r="E16668" s="3">
        <v>0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s="3" t="s">
        <v>10</v>
      </c>
      <c r="P16668" s="3" t="s">
        <v>9</v>
      </c>
      <c r="Q16668" s="3"/>
    </row>
    <row r="16669" spans="1:17" ht="15" x14ac:dyDescent="0.25">
      <c r="A16669" s="3">
        <f>16662</f>
        <v>16662</v>
      </c>
      <c r="B16669" s="3" t="s">
        <v>16671</v>
      </c>
      <c r="C16669" s="3" t="s">
        <v>9</v>
      </c>
      <c r="D16669" s="3" t="s">
        <v>10</v>
      </c>
      <c r="E16669" s="3">
        <v>0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s="3" t="s">
        <v>10</v>
      </c>
      <c r="P16669" s="3" t="s">
        <v>9</v>
      </c>
      <c r="Q16669" s="3"/>
    </row>
    <row r="16670" spans="1:17" ht="15" x14ac:dyDescent="0.25">
      <c r="A16670" s="3">
        <f>16663</f>
        <v>16663</v>
      </c>
      <c r="B16670" s="3" t="s">
        <v>16672</v>
      </c>
      <c r="C16670" s="3" t="s">
        <v>9</v>
      </c>
      <c r="D16670" s="3" t="s">
        <v>10</v>
      </c>
      <c r="E16670" s="3">
        <v>0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s="3">
        <v>0</v>
      </c>
      <c r="O16670" s="3" t="s">
        <v>10</v>
      </c>
      <c r="P16670" s="3" t="s">
        <v>9</v>
      </c>
      <c r="Q16670" s="3"/>
    </row>
    <row r="16671" spans="1:17" ht="15" x14ac:dyDescent="0.25">
      <c r="A16671" s="3">
        <f>16664</f>
        <v>16664</v>
      </c>
      <c r="B16671" s="3" t="s">
        <v>16673</v>
      </c>
      <c r="C16671" s="3" t="s">
        <v>9</v>
      </c>
      <c r="D16671" s="3" t="s">
        <v>10</v>
      </c>
      <c r="E16671" s="3">
        <v>0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s="3" t="s">
        <v>10</v>
      </c>
      <c r="P16671" s="3" t="s">
        <v>9</v>
      </c>
      <c r="Q16671" s="3"/>
    </row>
    <row r="16672" spans="1:17" ht="15" x14ac:dyDescent="0.25">
      <c r="A16672" s="3">
        <f>16665</f>
        <v>16665</v>
      </c>
      <c r="B16672" s="3" t="s">
        <v>16674</v>
      </c>
      <c r="C16672" s="3" t="s">
        <v>9</v>
      </c>
      <c r="D16672" s="3" t="s">
        <v>10</v>
      </c>
      <c r="E16672" s="3">
        <v>0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>
        <v>0</v>
      </c>
      <c r="O16672" s="3" t="s">
        <v>10</v>
      </c>
      <c r="P16672" s="3" t="s">
        <v>9</v>
      </c>
      <c r="Q16672" s="3"/>
    </row>
    <row r="16673" spans="1:17" ht="15" x14ac:dyDescent="0.25">
      <c r="A16673" s="3">
        <f>16666</f>
        <v>16666</v>
      </c>
      <c r="B16673" s="3" t="s">
        <v>16675</v>
      </c>
      <c r="C16673" s="3" t="s">
        <v>9</v>
      </c>
      <c r="D16673" s="3" t="s">
        <v>10</v>
      </c>
      <c r="E16673" s="3">
        <v>0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0</v>
      </c>
      <c r="O16673" s="3" t="s">
        <v>10</v>
      </c>
      <c r="P16673" s="3" t="s">
        <v>9</v>
      </c>
      <c r="Q16673" s="3"/>
    </row>
    <row r="16674" spans="1:17" ht="15" x14ac:dyDescent="0.25">
      <c r="A16674" s="3">
        <f>16667</f>
        <v>16667</v>
      </c>
      <c r="B16674" s="3" t="s">
        <v>16676</v>
      </c>
      <c r="C16674" s="3" t="s">
        <v>9</v>
      </c>
      <c r="D16674" s="3" t="s">
        <v>10</v>
      </c>
      <c r="E16674" s="3">
        <v>0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3">
        <v>0</v>
      </c>
      <c r="N16674" s="3">
        <v>0</v>
      </c>
      <c r="O16674" s="3" t="s">
        <v>10</v>
      </c>
      <c r="P16674" s="3" t="s">
        <v>9</v>
      </c>
      <c r="Q16674" s="3"/>
    </row>
    <row r="16675" spans="1:17" ht="15" x14ac:dyDescent="0.25">
      <c r="A16675" s="3">
        <f>16668</f>
        <v>16668</v>
      </c>
      <c r="B16675" s="3" t="s">
        <v>16677</v>
      </c>
      <c r="C16675" s="3" t="s">
        <v>9</v>
      </c>
      <c r="D16675" s="3" t="s">
        <v>10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s="3" t="s">
        <v>10</v>
      </c>
      <c r="P16675" s="3" t="s">
        <v>9</v>
      </c>
      <c r="Q16675" s="3"/>
    </row>
    <row r="16676" spans="1:17" ht="15" x14ac:dyDescent="0.25">
      <c r="A16676" s="3">
        <f>16669</f>
        <v>16669</v>
      </c>
      <c r="B16676" s="3" t="s">
        <v>16678</v>
      </c>
      <c r="C16676" s="3" t="s">
        <v>9</v>
      </c>
      <c r="D16676" s="3" t="s">
        <v>10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 t="s">
        <v>10</v>
      </c>
      <c r="P16676" s="3" t="s">
        <v>9</v>
      </c>
      <c r="Q16676" s="3"/>
    </row>
    <row r="16677" spans="1:17" ht="15" x14ac:dyDescent="0.25">
      <c r="A16677" s="3">
        <f>16670</f>
        <v>16670</v>
      </c>
      <c r="B16677" s="3" t="s">
        <v>16679</v>
      </c>
      <c r="C16677" s="3" t="s">
        <v>9</v>
      </c>
      <c r="D16677" s="3" t="s">
        <v>10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0</v>
      </c>
      <c r="O16677" s="3" t="s">
        <v>10</v>
      </c>
      <c r="P16677" s="3" t="s">
        <v>9</v>
      </c>
      <c r="Q16677" s="3"/>
    </row>
    <row r="16678" spans="1:17" ht="15" x14ac:dyDescent="0.25">
      <c r="A16678" s="3">
        <f>16671</f>
        <v>16671</v>
      </c>
      <c r="B16678" s="3" t="s">
        <v>16680</v>
      </c>
      <c r="C16678" s="3" t="s">
        <v>9</v>
      </c>
      <c r="D16678" s="3" t="s">
        <v>10</v>
      </c>
      <c r="E16678" s="3">
        <v>0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0</v>
      </c>
      <c r="O16678" s="3" t="s">
        <v>10</v>
      </c>
      <c r="P16678" s="3" t="s">
        <v>9</v>
      </c>
      <c r="Q16678" s="3"/>
    </row>
    <row r="16679" spans="1:17" ht="15" x14ac:dyDescent="0.25">
      <c r="A16679" s="3">
        <f>16672</f>
        <v>16672</v>
      </c>
      <c r="B16679" s="3" t="s">
        <v>16681</v>
      </c>
      <c r="C16679" s="3" t="s">
        <v>9</v>
      </c>
      <c r="D16679" s="3" t="s">
        <v>10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 t="s">
        <v>10</v>
      </c>
      <c r="P16679" s="3" t="s">
        <v>9</v>
      </c>
      <c r="Q16679" s="3"/>
    </row>
    <row r="16680" spans="1:17" ht="15" x14ac:dyDescent="0.25">
      <c r="A16680" s="3">
        <f>16673</f>
        <v>16673</v>
      </c>
      <c r="B16680" s="3" t="s">
        <v>16682</v>
      </c>
      <c r="C16680" s="3" t="s">
        <v>9</v>
      </c>
      <c r="D16680" s="3" t="s">
        <v>10</v>
      </c>
      <c r="E16680" s="3">
        <v>0</v>
      </c>
      <c r="F16680" s="3">
        <v>0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>
        <v>0</v>
      </c>
      <c r="O16680" s="3" t="s">
        <v>10</v>
      </c>
      <c r="P16680" s="3" t="s">
        <v>9</v>
      </c>
      <c r="Q16680" s="3"/>
    </row>
    <row r="16681" spans="1:17" ht="15" x14ac:dyDescent="0.25">
      <c r="A16681" s="3">
        <f>16674</f>
        <v>16674</v>
      </c>
      <c r="B16681" s="3" t="s">
        <v>16683</v>
      </c>
      <c r="C16681" s="3" t="s">
        <v>9</v>
      </c>
      <c r="D16681" s="3" t="s">
        <v>10</v>
      </c>
      <c r="E16681" s="3">
        <v>0</v>
      </c>
      <c r="F16681" s="3">
        <v>0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>
        <v>0</v>
      </c>
      <c r="O16681" s="3" t="s">
        <v>10</v>
      </c>
      <c r="P16681" s="3" t="s">
        <v>9</v>
      </c>
      <c r="Q16681" s="3"/>
    </row>
    <row r="16682" spans="1:17" ht="15" x14ac:dyDescent="0.25">
      <c r="A16682" s="3">
        <f>16675</f>
        <v>16675</v>
      </c>
      <c r="B16682" s="3" t="s">
        <v>16684</v>
      </c>
      <c r="C16682" s="3" t="s">
        <v>9</v>
      </c>
      <c r="D16682" s="3" t="s">
        <v>10</v>
      </c>
      <c r="E16682" s="3">
        <v>0</v>
      </c>
      <c r="F16682" s="3">
        <v>0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  <c r="O16682" s="3" t="s">
        <v>10</v>
      </c>
      <c r="P16682" s="3" t="s">
        <v>9</v>
      </c>
      <c r="Q16682" s="3"/>
    </row>
    <row r="16683" spans="1:17" ht="15" x14ac:dyDescent="0.25">
      <c r="A16683" s="3">
        <f>16676</f>
        <v>16676</v>
      </c>
      <c r="B16683" s="3" t="s">
        <v>16685</v>
      </c>
      <c r="C16683" s="3" t="s">
        <v>9</v>
      </c>
      <c r="D16683" s="3" t="s">
        <v>10</v>
      </c>
      <c r="E16683" s="3">
        <v>0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  <c r="O16683" s="3" t="s">
        <v>10</v>
      </c>
      <c r="P16683" s="3" t="s">
        <v>9</v>
      </c>
      <c r="Q16683" s="3"/>
    </row>
    <row r="16684" spans="1:17" ht="15" x14ac:dyDescent="0.25">
      <c r="A16684" s="3">
        <f>16677</f>
        <v>16677</v>
      </c>
      <c r="B16684" s="3" t="s">
        <v>16686</v>
      </c>
      <c r="C16684" s="3" t="s">
        <v>9</v>
      </c>
      <c r="D16684" s="3" t="s">
        <v>10</v>
      </c>
      <c r="E16684" s="3">
        <v>0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s="3" t="s">
        <v>10</v>
      </c>
      <c r="P16684" s="3" t="s">
        <v>9</v>
      </c>
      <c r="Q16684" s="3"/>
    </row>
    <row r="16685" spans="1:17" ht="15" x14ac:dyDescent="0.25">
      <c r="A16685" s="3">
        <f>16678</f>
        <v>16678</v>
      </c>
      <c r="B16685" s="3" t="s">
        <v>16687</v>
      </c>
      <c r="C16685" s="3" t="s">
        <v>9</v>
      </c>
      <c r="D16685" s="3" t="s">
        <v>10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s="3" t="s">
        <v>10</v>
      </c>
      <c r="P16685" s="3" t="s">
        <v>9</v>
      </c>
      <c r="Q16685" s="3"/>
    </row>
    <row r="16686" spans="1:17" ht="15" x14ac:dyDescent="0.25">
      <c r="A16686" s="3">
        <f>16679</f>
        <v>16679</v>
      </c>
      <c r="B16686" s="3" t="s">
        <v>16688</v>
      </c>
      <c r="C16686" s="3" t="s">
        <v>9</v>
      </c>
      <c r="D16686" s="3" t="s">
        <v>10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s="3" t="s">
        <v>10</v>
      </c>
      <c r="P16686" s="3" t="s">
        <v>9</v>
      </c>
      <c r="Q16686" s="3"/>
    </row>
    <row r="16687" spans="1:17" ht="15" x14ac:dyDescent="0.25">
      <c r="A16687" s="3">
        <f>16680</f>
        <v>16680</v>
      </c>
      <c r="B16687" s="3" t="s">
        <v>16689</v>
      </c>
      <c r="C16687" s="3" t="s">
        <v>9</v>
      </c>
      <c r="D16687" s="3" t="s">
        <v>10</v>
      </c>
      <c r="E16687" s="3">
        <v>0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>
        <v>0</v>
      </c>
      <c r="O16687" s="3" t="s">
        <v>10</v>
      </c>
      <c r="P16687" s="3" t="s">
        <v>9</v>
      </c>
      <c r="Q16687" s="3"/>
    </row>
    <row r="16688" spans="1:17" ht="15" x14ac:dyDescent="0.25">
      <c r="A16688" s="3">
        <f>16681</f>
        <v>16681</v>
      </c>
      <c r="B16688" s="3" t="s">
        <v>16690</v>
      </c>
      <c r="C16688" s="3" t="s">
        <v>9</v>
      </c>
      <c r="D16688" s="3" t="s">
        <v>10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3">
        <v>0</v>
      </c>
      <c r="N16688" s="3">
        <v>0</v>
      </c>
      <c r="O16688" s="3" t="s">
        <v>10</v>
      </c>
      <c r="P16688" s="3" t="s">
        <v>9</v>
      </c>
      <c r="Q16688" s="3"/>
    </row>
    <row r="16689" spans="1:17" ht="15" x14ac:dyDescent="0.25">
      <c r="A16689" s="3">
        <f>16682</f>
        <v>16682</v>
      </c>
      <c r="B16689" s="3" t="s">
        <v>16691</v>
      </c>
      <c r="C16689" s="3" t="s">
        <v>9</v>
      </c>
      <c r="D16689" s="3" t="s">
        <v>10</v>
      </c>
      <c r="E16689" s="3">
        <v>0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  <c r="O16689" s="3" t="s">
        <v>10</v>
      </c>
      <c r="P16689" s="3" t="s">
        <v>9</v>
      </c>
      <c r="Q16689" s="3"/>
    </row>
    <row r="16690" spans="1:17" ht="15" x14ac:dyDescent="0.25">
      <c r="A16690" s="3">
        <f>16683</f>
        <v>16683</v>
      </c>
      <c r="B16690" s="3" t="s">
        <v>16692</v>
      </c>
      <c r="C16690" s="3" t="s">
        <v>9</v>
      </c>
      <c r="D16690" s="3" t="s">
        <v>10</v>
      </c>
      <c r="E16690" s="3">
        <v>0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>
        <v>0</v>
      </c>
      <c r="O16690" s="3" t="s">
        <v>10</v>
      </c>
      <c r="P16690" s="3" t="s">
        <v>9</v>
      </c>
      <c r="Q16690" s="3"/>
    </row>
    <row r="16691" spans="1:17" ht="15" x14ac:dyDescent="0.25">
      <c r="A16691" s="3">
        <f>16684</f>
        <v>16684</v>
      </c>
      <c r="B16691" s="3" t="s">
        <v>16693</v>
      </c>
      <c r="C16691" s="3" t="s">
        <v>9</v>
      </c>
      <c r="D16691" s="3" t="s">
        <v>10</v>
      </c>
      <c r="E16691" s="3">
        <v>0</v>
      </c>
      <c r="F16691" s="3">
        <v>0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>
        <v>0</v>
      </c>
      <c r="O16691" s="3" t="s">
        <v>10</v>
      </c>
      <c r="P16691" s="3" t="s">
        <v>9</v>
      </c>
      <c r="Q16691" s="3"/>
    </row>
    <row r="16692" spans="1:17" ht="15" x14ac:dyDescent="0.25">
      <c r="A16692" s="3">
        <f>16685</f>
        <v>16685</v>
      </c>
      <c r="B16692" s="3" t="s">
        <v>16694</v>
      </c>
      <c r="C16692" s="3" t="s">
        <v>9</v>
      </c>
      <c r="D16692" s="3" t="s">
        <v>10</v>
      </c>
      <c r="E16692" s="3">
        <v>0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s="3" t="s">
        <v>10</v>
      </c>
      <c r="P16692" s="3" t="s">
        <v>9</v>
      </c>
      <c r="Q16692" s="3"/>
    </row>
    <row r="16693" spans="1:17" ht="15" x14ac:dyDescent="0.25">
      <c r="A16693" s="3">
        <f>16686</f>
        <v>16686</v>
      </c>
      <c r="B16693" s="3" t="s">
        <v>16695</v>
      </c>
      <c r="C16693" s="3" t="s">
        <v>9</v>
      </c>
      <c r="D16693" s="3" t="s">
        <v>10</v>
      </c>
      <c r="E16693" s="3">
        <v>0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s="3" t="s">
        <v>10</v>
      </c>
      <c r="P16693" s="3" t="s">
        <v>9</v>
      </c>
      <c r="Q16693" s="3"/>
    </row>
    <row r="16694" spans="1:17" ht="15" x14ac:dyDescent="0.25">
      <c r="A16694" s="3">
        <f>16687</f>
        <v>16687</v>
      </c>
      <c r="B16694" s="3" t="s">
        <v>16696</v>
      </c>
      <c r="C16694" s="3" t="s">
        <v>9</v>
      </c>
      <c r="D16694" s="3" t="s">
        <v>10</v>
      </c>
      <c r="E16694" s="3">
        <v>0</v>
      </c>
      <c r="F16694" s="3">
        <v>0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>
        <v>0</v>
      </c>
      <c r="O16694" s="3" t="s">
        <v>10</v>
      </c>
      <c r="P16694" s="3" t="s">
        <v>9</v>
      </c>
      <c r="Q16694" s="3"/>
    </row>
    <row r="16695" spans="1:17" ht="15" x14ac:dyDescent="0.25">
      <c r="A16695" s="3">
        <f>16688</f>
        <v>16688</v>
      </c>
      <c r="B16695" s="3" t="s">
        <v>16697</v>
      </c>
      <c r="C16695" s="3" t="s">
        <v>9</v>
      </c>
      <c r="D16695" s="3" t="s">
        <v>10</v>
      </c>
      <c r="E16695" s="3">
        <v>0</v>
      </c>
      <c r="F16695" s="3">
        <v>0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>
        <v>0</v>
      </c>
      <c r="O16695" s="3" t="s">
        <v>10</v>
      </c>
      <c r="P16695" s="3" t="s">
        <v>9</v>
      </c>
      <c r="Q16695" s="3"/>
    </row>
    <row r="16696" spans="1:17" ht="15" x14ac:dyDescent="0.25">
      <c r="A16696" s="3">
        <f>16689</f>
        <v>16689</v>
      </c>
      <c r="B16696" s="3" t="s">
        <v>16698</v>
      </c>
      <c r="C16696" s="3" t="s">
        <v>9</v>
      </c>
      <c r="D16696" s="3" t="s">
        <v>10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  <c r="O16696" s="3" t="s">
        <v>10</v>
      </c>
      <c r="P16696" s="3" t="s">
        <v>9</v>
      </c>
      <c r="Q16696" s="3"/>
    </row>
    <row r="16697" spans="1:17" ht="15" x14ac:dyDescent="0.25">
      <c r="A16697" s="3">
        <f>16690</f>
        <v>16690</v>
      </c>
      <c r="B16697" s="3" t="s">
        <v>16699</v>
      </c>
      <c r="C16697" s="3" t="s">
        <v>9</v>
      </c>
      <c r="D16697" s="3" t="s">
        <v>10</v>
      </c>
      <c r="E16697" s="3">
        <v>0</v>
      </c>
      <c r="F16697" s="3">
        <v>0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>
        <v>0</v>
      </c>
      <c r="O16697" s="3" t="s">
        <v>10</v>
      </c>
      <c r="P16697" s="3" t="s">
        <v>9</v>
      </c>
      <c r="Q16697" s="3"/>
    </row>
    <row r="16698" spans="1:17" ht="15" x14ac:dyDescent="0.25">
      <c r="A16698" s="3">
        <f>16691</f>
        <v>16691</v>
      </c>
      <c r="B16698" s="3" t="s">
        <v>16700</v>
      </c>
      <c r="C16698" s="3" t="s">
        <v>9</v>
      </c>
      <c r="D16698" s="3" t="s">
        <v>10</v>
      </c>
      <c r="E16698" s="3">
        <v>0</v>
      </c>
      <c r="F16698" s="3">
        <v>0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>
        <v>0</v>
      </c>
      <c r="O16698" s="3" t="s">
        <v>10</v>
      </c>
      <c r="P16698" s="3" t="s">
        <v>9</v>
      </c>
      <c r="Q16698" s="3"/>
    </row>
    <row r="16699" spans="1:17" ht="15" x14ac:dyDescent="0.25">
      <c r="A16699" s="3">
        <f>16692</f>
        <v>16692</v>
      </c>
      <c r="B16699" s="3" t="s">
        <v>16701</v>
      </c>
      <c r="C16699" s="3" t="s">
        <v>9</v>
      </c>
      <c r="D16699" s="3" t="s">
        <v>10</v>
      </c>
      <c r="E16699" s="3">
        <v>0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0</v>
      </c>
      <c r="O16699" s="3" t="s">
        <v>10</v>
      </c>
      <c r="P16699" s="3" t="s">
        <v>9</v>
      </c>
      <c r="Q16699" s="3"/>
    </row>
    <row r="16700" spans="1:17" ht="15" x14ac:dyDescent="0.25">
      <c r="A16700" s="3">
        <f>16693</f>
        <v>16693</v>
      </c>
      <c r="B16700" s="3" t="s">
        <v>16702</v>
      </c>
      <c r="C16700" s="3" t="s">
        <v>9</v>
      </c>
      <c r="D16700" s="3" t="s">
        <v>10</v>
      </c>
      <c r="E16700" s="3">
        <v>0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s="3" t="s">
        <v>10</v>
      </c>
      <c r="P16700" s="3" t="s">
        <v>9</v>
      </c>
      <c r="Q16700" s="3"/>
    </row>
    <row r="16701" spans="1:17" ht="15" x14ac:dyDescent="0.25">
      <c r="A16701" s="3">
        <f>16694</f>
        <v>16694</v>
      </c>
      <c r="B16701" s="3" t="s">
        <v>16703</v>
      </c>
      <c r="C16701" s="3" t="s">
        <v>9</v>
      </c>
      <c r="D16701" s="3" t="s">
        <v>10</v>
      </c>
      <c r="E16701" s="3">
        <v>0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s="3" t="s">
        <v>10</v>
      </c>
      <c r="P16701" s="3" t="s">
        <v>9</v>
      </c>
      <c r="Q16701" s="3"/>
    </row>
    <row r="16702" spans="1:17" ht="15" x14ac:dyDescent="0.25">
      <c r="A16702" s="3">
        <f>16695</f>
        <v>16695</v>
      </c>
      <c r="B16702" s="3" t="s">
        <v>16704</v>
      </c>
      <c r="C16702" s="3" t="s">
        <v>9</v>
      </c>
      <c r="D16702" s="3" t="s">
        <v>10</v>
      </c>
      <c r="E16702" s="3">
        <v>0</v>
      </c>
      <c r="F16702" s="3">
        <v>0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>
        <v>0</v>
      </c>
      <c r="O16702" s="3" t="s">
        <v>10</v>
      </c>
      <c r="P16702" s="3" t="s">
        <v>9</v>
      </c>
      <c r="Q16702" s="3"/>
    </row>
    <row r="16703" spans="1:17" ht="15" x14ac:dyDescent="0.25">
      <c r="A16703" s="3">
        <f>16696</f>
        <v>16696</v>
      </c>
      <c r="B16703" s="3" t="s">
        <v>16705</v>
      </c>
      <c r="C16703" s="3" t="s">
        <v>9</v>
      </c>
      <c r="D16703" s="3" t="s">
        <v>10</v>
      </c>
      <c r="E16703" s="3">
        <v>0</v>
      </c>
      <c r="F16703" s="3">
        <v>0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  <c r="O16703" s="3" t="s">
        <v>10</v>
      </c>
      <c r="P16703" s="3" t="s">
        <v>9</v>
      </c>
      <c r="Q16703" s="3"/>
    </row>
    <row r="16704" spans="1:17" ht="15" x14ac:dyDescent="0.25">
      <c r="A16704" s="3">
        <f>16697</f>
        <v>16697</v>
      </c>
      <c r="B16704" s="3" t="s">
        <v>16706</v>
      </c>
      <c r="C16704" s="3" t="s">
        <v>9</v>
      </c>
      <c r="D16704" s="3" t="s">
        <v>10</v>
      </c>
      <c r="E16704" s="3">
        <v>0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>
        <v>0</v>
      </c>
      <c r="O16704" s="3" t="s">
        <v>10</v>
      </c>
      <c r="P16704" s="3" t="s">
        <v>9</v>
      </c>
      <c r="Q16704" s="3"/>
    </row>
    <row r="16705" spans="1:17" ht="15" x14ac:dyDescent="0.25">
      <c r="A16705" s="3">
        <f>16698</f>
        <v>16698</v>
      </c>
      <c r="B16705" s="3" t="s">
        <v>16707</v>
      </c>
      <c r="C16705" s="3" t="s">
        <v>9</v>
      </c>
      <c r="D16705" s="3" t="s">
        <v>10</v>
      </c>
      <c r="E16705" s="3">
        <v>0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>
        <v>0</v>
      </c>
      <c r="O16705" s="3" t="s">
        <v>10</v>
      </c>
      <c r="P16705" s="3" t="s">
        <v>9</v>
      </c>
      <c r="Q16705" s="3"/>
    </row>
    <row r="16706" spans="1:17" ht="15" x14ac:dyDescent="0.25">
      <c r="A16706" s="3">
        <f>16699</f>
        <v>16699</v>
      </c>
      <c r="B16706" s="3" t="s">
        <v>16708</v>
      </c>
      <c r="C16706" s="3" t="s">
        <v>9</v>
      </c>
      <c r="D16706" s="3" t="s">
        <v>10</v>
      </c>
      <c r="E16706" s="3">
        <v>0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 t="s">
        <v>10</v>
      </c>
      <c r="P16706" s="3" t="s">
        <v>9</v>
      </c>
      <c r="Q16706" s="3"/>
    </row>
    <row r="16707" spans="1:17" ht="15" x14ac:dyDescent="0.25">
      <c r="A16707" s="3">
        <f>16700</f>
        <v>16700</v>
      </c>
      <c r="B16707" s="3" t="s">
        <v>16709</v>
      </c>
      <c r="C16707" s="3" t="s">
        <v>9</v>
      </c>
      <c r="D16707" s="3" t="s">
        <v>10</v>
      </c>
      <c r="E16707" s="3">
        <v>0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0</v>
      </c>
      <c r="O16707" s="3" t="s">
        <v>10</v>
      </c>
      <c r="P16707" s="3" t="s">
        <v>9</v>
      </c>
      <c r="Q16707" s="3"/>
    </row>
    <row r="16708" spans="1:17" ht="15" x14ac:dyDescent="0.25">
      <c r="A16708" s="3">
        <f>16701</f>
        <v>16701</v>
      </c>
      <c r="B16708" s="3" t="s">
        <v>16710</v>
      </c>
      <c r="C16708" s="3" t="s">
        <v>9</v>
      </c>
      <c r="D16708" s="3" t="s">
        <v>10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 t="s">
        <v>10</v>
      </c>
      <c r="P16708" s="3" t="s">
        <v>9</v>
      </c>
      <c r="Q16708" s="3"/>
    </row>
    <row r="16709" spans="1:17" ht="15" x14ac:dyDescent="0.25">
      <c r="A16709" s="3">
        <f>16702</f>
        <v>16702</v>
      </c>
      <c r="B16709" s="3" t="s">
        <v>16711</v>
      </c>
      <c r="C16709" s="3" t="s">
        <v>9</v>
      </c>
      <c r="D16709" s="3" t="s">
        <v>10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0</v>
      </c>
      <c r="O16709" s="3" t="s">
        <v>10</v>
      </c>
      <c r="P16709" s="3" t="s">
        <v>9</v>
      </c>
      <c r="Q16709" s="3"/>
    </row>
    <row r="16710" spans="1:17" ht="15" x14ac:dyDescent="0.25">
      <c r="A16710" s="3">
        <f>16703</f>
        <v>16703</v>
      </c>
      <c r="B16710" s="3" t="s">
        <v>16712</v>
      </c>
      <c r="C16710" s="3" t="s">
        <v>9</v>
      </c>
      <c r="D16710" s="3" t="s">
        <v>10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s="3" t="s">
        <v>10</v>
      </c>
      <c r="P16710" s="3" t="s">
        <v>9</v>
      </c>
      <c r="Q16710" s="3"/>
    </row>
    <row r="16711" spans="1:17" ht="15" x14ac:dyDescent="0.25">
      <c r="A16711" s="3">
        <f>16704</f>
        <v>16704</v>
      </c>
      <c r="B16711" s="3" t="s">
        <v>16713</v>
      </c>
      <c r="C16711" s="3" t="s">
        <v>9</v>
      </c>
      <c r="D16711" s="3" t="s">
        <v>10</v>
      </c>
      <c r="E16711" s="3">
        <v>0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  <c r="O16711" s="3" t="s">
        <v>10</v>
      </c>
      <c r="P16711" s="3" t="s">
        <v>9</v>
      </c>
      <c r="Q16711" s="3"/>
    </row>
    <row r="16712" spans="1:17" ht="15" x14ac:dyDescent="0.25">
      <c r="A16712" s="3">
        <f>16705</f>
        <v>16705</v>
      </c>
      <c r="B16712" s="3" t="s">
        <v>16714</v>
      </c>
      <c r="C16712" s="3" t="s">
        <v>9</v>
      </c>
      <c r="D16712" s="3" t="s">
        <v>10</v>
      </c>
      <c r="E16712" s="3">
        <v>0</v>
      </c>
      <c r="F16712" s="3">
        <v>0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s="3" t="s">
        <v>10</v>
      </c>
      <c r="P16712" s="3" t="s">
        <v>9</v>
      </c>
      <c r="Q16712" s="3"/>
    </row>
    <row r="16713" spans="1:17" ht="15" x14ac:dyDescent="0.25">
      <c r="A16713" s="3">
        <f>16706</f>
        <v>16706</v>
      </c>
      <c r="B16713" s="3" t="s">
        <v>16715</v>
      </c>
      <c r="C16713" s="3" t="s">
        <v>9</v>
      </c>
      <c r="D16713" s="3" t="s">
        <v>10</v>
      </c>
      <c r="E16713" s="3">
        <v>0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s="3" t="s">
        <v>10</v>
      </c>
      <c r="P16713" s="3" t="s">
        <v>9</v>
      </c>
      <c r="Q16713" s="3"/>
    </row>
    <row r="16714" spans="1:17" ht="15" x14ac:dyDescent="0.25">
      <c r="A16714" s="3">
        <f>16707</f>
        <v>16707</v>
      </c>
      <c r="B16714" s="3" t="s">
        <v>16716</v>
      </c>
      <c r="C16714" s="3" t="s">
        <v>9</v>
      </c>
      <c r="D16714" s="3" t="s">
        <v>10</v>
      </c>
      <c r="E16714" s="3">
        <v>0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s="3" t="s">
        <v>10</v>
      </c>
      <c r="P16714" s="3" t="s">
        <v>9</v>
      </c>
      <c r="Q16714" s="3"/>
    </row>
    <row r="16715" spans="1:17" ht="15" x14ac:dyDescent="0.25">
      <c r="A16715" s="3">
        <f>16708</f>
        <v>16708</v>
      </c>
      <c r="B16715" s="3" t="s">
        <v>16717</v>
      </c>
      <c r="C16715" s="3" t="s">
        <v>9</v>
      </c>
      <c r="D16715" s="3" t="s">
        <v>10</v>
      </c>
      <c r="E16715" s="3">
        <v>0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s="3" t="s">
        <v>10</v>
      </c>
      <c r="P16715" s="3" t="s">
        <v>9</v>
      </c>
      <c r="Q16715" s="3"/>
    </row>
    <row r="16716" spans="1:17" ht="15" x14ac:dyDescent="0.25">
      <c r="A16716" s="3">
        <f>16709</f>
        <v>16709</v>
      </c>
      <c r="B16716" s="3" t="s">
        <v>16718</v>
      </c>
      <c r="C16716" s="3" t="s">
        <v>9</v>
      </c>
      <c r="D16716" s="3" t="s">
        <v>10</v>
      </c>
      <c r="E16716" s="3">
        <v>0</v>
      </c>
      <c r="F16716" s="3">
        <v>0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>
        <v>0</v>
      </c>
      <c r="O16716" s="3" t="s">
        <v>10</v>
      </c>
      <c r="P16716" s="3" t="s">
        <v>9</v>
      </c>
      <c r="Q16716" s="3"/>
    </row>
    <row r="16717" spans="1:17" ht="15" x14ac:dyDescent="0.25">
      <c r="A16717" s="3">
        <f>16710</f>
        <v>16710</v>
      </c>
      <c r="B16717" s="3" t="s">
        <v>16719</v>
      </c>
      <c r="C16717" s="3" t="s">
        <v>9</v>
      </c>
      <c r="D16717" s="3" t="s">
        <v>10</v>
      </c>
      <c r="E16717" s="3">
        <v>0</v>
      </c>
      <c r="F16717" s="3">
        <v>0</v>
      </c>
      <c r="G16717" s="3">
        <v>0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>
        <v>0</v>
      </c>
      <c r="O16717" s="3" t="s">
        <v>10</v>
      </c>
      <c r="P16717" s="3" t="s">
        <v>9</v>
      </c>
      <c r="Q16717" s="3"/>
    </row>
    <row r="16718" spans="1:17" ht="15" x14ac:dyDescent="0.25">
      <c r="A16718" s="3">
        <f>16711</f>
        <v>16711</v>
      </c>
      <c r="B16718" s="3" t="s">
        <v>16720</v>
      </c>
      <c r="C16718" s="3" t="s">
        <v>9</v>
      </c>
      <c r="D16718" s="3" t="s">
        <v>10</v>
      </c>
      <c r="E16718" s="3">
        <v>0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  <c r="O16718" s="3" t="s">
        <v>10</v>
      </c>
      <c r="P16718" s="3" t="s">
        <v>9</v>
      </c>
      <c r="Q16718" s="3"/>
    </row>
    <row r="16719" spans="1:17" ht="15" x14ac:dyDescent="0.25">
      <c r="A16719" s="3">
        <f>16712</f>
        <v>16712</v>
      </c>
      <c r="B16719" s="3" t="s">
        <v>16721</v>
      </c>
      <c r="C16719" s="3" t="s">
        <v>9</v>
      </c>
      <c r="D16719" s="3" t="s">
        <v>10</v>
      </c>
      <c r="E16719" s="3">
        <v>0</v>
      </c>
      <c r="F16719" s="3">
        <v>0</v>
      </c>
      <c r="G16719" s="3">
        <v>0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>
        <v>0</v>
      </c>
      <c r="O16719" s="3" t="s">
        <v>10</v>
      </c>
      <c r="P16719" s="3" t="s">
        <v>9</v>
      </c>
      <c r="Q16719" s="3"/>
    </row>
    <row r="16720" spans="1:17" ht="15" x14ac:dyDescent="0.25">
      <c r="A16720" s="3">
        <f>16713</f>
        <v>16713</v>
      </c>
      <c r="B16720" s="3" t="s">
        <v>16722</v>
      </c>
      <c r="C16720" s="3" t="s">
        <v>9</v>
      </c>
      <c r="D16720" s="3" t="s">
        <v>10</v>
      </c>
      <c r="E16720" s="3">
        <v>0</v>
      </c>
      <c r="F16720" s="3">
        <v>0</v>
      </c>
      <c r="G16720" s="3">
        <v>0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>
        <v>0</v>
      </c>
      <c r="O16720" s="3" t="s">
        <v>10</v>
      </c>
      <c r="P16720" s="3" t="s">
        <v>9</v>
      </c>
      <c r="Q16720" s="3"/>
    </row>
    <row r="16721" spans="1:17" ht="15" x14ac:dyDescent="0.25">
      <c r="A16721" s="3">
        <f>16714</f>
        <v>16714</v>
      </c>
      <c r="B16721" s="3" t="s">
        <v>16723</v>
      </c>
      <c r="C16721" s="3" t="s">
        <v>9</v>
      </c>
      <c r="D16721" s="3" t="s">
        <v>10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0</v>
      </c>
      <c r="O16721" s="3" t="s">
        <v>10</v>
      </c>
      <c r="P16721" s="3" t="s">
        <v>9</v>
      </c>
      <c r="Q16721" s="3"/>
    </row>
    <row r="16722" spans="1:17" ht="15" x14ac:dyDescent="0.25">
      <c r="A16722" s="3">
        <f>16715</f>
        <v>16715</v>
      </c>
      <c r="B16722" s="3" t="s">
        <v>16724</v>
      </c>
      <c r="C16722" s="3" t="s">
        <v>9</v>
      </c>
      <c r="D16722" s="3" t="s">
        <v>10</v>
      </c>
      <c r="E16722" s="3">
        <v>0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s="3" t="s">
        <v>10</v>
      </c>
      <c r="P16722" s="3" t="s">
        <v>9</v>
      </c>
      <c r="Q16722" s="3"/>
    </row>
    <row r="16723" spans="1:17" ht="15" x14ac:dyDescent="0.25">
      <c r="A16723" s="3">
        <f>16716</f>
        <v>16716</v>
      </c>
      <c r="B16723" s="3" t="s">
        <v>16725</v>
      </c>
      <c r="C16723" s="3" t="s">
        <v>9</v>
      </c>
      <c r="D16723" s="3" t="s">
        <v>10</v>
      </c>
      <c r="E16723" s="3">
        <v>0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s="3" t="s">
        <v>10</v>
      </c>
      <c r="P16723" s="3" t="s">
        <v>9</v>
      </c>
      <c r="Q16723" s="3"/>
    </row>
    <row r="16724" spans="1:17" ht="15" x14ac:dyDescent="0.25">
      <c r="A16724" s="3">
        <f>16717</f>
        <v>16717</v>
      </c>
      <c r="B16724" s="3" t="s">
        <v>16726</v>
      </c>
      <c r="C16724" s="3" t="s">
        <v>9</v>
      </c>
      <c r="D16724" s="3" t="s">
        <v>10</v>
      </c>
      <c r="E16724" s="3">
        <v>0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s="3" t="s">
        <v>10</v>
      </c>
      <c r="P16724" s="3" t="s">
        <v>9</v>
      </c>
      <c r="Q16724" s="3"/>
    </row>
    <row r="16725" spans="1:17" ht="15" x14ac:dyDescent="0.25">
      <c r="A16725" s="3">
        <f>16718</f>
        <v>16718</v>
      </c>
      <c r="B16725" s="3" t="s">
        <v>16727</v>
      </c>
      <c r="C16725" s="3" t="s">
        <v>9</v>
      </c>
      <c r="D16725" s="3" t="s">
        <v>10</v>
      </c>
      <c r="E16725" s="3">
        <v>0</v>
      </c>
      <c r="F16725" s="3">
        <v>0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  <c r="O16725" s="3" t="s">
        <v>10</v>
      </c>
      <c r="P16725" s="3" t="s">
        <v>9</v>
      </c>
      <c r="Q16725" s="3"/>
    </row>
    <row r="16726" spans="1:17" ht="15" x14ac:dyDescent="0.25">
      <c r="A16726" s="3">
        <f>16719</f>
        <v>16719</v>
      </c>
      <c r="B16726" s="3" t="s">
        <v>16728</v>
      </c>
      <c r="C16726" s="3" t="s">
        <v>9</v>
      </c>
      <c r="D16726" s="3" t="s">
        <v>10</v>
      </c>
      <c r="E16726" s="3">
        <v>0</v>
      </c>
      <c r="F16726" s="3">
        <v>0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 t="s">
        <v>10</v>
      </c>
      <c r="P16726" s="3" t="s">
        <v>9</v>
      </c>
      <c r="Q16726" s="3"/>
    </row>
    <row r="16727" spans="1:17" ht="15" x14ac:dyDescent="0.25">
      <c r="A16727" s="3">
        <f>16720</f>
        <v>16720</v>
      </c>
      <c r="B16727" s="3" t="s">
        <v>16729</v>
      </c>
      <c r="C16727" s="3" t="s">
        <v>9</v>
      </c>
      <c r="D16727" s="3" t="s">
        <v>10</v>
      </c>
      <c r="E16727" s="3">
        <v>0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0</v>
      </c>
      <c r="O16727" s="3" t="s">
        <v>10</v>
      </c>
      <c r="P16727" s="3" t="s">
        <v>9</v>
      </c>
      <c r="Q16727" s="3"/>
    </row>
    <row r="16728" spans="1:17" ht="15" x14ac:dyDescent="0.25">
      <c r="A16728" s="3">
        <f>16721</f>
        <v>16721</v>
      </c>
      <c r="B16728" s="3" t="s">
        <v>16730</v>
      </c>
      <c r="C16728" s="3" t="s">
        <v>9</v>
      </c>
      <c r="D16728" s="3" t="s">
        <v>10</v>
      </c>
      <c r="E16728" s="3">
        <v>0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>
        <v>0</v>
      </c>
      <c r="O16728" s="3" t="s">
        <v>10</v>
      </c>
      <c r="P16728" s="3" t="s">
        <v>9</v>
      </c>
      <c r="Q16728" s="3"/>
    </row>
    <row r="16729" spans="1:17" ht="15" x14ac:dyDescent="0.25">
      <c r="A16729" s="3">
        <f>16722</f>
        <v>16722</v>
      </c>
      <c r="B16729" s="3" t="s">
        <v>16731</v>
      </c>
      <c r="C16729" s="3" t="s">
        <v>9</v>
      </c>
      <c r="D16729" s="3" t="s">
        <v>10</v>
      </c>
      <c r="E16729" s="3">
        <v>0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 t="s">
        <v>10</v>
      </c>
      <c r="P16729" s="3" t="s">
        <v>9</v>
      </c>
      <c r="Q16729" s="3"/>
    </row>
    <row r="16730" spans="1:17" ht="15" x14ac:dyDescent="0.25">
      <c r="A16730" s="3">
        <f>16723</f>
        <v>16723</v>
      </c>
      <c r="B16730" s="3" t="s">
        <v>16732</v>
      </c>
      <c r="C16730" s="3" t="s">
        <v>9</v>
      </c>
      <c r="D16730" s="3" t="s">
        <v>10</v>
      </c>
      <c r="E16730" s="3">
        <v>0</v>
      </c>
      <c r="F16730" s="3">
        <v>0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>
        <v>0</v>
      </c>
      <c r="O16730" s="3" t="s">
        <v>10</v>
      </c>
      <c r="P16730" s="3" t="s">
        <v>9</v>
      </c>
      <c r="Q16730" s="3"/>
    </row>
    <row r="16731" spans="1:17" ht="15" x14ac:dyDescent="0.25">
      <c r="A16731" s="3">
        <f>16724</f>
        <v>16724</v>
      </c>
      <c r="B16731" s="3" t="s">
        <v>16733</v>
      </c>
      <c r="C16731" s="3" t="s">
        <v>9</v>
      </c>
      <c r="D16731" s="3" t="s">
        <v>10</v>
      </c>
      <c r="E16731" s="3">
        <v>0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  <c r="O16731" s="3" t="s">
        <v>10</v>
      </c>
      <c r="P16731" s="3" t="s">
        <v>9</v>
      </c>
      <c r="Q16731" s="3"/>
    </row>
    <row r="16732" spans="1:17" ht="15" x14ac:dyDescent="0.25">
      <c r="A16732" s="3">
        <f>16725</f>
        <v>16725</v>
      </c>
      <c r="B16732" s="3" t="s">
        <v>16734</v>
      </c>
      <c r="C16732" s="3" t="s">
        <v>9</v>
      </c>
      <c r="D16732" s="3" t="s">
        <v>10</v>
      </c>
      <c r="E16732" s="3">
        <v>0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s="3" t="s">
        <v>10</v>
      </c>
      <c r="P16732" s="3" t="s">
        <v>9</v>
      </c>
      <c r="Q16732" s="3"/>
    </row>
    <row r="16733" spans="1:17" ht="15" x14ac:dyDescent="0.25">
      <c r="A16733" s="3">
        <f>16726</f>
        <v>16726</v>
      </c>
      <c r="B16733" s="3" t="s">
        <v>16735</v>
      </c>
      <c r="C16733" s="3" t="s">
        <v>9</v>
      </c>
      <c r="D16733" s="3" t="s">
        <v>10</v>
      </c>
      <c r="E16733" s="3">
        <v>0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s="3" t="s">
        <v>10</v>
      </c>
      <c r="P16733" s="3" t="s">
        <v>9</v>
      </c>
      <c r="Q16733" s="3"/>
    </row>
    <row r="16734" spans="1:17" ht="15" x14ac:dyDescent="0.25">
      <c r="A16734" s="3">
        <f>16727</f>
        <v>16727</v>
      </c>
      <c r="B16734" s="3" t="s">
        <v>16736</v>
      </c>
      <c r="C16734" s="3" t="s">
        <v>9</v>
      </c>
      <c r="D16734" s="3" t="s">
        <v>10</v>
      </c>
      <c r="E16734" s="3">
        <v>0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>
        <v>0</v>
      </c>
      <c r="O16734" s="3" t="s">
        <v>10</v>
      </c>
      <c r="P16734" s="3" t="s">
        <v>9</v>
      </c>
      <c r="Q16734" s="3"/>
    </row>
    <row r="16735" spans="1:17" ht="15" x14ac:dyDescent="0.25">
      <c r="A16735" s="3">
        <f>16728</f>
        <v>16728</v>
      </c>
      <c r="B16735" s="3" t="s">
        <v>16737</v>
      </c>
      <c r="C16735" s="3" t="s">
        <v>9</v>
      </c>
      <c r="D16735" s="3" t="s">
        <v>10</v>
      </c>
      <c r="E16735" s="3">
        <v>0</v>
      </c>
      <c r="F16735" s="3">
        <v>0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3">
        <v>0</v>
      </c>
      <c r="N16735" s="3">
        <v>0</v>
      </c>
      <c r="O16735" s="3" t="s">
        <v>10</v>
      </c>
      <c r="P16735" s="3" t="s">
        <v>9</v>
      </c>
      <c r="Q16735" s="3"/>
    </row>
    <row r="16736" spans="1:17" ht="15" x14ac:dyDescent="0.25">
      <c r="A16736" s="3">
        <f>16729</f>
        <v>16729</v>
      </c>
      <c r="B16736" s="3" t="s">
        <v>16738</v>
      </c>
      <c r="C16736" s="3" t="s">
        <v>9</v>
      </c>
      <c r="D16736" s="3" t="s">
        <v>10</v>
      </c>
      <c r="E16736" s="3">
        <v>0</v>
      </c>
      <c r="F16736" s="3">
        <v>0</v>
      </c>
      <c r="G16736" s="3">
        <v>0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0</v>
      </c>
      <c r="O16736" s="3" t="s">
        <v>10</v>
      </c>
      <c r="P16736" s="3" t="s">
        <v>9</v>
      </c>
      <c r="Q16736" s="3"/>
    </row>
    <row r="16737" spans="1:17" ht="15" x14ac:dyDescent="0.25">
      <c r="A16737" s="3">
        <f>16730</f>
        <v>16730</v>
      </c>
      <c r="B16737" s="3" t="s">
        <v>16739</v>
      </c>
      <c r="C16737" s="3" t="s">
        <v>9</v>
      </c>
      <c r="D16737" s="3" t="s">
        <v>10</v>
      </c>
      <c r="E16737" s="3">
        <v>0</v>
      </c>
      <c r="F16737" s="3">
        <v>0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s="3" t="s">
        <v>10</v>
      </c>
      <c r="P16737" s="3" t="s">
        <v>9</v>
      </c>
      <c r="Q16737" s="3"/>
    </row>
    <row r="16738" spans="1:17" ht="15" x14ac:dyDescent="0.25">
      <c r="A16738" s="3">
        <f>16731</f>
        <v>16731</v>
      </c>
      <c r="B16738" s="3" t="s">
        <v>16740</v>
      </c>
      <c r="C16738" s="3" t="s">
        <v>9</v>
      </c>
      <c r="D16738" s="3" t="s">
        <v>10</v>
      </c>
      <c r="E16738" s="3">
        <v>0</v>
      </c>
      <c r="F16738" s="3">
        <v>0</v>
      </c>
      <c r="G16738" s="3">
        <v>0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>
        <v>0</v>
      </c>
      <c r="O16738" s="3" t="s">
        <v>10</v>
      </c>
      <c r="P16738" s="3" t="s">
        <v>9</v>
      </c>
      <c r="Q16738" s="3"/>
    </row>
    <row r="16739" spans="1:17" ht="15" x14ac:dyDescent="0.25">
      <c r="A16739" s="3">
        <f>16732</f>
        <v>16732</v>
      </c>
      <c r="B16739" s="3" t="s">
        <v>16741</v>
      </c>
      <c r="C16739" s="3" t="s">
        <v>10</v>
      </c>
      <c r="D16739" s="3" t="s">
        <v>9</v>
      </c>
      <c r="E16739" s="3">
        <v>0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s="3" t="s">
        <v>9</v>
      </c>
      <c r="P16739" s="3" t="s">
        <v>9</v>
      </c>
      <c r="Q16739" s="3"/>
    </row>
    <row r="16740" spans="1:17" ht="15" x14ac:dyDescent="0.25">
      <c r="A16740" s="3">
        <f>16733</f>
        <v>16733</v>
      </c>
      <c r="B16740" s="3" t="s">
        <v>16742</v>
      </c>
      <c r="C16740" s="3" t="s">
        <v>9</v>
      </c>
      <c r="D16740" s="3" t="s">
        <v>10</v>
      </c>
      <c r="E16740" s="3">
        <v>0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>
        <v>0</v>
      </c>
      <c r="O16740" s="3" t="s">
        <v>10</v>
      </c>
      <c r="P16740" s="3" t="s">
        <v>9</v>
      </c>
      <c r="Q16740" s="3"/>
    </row>
    <row r="16741" spans="1:17" ht="15" x14ac:dyDescent="0.25">
      <c r="A16741" s="3">
        <f>16734</f>
        <v>16734</v>
      </c>
      <c r="B16741" s="3" t="s">
        <v>16743</v>
      </c>
      <c r="C16741" s="3" t="s">
        <v>9</v>
      </c>
      <c r="D16741" s="3" t="s">
        <v>10</v>
      </c>
      <c r="E16741" s="3">
        <v>0</v>
      </c>
      <c r="F16741" s="3">
        <v>0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0</v>
      </c>
      <c r="O16741" s="3" t="s">
        <v>10</v>
      </c>
      <c r="P16741" s="3" t="s">
        <v>9</v>
      </c>
      <c r="Q16741" s="3"/>
    </row>
    <row r="16742" spans="1:17" ht="15" x14ac:dyDescent="0.25">
      <c r="A16742" s="3">
        <f>16735</f>
        <v>16735</v>
      </c>
      <c r="B16742" s="3" t="s">
        <v>16744</v>
      </c>
      <c r="C16742" s="3" t="s">
        <v>9</v>
      </c>
      <c r="D16742" s="3" t="s">
        <v>10</v>
      </c>
      <c r="E16742" s="3">
        <v>0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s="3" t="s">
        <v>10</v>
      </c>
      <c r="P16742" s="3" t="s">
        <v>9</v>
      </c>
      <c r="Q16742" s="3"/>
    </row>
    <row r="16743" spans="1:17" ht="15" x14ac:dyDescent="0.25">
      <c r="A16743" s="3">
        <f>16736</f>
        <v>16736</v>
      </c>
      <c r="B16743" s="3" t="s">
        <v>16745</v>
      </c>
      <c r="C16743" s="3" t="s">
        <v>9</v>
      </c>
      <c r="D16743" s="3" t="s">
        <v>10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0</v>
      </c>
      <c r="O16743" s="3" t="s">
        <v>10</v>
      </c>
      <c r="P16743" s="3" t="s">
        <v>9</v>
      </c>
      <c r="Q16743" s="3"/>
    </row>
    <row r="16744" spans="1:17" ht="15" x14ac:dyDescent="0.25">
      <c r="A16744" s="3">
        <f>16737</f>
        <v>16737</v>
      </c>
      <c r="B16744" s="3" t="s">
        <v>16746</v>
      </c>
      <c r="C16744" s="3" t="s">
        <v>10</v>
      </c>
      <c r="D16744" s="3" t="s">
        <v>9</v>
      </c>
      <c r="E16744" s="3">
        <v>0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0</v>
      </c>
      <c r="O16744" s="3" t="s">
        <v>10</v>
      </c>
      <c r="P16744" s="3" t="s">
        <v>9</v>
      </c>
      <c r="Q16744" s="3"/>
    </row>
    <row r="16745" spans="1:17" ht="15" x14ac:dyDescent="0.25">
      <c r="A16745" s="3">
        <f>16738</f>
        <v>16738</v>
      </c>
      <c r="B16745" s="3" t="s">
        <v>16747</v>
      </c>
      <c r="C16745" s="3" t="s">
        <v>10</v>
      </c>
      <c r="D16745" s="3" t="s">
        <v>9</v>
      </c>
      <c r="E16745" s="3">
        <v>0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  <c r="O16745" s="3" t="s">
        <v>10</v>
      </c>
      <c r="P16745" s="3" t="s">
        <v>9</v>
      </c>
      <c r="Q16745" s="3"/>
    </row>
    <row r="16746" spans="1:17" ht="15" x14ac:dyDescent="0.25">
      <c r="A16746" s="3">
        <f>16739</f>
        <v>16739</v>
      </c>
      <c r="B16746" s="3" t="s">
        <v>16748</v>
      </c>
      <c r="C16746" s="3" t="s">
        <v>10</v>
      </c>
      <c r="D16746" s="3" t="s">
        <v>9</v>
      </c>
      <c r="E16746" s="3">
        <v>0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  <c r="O16746" s="3" t="s">
        <v>10</v>
      </c>
      <c r="P16746" s="3" t="s">
        <v>9</v>
      </c>
      <c r="Q16746" s="3"/>
    </row>
    <row r="16747" spans="1:17" ht="15" x14ac:dyDescent="0.25">
      <c r="A16747" s="3">
        <f>16740</f>
        <v>16740</v>
      </c>
      <c r="B16747" s="3" t="s">
        <v>16749</v>
      </c>
      <c r="C16747" s="3" t="s">
        <v>10</v>
      </c>
      <c r="D16747" s="3" t="s">
        <v>9</v>
      </c>
      <c r="E16747" s="3">
        <v>0</v>
      </c>
      <c r="F16747" s="3">
        <v>0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s="3" t="s">
        <v>10</v>
      </c>
      <c r="P16747" s="3" t="s">
        <v>9</v>
      </c>
      <c r="Q16747" s="3"/>
    </row>
    <row r="16748" spans="1:17" ht="15" x14ac:dyDescent="0.25">
      <c r="A16748" s="3">
        <f>16741</f>
        <v>16741</v>
      </c>
      <c r="B16748" s="3" t="s">
        <v>16750</v>
      </c>
      <c r="C16748" s="3" t="s">
        <v>10</v>
      </c>
      <c r="D16748" s="3" t="s">
        <v>9</v>
      </c>
      <c r="E16748" s="3">
        <v>0</v>
      </c>
      <c r="F16748" s="3">
        <v>0</v>
      </c>
      <c r="G16748" s="3">
        <v>0</v>
      </c>
      <c r="H16748" s="3">
        <v>0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>
        <v>0</v>
      </c>
      <c r="O16748" s="3" t="s">
        <v>10</v>
      </c>
      <c r="P16748" s="3" t="s">
        <v>9</v>
      </c>
      <c r="Q16748" s="3"/>
    </row>
    <row r="16749" spans="1:17" ht="15" x14ac:dyDescent="0.25">
      <c r="A16749" s="3">
        <f>16742</f>
        <v>16742</v>
      </c>
      <c r="B16749" s="3" t="s">
        <v>16751</v>
      </c>
      <c r="C16749" s="3" t="s">
        <v>10</v>
      </c>
      <c r="D16749" s="3" t="s">
        <v>9</v>
      </c>
      <c r="E16749" s="3">
        <v>0</v>
      </c>
      <c r="F16749" s="3">
        <v>0</v>
      </c>
      <c r="G16749" s="3">
        <v>0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3">
        <v>0</v>
      </c>
      <c r="N16749" s="3">
        <v>0</v>
      </c>
      <c r="O16749" s="3" t="s">
        <v>10</v>
      </c>
      <c r="P16749" s="3" t="s">
        <v>9</v>
      </c>
      <c r="Q16749" s="3"/>
    </row>
    <row r="16750" spans="1:17" ht="15" x14ac:dyDescent="0.25">
      <c r="A16750" s="3">
        <f>16743</f>
        <v>16743</v>
      </c>
      <c r="B16750" s="3" t="s">
        <v>16752</v>
      </c>
      <c r="C16750" s="3" t="s">
        <v>10</v>
      </c>
      <c r="D16750" s="3" t="s">
        <v>9</v>
      </c>
      <c r="E16750" s="3">
        <v>0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3">
        <v>0</v>
      </c>
      <c r="N16750" s="3">
        <v>0</v>
      </c>
      <c r="O16750" s="3" t="s">
        <v>10</v>
      </c>
      <c r="P16750" s="3" t="s">
        <v>9</v>
      </c>
      <c r="Q16750" s="3"/>
    </row>
    <row r="16751" spans="1:17" ht="15" x14ac:dyDescent="0.25">
      <c r="A16751" s="3">
        <f>16744</f>
        <v>16744</v>
      </c>
      <c r="B16751" s="3" t="s">
        <v>16753</v>
      </c>
      <c r="C16751" s="3" t="s">
        <v>10</v>
      </c>
      <c r="D16751" s="3" t="s">
        <v>9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>
        <v>0</v>
      </c>
      <c r="O16751" s="3" t="s">
        <v>10</v>
      </c>
      <c r="P16751" s="3" t="s">
        <v>9</v>
      </c>
      <c r="Q16751" s="3"/>
    </row>
    <row r="16752" spans="1:17" ht="15" x14ac:dyDescent="0.25">
      <c r="A16752" s="3">
        <f>16745</f>
        <v>16745</v>
      </c>
      <c r="B16752" s="3" t="s">
        <v>16754</v>
      </c>
      <c r="C16752" s="3" t="s">
        <v>9</v>
      </c>
      <c r="D16752" s="3" t="s">
        <v>10</v>
      </c>
      <c r="E16752" s="3">
        <v>0</v>
      </c>
      <c r="F16752" s="3">
        <v>0</v>
      </c>
      <c r="G16752" s="3">
        <v>0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>
        <v>0</v>
      </c>
      <c r="O16752" s="3" t="s">
        <v>10</v>
      </c>
      <c r="P16752" s="3" t="s">
        <v>9</v>
      </c>
      <c r="Q16752" s="3"/>
    </row>
    <row r="16753" spans="1:17" ht="15" x14ac:dyDescent="0.25">
      <c r="A16753" s="3">
        <f>16746</f>
        <v>16746</v>
      </c>
      <c r="B16753" s="3" t="s">
        <v>16755</v>
      </c>
      <c r="C16753" s="3" t="s">
        <v>9</v>
      </c>
      <c r="D16753" s="3" t="s">
        <v>10</v>
      </c>
      <c r="E16753" s="3">
        <v>0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  <c r="O16753" s="3" t="s">
        <v>10</v>
      </c>
      <c r="P16753" s="3" t="s">
        <v>9</v>
      </c>
      <c r="Q16753" s="3"/>
    </row>
    <row r="16754" spans="1:17" ht="15" x14ac:dyDescent="0.25">
      <c r="A16754" s="3">
        <f>16747</f>
        <v>16747</v>
      </c>
      <c r="B16754" s="3" t="s">
        <v>16756</v>
      </c>
      <c r="C16754" s="3" t="s">
        <v>9</v>
      </c>
      <c r="D16754" s="3" t="s">
        <v>10</v>
      </c>
      <c r="E16754" s="3">
        <v>0</v>
      </c>
      <c r="F16754" s="3">
        <v>0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3">
        <v>0</v>
      </c>
      <c r="N16754" s="3">
        <v>0</v>
      </c>
      <c r="O16754" s="3" t="s">
        <v>10</v>
      </c>
      <c r="P16754" s="3" t="s">
        <v>9</v>
      </c>
      <c r="Q16754" s="3"/>
    </row>
    <row r="16755" spans="1:17" ht="15" x14ac:dyDescent="0.25">
      <c r="A16755" s="3">
        <f>16748</f>
        <v>16748</v>
      </c>
      <c r="B16755" s="3" t="s">
        <v>16757</v>
      </c>
      <c r="C16755" s="3" t="s">
        <v>9</v>
      </c>
      <c r="D16755" s="3" t="s">
        <v>10</v>
      </c>
      <c r="E16755" s="3">
        <v>0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>
        <v>0</v>
      </c>
      <c r="O16755" s="3" t="s">
        <v>10</v>
      </c>
      <c r="P16755" s="3" t="s">
        <v>9</v>
      </c>
      <c r="Q16755" s="3"/>
    </row>
    <row r="16756" spans="1:17" ht="15" x14ac:dyDescent="0.25">
      <c r="A16756" s="3">
        <f>16749</f>
        <v>16749</v>
      </c>
      <c r="B16756" s="3" t="s">
        <v>16758</v>
      </c>
      <c r="C16756" s="3" t="s">
        <v>9</v>
      </c>
      <c r="D16756" s="3" t="s">
        <v>10</v>
      </c>
      <c r="E16756" s="3">
        <v>0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>
        <v>0</v>
      </c>
      <c r="O16756" s="3" t="s">
        <v>10</v>
      </c>
      <c r="P16756" s="3" t="s">
        <v>9</v>
      </c>
      <c r="Q16756" s="3"/>
    </row>
    <row r="16757" spans="1:17" ht="15" x14ac:dyDescent="0.25">
      <c r="A16757" s="3">
        <f>16750</f>
        <v>16750</v>
      </c>
      <c r="B16757" s="3" t="s">
        <v>16759</v>
      </c>
      <c r="C16757" s="3" t="s">
        <v>9</v>
      </c>
      <c r="D16757" s="3" t="s">
        <v>10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 t="s">
        <v>10</v>
      </c>
      <c r="P16757" s="3" t="s">
        <v>9</v>
      </c>
      <c r="Q16757" s="3"/>
    </row>
    <row r="16758" spans="1:17" ht="15" x14ac:dyDescent="0.25">
      <c r="A16758" s="3">
        <f>16751</f>
        <v>16751</v>
      </c>
      <c r="B16758" s="3" t="s">
        <v>16760</v>
      </c>
      <c r="C16758" s="3" t="s">
        <v>9</v>
      </c>
      <c r="D16758" s="3" t="s">
        <v>10</v>
      </c>
      <c r="E16758" s="3">
        <v>0</v>
      </c>
      <c r="F16758" s="3">
        <v>0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0</v>
      </c>
      <c r="M16758" s="3">
        <v>0</v>
      </c>
      <c r="N16758" s="3">
        <v>0</v>
      </c>
      <c r="O16758" s="3" t="s">
        <v>10</v>
      </c>
      <c r="P16758" s="3" t="s">
        <v>9</v>
      </c>
      <c r="Q16758" s="3"/>
    </row>
    <row r="16759" spans="1:17" ht="15" x14ac:dyDescent="0.25">
      <c r="A16759" s="3">
        <f>16752</f>
        <v>16752</v>
      </c>
      <c r="B16759" s="3" t="s">
        <v>16761</v>
      </c>
      <c r="C16759" s="3" t="s">
        <v>9</v>
      </c>
      <c r="D16759" s="3" t="s">
        <v>10</v>
      </c>
      <c r="E16759" s="3">
        <v>0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  <c r="O16759" s="3" t="s">
        <v>10</v>
      </c>
      <c r="P16759" s="3" t="s">
        <v>9</v>
      </c>
      <c r="Q16759" s="3"/>
    </row>
    <row r="16760" spans="1:17" ht="15" x14ac:dyDescent="0.25">
      <c r="A16760" s="3">
        <f>16753</f>
        <v>16753</v>
      </c>
      <c r="B16760" s="3" t="s">
        <v>16762</v>
      </c>
      <c r="C16760" s="3" t="s">
        <v>9</v>
      </c>
      <c r="D16760" s="3" t="s">
        <v>10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s="3" t="s">
        <v>10</v>
      </c>
      <c r="P16760" s="3" t="s">
        <v>9</v>
      </c>
      <c r="Q16760" s="3"/>
    </row>
    <row r="16761" spans="1:17" ht="15" x14ac:dyDescent="0.25">
      <c r="A16761" s="3">
        <f>16754</f>
        <v>16754</v>
      </c>
      <c r="B16761" s="3" t="s">
        <v>16763</v>
      </c>
      <c r="C16761" s="3" t="s">
        <v>9</v>
      </c>
      <c r="D16761" s="3" t="s">
        <v>10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s="3" t="s">
        <v>10</v>
      </c>
      <c r="P16761" s="3" t="s">
        <v>9</v>
      </c>
      <c r="Q16761" s="3"/>
    </row>
    <row r="16762" spans="1:17" ht="15" x14ac:dyDescent="0.25">
      <c r="A16762" s="3">
        <f>16755</f>
        <v>16755</v>
      </c>
      <c r="B16762" s="3" t="s">
        <v>16764</v>
      </c>
      <c r="C16762" s="3" t="s">
        <v>9</v>
      </c>
      <c r="D16762" s="3" t="s">
        <v>10</v>
      </c>
      <c r="E16762" s="3">
        <v>0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>
        <v>0</v>
      </c>
      <c r="O16762" s="3" t="s">
        <v>10</v>
      </c>
      <c r="P16762" s="3" t="s">
        <v>9</v>
      </c>
      <c r="Q16762" s="3"/>
    </row>
    <row r="16763" spans="1:17" ht="15" x14ac:dyDescent="0.25">
      <c r="A16763" s="3">
        <f>16756</f>
        <v>16756</v>
      </c>
      <c r="B16763" s="3" t="s">
        <v>16765</v>
      </c>
      <c r="C16763" s="3" t="s">
        <v>9</v>
      </c>
      <c r="D16763" s="3" t="s">
        <v>10</v>
      </c>
      <c r="E16763" s="3">
        <v>0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s="3" t="s">
        <v>10</v>
      </c>
      <c r="P16763" s="3" t="s">
        <v>9</v>
      </c>
      <c r="Q16763" s="3"/>
    </row>
    <row r="16764" spans="1:17" ht="15" x14ac:dyDescent="0.25">
      <c r="A16764" s="3">
        <f>16757</f>
        <v>16757</v>
      </c>
      <c r="B16764" s="3" t="s">
        <v>16766</v>
      </c>
      <c r="C16764" s="3" t="s">
        <v>9</v>
      </c>
      <c r="D16764" s="3" t="s">
        <v>10</v>
      </c>
      <c r="E16764" s="3">
        <v>0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s="3" t="s">
        <v>10</v>
      </c>
      <c r="P16764" s="3" t="s">
        <v>9</v>
      </c>
      <c r="Q16764" s="3"/>
    </row>
    <row r="16765" spans="1:17" ht="15" x14ac:dyDescent="0.25">
      <c r="A16765" s="3">
        <f>16758</f>
        <v>16758</v>
      </c>
      <c r="B16765" s="3" t="s">
        <v>16767</v>
      </c>
      <c r="C16765" s="3" t="s">
        <v>9</v>
      </c>
      <c r="D16765" s="3" t="s">
        <v>10</v>
      </c>
      <c r="E16765" s="3">
        <v>0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 t="s">
        <v>10</v>
      </c>
      <c r="P16765" s="3" t="s">
        <v>9</v>
      </c>
      <c r="Q16765" s="3"/>
    </row>
    <row r="16766" spans="1:17" ht="15" x14ac:dyDescent="0.25">
      <c r="A16766" s="3">
        <f>16759</f>
        <v>16759</v>
      </c>
      <c r="B16766" s="3" t="s">
        <v>16768</v>
      </c>
      <c r="C16766" s="3" t="s">
        <v>9</v>
      </c>
      <c r="D16766" s="3" t="s">
        <v>10</v>
      </c>
      <c r="E16766" s="3">
        <v>0</v>
      </c>
      <c r="F16766" s="3">
        <v>0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>
        <v>0</v>
      </c>
      <c r="O16766" s="3" t="s">
        <v>10</v>
      </c>
      <c r="P16766" s="3" t="s">
        <v>9</v>
      </c>
      <c r="Q16766" s="3"/>
    </row>
    <row r="16767" spans="1:17" ht="15" x14ac:dyDescent="0.25">
      <c r="A16767" s="3">
        <f>16760</f>
        <v>16760</v>
      </c>
      <c r="B16767" s="3" t="s">
        <v>16769</v>
      </c>
      <c r="C16767" s="3" t="s">
        <v>9</v>
      </c>
      <c r="D16767" s="3" t="s">
        <v>10</v>
      </c>
      <c r="E16767" s="3">
        <v>0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  <c r="O16767" s="3" t="s">
        <v>10</v>
      </c>
      <c r="P16767" s="3" t="s">
        <v>9</v>
      </c>
      <c r="Q16767" s="3"/>
    </row>
    <row r="16768" spans="1:17" ht="15" x14ac:dyDescent="0.25">
      <c r="A16768" s="3">
        <f>16761</f>
        <v>16761</v>
      </c>
      <c r="B16768" s="3" t="s">
        <v>16770</v>
      </c>
      <c r="C16768" s="3" t="s">
        <v>9</v>
      </c>
      <c r="D16768" s="3" t="s">
        <v>10</v>
      </c>
      <c r="E16768" s="3">
        <v>0</v>
      </c>
      <c r="F16768" s="3">
        <v>0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s="3" t="s">
        <v>10</v>
      </c>
      <c r="P16768" s="3" t="s">
        <v>9</v>
      </c>
      <c r="Q16768" s="3"/>
    </row>
    <row r="16769" spans="1:17" ht="15" x14ac:dyDescent="0.25">
      <c r="A16769" s="3">
        <f>16762</f>
        <v>16762</v>
      </c>
      <c r="B16769" s="3" t="s">
        <v>16771</v>
      </c>
      <c r="C16769" s="3" t="s">
        <v>9</v>
      </c>
      <c r="D16769" s="3" t="s">
        <v>10</v>
      </c>
      <c r="E16769" s="3">
        <v>0</v>
      </c>
      <c r="F16769" s="3">
        <v>0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3">
        <v>0</v>
      </c>
      <c r="N16769" s="3">
        <v>0</v>
      </c>
      <c r="O16769" s="3" t="s">
        <v>10</v>
      </c>
      <c r="P16769" s="3" t="s">
        <v>9</v>
      </c>
      <c r="Q16769" s="3"/>
    </row>
    <row r="16770" spans="1:17" ht="15" x14ac:dyDescent="0.25">
      <c r="A16770" s="3">
        <f>16763</f>
        <v>16763</v>
      </c>
      <c r="B16770" s="3" t="s">
        <v>16772</v>
      </c>
      <c r="C16770" s="3" t="s">
        <v>9</v>
      </c>
      <c r="D16770" s="3" t="s">
        <v>10</v>
      </c>
      <c r="E16770" s="3">
        <v>0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0</v>
      </c>
      <c r="O16770" s="3" t="s">
        <v>10</v>
      </c>
      <c r="P16770" s="3" t="s">
        <v>9</v>
      </c>
      <c r="Q16770" s="3"/>
    </row>
    <row r="16771" spans="1:17" ht="15" x14ac:dyDescent="0.25">
      <c r="A16771" s="3">
        <f>16764</f>
        <v>16764</v>
      </c>
      <c r="B16771" s="3" t="s">
        <v>16773</v>
      </c>
      <c r="C16771" s="3" t="s">
        <v>9</v>
      </c>
      <c r="D16771" s="3" t="s">
        <v>10</v>
      </c>
      <c r="E16771" s="3">
        <v>0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0</v>
      </c>
      <c r="O16771" s="3" t="s">
        <v>10</v>
      </c>
      <c r="P16771" s="3" t="s">
        <v>9</v>
      </c>
      <c r="Q16771" s="3"/>
    </row>
    <row r="16772" spans="1:17" ht="15" x14ac:dyDescent="0.25">
      <c r="A16772" s="3">
        <f>16765</f>
        <v>16765</v>
      </c>
      <c r="B16772" s="3" t="s">
        <v>16774</v>
      </c>
      <c r="C16772" s="3" t="s">
        <v>9</v>
      </c>
      <c r="D16772" s="3" t="s">
        <v>10</v>
      </c>
      <c r="E16772" s="3">
        <v>0</v>
      </c>
      <c r="F16772" s="3">
        <v>0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0</v>
      </c>
      <c r="O16772" s="3" t="s">
        <v>10</v>
      </c>
      <c r="P16772" s="3" t="s">
        <v>9</v>
      </c>
      <c r="Q16772" s="3"/>
    </row>
    <row r="16773" spans="1:17" ht="15" x14ac:dyDescent="0.25">
      <c r="A16773" s="3">
        <f>16766</f>
        <v>16766</v>
      </c>
      <c r="B16773" s="3" t="s">
        <v>16775</v>
      </c>
      <c r="C16773" s="3" t="s">
        <v>9</v>
      </c>
      <c r="D16773" s="3" t="s">
        <v>10</v>
      </c>
      <c r="E16773" s="3">
        <v>0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>
        <v>0</v>
      </c>
      <c r="O16773" s="3" t="s">
        <v>10</v>
      </c>
      <c r="P16773" s="3" t="s">
        <v>9</v>
      </c>
      <c r="Q16773" s="3"/>
    </row>
    <row r="16774" spans="1:17" ht="15" x14ac:dyDescent="0.25">
      <c r="A16774" s="3">
        <f>16767</f>
        <v>16767</v>
      </c>
      <c r="B16774" s="3" t="s">
        <v>16776</v>
      </c>
      <c r="C16774" s="3" t="s">
        <v>9</v>
      </c>
      <c r="D16774" s="3" t="s">
        <v>10</v>
      </c>
      <c r="E16774" s="3">
        <v>0</v>
      </c>
      <c r="F16774" s="3">
        <v>0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s="3" t="s">
        <v>10</v>
      </c>
      <c r="P16774" s="3" t="s">
        <v>9</v>
      </c>
      <c r="Q16774" s="3"/>
    </row>
    <row r="16775" spans="1:17" ht="15" x14ac:dyDescent="0.25">
      <c r="A16775" s="3">
        <f>16768</f>
        <v>16768</v>
      </c>
      <c r="B16775" s="3" t="s">
        <v>16777</v>
      </c>
      <c r="C16775" s="3" t="s">
        <v>9</v>
      </c>
      <c r="D16775" s="3" t="s">
        <v>10</v>
      </c>
      <c r="E16775" s="3">
        <v>0</v>
      </c>
      <c r="F16775" s="3">
        <v>0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>
        <v>0</v>
      </c>
      <c r="O16775" s="3" t="s">
        <v>10</v>
      </c>
      <c r="P16775" s="3" t="s">
        <v>9</v>
      </c>
      <c r="Q16775" s="3"/>
    </row>
    <row r="16776" spans="1:17" ht="15" x14ac:dyDescent="0.25">
      <c r="A16776" s="3">
        <f>16769</f>
        <v>16769</v>
      </c>
      <c r="B16776" s="3" t="s">
        <v>16778</v>
      </c>
      <c r="C16776" s="3" t="s">
        <v>9</v>
      </c>
      <c r="D16776" s="3" t="s">
        <v>10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s="3" t="s">
        <v>10</v>
      </c>
      <c r="P16776" s="3" t="s">
        <v>9</v>
      </c>
      <c r="Q16776" s="3"/>
    </row>
    <row r="16777" spans="1:17" ht="15" x14ac:dyDescent="0.25">
      <c r="A16777" s="3">
        <f>16770</f>
        <v>16770</v>
      </c>
      <c r="B16777" s="3" t="s">
        <v>16779</v>
      </c>
      <c r="C16777" s="3" t="s">
        <v>9</v>
      </c>
      <c r="D16777" s="3" t="s">
        <v>10</v>
      </c>
      <c r="E16777" s="3">
        <v>0</v>
      </c>
      <c r="F16777" s="3">
        <v>0</v>
      </c>
      <c r="G16777" s="3">
        <v>0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>
        <v>0</v>
      </c>
      <c r="O16777" s="3" t="s">
        <v>10</v>
      </c>
      <c r="P16777" s="3" t="s">
        <v>9</v>
      </c>
      <c r="Q16777" s="3"/>
    </row>
    <row r="16778" spans="1:17" ht="15" x14ac:dyDescent="0.25">
      <c r="A16778" s="3">
        <f>16771</f>
        <v>16771</v>
      </c>
      <c r="B16778" s="3" t="s">
        <v>16780</v>
      </c>
      <c r="C16778" s="3" t="s">
        <v>9</v>
      </c>
      <c r="D16778" s="3" t="s">
        <v>10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s="3" t="s">
        <v>10</v>
      </c>
      <c r="P16778" s="3" t="s">
        <v>9</v>
      </c>
      <c r="Q16778" s="3"/>
    </row>
    <row r="16779" spans="1:17" ht="15" x14ac:dyDescent="0.25">
      <c r="A16779" s="3">
        <f>16772</f>
        <v>16772</v>
      </c>
      <c r="B16779" s="3" t="s">
        <v>16781</v>
      </c>
      <c r="C16779" s="3" t="s">
        <v>9</v>
      </c>
      <c r="D16779" s="3" t="s">
        <v>10</v>
      </c>
      <c r="E16779" s="3">
        <v>0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s="3" t="s">
        <v>10</v>
      </c>
      <c r="P16779" s="3" t="s">
        <v>9</v>
      </c>
      <c r="Q16779" s="3"/>
    </row>
    <row r="16780" spans="1:17" ht="15" x14ac:dyDescent="0.25">
      <c r="A16780" s="3">
        <f>16773</f>
        <v>16773</v>
      </c>
      <c r="B16780" s="3" t="s">
        <v>16782</v>
      </c>
      <c r="C16780" s="3" t="s">
        <v>9</v>
      </c>
      <c r="D16780" s="3" t="s">
        <v>10</v>
      </c>
      <c r="E16780" s="3">
        <v>0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 t="s">
        <v>10</v>
      </c>
      <c r="P16780" s="3" t="s">
        <v>9</v>
      </c>
      <c r="Q16780" s="3"/>
    </row>
    <row r="16781" spans="1:17" ht="15" x14ac:dyDescent="0.25">
      <c r="A16781" s="3">
        <f>16774</f>
        <v>16774</v>
      </c>
      <c r="B16781" s="3" t="s">
        <v>16783</v>
      </c>
      <c r="C16781" s="3" t="s">
        <v>9</v>
      </c>
      <c r="D16781" s="3" t="s">
        <v>10</v>
      </c>
      <c r="E16781" s="3">
        <v>0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s="3" t="s">
        <v>10</v>
      </c>
      <c r="P16781" s="3" t="s">
        <v>9</v>
      </c>
      <c r="Q16781" s="3"/>
    </row>
    <row r="16782" spans="1:17" ht="15" x14ac:dyDescent="0.25">
      <c r="A16782" s="3">
        <f>16775</f>
        <v>16775</v>
      </c>
      <c r="B16782" s="3" t="s">
        <v>16784</v>
      </c>
      <c r="C16782" s="3" t="s">
        <v>9</v>
      </c>
      <c r="D16782" s="3" t="s">
        <v>10</v>
      </c>
      <c r="E16782" s="3">
        <v>0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>
        <v>0</v>
      </c>
      <c r="O16782" s="3" t="s">
        <v>10</v>
      </c>
      <c r="P16782" s="3" t="s">
        <v>9</v>
      </c>
      <c r="Q16782" s="3"/>
    </row>
    <row r="16783" spans="1:17" ht="15" x14ac:dyDescent="0.25">
      <c r="A16783" s="3">
        <f>16776</f>
        <v>16776</v>
      </c>
      <c r="B16783" s="3" t="s">
        <v>16785</v>
      </c>
      <c r="C16783" s="3" t="s">
        <v>9</v>
      </c>
      <c r="D16783" s="3" t="s">
        <v>10</v>
      </c>
      <c r="E16783" s="3">
        <v>0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s="3" t="s">
        <v>10</v>
      </c>
      <c r="P16783" s="3" t="s">
        <v>9</v>
      </c>
      <c r="Q16783" s="3"/>
    </row>
    <row r="16784" spans="1:17" ht="15" x14ac:dyDescent="0.25">
      <c r="A16784" s="3">
        <f>16777</f>
        <v>16777</v>
      </c>
      <c r="B16784" s="3" t="s">
        <v>16786</v>
      </c>
      <c r="C16784" s="3" t="s">
        <v>9</v>
      </c>
      <c r="D16784" s="3" t="s">
        <v>10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s="3" t="s">
        <v>10</v>
      </c>
      <c r="P16784" s="3" t="s">
        <v>9</v>
      </c>
      <c r="Q16784" s="3"/>
    </row>
    <row r="16785" spans="1:17" ht="15" x14ac:dyDescent="0.25">
      <c r="A16785" s="3">
        <f>16778</f>
        <v>16778</v>
      </c>
      <c r="B16785" s="3" t="s">
        <v>16787</v>
      </c>
      <c r="C16785" s="3" t="s">
        <v>9</v>
      </c>
      <c r="D16785" s="3" t="s">
        <v>10</v>
      </c>
      <c r="E16785" s="3">
        <v>0</v>
      </c>
      <c r="F16785" s="3">
        <v>0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0</v>
      </c>
      <c r="O16785" s="3" t="s">
        <v>10</v>
      </c>
      <c r="P16785" s="3" t="s">
        <v>9</v>
      </c>
      <c r="Q16785" s="3"/>
    </row>
    <row r="16786" spans="1:17" ht="15" x14ac:dyDescent="0.25">
      <c r="A16786" s="3">
        <f>16779</f>
        <v>16779</v>
      </c>
      <c r="B16786" s="3" t="s">
        <v>16788</v>
      </c>
      <c r="C16786" s="3" t="s">
        <v>9</v>
      </c>
      <c r="D16786" s="3" t="s">
        <v>10</v>
      </c>
      <c r="E16786" s="3">
        <v>0</v>
      </c>
      <c r="F16786" s="3">
        <v>0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0</v>
      </c>
      <c r="O16786" s="3" t="s">
        <v>10</v>
      </c>
      <c r="P16786" s="3" t="s">
        <v>9</v>
      </c>
      <c r="Q16786" s="3"/>
    </row>
    <row r="16787" spans="1:17" ht="15" x14ac:dyDescent="0.25">
      <c r="A16787" s="3">
        <f>16780</f>
        <v>16780</v>
      </c>
      <c r="B16787" s="3" t="s">
        <v>16789</v>
      </c>
      <c r="C16787" s="3" t="s">
        <v>9</v>
      </c>
      <c r="D16787" s="3" t="s">
        <v>10</v>
      </c>
      <c r="E16787" s="3">
        <v>0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0</v>
      </c>
      <c r="O16787" s="3" t="s">
        <v>10</v>
      </c>
      <c r="P16787" s="3" t="s">
        <v>9</v>
      </c>
      <c r="Q16787" s="3"/>
    </row>
    <row r="16788" spans="1:17" ht="15" x14ac:dyDescent="0.25">
      <c r="A16788" s="3">
        <f>16781</f>
        <v>16781</v>
      </c>
      <c r="B16788" s="3" t="s">
        <v>16790</v>
      </c>
      <c r="C16788" s="3" t="s">
        <v>9</v>
      </c>
      <c r="D16788" s="3" t="s">
        <v>10</v>
      </c>
      <c r="E16788" s="3">
        <v>0</v>
      </c>
      <c r="F16788" s="3">
        <v>0</v>
      </c>
      <c r="G16788" s="3">
        <v>1</v>
      </c>
      <c r="H16788" s="3">
        <v>0</v>
      </c>
      <c r="I16788" s="3">
        <v>0</v>
      </c>
      <c r="J16788" s="3">
        <v>0</v>
      </c>
      <c r="K16788" s="3">
        <v>0</v>
      </c>
      <c r="L16788" s="3">
        <v>1</v>
      </c>
      <c r="M16788" s="3">
        <v>0</v>
      </c>
      <c r="N16788" s="3">
        <v>0</v>
      </c>
      <c r="O16788" s="3" t="s">
        <v>10</v>
      </c>
      <c r="P16788" s="3" t="s">
        <v>9</v>
      </c>
      <c r="Q16788" s="3"/>
    </row>
    <row r="16789" spans="1:17" ht="15" x14ac:dyDescent="0.25">
      <c r="A16789" s="3">
        <f>16782</f>
        <v>16782</v>
      </c>
      <c r="B16789" s="3" t="s">
        <v>16791</v>
      </c>
      <c r="C16789" s="3" t="s">
        <v>10</v>
      </c>
      <c r="D16789" s="3" t="s">
        <v>9</v>
      </c>
      <c r="E16789" s="3">
        <v>0</v>
      </c>
      <c r="F16789" s="3">
        <v>0</v>
      </c>
      <c r="G16789" s="3">
        <v>1</v>
      </c>
      <c r="H16789" s="3">
        <v>0</v>
      </c>
      <c r="I16789" s="3">
        <v>0</v>
      </c>
      <c r="J16789" s="3">
        <v>0</v>
      </c>
      <c r="K16789" s="3">
        <v>0</v>
      </c>
      <c r="L16789" s="3">
        <v>1</v>
      </c>
      <c r="M16789" s="3">
        <v>0</v>
      </c>
      <c r="N16789" s="3">
        <v>0</v>
      </c>
      <c r="O16789" s="3" t="s">
        <v>10</v>
      </c>
      <c r="P16789" s="3" t="s">
        <v>9</v>
      </c>
      <c r="Q16789" s="3"/>
    </row>
    <row r="16790" spans="1:17" ht="15" x14ac:dyDescent="0.25">
      <c r="A16790" s="3">
        <f>16783</f>
        <v>16783</v>
      </c>
      <c r="B16790" s="3" t="s">
        <v>16792</v>
      </c>
      <c r="C16790" s="3" t="s">
        <v>9</v>
      </c>
      <c r="D16790" s="3" t="s">
        <v>10</v>
      </c>
      <c r="E16790" s="3">
        <v>0</v>
      </c>
      <c r="F16790" s="3">
        <v>0</v>
      </c>
      <c r="G16790" s="3">
        <v>1</v>
      </c>
      <c r="H16790" s="3">
        <v>0</v>
      </c>
      <c r="I16790" s="3">
        <v>0</v>
      </c>
      <c r="J16790" s="3">
        <v>0</v>
      </c>
      <c r="K16790" s="3">
        <v>0</v>
      </c>
      <c r="L16790" s="3">
        <v>1</v>
      </c>
      <c r="M16790" s="3">
        <v>0</v>
      </c>
      <c r="N16790" s="3">
        <v>0</v>
      </c>
      <c r="O16790" s="3" t="s">
        <v>10</v>
      </c>
      <c r="P16790" s="3" t="s">
        <v>9</v>
      </c>
      <c r="Q16790" s="3"/>
    </row>
    <row r="16791" spans="1:17" ht="15" x14ac:dyDescent="0.25">
      <c r="A16791" s="3">
        <f>16784</f>
        <v>16784</v>
      </c>
      <c r="B16791" s="3" t="s">
        <v>16793</v>
      </c>
      <c r="C16791" s="3" t="s">
        <v>9</v>
      </c>
      <c r="D16791" s="3" t="s">
        <v>10</v>
      </c>
      <c r="E16791" s="3">
        <v>0</v>
      </c>
      <c r="F16791" s="3">
        <v>0</v>
      </c>
      <c r="G16791" s="3">
        <v>1</v>
      </c>
      <c r="H16791" s="3">
        <v>0</v>
      </c>
      <c r="I16791" s="3">
        <v>0</v>
      </c>
      <c r="J16791" s="3">
        <v>0</v>
      </c>
      <c r="K16791" s="3">
        <v>0</v>
      </c>
      <c r="L16791" s="3">
        <v>1</v>
      </c>
      <c r="M16791" s="3">
        <v>0</v>
      </c>
      <c r="N16791" s="3">
        <v>0</v>
      </c>
      <c r="O16791" s="3" t="s">
        <v>10</v>
      </c>
      <c r="P16791" s="3" t="s">
        <v>9</v>
      </c>
      <c r="Q16791" s="3"/>
    </row>
    <row r="16792" spans="1:17" ht="15" x14ac:dyDescent="0.25">
      <c r="A16792" s="3">
        <f>16785</f>
        <v>16785</v>
      </c>
      <c r="B16792" s="3" t="s">
        <v>16794</v>
      </c>
      <c r="C16792" s="3" t="s">
        <v>9</v>
      </c>
      <c r="D16792" s="3" t="s">
        <v>10</v>
      </c>
      <c r="E16792" s="3">
        <v>0</v>
      </c>
      <c r="F16792" s="3">
        <v>0</v>
      </c>
      <c r="G16792" s="3">
        <v>1</v>
      </c>
      <c r="H16792" s="3">
        <v>0</v>
      </c>
      <c r="I16792" s="3">
        <v>0</v>
      </c>
      <c r="J16792" s="3">
        <v>0</v>
      </c>
      <c r="K16792" s="3">
        <v>0</v>
      </c>
      <c r="L16792" s="3">
        <v>1</v>
      </c>
      <c r="M16792" s="3">
        <v>0</v>
      </c>
      <c r="N16792" s="3">
        <v>0</v>
      </c>
      <c r="O16792" s="3" t="s">
        <v>10</v>
      </c>
      <c r="P16792" s="3" t="s">
        <v>9</v>
      </c>
      <c r="Q16792" s="3"/>
    </row>
    <row r="16793" spans="1:17" ht="15" x14ac:dyDescent="0.25">
      <c r="A16793" s="3">
        <f>16786</f>
        <v>16786</v>
      </c>
      <c r="B16793" s="3" t="s">
        <v>16795</v>
      </c>
      <c r="C16793" s="3" t="s">
        <v>9</v>
      </c>
      <c r="D16793" s="3" t="s">
        <v>10</v>
      </c>
      <c r="E16793" s="3">
        <v>0</v>
      </c>
      <c r="F16793" s="3">
        <v>0</v>
      </c>
      <c r="G16793" s="3">
        <v>1</v>
      </c>
      <c r="H16793" s="3">
        <v>0</v>
      </c>
      <c r="I16793" s="3">
        <v>0</v>
      </c>
      <c r="J16793" s="3">
        <v>0</v>
      </c>
      <c r="K16793" s="3">
        <v>0</v>
      </c>
      <c r="L16793" s="3">
        <v>1</v>
      </c>
      <c r="M16793" s="3">
        <v>0</v>
      </c>
      <c r="N16793" s="3">
        <v>0</v>
      </c>
      <c r="O16793" s="3" t="s">
        <v>10</v>
      </c>
      <c r="P16793" s="3" t="s">
        <v>9</v>
      </c>
      <c r="Q16793" s="3"/>
    </row>
    <row r="16794" spans="1:17" ht="15" x14ac:dyDescent="0.25">
      <c r="A16794" s="3">
        <f>16787</f>
        <v>16787</v>
      </c>
      <c r="B16794" s="3" t="s">
        <v>16796</v>
      </c>
      <c r="C16794" s="3" t="s">
        <v>9</v>
      </c>
      <c r="D16794" s="3" t="s">
        <v>10</v>
      </c>
      <c r="E16794" s="3">
        <v>0</v>
      </c>
      <c r="F16794" s="3">
        <v>0</v>
      </c>
      <c r="G16794" s="3">
        <v>1</v>
      </c>
      <c r="H16794" s="3">
        <v>0</v>
      </c>
      <c r="I16794" s="3">
        <v>0</v>
      </c>
      <c r="J16794" s="3">
        <v>0</v>
      </c>
      <c r="K16794" s="3">
        <v>0</v>
      </c>
      <c r="L16794" s="3">
        <v>1</v>
      </c>
      <c r="M16794" s="3">
        <v>0</v>
      </c>
      <c r="N16794" s="3">
        <v>0</v>
      </c>
      <c r="O16794" s="3" t="s">
        <v>10</v>
      </c>
      <c r="P16794" s="3" t="s">
        <v>9</v>
      </c>
      <c r="Q16794" s="3"/>
    </row>
    <row r="16795" spans="1:17" ht="15" x14ac:dyDescent="0.25">
      <c r="A16795" s="3">
        <f>16788</f>
        <v>16788</v>
      </c>
      <c r="B16795" s="3" t="s">
        <v>16797</v>
      </c>
      <c r="C16795" s="3" t="s">
        <v>9</v>
      </c>
      <c r="D16795" s="3" t="s">
        <v>10</v>
      </c>
      <c r="E16795" s="3">
        <v>0</v>
      </c>
      <c r="F16795" s="3">
        <v>0</v>
      </c>
      <c r="G16795" s="3">
        <v>1</v>
      </c>
      <c r="H16795" s="3">
        <v>0</v>
      </c>
      <c r="I16795" s="3">
        <v>0</v>
      </c>
      <c r="J16795" s="3">
        <v>0</v>
      </c>
      <c r="K16795" s="3">
        <v>0</v>
      </c>
      <c r="L16795" s="3">
        <v>1</v>
      </c>
      <c r="M16795" s="3">
        <v>0</v>
      </c>
      <c r="N16795" s="3">
        <v>0</v>
      </c>
      <c r="O16795" s="3" t="s">
        <v>10</v>
      </c>
      <c r="P16795" s="3" t="s">
        <v>9</v>
      </c>
      <c r="Q16795" s="3"/>
    </row>
    <row r="16796" spans="1:17" ht="15" x14ac:dyDescent="0.25">
      <c r="A16796" s="3">
        <f>16789</f>
        <v>16789</v>
      </c>
      <c r="B16796" s="3" t="s">
        <v>16798</v>
      </c>
      <c r="C16796" s="3" t="s">
        <v>9</v>
      </c>
      <c r="D16796" s="3" t="s">
        <v>10</v>
      </c>
      <c r="E16796" s="3">
        <v>0</v>
      </c>
      <c r="F16796" s="3">
        <v>0</v>
      </c>
      <c r="G16796" s="3">
        <v>1</v>
      </c>
      <c r="H16796" s="3">
        <v>0</v>
      </c>
      <c r="I16796" s="3">
        <v>0</v>
      </c>
      <c r="J16796" s="3">
        <v>0</v>
      </c>
      <c r="K16796" s="3">
        <v>0</v>
      </c>
      <c r="L16796" s="3">
        <v>1</v>
      </c>
      <c r="M16796" s="3">
        <v>0</v>
      </c>
      <c r="N16796" s="3">
        <v>0</v>
      </c>
      <c r="O16796" s="3" t="s">
        <v>10</v>
      </c>
      <c r="P16796" s="3" t="s">
        <v>9</v>
      </c>
      <c r="Q16796" s="3"/>
    </row>
    <row r="16797" spans="1:17" ht="15" x14ac:dyDescent="0.25">
      <c r="A16797" s="3">
        <f>16790</f>
        <v>16790</v>
      </c>
      <c r="B16797" s="3" t="s">
        <v>16799</v>
      </c>
      <c r="C16797" s="3" t="s">
        <v>9</v>
      </c>
      <c r="D16797" s="3" t="s">
        <v>10</v>
      </c>
      <c r="E16797" s="3">
        <v>0</v>
      </c>
      <c r="F16797" s="3">
        <v>0</v>
      </c>
      <c r="G16797" s="3">
        <v>1</v>
      </c>
      <c r="H16797" s="3">
        <v>0</v>
      </c>
      <c r="I16797" s="3">
        <v>0</v>
      </c>
      <c r="J16797" s="3">
        <v>0</v>
      </c>
      <c r="K16797" s="3">
        <v>0</v>
      </c>
      <c r="L16797" s="3">
        <v>1</v>
      </c>
      <c r="M16797" s="3">
        <v>0</v>
      </c>
      <c r="N16797" s="3">
        <v>0</v>
      </c>
      <c r="O16797" s="3" t="s">
        <v>10</v>
      </c>
      <c r="P16797" s="3" t="s">
        <v>9</v>
      </c>
      <c r="Q16797" s="3"/>
    </row>
    <row r="16798" spans="1:17" ht="15" x14ac:dyDescent="0.25">
      <c r="A16798" s="3">
        <f>16791</f>
        <v>16791</v>
      </c>
      <c r="B16798" s="3" t="s">
        <v>16800</v>
      </c>
      <c r="C16798" s="3" t="s">
        <v>9</v>
      </c>
      <c r="D16798" s="3" t="s">
        <v>10</v>
      </c>
      <c r="E16798" s="3">
        <v>0</v>
      </c>
      <c r="F16798" s="3">
        <v>0</v>
      </c>
      <c r="G16798" s="3">
        <v>1</v>
      </c>
      <c r="H16798" s="3">
        <v>0</v>
      </c>
      <c r="I16798" s="3">
        <v>0</v>
      </c>
      <c r="J16798" s="3">
        <v>0</v>
      </c>
      <c r="K16798" s="3">
        <v>0</v>
      </c>
      <c r="L16798" s="3">
        <v>1</v>
      </c>
      <c r="M16798" s="3">
        <v>0</v>
      </c>
      <c r="N16798" s="3">
        <v>0</v>
      </c>
      <c r="O16798" s="3" t="s">
        <v>10</v>
      </c>
      <c r="P16798" s="3" t="s">
        <v>9</v>
      </c>
      <c r="Q16798" s="3"/>
    </row>
    <row r="16799" spans="1:17" ht="15" x14ac:dyDescent="0.25">
      <c r="A16799" s="3">
        <f>16792</f>
        <v>16792</v>
      </c>
      <c r="B16799" s="3" t="s">
        <v>16801</v>
      </c>
      <c r="C16799" s="3" t="s">
        <v>9</v>
      </c>
      <c r="D16799" s="3" t="s">
        <v>10</v>
      </c>
      <c r="E16799" s="3">
        <v>0</v>
      </c>
      <c r="F16799" s="3">
        <v>0</v>
      </c>
      <c r="G16799" s="3">
        <v>1</v>
      </c>
      <c r="H16799" s="3">
        <v>0</v>
      </c>
      <c r="I16799" s="3">
        <v>0</v>
      </c>
      <c r="J16799" s="3">
        <v>0</v>
      </c>
      <c r="K16799" s="3">
        <v>0</v>
      </c>
      <c r="L16799" s="3">
        <v>1</v>
      </c>
      <c r="M16799" s="3">
        <v>0</v>
      </c>
      <c r="N16799" s="3">
        <v>0</v>
      </c>
      <c r="O16799" s="3" t="s">
        <v>10</v>
      </c>
      <c r="P16799" s="3" t="s">
        <v>9</v>
      </c>
      <c r="Q16799" s="3"/>
    </row>
    <row r="16800" spans="1:17" ht="15" x14ac:dyDescent="0.25">
      <c r="A16800" s="3">
        <f>16793</f>
        <v>16793</v>
      </c>
      <c r="B16800" s="3" t="s">
        <v>16802</v>
      </c>
      <c r="C16800" s="3" t="s">
        <v>9</v>
      </c>
      <c r="D16800" s="3" t="s">
        <v>10</v>
      </c>
      <c r="E16800" s="3">
        <v>0</v>
      </c>
      <c r="F16800" s="3">
        <v>0</v>
      </c>
      <c r="G16800" s="3">
        <v>1</v>
      </c>
      <c r="H16800" s="3">
        <v>0</v>
      </c>
      <c r="I16800" s="3">
        <v>0</v>
      </c>
      <c r="J16800" s="3">
        <v>0</v>
      </c>
      <c r="K16800" s="3">
        <v>0</v>
      </c>
      <c r="L16800" s="3">
        <v>1</v>
      </c>
      <c r="M16800" s="3">
        <v>0</v>
      </c>
      <c r="N16800" s="3">
        <v>0</v>
      </c>
      <c r="O16800" s="3" t="s">
        <v>10</v>
      </c>
      <c r="P16800" s="3" t="s">
        <v>9</v>
      </c>
      <c r="Q16800" s="3"/>
    </row>
    <row r="16801" spans="1:17" ht="15" x14ac:dyDescent="0.25">
      <c r="A16801" s="3">
        <f>16794</f>
        <v>16794</v>
      </c>
      <c r="B16801" s="3" t="s">
        <v>16803</v>
      </c>
      <c r="C16801" s="3" t="s">
        <v>9</v>
      </c>
      <c r="D16801" s="3" t="s">
        <v>10</v>
      </c>
      <c r="E16801" s="3">
        <v>0</v>
      </c>
      <c r="F16801" s="3">
        <v>0</v>
      </c>
      <c r="G16801" s="3">
        <v>1</v>
      </c>
      <c r="H16801" s="3">
        <v>0</v>
      </c>
      <c r="I16801" s="3">
        <v>0</v>
      </c>
      <c r="J16801" s="3">
        <v>0</v>
      </c>
      <c r="K16801" s="3">
        <v>0</v>
      </c>
      <c r="L16801" s="3">
        <v>1</v>
      </c>
      <c r="M16801" s="3">
        <v>0</v>
      </c>
      <c r="N16801" s="3">
        <v>0</v>
      </c>
      <c r="O16801" s="3" t="s">
        <v>10</v>
      </c>
      <c r="P16801" s="3" t="s">
        <v>9</v>
      </c>
      <c r="Q16801" s="3"/>
    </row>
    <row r="16802" spans="1:17" ht="15" x14ac:dyDescent="0.25">
      <c r="A16802" s="3">
        <f>16795</f>
        <v>16795</v>
      </c>
      <c r="B16802" s="3" t="s">
        <v>16804</v>
      </c>
      <c r="C16802" s="3" t="s">
        <v>9</v>
      </c>
      <c r="D16802" s="3" t="s">
        <v>10</v>
      </c>
      <c r="E16802" s="3">
        <v>0</v>
      </c>
      <c r="F16802" s="3">
        <v>0</v>
      </c>
      <c r="G16802" s="3">
        <v>1</v>
      </c>
      <c r="H16802" s="3">
        <v>0</v>
      </c>
      <c r="I16802" s="3">
        <v>0</v>
      </c>
      <c r="J16802" s="3">
        <v>0</v>
      </c>
      <c r="K16802" s="3">
        <v>0</v>
      </c>
      <c r="L16802" s="3">
        <v>1</v>
      </c>
      <c r="M16802" s="3">
        <v>0</v>
      </c>
      <c r="N16802" s="3">
        <v>0</v>
      </c>
      <c r="O16802" s="3" t="s">
        <v>10</v>
      </c>
      <c r="P16802" s="3" t="s">
        <v>9</v>
      </c>
      <c r="Q16802" s="3"/>
    </row>
    <row r="16803" spans="1:17" ht="15" x14ac:dyDescent="0.25">
      <c r="A16803" s="3">
        <f>16796</f>
        <v>16796</v>
      </c>
      <c r="B16803" s="3" t="s">
        <v>16805</v>
      </c>
      <c r="C16803" s="3" t="s">
        <v>9</v>
      </c>
      <c r="D16803" s="3" t="s">
        <v>10</v>
      </c>
      <c r="E16803" s="3">
        <v>0</v>
      </c>
      <c r="F16803" s="3">
        <v>0</v>
      </c>
      <c r="G16803" s="3">
        <v>1</v>
      </c>
      <c r="H16803" s="3">
        <v>0</v>
      </c>
      <c r="I16803" s="3">
        <v>0</v>
      </c>
      <c r="J16803" s="3">
        <v>0</v>
      </c>
      <c r="K16803" s="3">
        <v>0</v>
      </c>
      <c r="L16803" s="3">
        <v>1</v>
      </c>
      <c r="M16803" s="3">
        <v>0</v>
      </c>
      <c r="N16803" s="3">
        <v>0</v>
      </c>
      <c r="O16803" s="3" t="s">
        <v>10</v>
      </c>
      <c r="P16803" s="3" t="s">
        <v>9</v>
      </c>
      <c r="Q16803" s="3"/>
    </row>
    <row r="16804" spans="1:17" ht="15" x14ac:dyDescent="0.25">
      <c r="A16804" s="3">
        <f>16797</f>
        <v>16797</v>
      </c>
      <c r="B16804" s="3" t="s">
        <v>16806</v>
      </c>
      <c r="C16804" s="3" t="s">
        <v>9</v>
      </c>
      <c r="D16804" s="3" t="s">
        <v>10</v>
      </c>
      <c r="E16804" s="3">
        <v>0</v>
      </c>
      <c r="F16804" s="3">
        <v>0</v>
      </c>
      <c r="G16804" s="3">
        <v>1</v>
      </c>
      <c r="H16804" s="3">
        <v>0</v>
      </c>
      <c r="I16804" s="3">
        <v>0</v>
      </c>
      <c r="J16804" s="3">
        <v>0</v>
      </c>
      <c r="K16804" s="3">
        <v>0</v>
      </c>
      <c r="L16804" s="3">
        <v>1</v>
      </c>
      <c r="M16804" s="3">
        <v>0</v>
      </c>
      <c r="N16804" s="3">
        <v>0</v>
      </c>
      <c r="O16804" s="3" t="s">
        <v>10</v>
      </c>
      <c r="P16804" s="3" t="s">
        <v>9</v>
      </c>
      <c r="Q16804" s="3"/>
    </row>
    <row r="16805" spans="1:17" ht="15" x14ac:dyDescent="0.25">
      <c r="A16805" s="3">
        <f>16798</f>
        <v>16798</v>
      </c>
      <c r="B16805" s="3" t="s">
        <v>16807</v>
      </c>
      <c r="C16805" s="3" t="s">
        <v>9</v>
      </c>
      <c r="D16805" s="3" t="s">
        <v>10</v>
      </c>
      <c r="E16805" s="3">
        <v>0</v>
      </c>
      <c r="F16805" s="3">
        <v>0</v>
      </c>
      <c r="G16805" s="3">
        <v>1</v>
      </c>
      <c r="H16805" s="3">
        <v>0</v>
      </c>
      <c r="I16805" s="3">
        <v>0</v>
      </c>
      <c r="J16805" s="3">
        <v>0</v>
      </c>
      <c r="K16805" s="3">
        <v>0</v>
      </c>
      <c r="L16805" s="3">
        <v>1</v>
      </c>
      <c r="M16805" s="3">
        <v>0</v>
      </c>
      <c r="N16805" s="3">
        <v>0</v>
      </c>
      <c r="O16805" s="3" t="s">
        <v>10</v>
      </c>
      <c r="P16805" s="3" t="s">
        <v>9</v>
      </c>
      <c r="Q16805" s="3"/>
    </row>
    <row r="16806" spans="1:17" ht="15" x14ac:dyDescent="0.25">
      <c r="A16806" s="3">
        <f>16799</f>
        <v>16799</v>
      </c>
      <c r="B16806" s="3" t="s">
        <v>16808</v>
      </c>
      <c r="C16806" s="3" t="s">
        <v>9</v>
      </c>
      <c r="D16806" s="3" t="s">
        <v>10</v>
      </c>
      <c r="E16806" s="3">
        <v>0</v>
      </c>
      <c r="F16806" s="3">
        <v>0</v>
      </c>
      <c r="G16806" s="3">
        <v>1</v>
      </c>
      <c r="H16806" s="3">
        <v>0</v>
      </c>
      <c r="I16806" s="3">
        <v>0</v>
      </c>
      <c r="J16806" s="3">
        <v>0</v>
      </c>
      <c r="K16806" s="3">
        <v>0</v>
      </c>
      <c r="L16806" s="3">
        <v>1</v>
      </c>
      <c r="M16806" s="3">
        <v>0</v>
      </c>
      <c r="N16806" s="3">
        <v>0</v>
      </c>
      <c r="O16806" s="3" t="s">
        <v>10</v>
      </c>
      <c r="P16806" s="3" t="s">
        <v>9</v>
      </c>
      <c r="Q16806" s="3"/>
    </row>
    <row r="16807" spans="1:17" ht="15" x14ac:dyDescent="0.25">
      <c r="A16807" s="3">
        <f>16800</f>
        <v>16800</v>
      </c>
      <c r="B16807" s="3" t="s">
        <v>16809</v>
      </c>
      <c r="C16807" s="3" t="s">
        <v>9</v>
      </c>
      <c r="D16807" s="3" t="s">
        <v>10</v>
      </c>
      <c r="E16807" s="3">
        <v>0</v>
      </c>
      <c r="F16807" s="3">
        <v>0</v>
      </c>
      <c r="G16807" s="3">
        <v>1</v>
      </c>
      <c r="H16807" s="3">
        <v>0</v>
      </c>
      <c r="I16807" s="3">
        <v>0</v>
      </c>
      <c r="J16807" s="3">
        <v>0</v>
      </c>
      <c r="K16807" s="3">
        <v>0</v>
      </c>
      <c r="L16807" s="3">
        <v>1</v>
      </c>
      <c r="M16807" s="3">
        <v>0</v>
      </c>
      <c r="N16807" s="3">
        <v>0</v>
      </c>
      <c r="O16807" s="3" t="s">
        <v>10</v>
      </c>
      <c r="P16807" s="3" t="s">
        <v>9</v>
      </c>
      <c r="Q16807" s="3"/>
    </row>
    <row r="16808" spans="1:17" ht="15" x14ac:dyDescent="0.25">
      <c r="A16808" s="3">
        <f>16801</f>
        <v>16801</v>
      </c>
      <c r="B16808" s="3" t="s">
        <v>16810</v>
      </c>
      <c r="C16808" s="3" t="s">
        <v>9</v>
      </c>
      <c r="D16808" s="3" t="s">
        <v>10</v>
      </c>
      <c r="E16808" s="3">
        <v>0</v>
      </c>
      <c r="F16808" s="3">
        <v>0</v>
      </c>
      <c r="G16808" s="3">
        <v>1</v>
      </c>
      <c r="H16808" s="3">
        <v>0</v>
      </c>
      <c r="I16808" s="3">
        <v>0</v>
      </c>
      <c r="J16808" s="3">
        <v>0</v>
      </c>
      <c r="K16808" s="3">
        <v>0</v>
      </c>
      <c r="L16808" s="3">
        <v>1</v>
      </c>
      <c r="M16808" s="3">
        <v>0</v>
      </c>
      <c r="N16808" s="3">
        <v>0</v>
      </c>
      <c r="O16808" s="3" t="s">
        <v>10</v>
      </c>
      <c r="P16808" s="3" t="s">
        <v>9</v>
      </c>
      <c r="Q16808" s="3"/>
    </row>
    <row r="16809" spans="1:17" ht="15" x14ac:dyDescent="0.25">
      <c r="A16809" s="3">
        <f>16802</f>
        <v>16802</v>
      </c>
      <c r="B16809" s="3" t="s">
        <v>16811</v>
      </c>
      <c r="C16809" s="3" t="s">
        <v>9</v>
      </c>
      <c r="D16809" s="3" t="s">
        <v>10</v>
      </c>
      <c r="E16809" s="3">
        <v>0</v>
      </c>
      <c r="F16809" s="3">
        <v>0</v>
      </c>
      <c r="G16809" s="3">
        <v>1</v>
      </c>
      <c r="H16809" s="3">
        <v>0</v>
      </c>
      <c r="I16809" s="3">
        <v>0</v>
      </c>
      <c r="J16809" s="3">
        <v>0</v>
      </c>
      <c r="K16809" s="3">
        <v>0</v>
      </c>
      <c r="L16809" s="3">
        <v>1</v>
      </c>
      <c r="M16809" s="3">
        <v>0</v>
      </c>
      <c r="N16809" s="3">
        <v>0</v>
      </c>
      <c r="O16809" s="3" t="s">
        <v>10</v>
      </c>
      <c r="P16809" s="3" t="s">
        <v>9</v>
      </c>
      <c r="Q16809" s="3"/>
    </row>
    <row r="16810" spans="1:17" ht="15" x14ac:dyDescent="0.25">
      <c r="A16810" s="3">
        <f>16803</f>
        <v>16803</v>
      </c>
      <c r="B16810" s="3" t="s">
        <v>16812</v>
      </c>
      <c r="C16810" s="3" t="s">
        <v>9</v>
      </c>
      <c r="D16810" s="3" t="s">
        <v>10</v>
      </c>
      <c r="E16810" s="3">
        <v>0</v>
      </c>
      <c r="F16810" s="3">
        <v>0</v>
      </c>
      <c r="G16810" s="3">
        <v>1</v>
      </c>
      <c r="H16810" s="3">
        <v>0</v>
      </c>
      <c r="I16810" s="3">
        <v>0</v>
      </c>
      <c r="J16810" s="3">
        <v>0</v>
      </c>
      <c r="K16810" s="3">
        <v>0</v>
      </c>
      <c r="L16810" s="3">
        <v>1</v>
      </c>
      <c r="M16810" s="3">
        <v>0</v>
      </c>
      <c r="N16810" s="3">
        <v>0</v>
      </c>
      <c r="O16810" s="3" t="s">
        <v>10</v>
      </c>
      <c r="P16810" s="3" t="s">
        <v>9</v>
      </c>
      <c r="Q16810" s="3"/>
    </row>
    <row r="16811" spans="1:17" ht="15" x14ac:dyDescent="0.25">
      <c r="A16811" s="3">
        <f>16804</f>
        <v>16804</v>
      </c>
      <c r="B16811" s="3" t="s">
        <v>16813</v>
      </c>
      <c r="C16811" s="3" t="s">
        <v>9</v>
      </c>
      <c r="D16811" s="3" t="s">
        <v>10</v>
      </c>
      <c r="E16811" s="3">
        <v>0</v>
      </c>
      <c r="F16811" s="3">
        <v>0</v>
      </c>
      <c r="G16811" s="3">
        <v>1</v>
      </c>
      <c r="H16811" s="3">
        <v>0</v>
      </c>
      <c r="I16811" s="3">
        <v>0</v>
      </c>
      <c r="J16811" s="3">
        <v>0</v>
      </c>
      <c r="K16811" s="3">
        <v>0</v>
      </c>
      <c r="L16811" s="3">
        <v>1</v>
      </c>
      <c r="M16811" s="3">
        <v>0</v>
      </c>
      <c r="N16811" s="3">
        <v>0</v>
      </c>
      <c r="O16811" s="3" t="s">
        <v>10</v>
      </c>
      <c r="P16811" s="3" t="s">
        <v>9</v>
      </c>
      <c r="Q16811" s="3"/>
    </row>
    <row r="16812" spans="1:17" ht="15" x14ac:dyDescent="0.25">
      <c r="A16812" s="3">
        <f>16805</f>
        <v>16805</v>
      </c>
      <c r="B16812" s="3" t="s">
        <v>16814</v>
      </c>
      <c r="C16812" s="3" t="s">
        <v>9</v>
      </c>
      <c r="D16812" s="3" t="s">
        <v>10</v>
      </c>
      <c r="E16812" s="3">
        <v>0</v>
      </c>
      <c r="F16812" s="3">
        <v>0</v>
      </c>
      <c r="G16812" s="3">
        <v>1</v>
      </c>
      <c r="H16812" s="3">
        <v>0</v>
      </c>
      <c r="I16812" s="3">
        <v>0</v>
      </c>
      <c r="J16812" s="3">
        <v>0</v>
      </c>
      <c r="K16812" s="3">
        <v>0</v>
      </c>
      <c r="L16812" s="3">
        <v>1</v>
      </c>
      <c r="M16812" s="3">
        <v>0</v>
      </c>
      <c r="N16812" s="3">
        <v>0</v>
      </c>
      <c r="O16812" s="3" t="s">
        <v>10</v>
      </c>
      <c r="P16812" s="3" t="s">
        <v>9</v>
      </c>
      <c r="Q16812" s="3"/>
    </row>
    <row r="16813" spans="1:17" ht="15" x14ac:dyDescent="0.25">
      <c r="A16813" s="3">
        <f>16806</f>
        <v>16806</v>
      </c>
      <c r="B16813" s="3" t="s">
        <v>16815</v>
      </c>
      <c r="C16813" s="3" t="s">
        <v>9</v>
      </c>
      <c r="D16813" s="3" t="s">
        <v>10</v>
      </c>
      <c r="E16813" s="3">
        <v>0</v>
      </c>
      <c r="F16813" s="3">
        <v>0</v>
      </c>
      <c r="G16813" s="3">
        <v>1</v>
      </c>
      <c r="H16813" s="3">
        <v>0</v>
      </c>
      <c r="I16813" s="3">
        <v>0</v>
      </c>
      <c r="J16813" s="3">
        <v>0</v>
      </c>
      <c r="K16813" s="3">
        <v>0</v>
      </c>
      <c r="L16813" s="3">
        <v>1</v>
      </c>
      <c r="M16813" s="3">
        <v>0</v>
      </c>
      <c r="N16813" s="3">
        <v>0</v>
      </c>
      <c r="O16813" s="3" t="s">
        <v>10</v>
      </c>
      <c r="P16813" s="3" t="s">
        <v>9</v>
      </c>
      <c r="Q16813" s="3"/>
    </row>
    <row r="16814" spans="1:17" ht="15" x14ac:dyDescent="0.25">
      <c r="A16814" s="3">
        <f>16807</f>
        <v>16807</v>
      </c>
      <c r="B16814" s="3" t="s">
        <v>16816</v>
      </c>
      <c r="C16814" s="3" t="s">
        <v>9</v>
      </c>
      <c r="D16814" s="3" t="s">
        <v>10</v>
      </c>
      <c r="E16814" s="3">
        <v>0</v>
      </c>
      <c r="F16814" s="3">
        <v>0</v>
      </c>
      <c r="G16814" s="3">
        <v>1</v>
      </c>
      <c r="H16814" s="3">
        <v>0</v>
      </c>
      <c r="I16814" s="3">
        <v>0</v>
      </c>
      <c r="J16814" s="3">
        <v>0</v>
      </c>
      <c r="K16814" s="3">
        <v>0</v>
      </c>
      <c r="L16814" s="3">
        <v>1</v>
      </c>
      <c r="M16814" s="3">
        <v>0</v>
      </c>
      <c r="N16814" s="3">
        <v>0</v>
      </c>
      <c r="O16814" s="3" t="s">
        <v>10</v>
      </c>
      <c r="P16814" s="3" t="s">
        <v>9</v>
      </c>
      <c r="Q16814" s="3"/>
    </row>
    <row r="16815" spans="1:17" ht="15" x14ac:dyDescent="0.25">
      <c r="A16815" s="3">
        <f>16808</f>
        <v>16808</v>
      </c>
      <c r="B16815" s="3" t="s">
        <v>16817</v>
      </c>
      <c r="C16815" s="3" t="s">
        <v>9</v>
      </c>
      <c r="D16815" s="3" t="s">
        <v>10</v>
      </c>
      <c r="E16815" s="3">
        <v>0</v>
      </c>
      <c r="F16815" s="3">
        <v>0</v>
      </c>
      <c r="G16815" s="3">
        <v>1</v>
      </c>
      <c r="H16815" s="3">
        <v>0</v>
      </c>
      <c r="I16815" s="3">
        <v>0</v>
      </c>
      <c r="J16815" s="3">
        <v>0</v>
      </c>
      <c r="K16815" s="3">
        <v>0</v>
      </c>
      <c r="L16815" s="3">
        <v>1</v>
      </c>
      <c r="M16815" s="3">
        <v>0</v>
      </c>
      <c r="N16815" s="3">
        <v>0</v>
      </c>
      <c r="O16815" s="3" t="s">
        <v>10</v>
      </c>
      <c r="P16815" s="3" t="s">
        <v>9</v>
      </c>
      <c r="Q16815" s="3"/>
    </row>
    <row r="16816" spans="1:17" ht="15" x14ac:dyDescent="0.25">
      <c r="A16816" s="3">
        <f>16809</f>
        <v>16809</v>
      </c>
      <c r="B16816" s="3" t="s">
        <v>16818</v>
      </c>
      <c r="C16816" s="3" t="s">
        <v>9</v>
      </c>
      <c r="D16816" s="3" t="s">
        <v>10</v>
      </c>
      <c r="E16816" s="3">
        <v>0</v>
      </c>
      <c r="F16816" s="3">
        <v>0</v>
      </c>
      <c r="G16816" s="3">
        <v>1</v>
      </c>
      <c r="H16816" s="3">
        <v>0</v>
      </c>
      <c r="I16816" s="3">
        <v>0</v>
      </c>
      <c r="J16816" s="3">
        <v>0</v>
      </c>
      <c r="K16816" s="3">
        <v>0</v>
      </c>
      <c r="L16816" s="3">
        <v>1</v>
      </c>
      <c r="M16816" s="3">
        <v>0</v>
      </c>
      <c r="N16816" s="3">
        <v>0</v>
      </c>
      <c r="O16816" s="3" t="s">
        <v>10</v>
      </c>
      <c r="P16816" s="3" t="s">
        <v>9</v>
      </c>
      <c r="Q16816" s="3"/>
    </row>
    <row r="16817" spans="1:17" ht="15" x14ac:dyDescent="0.25">
      <c r="A16817" s="3">
        <f>16810</f>
        <v>16810</v>
      </c>
      <c r="B16817" s="3" t="s">
        <v>16819</v>
      </c>
      <c r="C16817" s="3" t="s">
        <v>9</v>
      </c>
      <c r="D16817" s="3" t="s">
        <v>10</v>
      </c>
      <c r="E16817" s="3">
        <v>0</v>
      </c>
      <c r="F16817" s="3">
        <v>0</v>
      </c>
      <c r="G16817" s="3">
        <v>1</v>
      </c>
      <c r="H16817" s="3">
        <v>0</v>
      </c>
      <c r="I16817" s="3">
        <v>0</v>
      </c>
      <c r="J16817" s="3">
        <v>0</v>
      </c>
      <c r="K16817" s="3">
        <v>0</v>
      </c>
      <c r="L16817" s="3">
        <v>1</v>
      </c>
      <c r="M16817" s="3">
        <v>0</v>
      </c>
      <c r="N16817" s="3">
        <v>0</v>
      </c>
      <c r="O16817" s="3" t="s">
        <v>10</v>
      </c>
      <c r="P16817" s="3" t="s">
        <v>9</v>
      </c>
      <c r="Q16817" s="3"/>
    </row>
    <row r="16818" spans="1:17" ht="15" x14ac:dyDescent="0.25">
      <c r="A16818" s="3">
        <f>16811</f>
        <v>16811</v>
      </c>
      <c r="B16818" s="3" t="s">
        <v>16820</v>
      </c>
      <c r="C16818" s="3" t="s">
        <v>9</v>
      </c>
      <c r="D16818" s="3" t="s">
        <v>10</v>
      </c>
      <c r="E16818" s="3">
        <v>0</v>
      </c>
      <c r="F16818" s="3">
        <v>0</v>
      </c>
      <c r="G16818" s="3">
        <v>1</v>
      </c>
      <c r="H16818" s="3">
        <v>0</v>
      </c>
      <c r="I16818" s="3">
        <v>0</v>
      </c>
      <c r="J16818" s="3">
        <v>0</v>
      </c>
      <c r="K16818" s="3">
        <v>0</v>
      </c>
      <c r="L16818" s="3">
        <v>1</v>
      </c>
      <c r="M16818" s="3">
        <v>0</v>
      </c>
      <c r="N16818" s="3">
        <v>0</v>
      </c>
      <c r="O16818" s="3" t="s">
        <v>10</v>
      </c>
      <c r="P16818" s="3" t="s">
        <v>9</v>
      </c>
      <c r="Q16818" s="3"/>
    </row>
    <row r="16819" spans="1:17" ht="15" x14ac:dyDescent="0.25">
      <c r="A16819" s="3">
        <f>16812</f>
        <v>16812</v>
      </c>
      <c r="B16819" s="3" t="s">
        <v>16821</v>
      </c>
      <c r="C16819" s="3" t="s">
        <v>9</v>
      </c>
      <c r="D16819" s="3" t="s">
        <v>10</v>
      </c>
      <c r="E16819" s="3">
        <v>0</v>
      </c>
      <c r="F16819" s="3">
        <v>0</v>
      </c>
      <c r="G16819" s="3">
        <v>1</v>
      </c>
      <c r="H16819" s="3">
        <v>0</v>
      </c>
      <c r="I16819" s="3">
        <v>0</v>
      </c>
      <c r="J16819" s="3">
        <v>0</v>
      </c>
      <c r="K16819" s="3">
        <v>0</v>
      </c>
      <c r="L16819" s="3">
        <v>1</v>
      </c>
      <c r="M16819" s="3">
        <v>0</v>
      </c>
      <c r="N16819" s="3">
        <v>0</v>
      </c>
      <c r="O16819" s="3" t="s">
        <v>10</v>
      </c>
      <c r="P16819" s="3" t="s">
        <v>9</v>
      </c>
      <c r="Q16819" s="3"/>
    </row>
    <row r="16820" spans="1:17" ht="15" x14ac:dyDescent="0.25">
      <c r="A16820" s="3">
        <f>16813</f>
        <v>16813</v>
      </c>
      <c r="B16820" s="3" t="s">
        <v>16822</v>
      </c>
      <c r="C16820" s="3" t="s">
        <v>9</v>
      </c>
      <c r="D16820" s="3" t="s">
        <v>10</v>
      </c>
      <c r="E16820" s="3">
        <v>0</v>
      </c>
      <c r="F16820" s="3">
        <v>0</v>
      </c>
      <c r="G16820" s="3">
        <v>1</v>
      </c>
      <c r="H16820" s="3">
        <v>0</v>
      </c>
      <c r="I16820" s="3">
        <v>0</v>
      </c>
      <c r="J16820" s="3">
        <v>0</v>
      </c>
      <c r="K16820" s="3">
        <v>0</v>
      </c>
      <c r="L16820" s="3">
        <v>1</v>
      </c>
      <c r="M16820" s="3">
        <v>0</v>
      </c>
      <c r="N16820" s="3">
        <v>0</v>
      </c>
      <c r="O16820" s="3" t="s">
        <v>10</v>
      </c>
      <c r="P16820" s="3" t="s">
        <v>9</v>
      </c>
      <c r="Q16820" s="3"/>
    </row>
    <row r="16821" spans="1:17" ht="15" x14ac:dyDescent="0.25">
      <c r="A16821" s="3">
        <f>16814</f>
        <v>16814</v>
      </c>
      <c r="B16821" s="3" t="s">
        <v>16823</v>
      </c>
      <c r="C16821" s="3" t="s">
        <v>9</v>
      </c>
      <c r="D16821" s="3" t="s">
        <v>10</v>
      </c>
      <c r="E16821" s="3">
        <v>0</v>
      </c>
      <c r="F16821" s="3">
        <v>0</v>
      </c>
      <c r="G16821" s="3">
        <v>1</v>
      </c>
      <c r="H16821" s="3">
        <v>0</v>
      </c>
      <c r="I16821" s="3">
        <v>0</v>
      </c>
      <c r="J16821" s="3">
        <v>0</v>
      </c>
      <c r="K16821" s="3">
        <v>0</v>
      </c>
      <c r="L16821" s="3">
        <v>1</v>
      </c>
      <c r="M16821" s="3">
        <v>0</v>
      </c>
      <c r="N16821" s="3">
        <v>0</v>
      </c>
      <c r="O16821" s="3" t="s">
        <v>10</v>
      </c>
      <c r="P16821" s="3" t="s">
        <v>9</v>
      </c>
      <c r="Q16821" s="3"/>
    </row>
    <row r="16822" spans="1:17" ht="15" x14ac:dyDescent="0.25">
      <c r="A16822" s="3">
        <f>16815</f>
        <v>16815</v>
      </c>
      <c r="B16822" s="3" t="s">
        <v>16824</v>
      </c>
      <c r="C16822" s="3" t="s">
        <v>9</v>
      </c>
      <c r="D16822" s="3" t="s">
        <v>10</v>
      </c>
      <c r="E16822" s="3">
        <v>0</v>
      </c>
      <c r="F16822" s="3">
        <v>0</v>
      </c>
      <c r="G16822" s="3">
        <v>1</v>
      </c>
      <c r="H16822" s="3">
        <v>0</v>
      </c>
      <c r="I16822" s="3">
        <v>0</v>
      </c>
      <c r="J16822" s="3">
        <v>0</v>
      </c>
      <c r="K16822" s="3">
        <v>0</v>
      </c>
      <c r="L16822" s="3">
        <v>1</v>
      </c>
      <c r="M16822" s="3">
        <v>0</v>
      </c>
      <c r="N16822" s="3">
        <v>0</v>
      </c>
      <c r="O16822" s="3" t="s">
        <v>10</v>
      </c>
      <c r="P16822" s="3" t="s">
        <v>9</v>
      </c>
      <c r="Q16822" s="3"/>
    </row>
    <row r="16823" spans="1:17" ht="15" x14ac:dyDescent="0.25">
      <c r="A16823" s="3">
        <f>16816</f>
        <v>16816</v>
      </c>
      <c r="B16823" s="3" t="s">
        <v>16825</v>
      </c>
      <c r="C16823" s="3" t="s">
        <v>9</v>
      </c>
      <c r="D16823" s="3" t="s">
        <v>10</v>
      </c>
      <c r="E16823" s="3">
        <v>0</v>
      </c>
      <c r="F16823" s="3">
        <v>0</v>
      </c>
      <c r="G16823" s="3">
        <v>1</v>
      </c>
      <c r="H16823" s="3">
        <v>0</v>
      </c>
      <c r="I16823" s="3">
        <v>0</v>
      </c>
      <c r="J16823" s="3">
        <v>0</v>
      </c>
      <c r="K16823" s="3">
        <v>0</v>
      </c>
      <c r="L16823" s="3">
        <v>1</v>
      </c>
      <c r="M16823" s="3">
        <v>0</v>
      </c>
      <c r="N16823" s="3">
        <v>0</v>
      </c>
      <c r="O16823" s="3" t="s">
        <v>10</v>
      </c>
      <c r="P16823" s="3" t="s">
        <v>9</v>
      </c>
      <c r="Q16823" s="3"/>
    </row>
    <row r="16824" spans="1:17" ht="15" x14ac:dyDescent="0.25">
      <c r="A16824" s="3">
        <f>16817</f>
        <v>16817</v>
      </c>
      <c r="B16824" s="3" t="s">
        <v>16826</v>
      </c>
      <c r="C16824" s="3" t="s">
        <v>9</v>
      </c>
      <c r="D16824" s="3" t="s">
        <v>10</v>
      </c>
      <c r="E16824" s="3">
        <v>0</v>
      </c>
      <c r="F16824" s="3">
        <v>0</v>
      </c>
      <c r="G16824" s="3">
        <v>1</v>
      </c>
      <c r="H16824" s="3">
        <v>0</v>
      </c>
      <c r="I16824" s="3">
        <v>0</v>
      </c>
      <c r="J16824" s="3">
        <v>0</v>
      </c>
      <c r="K16824" s="3">
        <v>0</v>
      </c>
      <c r="L16824" s="3">
        <v>1</v>
      </c>
      <c r="M16824" s="3">
        <v>0</v>
      </c>
      <c r="N16824" s="3">
        <v>0</v>
      </c>
      <c r="O16824" s="3" t="s">
        <v>10</v>
      </c>
      <c r="P16824" s="3" t="s">
        <v>9</v>
      </c>
      <c r="Q16824" s="3"/>
    </row>
    <row r="16825" spans="1:17" ht="15" x14ac:dyDescent="0.25">
      <c r="A16825" s="3">
        <f>16818</f>
        <v>16818</v>
      </c>
      <c r="B16825" s="3" t="s">
        <v>16827</v>
      </c>
      <c r="C16825" s="3" t="s">
        <v>9</v>
      </c>
      <c r="D16825" s="3" t="s">
        <v>10</v>
      </c>
      <c r="E16825" s="3">
        <v>0</v>
      </c>
      <c r="F16825" s="3">
        <v>0</v>
      </c>
      <c r="G16825" s="3">
        <v>1</v>
      </c>
      <c r="H16825" s="3">
        <v>0</v>
      </c>
      <c r="I16825" s="3">
        <v>0</v>
      </c>
      <c r="J16825" s="3">
        <v>0</v>
      </c>
      <c r="K16825" s="3">
        <v>0</v>
      </c>
      <c r="L16825" s="3">
        <v>1</v>
      </c>
      <c r="M16825" s="3">
        <v>0</v>
      </c>
      <c r="N16825" s="3">
        <v>0</v>
      </c>
      <c r="O16825" s="3" t="s">
        <v>10</v>
      </c>
      <c r="P16825" s="3" t="s">
        <v>9</v>
      </c>
      <c r="Q16825" s="3"/>
    </row>
    <row r="16826" spans="1:17" ht="15" x14ac:dyDescent="0.25">
      <c r="A16826" s="3">
        <f>16819</f>
        <v>16819</v>
      </c>
      <c r="B16826" s="3" t="s">
        <v>16828</v>
      </c>
      <c r="C16826" s="3" t="s">
        <v>9</v>
      </c>
      <c r="D16826" s="3" t="s">
        <v>10</v>
      </c>
      <c r="E16826" s="3">
        <v>0</v>
      </c>
      <c r="F16826" s="3">
        <v>0</v>
      </c>
      <c r="G16826" s="3">
        <v>1</v>
      </c>
      <c r="H16826" s="3">
        <v>0</v>
      </c>
      <c r="I16826" s="3">
        <v>0</v>
      </c>
      <c r="J16826" s="3">
        <v>0</v>
      </c>
      <c r="K16826" s="3">
        <v>0</v>
      </c>
      <c r="L16826" s="3">
        <v>1</v>
      </c>
      <c r="M16826" s="3">
        <v>0</v>
      </c>
      <c r="N16826" s="3">
        <v>0</v>
      </c>
      <c r="O16826" s="3" t="s">
        <v>10</v>
      </c>
      <c r="P16826" s="3" t="s">
        <v>9</v>
      </c>
      <c r="Q16826" s="3"/>
    </row>
    <row r="16827" spans="1:17" ht="15" x14ac:dyDescent="0.25">
      <c r="A16827" s="3">
        <f>16820</f>
        <v>16820</v>
      </c>
      <c r="B16827" s="3" t="s">
        <v>16829</v>
      </c>
      <c r="C16827" s="3" t="s">
        <v>9</v>
      </c>
      <c r="D16827" s="3" t="s">
        <v>10</v>
      </c>
      <c r="E16827" s="3">
        <v>0</v>
      </c>
      <c r="F16827" s="3">
        <v>0</v>
      </c>
      <c r="G16827" s="3">
        <v>1</v>
      </c>
      <c r="H16827" s="3">
        <v>0</v>
      </c>
      <c r="I16827" s="3">
        <v>0</v>
      </c>
      <c r="J16827" s="3">
        <v>0</v>
      </c>
      <c r="K16827" s="3">
        <v>0</v>
      </c>
      <c r="L16827" s="3">
        <v>1</v>
      </c>
      <c r="M16827" s="3">
        <v>0</v>
      </c>
      <c r="N16827" s="3">
        <v>0</v>
      </c>
      <c r="O16827" s="3" t="s">
        <v>10</v>
      </c>
      <c r="P16827" s="3" t="s">
        <v>9</v>
      </c>
      <c r="Q16827" s="3"/>
    </row>
    <row r="16828" spans="1:17" ht="15" x14ac:dyDescent="0.25">
      <c r="A16828" s="3">
        <f>16821</f>
        <v>16821</v>
      </c>
      <c r="B16828" s="3" t="s">
        <v>16830</v>
      </c>
      <c r="C16828" s="3" t="s">
        <v>9</v>
      </c>
      <c r="D16828" s="3" t="s">
        <v>10</v>
      </c>
      <c r="E16828" s="3">
        <v>0</v>
      </c>
      <c r="F16828" s="3">
        <v>0</v>
      </c>
      <c r="G16828" s="3">
        <v>1</v>
      </c>
      <c r="H16828" s="3">
        <v>0</v>
      </c>
      <c r="I16828" s="3">
        <v>0</v>
      </c>
      <c r="J16828" s="3">
        <v>0</v>
      </c>
      <c r="K16828" s="3">
        <v>0</v>
      </c>
      <c r="L16828" s="3">
        <v>1</v>
      </c>
      <c r="M16828" s="3">
        <v>0</v>
      </c>
      <c r="N16828" s="3">
        <v>0</v>
      </c>
      <c r="O16828" s="3" t="s">
        <v>10</v>
      </c>
      <c r="P16828" s="3" t="s">
        <v>9</v>
      </c>
      <c r="Q16828" s="3"/>
    </row>
    <row r="16829" spans="1:17" ht="15" x14ac:dyDescent="0.25">
      <c r="A16829" s="3">
        <f>16822</f>
        <v>16822</v>
      </c>
      <c r="B16829" s="3" t="s">
        <v>16831</v>
      </c>
      <c r="C16829" s="3" t="s">
        <v>9</v>
      </c>
      <c r="D16829" s="3" t="s">
        <v>10</v>
      </c>
      <c r="E16829" s="3">
        <v>0</v>
      </c>
      <c r="F16829" s="3">
        <v>0</v>
      </c>
      <c r="G16829" s="3">
        <v>1</v>
      </c>
      <c r="H16829" s="3">
        <v>0</v>
      </c>
      <c r="I16829" s="3">
        <v>0</v>
      </c>
      <c r="J16829" s="3">
        <v>0</v>
      </c>
      <c r="K16829" s="3">
        <v>0</v>
      </c>
      <c r="L16829" s="3">
        <v>1</v>
      </c>
      <c r="M16829" s="3">
        <v>0</v>
      </c>
      <c r="N16829" s="3">
        <v>0</v>
      </c>
      <c r="O16829" s="3" t="s">
        <v>10</v>
      </c>
      <c r="P16829" s="3" t="s">
        <v>9</v>
      </c>
      <c r="Q16829" s="3"/>
    </row>
    <row r="16830" spans="1:17" ht="15" x14ac:dyDescent="0.25">
      <c r="A16830" s="3">
        <f>16823</f>
        <v>16823</v>
      </c>
      <c r="B16830" s="3" t="s">
        <v>16832</v>
      </c>
      <c r="C16830" s="3" t="s">
        <v>9</v>
      </c>
      <c r="D16830" s="3" t="s">
        <v>10</v>
      </c>
      <c r="E16830" s="3">
        <v>0</v>
      </c>
      <c r="F16830" s="3">
        <v>0</v>
      </c>
      <c r="G16830" s="3">
        <v>1</v>
      </c>
      <c r="H16830" s="3">
        <v>0</v>
      </c>
      <c r="I16830" s="3">
        <v>0</v>
      </c>
      <c r="J16830" s="3">
        <v>0</v>
      </c>
      <c r="K16830" s="3">
        <v>0</v>
      </c>
      <c r="L16830" s="3">
        <v>1</v>
      </c>
      <c r="M16830" s="3">
        <v>0</v>
      </c>
      <c r="N16830" s="3">
        <v>0</v>
      </c>
      <c r="O16830" s="3" t="s">
        <v>10</v>
      </c>
      <c r="P16830" s="3" t="s">
        <v>9</v>
      </c>
      <c r="Q16830" s="3"/>
    </row>
    <row r="16831" spans="1:17" ht="15" x14ac:dyDescent="0.25">
      <c r="A16831" s="3">
        <f>16824</f>
        <v>16824</v>
      </c>
      <c r="B16831" s="3" t="s">
        <v>16833</v>
      </c>
      <c r="C16831" s="3" t="s">
        <v>9</v>
      </c>
      <c r="D16831" s="3" t="s">
        <v>10</v>
      </c>
      <c r="E16831" s="3">
        <v>0</v>
      </c>
      <c r="F16831" s="3">
        <v>0</v>
      </c>
      <c r="G16831" s="3">
        <v>1</v>
      </c>
      <c r="H16831" s="3">
        <v>0</v>
      </c>
      <c r="I16831" s="3">
        <v>0</v>
      </c>
      <c r="J16831" s="3">
        <v>0</v>
      </c>
      <c r="K16831" s="3">
        <v>0</v>
      </c>
      <c r="L16831" s="3">
        <v>1</v>
      </c>
      <c r="M16831" s="3">
        <v>0</v>
      </c>
      <c r="N16831" s="3">
        <v>0</v>
      </c>
      <c r="O16831" s="3" t="s">
        <v>10</v>
      </c>
      <c r="P16831" s="3" t="s">
        <v>9</v>
      </c>
      <c r="Q16831" s="3"/>
    </row>
    <row r="16832" spans="1:17" ht="15" x14ac:dyDescent="0.25">
      <c r="A16832" s="3">
        <f>16825</f>
        <v>16825</v>
      </c>
      <c r="B16832" s="3" t="s">
        <v>16834</v>
      </c>
      <c r="C16832" s="3" t="s">
        <v>9</v>
      </c>
      <c r="D16832" s="3" t="s">
        <v>10</v>
      </c>
      <c r="E16832" s="3">
        <v>0</v>
      </c>
      <c r="F16832" s="3">
        <v>0</v>
      </c>
      <c r="G16832" s="3">
        <v>1</v>
      </c>
      <c r="H16832" s="3">
        <v>0</v>
      </c>
      <c r="I16832" s="3">
        <v>0</v>
      </c>
      <c r="J16832" s="3">
        <v>0</v>
      </c>
      <c r="K16832" s="3">
        <v>0</v>
      </c>
      <c r="L16832" s="3">
        <v>1</v>
      </c>
      <c r="M16832" s="3">
        <v>0</v>
      </c>
      <c r="N16832" s="3">
        <v>0</v>
      </c>
      <c r="O16832" s="3" t="s">
        <v>10</v>
      </c>
      <c r="P16832" s="3" t="s">
        <v>9</v>
      </c>
      <c r="Q16832" s="3"/>
    </row>
    <row r="16833" spans="1:17" ht="15" x14ac:dyDescent="0.25">
      <c r="A16833" s="3">
        <f>16826</f>
        <v>16826</v>
      </c>
      <c r="B16833" s="3" t="s">
        <v>16835</v>
      </c>
      <c r="C16833" s="3" t="s">
        <v>9</v>
      </c>
      <c r="D16833" s="3" t="s">
        <v>10</v>
      </c>
      <c r="E16833" s="3">
        <v>0</v>
      </c>
      <c r="F16833" s="3">
        <v>0</v>
      </c>
      <c r="G16833" s="3">
        <v>1</v>
      </c>
      <c r="H16833" s="3">
        <v>0</v>
      </c>
      <c r="I16833" s="3">
        <v>0</v>
      </c>
      <c r="J16833" s="3">
        <v>0</v>
      </c>
      <c r="K16833" s="3">
        <v>0</v>
      </c>
      <c r="L16833" s="3">
        <v>1</v>
      </c>
      <c r="M16833" s="3">
        <v>0</v>
      </c>
      <c r="N16833" s="3">
        <v>0</v>
      </c>
      <c r="O16833" s="3" t="s">
        <v>10</v>
      </c>
      <c r="P16833" s="3" t="s">
        <v>9</v>
      </c>
      <c r="Q16833" s="3"/>
    </row>
    <row r="16834" spans="1:17" ht="15" x14ac:dyDescent="0.25">
      <c r="A16834" s="3">
        <f>16827</f>
        <v>16827</v>
      </c>
      <c r="B16834" s="3" t="s">
        <v>16836</v>
      </c>
      <c r="C16834" s="3" t="s">
        <v>9</v>
      </c>
      <c r="D16834" s="3" t="s">
        <v>10</v>
      </c>
      <c r="E16834" s="3">
        <v>0</v>
      </c>
      <c r="F16834" s="3">
        <v>0</v>
      </c>
      <c r="G16834" s="3">
        <v>1</v>
      </c>
      <c r="H16834" s="3">
        <v>0</v>
      </c>
      <c r="I16834" s="3">
        <v>0</v>
      </c>
      <c r="J16834" s="3">
        <v>0</v>
      </c>
      <c r="K16834" s="3">
        <v>0</v>
      </c>
      <c r="L16834" s="3">
        <v>1</v>
      </c>
      <c r="M16834" s="3">
        <v>0</v>
      </c>
      <c r="N16834" s="3">
        <v>0</v>
      </c>
      <c r="O16834" s="3" t="s">
        <v>10</v>
      </c>
      <c r="P16834" s="3" t="s">
        <v>9</v>
      </c>
      <c r="Q16834" s="3"/>
    </row>
    <row r="16835" spans="1:17" ht="15" x14ac:dyDescent="0.25">
      <c r="A16835" s="3">
        <f>16828</f>
        <v>16828</v>
      </c>
      <c r="B16835" s="3" t="s">
        <v>16837</v>
      </c>
      <c r="C16835" s="3" t="s">
        <v>9</v>
      </c>
      <c r="D16835" s="3" t="s">
        <v>10</v>
      </c>
      <c r="E16835" s="3">
        <v>0</v>
      </c>
      <c r="F16835" s="3">
        <v>0</v>
      </c>
      <c r="G16835" s="3">
        <v>1</v>
      </c>
      <c r="H16835" s="3">
        <v>0</v>
      </c>
      <c r="I16835" s="3">
        <v>0</v>
      </c>
      <c r="J16835" s="3">
        <v>0</v>
      </c>
      <c r="K16835" s="3">
        <v>0</v>
      </c>
      <c r="L16835" s="3">
        <v>1</v>
      </c>
      <c r="M16835" s="3">
        <v>0</v>
      </c>
      <c r="N16835" s="3">
        <v>0</v>
      </c>
      <c r="O16835" s="3" t="s">
        <v>10</v>
      </c>
      <c r="P16835" s="3" t="s">
        <v>9</v>
      </c>
      <c r="Q16835" s="3"/>
    </row>
    <row r="16836" spans="1:17" ht="15" x14ac:dyDescent="0.25">
      <c r="A16836" s="3">
        <f>16829</f>
        <v>16829</v>
      </c>
      <c r="B16836" s="3" t="s">
        <v>16838</v>
      </c>
      <c r="C16836" s="3" t="s">
        <v>9</v>
      </c>
      <c r="D16836" s="3" t="s">
        <v>10</v>
      </c>
      <c r="E16836" s="3">
        <v>0</v>
      </c>
      <c r="F16836" s="3">
        <v>0</v>
      </c>
      <c r="G16836" s="3">
        <v>1</v>
      </c>
      <c r="H16836" s="3">
        <v>0</v>
      </c>
      <c r="I16836" s="3">
        <v>0</v>
      </c>
      <c r="J16836" s="3">
        <v>0</v>
      </c>
      <c r="K16836" s="3">
        <v>0</v>
      </c>
      <c r="L16836" s="3">
        <v>1</v>
      </c>
      <c r="M16836" s="3">
        <v>0</v>
      </c>
      <c r="N16836" s="3">
        <v>0</v>
      </c>
      <c r="O16836" s="3" t="s">
        <v>10</v>
      </c>
      <c r="P16836" s="3" t="s">
        <v>9</v>
      </c>
      <c r="Q16836" s="3"/>
    </row>
    <row r="16837" spans="1:17" ht="15" x14ac:dyDescent="0.25">
      <c r="A16837" s="3">
        <f>16830</f>
        <v>16830</v>
      </c>
      <c r="B16837" s="3" t="s">
        <v>16839</v>
      </c>
      <c r="C16837" s="3" t="s">
        <v>9</v>
      </c>
      <c r="D16837" s="3" t="s">
        <v>10</v>
      </c>
      <c r="E16837" s="3">
        <v>0</v>
      </c>
      <c r="F16837" s="3">
        <v>0</v>
      </c>
      <c r="G16837" s="3">
        <v>1</v>
      </c>
      <c r="H16837" s="3">
        <v>0</v>
      </c>
      <c r="I16837" s="3">
        <v>0</v>
      </c>
      <c r="J16837" s="3">
        <v>0</v>
      </c>
      <c r="K16837" s="3">
        <v>0</v>
      </c>
      <c r="L16837" s="3">
        <v>1</v>
      </c>
      <c r="M16837" s="3">
        <v>0</v>
      </c>
      <c r="N16837" s="3">
        <v>0</v>
      </c>
      <c r="O16837" s="3" t="s">
        <v>10</v>
      </c>
      <c r="P16837" s="3" t="s">
        <v>9</v>
      </c>
      <c r="Q16837" s="3"/>
    </row>
    <row r="16838" spans="1:17" ht="15" x14ac:dyDescent="0.25">
      <c r="A16838" s="3">
        <f>16831</f>
        <v>16831</v>
      </c>
      <c r="B16838" s="3" t="s">
        <v>16840</v>
      </c>
      <c r="C16838" s="3" t="s">
        <v>9</v>
      </c>
      <c r="D16838" s="3" t="s">
        <v>10</v>
      </c>
      <c r="E16838" s="3">
        <v>0</v>
      </c>
      <c r="F16838" s="3">
        <v>0</v>
      </c>
      <c r="G16838" s="3">
        <v>1</v>
      </c>
      <c r="H16838" s="3">
        <v>0</v>
      </c>
      <c r="I16838" s="3">
        <v>0</v>
      </c>
      <c r="J16838" s="3">
        <v>0</v>
      </c>
      <c r="K16838" s="3">
        <v>0</v>
      </c>
      <c r="L16838" s="3">
        <v>1</v>
      </c>
      <c r="M16838" s="3">
        <v>0</v>
      </c>
      <c r="N16838" s="3">
        <v>0</v>
      </c>
      <c r="O16838" s="3" t="s">
        <v>10</v>
      </c>
      <c r="P16838" s="3" t="s">
        <v>9</v>
      </c>
      <c r="Q16838" s="3"/>
    </row>
    <row r="16839" spans="1:17" ht="15" x14ac:dyDescent="0.25">
      <c r="A16839" s="3">
        <f>16832</f>
        <v>16832</v>
      </c>
      <c r="B16839" s="3" t="s">
        <v>16841</v>
      </c>
      <c r="C16839" s="3" t="s">
        <v>9</v>
      </c>
      <c r="D16839" s="3" t="s">
        <v>10</v>
      </c>
      <c r="E16839" s="3">
        <v>0</v>
      </c>
      <c r="F16839" s="3">
        <v>0</v>
      </c>
      <c r="G16839" s="3">
        <v>1</v>
      </c>
      <c r="H16839" s="3">
        <v>0</v>
      </c>
      <c r="I16839" s="3">
        <v>0</v>
      </c>
      <c r="J16839" s="3">
        <v>0</v>
      </c>
      <c r="K16839" s="3">
        <v>0</v>
      </c>
      <c r="L16839" s="3">
        <v>1</v>
      </c>
      <c r="M16839" s="3">
        <v>0</v>
      </c>
      <c r="N16839" s="3">
        <v>0</v>
      </c>
      <c r="O16839" s="3" t="s">
        <v>10</v>
      </c>
      <c r="P16839" s="3" t="s">
        <v>9</v>
      </c>
      <c r="Q16839" s="3"/>
    </row>
    <row r="16840" spans="1:17" ht="15" x14ac:dyDescent="0.25">
      <c r="A16840" s="3">
        <f>16833</f>
        <v>16833</v>
      </c>
      <c r="B16840" s="3" t="s">
        <v>16842</v>
      </c>
      <c r="C16840" s="3" t="s">
        <v>9</v>
      </c>
      <c r="D16840" s="3" t="s">
        <v>10</v>
      </c>
      <c r="E16840" s="3">
        <v>0</v>
      </c>
      <c r="F16840" s="3">
        <v>0</v>
      </c>
      <c r="G16840" s="3">
        <v>1</v>
      </c>
      <c r="H16840" s="3">
        <v>0</v>
      </c>
      <c r="I16840" s="3">
        <v>0</v>
      </c>
      <c r="J16840" s="3">
        <v>0</v>
      </c>
      <c r="K16840" s="3">
        <v>0</v>
      </c>
      <c r="L16840" s="3">
        <v>1</v>
      </c>
      <c r="M16840" s="3">
        <v>0</v>
      </c>
      <c r="N16840" s="3">
        <v>0</v>
      </c>
      <c r="O16840" s="3" t="s">
        <v>10</v>
      </c>
      <c r="P16840" s="3" t="s">
        <v>9</v>
      </c>
      <c r="Q16840" s="3"/>
    </row>
    <row r="16841" spans="1:17" ht="15" x14ac:dyDescent="0.25">
      <c r="A16841" s="3">
        <f>16834</f>
        <v>16834</v>
      </c>
      <c r="B16841" s="3" t="s">
        <v>16843</v>
      </c>
      <c r="C16841" s="3" t="s">
        <v>9</v>
      </c>
      <c r="D16841" s="3" t="s">
        <v>10</v>
      </c>
      <c r="E16841" s="3">
        <v>0</v>
      </c>
      <c r="F16841" s="3">
        <v>0</v>
      </c>
      <c r="G16841" s="3">
        <v>1</v>
      </c>
      <c r="H16841" s="3">
        <v>0</v>
      </c>
      <c r="I16841" s="3">
        <v>0</v>
      </c>
      <c r="J16841" s="3">
        <v>0</v>
      </c>
      <c r="K16841" s="3">
        <v>0</v>
      </c>
      <c r="L16841" s="3">
        <v>1</v>
      </c>
      <c r="M16841" s="3">
        <v>0</v>
      </c>
      <c r="N16841" s="3">
        <v>0</v>
      </c>
      <c r="O16841" s="3" t="s">
        <v>10</v>
      </c>
      <c r="P16841" s="3" t="s">
        <v>9</v>
      </c>
      <c r="Q16841" s="3"/>
    </row>
    <row r="16842" spans="1:17" ht="15" x14ac:dyDescent="0.25">
      <c r="A16842" s="3">
        <f>16835</f>
        <v>16835</v>
      </c>
      <c r="B16842" s="3" t="s">
        <v>16844</v>
      </c>
      <c r="C16842" s="3" t="s">
        <v>9</v>
      </c>
      <c r="D16842" s="3" t="s">
        <v>10</v>
      </c>
      <c r="E16842" s="3">
        <v>0</v>
      </c>
      <c r="F16842" s="3">
        <v>0</v>
      </c>
      <c r="G16842" s="3">
        <v>1</v>
      </c>
      <c r="H16842" s="3">
        <v>0</v>
      </c>
      <c r="I16842" s="3">
        <v>0</v>
      </c>
      <c r="J16842" s="3">
        <v>0</v>
      </c>
      <c r="K16842" s="3">
        <v>0</v>
      </c>
      <c r="L16842" s="3">
        <v>1</v>
      </c>
      <c r="M16842" s="3">
        <v>0</v>
      </c>
      <c r="N16842" s="3">
        <v>0</v>
      </c>
      <c r="O16842" s="3" t="s">
        <v>10</v>
      </c>
      <c r="P16842" s="3" t="s">
        <v>9</v>
      </c>
      <c r="Q16842" s="3"/>
    </row>
    <row r="16843" spans="1:17" ht="15" x14ac:dyDescent="0.25">
      <c r="A16843" s="3">
        <f>16836</f>
        <v>16836</v>
      </c>
      <c r="B16843" s="3" t="s">
        <v>16845</v>
      </c>
      <c r="C16843" s="3" t="s">
        <v>9</v>
      </c>
      <c r="D16843" s="3" t="s">
        <v>10</v>
      </c>
      <c r="E16843" s="3">
        <v>0</v>
      </c>
      <c r="F16843" s="3">
        <v>0</v>
      </c>
      <c r="G16843" s="3">
        <v>1</v>
      </c>
      <c r="H16843" s="3">
        <v>0</v>
      </c>
      <c r="I16843" s="3">
        <v>0</v>
      </c>
      <c r="J16843" s="3">
        <v>0</v>
      </c>
      <c r="K16843" s="3">
        <v>0</v>
      </c>
      <c r="L16843" s="3">
        <v>1</v>
      </c>
      <c r="M16843" s="3">
        <v>0</v>
      </c>
      <c r="N16843" s="3">
        <v>0</v>
      </c>
      <c r="O16843" s="3" t="s">
        <v>10</v>
      </c>
      <c r="P16843" s="3" t="s">
        <v>9</v>
      </c>
      <c r="Q16843" s="3"/>
    </row>
    <row r="16844" spans="1:17" ht="15" x14ac:dyDescent="0.25">
      <c r="A16844" s="3">
        <f>16837</f>
        <v>16837</v>
      </c>
      <c r="B16844" s="3" t="s">
        <v>16846</v>
      </c>
      <c r="C16844" s="3" t="s">
        <v>9</v>
      </c>
      <c r="D16844" s="3" t="s">
        <v>10</v>
      </c>
      <c r="E16844" s="3">
        <v>0</v>
      </c>
      <c r="F16844" s="3">
        <v>0</v>
      </c>
      <c r="G16844" s="3">
        <v>1</v>
      </c>
      <c r="H16844" s="3">
        <v>0</v>
      </c>
      <c r="I16844" s="3">
        <v>0</v>
      </c>
      <c r="J16844" s="3">
        <v>0</v>
      </c>
      <c r="K16844" s="3">
        <v>0</v>
      </c>
      <c r="L16844" s="3">
        <v>1</v>
      </c>
      <c r="M16844" s="3">
        <v>0</v>
      </c>
      <c r="N16844" s="3">
        <v>0</v>
      </c>
      <c r="O16844" s="3" t="s">
        <v>10</v>
      </c>
      <c r="P16844" s="3" t="s">
        <v>9</v>
      </c>
      <c r="Q16844" s="3"/>
    </row>
    <row r="16845" spans="1:17" ht="15" x14ac:dyDescent="0.25">
      <c r="A16845" s="3">
        <f>16838</f>
        <v>16838</v>
      </c>
      <c r="B16845" s="3" t="s">
        <v>16847</v>
      </c>
      <c r="C16845" s="3" t="s">
        <v>9</v>
      </c>
      <c r="D16845" s="3" t="s">
        <v>10</v>
      </c>
      <c r="E16845" s="3">
        <v>0</v>
      </c>
      <c r="F16845" s="3">
        <v>0</v>
      </c>
      <c r="G16845" s="3">
        <v>1</v>
      </c>
      <c r="H16845" s="3">
        <v>0</v>
      </c>
      <c r="I16845" s="3">
        <v>0</v>
      </c>
      <c r="J16845" s="3">
        <v>0</v>
      </c>
      <c r="K16845" s="3">
        <v>0</v>
      </c>
      <c r="L16845" s="3">
        <v>1</v>
      </c>
      <c r="M16845" s="3">
        <v>0</v>
      </c>
      <c r="N16845" s="3">
        <v>0</v>
      </c>
      <c r="O16845" s="3" t="s">
        <v>10</v>
      </c>
      <c r="P16845" s="3" t="s">
        <v>9</v>
      </c>
      <c r="Q16845" s="3"/>
    </row>
    <row r="16846" spans="1:17" ht="15" x14ac:dyDescent="0.25">
      <c r="A16846" s="3">
        <f>16839</f>
        <v>16839</v>
      </c>
      <c r="B16846" s="3" t="s">
        <v>16848</v>
      </c>
      <c r="C16846" s="3" t="s">
        <v>9</v>
      </c>
      <c r="D16846" s="3" t="s">
        <v>10</v>
      </c>
      <c r="E16846" s="3">
        <v>0</v>
      </c>
      <c r="F16846" s="3">
        <v>0</v>
      </c>
      <c r="G16846" s="3">
        <v>1</v>
      </c>
      <c r="H16846" s="3">
        <v>0</v>
      </c>
      <c r="I16846" s="3">
        <v>0</v>
      </c>
      <c r="J16846" s="3">
        <v>0</v>
      </c>
      <c r="K16846" s="3">
        <v>0</v>
      </c>
      <c r="L16846" s="3">
        <v>1</v>
      </c>
      <c r="M16846" s="3">
        <v>0</v>
      </c>
      <c r="N16846" s="3">
        <v>0</v>
      </c>
      <c r="O16846" s="3" t="s">
        <v>10</v>
      </c>
      <c r="P16846" s="3" t="s">
        <v>9</v>
      </c>
      <c r="Q16846" s="3"/>
    </row>
    <row r="16847" spans="1:17" ht="15" x14ac:dyDescent="0.25">
      <c r="A16847" s="3">
        <f>16840</f>
        <v>16840</v>
      </c>
      <c r="B16847" s="3" t="s">
        <v>16849</v>
      </c>
      <c r="C16847" s="3" t="s">
        <v>9</v>
      </c>
      <c r="D16847" s="3" t="s">
        <v>10</v>
      </c>
      <c r="E16847" s="3">
        <v>0</v>
      </c>
      <c r="F16847" s="3">
        <v>0</v>
      </c>
      <c r="G16847" s="3">
        <v>1</v>
      </c>
      <c r="H16847" s="3">
        <v>0</v>
      </c>
      <c r="I16847" s="3">
        <v>0</v>
      </c>
      <c r="J16847" s="3">
        <v>0</v>
      </c>
      <c r="K16847" s="3">
        <v>0</v>
      </c>
      <c r="L16847" s="3">
        <v>1</v>
      </c>
      <c r="M16847" s="3">
        <v>0</v>
      </c>
      <c r="N16847" s="3">
        <v>0</v>
      </c>
      <c r="O16847" s="3" t="s">
        <v>10</v>
      </c>
      <c r="P16847" s="3" t="s">
        <v>9</v>
      </c>
      <c r="Q16847" s="3"/>
    </row>
    <row r="16848" spans="1:17" ht="15" x14ac:dyDescent="0.25">
      <c r="A16848" s="3">
        <f>16841</f>
        <v>16841</v>
      </c>
      <c r="B16848" s="3" t="s">
        <v>16850</v>
      </c>
      <c r="C16848" s="3" t="s">
        <v>9</v>
      </c>
      <c r="D16848" s="3" t="s">
        <v>10</v>
      </c>
      <c r="E16848" s="3">
        <v>0</v>
      </c>
      <c r="F16848" s="3">
        <v>0</v>
      </c>
      <c r="G16848" s="3">
        <v>1</v>
      </c>
      <c r="H16848" s="3">
        <v>0</v>
      </c>
      <c r="I16848" s="3">
        <v>0</v>
      </c>
      <c r="J16848" s="3">
        <v>0</v>
      </c>
      <c r="K16848" s="3">
        <v>0</v>
      </c>
      <c r="L16848" s="3">
        <v>1</v>
      </c>
      <c r="M16848" s="3">
        <v>0</v>
      </c>
      <c r="N16848" s="3">
        <v>0</v>
      </c>
      <c r="O16848" s="3" t="s">
        <v>10</v>
      </c>
      <c r="P16848" s="3" t="s">
        <v>9</v>
      </c>
      <c r="Q16848" s="3"/>
    </row>
    <row r="16849" spans="1:17" ht="15" x14ac:dyDescent="0.25">
      <c r="A16849" s="3">
        <f>16842</f>
        <v>16842</v>
      </c>
      <c r="B16849" s="3" t="s">
        <v>16851</v>
      </c>
      <c r="C16849" s="3" t="s">
        <v>9</v>
      </c>
      <c r="D16849" s="3" t="s">
        <v>10</v>
      </c>
      <c r="E16849" s="3">
        <v>0</v>
      </c>
      <c r="F16849" s="3">
        <v>0</v>
      </c>
      <c r="G16849" s="3">
        <v>1</v>
      </c>
      <c r="H16849" s="3">
        <v>0</v>
      </c>
      <c r="I16849" s="3">
        <v>0</v>
      </c>
      <c r="J16849" s="3">
        <v>0</v>
      </c>
      <c r="K16849" s="3">
        <v>0</v>
      </c>
      <c r="L16849" s="3">
        <v>1</v>
      </c>
      <c r="M16849" s="3">
        <v>0</v>
      </c>
      <c r="N16849" s="3">
        <v>0</v>
      </c>
      <c r="O16849" s="3" t="s">
        <v>10</v>
      </c>
      <c r="P16849" s="3" t="s">
        <v>9</v>
      </c>
      <c r="Q16849" s="3"/>
    </row>
    <row r="16850" spans="1:17" ht="15" x14ac:dyDescent="0.25">
      <c r="A16850" s="3">
        <f>16843</f>
        <v>16843</v>
      </c>
      <c r="B16850" s="3" t="s">
        <v>16852</v>
      </c>
      <c r="C16850" s="3" t="s">
        <v>9</v>
      </c>
      <c r="D16850" s="3" t="s">
        <v>10</v>
      </c>
      <c r="E16850" s="3">
        <v>0</v>
      </c>
      <c r="F16850" s="3">
        <v>0</v>
      </c>
      <c r="G16850" s="3">
        <v>1</v>
      </c>
      <c r="H16850" s="3">
        <v>0</v>
      </c>
      <c r="I16850" s="3">
        <v>0</v>
      </c>
      <c r="J16850" s="3">
        <v>0</v>
      </c>
      <c r="K16850" s="3">
        <v>0</v>
      </c>
      <c r="L16850" s="3">
        <v>1</v>
      </c>
      <c r="M16850" s="3">
        <v>0</v>
      </c>
      <c r="N16850" s="3">
        <v>0</v>
      </c>
      <c r="O16850" s="3" t="s">
        <v>10</v>
      </c>
      <c r="P16850" s="3" t="s">
        <v>9</v>
      </c>
      <c r="Q16850" s="3"/>
    </row>
    <row r="16851" spans="1:17" ht="15" x14ac:dyDescent="0.25">
      <c r="A16851" s="3">
        <f>16844</f>
        <v>16844</v>
      </c>
      <c r="B16851" s="3" t="s">
        <v>16853</v>
      </c>
      <c r="C16851" s="3" t="s">
        <v>9</v>
      </c>
      <c r="D16851" s="3" t="s">
        <v>10</v>
      </c>
      <c r="E16851" s="3">
        <v>0</v>
      </c>
      <c r="F16851" s="3">
        <v>0</v>
      </c>
      <c r="G16851" s="3">
        <v>1</v>
      </c>
      <c r="H16851" s="3">
        <v>0</v>
      </c>
      <c r="I16851" s="3">
        <v>0</v>
      </c>
      <c r="J16851" s="3">
        <v>0</v>
      </c>
      <c r="K16851" s="3">
        <v>0</v>
      </c>
      <c r="L16851" s="3">
        <v>1</v>
      </c>
      <c r="M16851" s="3">
        <v>0</v>
      </c>
      <c r="N16851" s="3">
        <v>0</v>
      </c>
      <c r="O16851" s="3" t="s">
        <v>10</v>
      </c>
      <c r="P16851" s="3" t="s">
        <v>9</v>
      </c>
      <c r="Q16851" s="3"/>
    </row>
    <row r="16852" spans="1:17" ht="15" x14ac:dyDescent="0.25">
      <c r="A16852" s="3">
        <f>16845</f>
        <v>16845</v>
      </c>
      <c r="B16852" s="3" t="s">
        <v>16854</v>
      </c>
      <c r="C16852" s="3" t="s">
        <v>9</v>
      </c>
      <c r="D16852" s="3" t="s">
        <v>10</v>
      </c>
      <c r="E16852" s="3">
        <v>0</v>
      </c>
      <c r="F16852" s="3">
        <v>0</v>
      </c>
      <c r="G16852" s="3">
        <v>1</v>
      </c>
      <c r="H16852" s="3">
        <v>0</v>
      </c>
      <c r="I16852" s="3">
        <v>0</v>
      </c>
      <c r="J16852" s="3">
        <v>0</v>
      </c>
      <c r="K16852" s="3">
        <v>0</v>
      </c>
      <c r="L16852" s="3">
        <v>1</v>
      </c>
      <c r="M16852" s="3">
        <v>0</v>
      </c>
      <c r="N16852" s="3">
        <v>0</v>
      </c>
      <c r="O16852" s="3" t="s">
        <v>10</v>
      </c>
      <c r="P16852" s="3" t="s">
        <v>9</v>
      </c>
      <c r="Q16852" s="3"/>
    </row>
    <row r="16853" spans="1:17" ht="15" x14ac:dyDescent="0.25">
      <c r="A16853" s="3">
        <f>16846</f>
        <v>16846</v>
      </c>
      <c r="B16853" s="3" t="s">
        <v>16855</v>
      </c>
      <c r="C16853" s="3" t="s">
        <v>9</v>
      </c>
      <c r="D16853" s="3" t="s">
        <v>10</v>
      </c>
      <c r="E16853" s="3">
        <v>0</v>
      </c>
      <c r="F16853" s="3">
        <v>0</v>
      </c>
      <c r="G16853" s="3">
        <v>1</v>
      </c>
      <c r="H16853" s="3">
        <v>0</v>
      </c>
      <c r="I16853" s="3">
        <v>0</v>
      </c>
      <c r="J16853" s="3">
        <v>0</v>
      </c>
      <c r="K16853" s="3">
        <v>0</v>
      </c>
      <c r="L16853" s="3">
        <v>1</v>
      </c>
      <c r="M16853" s="3">
        <v>0</v>
      </c>
      <c r="N16853" s="3">
        <v>0</v>
      </c>
      <c r="O16853" s="3" t="s">
        <v>10</v>
      </c>
      <c r="P16853" s="3" t="s">
        <v>9</v>
      </c>
      <c r="Q16853" s="3"/>
    </row>
    <row r="16854" spans="1:17" ht="15" x14ac:dyDescent="0.25">
      <c r="A16854" s="3">
        <f>16847</f>
        <v>16847</v>
      </c>
      <c r="B16854" s="3" t="s">
        <v>16856</v>
      </c>
      <c r="C16854" s="3" t="s">
        <v>9</v>
      </c>
      <c r="D16854" s="3" t="s">
        <v>10</v>
      </c>
      <c r="E16854" s="3">
        <v>0</v>
      </c>
      <c r="F16854" s="3">
        <v>0</v>
      </c>
      <c r="G16854" s="3">
        <v>1</v>
      </c>
      <c r="H16854" s="3">
        <v>0</v>
      </c>
      <c r="I16854" s="3">
        <v>0</v>
      </c>
      <c r="J16854" s="3">
        <v>0</v>
      </c>
      <c r="K16854" s="3">
        <v>0</v>
      </c>
      <c r="L16854" s="3">
        <v>1</v>
      </c>
      <c r="M16854" s="3">
        <v>0</v>
      </c>
      <c r="N16854" s="3">
        <v>0</v>
      </c>
      <c r="O16854" s="3" t="s">
        <v>10</v>
      </c>
      <c r="P16854" s="3" t="s">
        <v>9</v>
      </c>
      <c r="Q16854" s="3"/>
    </row>
    <row r="16855" spans="1:17" ht="15" x14ac:dyDescent="0.25">
      <c r="A16855" s="3">
        <f>16848</f>
        <v>16848</v>
      </c>
      <c r="B16855" s="3" t="s">
        <v>16857</v>
      </c>
      <c r="C16855" s="3" t="s">
        <v>9</v>
      </c>
      <c r="D16855" s="3" t="s">
        <v>10</v>
      </c>
      <c r="E16855" s="3">
        <v>0</v>
      </c>
      <c r="F16855" s="3">
        <v>0</v>
      </c>
      <c r="G16855" s="3">
        <v>1</v>
      </c>
      <c r="H16855" s="3">
        <v>0</v>
      </c>
      <c r="I16855" s="3">
        <v>0</v>
      </c>
      <c r="J16855" s="3">
        <v>0</v>
      </c>
      <c r="K16855" s="3">
        <v>0</v>
      </c>
      <c r="L16855" s="3">
        <v>1</v>
      </c>
      <c r="M16855" s="3">
        <v>0</v>
      </c>
      <c r="N16855" s="3">
        <v>0</v>
      </c>
      <c r="O16855" s="3" t="s">
        <v>10</v>
      </c>
      <c r="P16855" s="3" t="s">
        <v>9</v>
      </c>
      <c r="Q16855" s="3"/>
    </row>
    <row r="16856" spans="1:17" ht="15" x14ac:dyDescent="0.25">
      <c r="A16856" s="3">
        <f>16849</f>
        <v>16849</v>
      </c>
      <c r="B16856" s="3" t="s">
        <v>16858</v>
      </c>
      <c r="C16856" s="3" t="s">
        <v>9</v>
      </c>
      <c r="D16856" s="3" t="s">
        <v>10</v>
      </c>
      <c r="E16856" s="3">
        <v>0</v>
      </c>
      <c r="F16856" s="3">
        <v>0</v>
      </c>
      <c r="G16856" s="3">
        <v>1</v>
      </c>
      <c r="H16856" s="3">
        <v>0</v>
      </c>
      <c r="I16856" s="3">
        <v>0</v>
      </c>
      <c r="J16856" s="3">
        <v>0</v>
      </c>
      <c r="K16856" s="3">
        <v>0</v>
      </c>
      <c r="L16856" s="3">
        <v>1</v>
      </c>
      <c r="M16856" s="3">
        <v>0</v>
      </c>
      <c r="N16856" s="3">
        <v>0</v>
      </c>
      <c r="O16856" s="3" t="s">
        <v>10</v>
      </c>
      <c r="P16856" s="3" t="s">
        <v>9</v>
      </c>
      <c r="Q16856" s="3"/>
    </row>
    <row r="16857" spans="1:17" ht="15" x14ac:dyDescent="0.25">
      <c r="A16857" s="3">
        <f>16850</f>
        <v>16850</v>
      </c>
      <c r="B16857" s="3" t="s">
        <v>16859</v>
      </c>
      <c r="C16857" s="3" t="s">
        <v>9</v>
      </c>
      <c r="D16857" s="3" t="s">
        <v>10</v>
      </c>
      <c r="E16857" s="3">
        <v>0</v>
      </c>
      <c r="F16857" s="3">
        <v>0</v>
      </c>
      <c r="G16857" s="3">
        <v>1</v>
      </c>
      <c r="H16857" s="3">
        <v>0</v>
      </c>
      <c r="I16857" s="3">
        <v>0</v>
      </c>
      <c r="J16857" s="3">
        <v>0</v>
      </c>
      <c r="K16857" s="3">
        <v>0</v>
      </c>
      <c r="L16857" s="3">
        <v>1</v>
      </c>
      <c r="M16857" s="3">
        <v>0</v>
      </c>
      <c r="N16857" s="3">
        <v>0</v>
      </c>
      <c r="O16857" s="3" t="s">
        <v>10</v>
      </c>
      <c r="P16857" s="3" t="s">
        <v>9</v>
      </c>
      <c r="Q16857" s="3"/>
    </row>
    <row r="16858" spans="1:17" ht="15" x14ac:dyDescent="0.25">
      <c r="A16858" s="3">
        <f>16851</f>
        <v>16851</v>
      </c>
      <c r="B16858" s="3" t="s">
        <v>16860</v>
      </c>
      <c r="C16858" s="3" t="s">
        <v>9</v>
      </c>
      <c r="D16858" s="3" t="s">
        <v>10</v>
      </c>
      <c r="E16858" s="3">
        <v>0</v>
      </c>
      <c r="F16858" s="3">
        <v>0</v>
      </c>
      <c r="G16858" s="3">
        <v>1</v>
      </c>
      <c r="H16858" s="3">
        <v>0</v>
      </c>
      <c r="I16858" s="3">
        <v>0</v>
      </c>
      <c r="J16858" s="3">
        <v>0</v>
      </c>
      <c r="K16858" s="3">
        <v>0</v>
      </c>
      <c r="L16858" s="3">
        <v>1</v>
      </c>
      <c r="M16858" s="3">
        <v>0</v>
      </c>
      <c r="N16858" s="3">
        <v>0</v>
      </c>
      <c r="O16858" s="3" t="s">
        <v>10</v>
      </c>
      <c r="P16858" s="3" t="s">
        <v>9</v>
      </c>
      <c r="Q16858" s="3"/>
    </row>
    <row r="16859" spans="1:17" ht="15" x14ac:dyDescent="0.25">
      <c r="A16859" s="3">
        <f>16852</f>
        <v>16852</v>
      </c>
      <c r="B16859" s="3" t="s">
        <v>16861</v>
      </c>
      <c r="C16859" s="3" t="s">
        <v>9</v>
      </c>
      <c r="D16859" s="3" t="s">
        <v>10</v>
      </c>
      <c r="E16859" s="3">
        <v>0</v>
      </c>
      <c r="F16859" s="3">
        <v>0</v>
      </c>
      <c r="G16859" s="3">
        <v>1</v>
      </c>
      <c r="H16859" s="3">
        <v>0</v>
      </c>
      <c r="I16859" s="3">
        <v>0</v>
      </c>
      <c r="J16859" s="3">
        <v>0</v>
      </c>
      <c r="K16859" s="3">
        <v>0</v>
      </c>
      <c r="L16859" s="3">
        <v>1</v>
      </c>
      <c r="M16859" s="3">
        <v>0</v>
      </c>
      <c r="N16859" s="3">
        <v>0</v>
      </c>
      <c r="O16859" s="3" t="s">
        <v>10</v>
      </c>
      <c r="P16859" s="3" t="s">
        <v>9</v>
      </c>
      <c r="Q16859" s="3"/>
    </row>
    <row r="16860" spans="1:17" ht="15" x14ac:dyDescent="0.25">
      <c r="A16860" s="3">
        <f>16853</f>
        <v>16853</v>
      </c>
      <c r="B16860" s="3" t="s">
        <v>16862</v>
      </c>
      <c r="C16860" s="3" t="s">
        <v>9</v>
      </c>
      <c r="D16860" s="3" t="s">
        <v>10</v>
      </c>
      <c r="E16860" s="3">
        <v>0</v>
      </c>
      <c r="F16860" s="3">
        <v>0</v>
      </c>
      <c r="G16860" s="3">
        <v>1</v>
      </c>
      <c r="H16860" s="3">
        <v>0</v>
      </c>
      <c r="I16860" s="3">
        <v>0</v>
      </c>
      <c r="J16860" s="3">
        <v>0</v>
      </c>
      <c r="K16860" s="3">
        <v>0</v>
      </c>
      <c r="L16860" s="3">
        <v>1</v>
      </c>
      <c r="M16860" s="3">
        <v>0</v>
      </c>
      <c r="N16860" s="3">
        <v>0</v>
      </c>
      <c r="O16860" s="3" t="s">
        <v>10</v>
      </c>
      <c r="P16860" s="3" t="s">
        <v>9</v>
      </c>
      <c r="Q16860" s="3"/>
    </row>
    <row r="16861" spans="1:17" ht="15" x14ac:dyDescent="0.25">
      <c r="A16861" s="3">
        <f>16854</f>
        <v>16854</v>
      </c>
      <c r="B16861" s="3" t="s">
        <v>16863</v>
      </c>
      <c r="C16861" s="3" t="s">
        <v>9</v>
      </c>
      <c r="D16861" s="3" t="s">
        <v>10</v>
      </c>
      <c r="E16861" s="3">
        <v>0</v>
      </c>
      <c r="F16861" s="3">
        <v>0</v>
      </c>
      <c r="G16861" s="3">
        <v>1</v>
      </c>
      <c r="H16861" s="3">
        <v>0</v>
      </c>
      <c r="I16861" s="3">
        <v>0</v>
      </c>
      <c r="J16861" s="3">
        <v>0</v>
      </c>
      <c r="K16861" s="3">
        <v>0</v>
      </c>
      <c r="L16861" s="3">
        <v>1</v>
      </c>
      <c r="M16861" s="3">
        <v>0</v>
      </c>
      <c r="N16861" s="3">
        <v>0</v>
      </c>
      <c r="O16861" s="3" t="s">
        <v>10</v>
      </c>
      <c r="P16861" s="3" t="s">
        <v>9</v>
      </c>
      <c r="Q16861" s="3"/>
    </row>
    <row r="16862" spans="1:17" ht="15" x14ac:dyDescent="0.25">
      <c r="A16862" s="3">
        <f>16855</f>
        <v>16855</v>
      </c>
      <c r="B16862" s="3" t="s">
        <v>16864</v>
      </c>
      <c r="C16862" s="3" t="s">
        <v>9</v>
      </c>
      <c r="D16862" s="3" t="s">
        <v>10</v>
      </c>
      <c r="E16862" s="3">
        <v>0</v>
      </c>
      <c r="F16862" s="3">
        <v>0</v>
      </c>
      <c r="G16862" s="3">
        <v>1</v>
      </c>
      <c r="H16862" s="3">
        <v>0</v>
      </c>
      <c r="I16862" s="3">
        <v>0</v>
      </c>
      <c r="J16862" s="3">
        <v>0</v>
      </c>
      <c r="K16862" s="3">
        <v>0</v>
      </c>
      <c r="L16862" s="3">
        <v>1</v>
      </c>
      <c r="M16862" s="3">
        <v>0</v>
      </c>
      <c r="N16862" s="3">
        <v>0</v>
      </c>
      <c r="O16862" s="3" t="s">
        <v>10</v>
      </c>
      <c r="P16862" s="3" t="s">
        <v>9</v>
      </c>
      <c r="Q16862" s="3"/>
    </row>
    <row r="16863" spans="1:17" ht="15" x14ac:dyDescent="0.25">
      <c r="A16863" s="3">
        <f>16856</f>
        <v>16856</v>
      </c>
      <c r="B16863" s="3" t="s">
        <v>16865</v>
      </c>
      <c r="C16863" s="3" t="s">
        <v>9</v>
      </c>
      <c r="D16863" s="3" t="s">
        <v>10</v>
      </c>
      <c r="E16863" s="3">
        <v>0</v>
      </c>
      <c r="F16863" s="3">
        <v>0</v>
      </c>
      <c r="G16863" s="3">
        <v>1</v>
      </c>
      <c r="H16863" s="3">
        <v>0</v>
      </c>
      <c r="I16863" s="3">
        <v>0</v>
      </c>
      <c r="J16863" s="3">
        <v>0</v>
      </c>
      <c r="K16863" s="3">
        <v>0</v>
      </c>
      <c r="L16863" s="3">
        <v>1</v>
      </c>
      <c r="M16863" s="3">
        <v>0</v>
      </c>
      <c r="N16863" s="3">
        <v>0</v>
      </c>
      <c r="O16863" s="3" t="s">
        <v>10</v>
      </c>
      <c r="P16863" s="3" t="s">
        <v>9</v>
      </c>
      <c r="Q16863" s="3"/>
    </row>
    <row r="16864" spans="1:17" ht="15" x14ac:dyDescent="0.25">
      <c r="A16864" s="3">
        <f>16857</f>
        <v>16857</v>
      </c>
      <c r="B16864" s="3" t="s">
        <v>16866</v>
      </c>
      <c r="C16864" s="3" t="s">
        <v>9</v>
      </c>
      <c r="D16864" s="3" t="s">
        <v>10</v>
      </c>
      <c r="E16864" s="3">
        <v>0</v>
      </c>
      <c r="F16864" s="3">
        <v>0</v>
      </c>
      <c r="G16864" s="3">
        <v>1</v>
      </c>
      <c r="H16864" s="3">
        <v>0</v>
      </c>
      <c r="I16864" s="3">
        <v>0</v>
      </c>
      <c r="J16864" s="3">
        <v>0</v>
      </c>
      <c r="K16864" s="3">
        <v>0</v>
      </c>
      <c r="L16864" s="3">
        <v>1</v>
      </c>
      <c r="M16864" s="3">
        <v>0</v>
      </c>
      <c r="N16864" s="3">
        <v>0</v>
      </c>
      <c r="O16864" s="3" t="s">
        <v>10</v>
      </c>
      <c r="P16864" s="3" t="s">
        <v>9</v>
      </c>
      <c r="Q16864" s="3"/>
    </row>
    <row r="16865" spans="1:17" ht="15" x14ac:dyDescent="0.25">
      <c r="A16865" s="3">
        <f>16858</f>
        <v>16858</v>
      </c>
      <c r="B16865" s="3" t="s">
        <v>16867</v>
      </c>
      <c r="C16865" s="3" t="s">
        <v>9</v>
      </c>
      <c r="D16865" s="3" t="s">
        <v>10</v>
      </c>
      <c r="E16865" s="3">
        <v>0</v>
      </c>
      <c r="F16865" s="3">
        <v>0</v>
      </c>
      <c r="G16865" s="3">
        <v>1</v>
      </c>
      <c r="H16865" s="3">
        <v>0</v>
      </c>
      <c r="I16865" s="3">
        <v>0</v>
      </c>
      <c r="J16865" s="3">
        <v>0</v>
      </c>
      <c r="K16865" s="3">
        <v>0</v>
      </c>
      <c r="L16865" s="3">
        <v>1</v>
      </c>
      <c r="M16865" s="3">
        <v>0</v>
      </c>
      <c r="N16865" s="3">
        <v>0</v>
      </c>
      <c r="O16865" s="3" t="s">
        <v>10</v>
      </c>
      <c r="P16865" s="3" t="s">
        <v>9</v>
      </c>
      <c r="Q16865" s="3"/>
    </row>
    <row r="16866" spans="1:17" ht="15" x14ac:dyDescent="0.25">
      <c r="A16866" s="3">
        <f>16859</f>
        <v>16859</v>
      </c>
      <c r="B16866" s="3" t="s">
        <v>16868</v>
      </c>
      <c r="C16866" s="3" t="s">
        <v>9</v>
      </c>
      <c r="D16866" s="3" t="s">
        <v>10</v>
      </c>
      <c r="E16866" s="3">
        <v>0</v>
      </c>
      <c r="F16866" s="3">
        <v>0</v>
      </c>
      <c r="G16866" s="3">
        <v>1</v>
      </c>
      <c r="H16866" s="3">
        <v>0</v>
      </c>
      <c r="I16866" s="3">
        <v>0</v>
      </c>
      <c r="J16866" s="3">
        <v>0</v>
      </c>
      <c r="K16866" s="3">
        <v>0</v>
      </c>
      <c r="L16866" s="3">
        <v>1</v>
      </c>
      <c r="M16866" s="3">
        <v>0</v>
      </c>
      <c r="N16866" s="3">
        <v>0</v>
      </c>
      <c r="O16866" s="3" t="s">
        <v>10</v>
      </c>
      <c r="P16866" s="3" t="s">
        <v>9</v>
      </c>
      <c r="Q16866" s="3"/>
    </row>
    <row r="16867" spans="1:17" ht="15" x14ac:dyDescent="0.25">
      <c r="A16867" s="3">
        <f>16860</f>
        <v>16860</v>
      </c>
      <c r="B16867" s="3" t="s">
        <v>16869</v>
      </c>
      <c r="C16867" s="3" t="s">
        <v>9</v>
      </c>
      <c r="D16867" s="3" t="s">
        <v>10</v>
      </c>
      <c r="E16867" s="3">
        <v>0</v>
      </c>
      <c r="F16867" s="3">
        <v>0</v>
      </c>
      <c r="G16867" s="3">
        <v>1</v>
      </c>
      <c r="H16867" s="3">
        <v>0</v>
      </c>
      <c r="I16867" s="3">
        <v>0</v>
      </c>
      <c r="J16867" s="3">
        <v>0</v>
      </c>
      <c r="K16867" s="3">
        <v>0</v>
      </c>
      <c r="L16867" s="3">
        <v>1</v>
      </c>
      <c r="M16867" s="3">
        <v>0</v>
      </c>
      <c r="N16867" s="3">
        <v>0</v>
      </c>
      <c r="O16867" s="3" t="s">
        <v>10</v>
      </c>
      <c r="P16867" s="3" t="s">
        <v>9</v>
      </c>
      <c r="Q16867" s="3"/>
    </row>
    <row r="16868" spans="1:17" ht="15" x14ac:dyDescent="0.25">
      <c r="A16868" s="3">
        <f>16861</f>
        <v>16861</v>
      </c>
      <c r="B16868" s="3" t="s">
        <v>16870</v>
      </c>
      <c r="C16868" s="3" t="s">
        <v>9</v>
      </c>
      <c r="D16868" s="3" t="s">
        <v>10</v>
      </c>
      <c r="E16868" s="3">
        <v>0</v>
      </c>
      <c r="F16868" s="3">
        <v>0</v>
      </c>
      <c r="G16868" s="3">
        <v>1</v>
      </c>
      <c r="H16868" s="3">
        <v>0</v>
      </c>
      <c r="I16868" s="3">
        <v>0</v>
      </c>
      <c r="J16868" s="3">
        <v>0</v>
      </c>
      <c r="K16868" s="3">
        <v>0</v>
      </c>
      <c r="L16868" s="3">
        <v>1</v>
      </c>
      <c r="M16868" s="3">
        <v>0</v>
      </c>
      <c r="N16868" s="3">
        <v>0</v>
      </c>
      <c r="O16868" s="3" t="s">
        <v>10</v>
      </c>
      <c r="P16868" s="3" t="s">
        <v>9</v>
      </c>
      <c r="Q16868" s="3"/>
    </row>
    <row r="16869" spans="1:17" ht="15" x14ac:dyDescent="0.25">
      <c r="A16869" s="3">
        <f>16862</f>
        <v>16862</v>
      </c>
      <c r="B16869" s="3" t="s">
        <v>16871</v>
      </c>
      <c r="C16869" s="3" t="s">
        <v>9</v>
      </c>
      <c r="D16869" s="3" t="s">
        <v>10</v>
      </c>
      <c r="E16869" s="3">
        <v>0</v>
      </c>
      <c r="F16869" s="3">
        <v>0</v>
      </c>
      <c r="G16869" s="3">
        <v>1</v>
      </c>
      <c r="H16869" s="3">
        <v>0</v>
      </c>
      <c r="I16869" s="3">
        <v>0</v>
      </c>
      <c r="J16869" s="3">
        <v>0</v>
      </c>
      <c r="K16869" s="3">
        <v>0</v>
      </c>
      <c r="L16869" s="3">
        <v>1</v>
      </c>
      <c r="M16869" s="3">
        <v>0</v>
      </c>
      <c r="N16869" s="3">
        <v>0</v>
      </c>
      <c r="O16869" s="3" t="s">
        <v>10</v>
      </c>
      <c r="P16869" s="3" t="s">
        <v>9</v>
      </c>
      <c r="Q16869" s="3"/>
    </row>
    <row r="16870" spans="1:17" ht="15" x14ac:dyDescent="0.25">
      <c r="A16870" s="3">
        <f>16863</f>
        <v>16863</v>
      </c>
      <c r="B16870" s="3" t="s">
        <v>16872</v>
      </c>
      <c r="C16870" s="3" t="s">
        <v>9</v>
      </c>
      <c r="D16870" s="3" t="s">
        <v>10</v>
      </c>
      <c r="E16870" s="3">
        <v>0</v>
      </c>
      <c r="F16870" s="3">
        <v>0</v>
      </c>
      <c r="G16870" s="3">
        <v>1</v>
      </c>
      <c r="H16870" s="3">
        <v>0</v>
      </c>
      <c r="I16870" s="3">
        <v>0</v>
      </c>
      <c r="J16870" s="3">
        <v>0</v>
      </c>
      <c r="K16870" s="3">
        <v>0</v>
      </c>
      <c r="L16870" s="3">
        <v>1</v>
      </c>
      <c r="M16870" s="3">
        <v>0</v>
      </c>
      <c r="N16870" s="3">
        <v>0</v>
      </c>
      <c r="O16870" s="3" t="s">
        <v>10</v>
      </c>
      <c r="P16870" s="3" t="s">
        <v>9</v>
      </c>
      <c r="Q16870" s="3"/>
    </row>
    <row r="16871" spans="1:17" ht="15" x14ac:dyDescent="0.25">
      <c r="A16871" s="3">
        <f>16864</f>
        <v>16864</v>
      </c>
      <c r="B16871" s="3" t="s">
        <v>16873</v>
      </c>
      <c r="C16871" s="3" t="s">
        <v>9</v>
      </c>
      <c r="D16871" s="3" t="s">
        <v>10</v>
      </c>
      <c r="E16871" s="3">
        <v>0</v>
      </c>
      <c r="F16871" s="3">
        <v>0</v>
      </c>
      <c r="G16871" s="3">
        <v>1</v>
      </c>
      <c r="H16871" s="3">
        <v>0</v>
      </c>
      <c r="I16871" s="3">
        <v>0</v>
      </c>
      <c r="J16871" s="3">
        <v>0</v>
      </c>
      <c r="K16871" s="3">
        <v>0</v>
      </c>
      <c r="L16871" s="3">
        <v>1</v>
      </c>
      <c r="M16871" s="3">
        <v>0</v>
      </c>
      <c r="N16871" s="3">
        <v>0</v>
      </c>
      <c r="O16871" s="3" t="s">
        <v>10</v>
      </c>
      <c r="P16871" s="3" t="s">
        <v>9</v>
      </c>
      <c r="Q16871" s="3"/>
    </row>
    <row r="16872" spans="1:17" ht="15" x14ac:dyDescent="0.25">
      <c r="A16872" s="3">
        <f>16865</f>
        <v>16865</v>
      </c>
      <c r="B16872" s="3" t="s">
        <v>16874</v>
      </c>
      <c r="C16872" s="3" t="s">
        <v>9</v>
      </c>
      <c r="D16872" s="3" t="s">
        <v>10</v>
      </c>
      <c r="E16872" s="3">
        <v>0</v>
      </c>
      <c r="F16872" s="3">
        <v>0</v>
      </c>
      <c r="G16872" s="3">
        <v>1</v>
      </c>
      <c r="H16872" s="3">
        <v>0</v>
      </c>
      <c r="I16872" s="3">
        <v>0</v>
      </c>
      <c r="J16872" s="3">
        <v>0</v>
      </c>
      <c r="K16872" s="3">
        <v>0</v>
      </c>
      <c r="L16872" s="3">
        <v>1</v>
      </c>
      <c r="M16872" s="3">
        <v>0</v>
      </c>
      <c r="N16872" s="3">
        <v>0</v>
      </c>
      <c r="O16872" s="3" t="s">
        <v>10</v>
      </c>
      <c r="P16872" s="3" t="s">
        <v>9</v>
      </c>
      <c r="Q16872" s="3"/>
    </row>
    <row r="16873" spans="1:17" ht="15" x14ac:dyDescent="0.25">
      <c r="A16873" s="3">
        <f>16866</f>
        <v>16866</v>
      </c>
      <c r="B16873" s="3" t="s">
        <v>16875</v>
      </c>
      <c r="C16873" s="3" t="s">
        <v>9</v>
      </c>
      <c r="D16873" s="3" t="s">
        <v>10</v>
      </c>
      <c r="E16873" s="3">
        <v>0</v>
      </c>
      <c r="F16873" s="3">
        <v>0</v>
      </c>
      <c r="G16873" s="3">
        <v>1</v>
      </c>
      <c r="H16873" s="3">
        <v>0</v>
      </c>
      <c r="I16873" s="3">
        <v>0</v>
      </c>
      <c r="J16873" s="3">
        <v>0</v>
      </c>
      <c r="K16873" s="3">
        <v>0</v>
      </c>
      <c r="L16873" s="3">
        <v>1</v>
      </c>
      <c r="M16873" s="3">
        <v>0</v>
      </c>
      <c r="N16873" s="3">
        <v>0</v>
      </c>
      <c r="O16873" s="3" t="s">
        <v>10</v>
      </c>
      <c r="P16873" s="3" t="s">
        <v>9</v>
      </c>
      <c r="Q16873" s="3"/>
    </row>
    <row r="16874" spans="1:17" ht="15" x14ac:dyDescent="0.25">
      <c r="A16874" s="3">
        <f>16867</f>
        <v>16867</v>
      </c>
      <c r="B16874" s="3" t="s">
        <v>16876</v>
      </c>
      <c r="C16874" s="3" t="s">
        <v>9</v>
      </c>
      <c r="D16874" s="3" t="s">
        <v>10</v>
      </c>
      <c r="E16874" s="3">
        <v>0</v>
      </c>
      <c r="F16874" s="3">
        <v>0</v>
      </c>
      <c r="G16874" s="3">
        <v>1</v>
      </c>
      <c r="H16874" s="3">
        <v>0</v>
      </c>
      <c r="I16874" s="3">
        <v>0</v>
      </c>
      <c r="J16874" s="3">
        <v>0</v>
      </c>
      <c r="K16874" s="3">
        <v>0</v>
      </c>
      <c r="L16874" s="3">
        <v>1</v>
      </c>
      <c r="M16874" s="3">
        <v>0</v>
      </c>
      <c r="N16874" s="3">
        <v>0</v>
      </c>
      <c r="O16874" s="3" t="s">
        <v>10</v>
      </c>
      <c r="P16874" s="3" t="s">
        <v>9</v>
      </c>
      <c r="Q16874" s="3"/>
    </row>
    <row r="16875" spans="1:17" ht="15" x14ac:dyDescent="0.25">
      <c r="A16875" s="3">
        <f>16868</f>
        <v>16868</v>
      </c>
      <c r="B16875" s="3" t="s">
        <v>16877</v>
      </c>
      <c r="C16875" s="3" t="s">
        <v>9</v>
      </c>
      <c r="D16875" s="3" t="s">
        <v>10</v>
      </c>
      <c r="E16875" s="3">
        <v>0</v>
      </c>
      <c r="F16875" s="3">
        <v>0</v>
      </c>
      <c r="G16875" s="3">
        <v>1</v>
      </c>
      <c r="H16875" s="3">
        <v>0</v>
      </c>
      <c r="I16875" s="3">
        <v>0</v>
      </c>
      <c r="J16875" s="3">
        <v>0</v>
      </c>
      <c r="K16875" s="3">
        <v>0</v>
      </c>
      <c r="L16875" s="3">
        <v>1</v>
      </c>
      <c r="M16875" s="3">
        <v>0</v>
      </c>
      <c r="N16875" s="3">
        <v>0</v>
      </c>
      <c r="O16875" s="3" t="s">
        <v>10</v>
      </c>
      <c r="P16875" s="3" t="s">
        <v>9</v>
      </c>
      <c r="Q16875" s="3"/>
    </row>
    <row r="16876" spans="1:17" ht="15" x14ac:dyDescent="0.25">
      <c r="A16876" s="3">
        <f>16869</f>
        <v>16869</v>
      </c>
      <c r="B16876" s="3" t="s">
        <v>16878</v>
      </c>
      <c r="C16876" s="3" t="s">
        <v>9</v>
      </c>
      <c r="D16876" s="3" t="s">
        <v>10</v>
      </c>
      <c r="E16876" s="3">
        <v>0</v>
      </c>
      <c r="F16876" s="3">
        <v>0</v>
      </c>
      <c r="G16876" s="3">
        <v>1</v>
      </c>
      <c r="H16876" s="3">
        <v>0</v>
      </c>
      <c r="I16876" s="3">
        <v>0</v>
      </c>
      <c r="J16876" s="3">
        <v>0</v>
      </c>
      <c r="K16876" s="3">
        <v>0</v>
      </c>
      <c r="L16876" s="3">
        <v>1</v>
      </c>
      <c r="M16876" s="3">
        <v>0</v>
      </c>
      <c r="N16876" s="3">
        <v>0</v>
      </c>
      <c r="O16876" s="3" t="s">
        <v>10</v>
      </c>
      <c r="P16876" s="3" t="s">
        <v>9</v>
      </c>
      <c r="Q16876" s="3"/>
    </row>
    <row r="16877" spans="1:17" ht="15" x14ac:dyDescent="0.25">
      <c r="A16877" s="3">
        <f>16870</f>
        <v>16870</v>
      </c>
      <c r="B16877" s="3" t="s">
        <v>16879</v>
      </c>
      <c r="C16877" s="3" t="s">
        <v>9</v>
      </c>
      <c r="D16877" s="3" t="s">
        <v>10</v>
      </c>
      <c r="E16877" s="3">
        <v>0</v>
      </c>
      <c r="F16877" s="3">
        <v>0</v>
      </c>
      <c r="G16877" s="3">
        <v>1</v>
      </c>
      <c r="H16877" s="3">
        <v>0</v>
      </c>
      <c r="I16877" s="3">
        <v>0</v>
      </c>
      <c r="J16877" s="3">
        <v>0</v>
      </c>
      <c r="K16877" s="3">
        <v>0</v>
      </c>
      <c r="L16877" s="3">
        <v>1</v>
      </c>
      <c r="M16877" s="3">
        <v>0</v>
      </c>
      <c r="N16877" s="3">
        <v>0</v>
      </c>
      <c r="O16877" s="3" t="s">
        <v>10</v>
      </c>
      <c r="P16877" s="3" t="s">
        <v>9</v>
      </c>
      <c r="Q16877" s="3"/>
    </row>
    <row r="16878" spans="1:17" ht="15" x14ac:dyDescent="0.25">
      <c r="A16878" s="3">
        <f>16871</f>
        <v>16871</v>
      </c>
      <c r="B16878" s="3" t="s">
        <v>16880</v>
      </c>
      <c r="C16878" s="3" t="s">
        <v>9</v>
      </c>
      <c r="D16878" s="3" t="s">
        <v>10</v>
      </c>
      <c r="E16878" s="3">
        <v>0</v>
      </c>
      <c r="F16878" s="3">
        <v>0</v>
      </c>
      <c r="G16878" s="3">
        <v>1</v>
      </c>
      <c r="H16878" s="3">
        <v>0</v>
      </c>
      <c r="I16878" s="3">
        <v>0</v>
      </c>
      <c r="J16878" s="3">
        <v>0</v>
      </c>
      <c r="K16878" s="3">
        <v>0</v>
      </c>
      <c r="L16878" s="3">
        <v>1</v>
      </c>
      <c r="M16878" s="3">
        <v>0</v>
      </c>
      <c r="N16878" s="3">
        <v>0</v>
      </c>
      <c r="O16878" s="3" t="s">
        <v>10</v>
      </c>
      <c r="P16878" s="3" t="s">
        <v>9</v>
      </c>
      <c r="Q16878" s="3"/>
    </row>
    <row r="16879" spans="1:17" ht="15" x14ac:dyDescent="0.25">
      <c r="A16879" s="3">
        <f>16872</f>
        <v>16872</v>
      </c>
      <c r="B16879" s="3" t="s">
        <v>16881</v>
      </c>
      <c r="C16879" s="3" t="s">
        <v>9</v>
      </c>
      <c r="D16879" s="3" t="s">
        <v>10</v>
      </c>
      <c r="E16879" s="3">
        <v>0</v>
      </c>
      <c r="F16879" s="3">
        <v>0</v>
      </c>
      <c r="G16879" s="3">
        <v>1</v>
      </c>
      <c r="H16879" s="3">
        <v>0</v>
      </c>
      <c r="I16879" s="3">
        <v>0</v>
      </c>
      <c r="J16879" s="3">
        <v>0</v>
      </c>
      <c r="K16879" s="3">
        <v>0</v>
      </c>
      <c r="L16879" s="3">
        <v>1</v>
      </c>
      <c r="M16879" s="3">
        <v>0</v>
      </c>
      <c r="N16879" s="3">
        <v>0</v>
      </c>
      <c r="O16879" s="3" t="s">
        <v>10</v>
      </c>
      <c r="P16879" s="3" t="s">
        <v>9</v>
      </c>
      <c r="Q16879" s="3"/>
    </row>
    <row r="16880" spans="1:17" ht="15" x14ac:dyDescent="0.25">
      <c r="A16880" s="3">
        <f>16873</f>
        <v>16873</v>
      </c>
      <c r="B16880" s="3" t="s">
        <v>16882</v>
      </c>
      <c r="C16880" s="3" t="s">
        <v>9</v>
      </c>
      <c r="D16880" s="3" t="s">
        <v>10</v>
      </c>
      <c r="E16880" s="3">
        <v>0</v>
      </c>
      <c r="F16880" s="3">
        <v>0</v>
      </c>
      <c r="G16880" s="3">
        <v>1</v>
      </c>
      <c r="H16880" s="3">
        <v>0</v>
      </c>
      <c r="I16880" s="3">
        <v>0</v>
      </c>
      <c r="J16880" s="3">
        <v>0</v>
      </c>
      <c r="K16880" s="3">
        <v>0</v>
      </c>
      <c r="L16880" s="3">
        <v>1</v>
      </c>
      <c r="M16880" s="3">
        <v>0</v>
      </c>
      <c r="N16880" s="3">
        <v>0</v>
      </c>
      <c r="O16880" s="3" t="s">
        <v>10</v>
      </c>
      <c r="P16880" s="3" t="s">
        <v>9</v>
      </c>
      <c r="Q16880" s="3"/>
    </row>
    <row r="16881" spans="1:17" ht="15" x14ac:dyDescent="0.25">
      <c r="A16881" s="3">
        <f>16874</f>
        <v>16874</v>
      </c>
      <c r="B16881" s="3" t="s">
        <v>16883</v>
      </c>
      <c r="C16881" s="3" t="s">
        <v>9</v>
      </c>
      <c r="D16881" s="3" t="s">
        <v>10</v>
      </c>
      <c r="E16881" s="3">
        <v>0</v>
      </c>
      <c r="F16881" s="3">
        <v>0</v>
      </c>
      <c r="G16881" s="3">
        <v>1</v>
      </c>
      <c r="H16881" s="3">
        <v>0</v>
      </c>
      <c r="I16881" s="3">
        <v>0</v>
      </c>
      <c r="J16881" s="3">
        <v>0</v>
      </c>
      <c r="K16881" s="3">
        <v>0</v>
      </c>
      <c r="L16881" s="3">
        <v>1</v>
      </c>
      <c r="M16881" s="3">
        <v>0</v>
      </c>
      <c r="N16881" s="3">
        <v>0</v>
      </c>
      <c r="O16881" s="3" t="s">
        <v>10</v>
      </c>
      <c r="P16881" s="3" t="s">
        <v>9</v>
      </c>
      <c r="Q16881" s="3"/>
    </row>
    <row r="16882" spans="1:17" ht="15" x14ac:dyDescent="0.25">
      <c r="A16882" s="3">
        <f>16875</f>
        <v>16875</v>
      </c>
      <c r="B16882" s="3" t="s">
        <v>16884</v>
      </c>
      <c r="C16882" s="3" t="s">
        <v>9</v>
      </c>
      <c r="D16882" s="3" t="s">
        <v>10</v>
      </c>
      <c r="E16882" s="3">
        <v>0</v>
      </c>
      <c r="F16882" s="3">
        <v>0</v>
      </c>
      <c r="G16882" s="3">
        <v>1</v>
      </c>
      <c r="H16882" s="3">
        <v>0</v>
      </c>
      <c r="I16882" s="3">
        <v>0</v>
      </c>
      <c r="J16882" s="3">
        <v>0</v>
      </c>
      <c r="K16882" s="3">
        <v>0</v>
      </c>
      <c r="L16882" s="3">
        <v>1</v>
      </c>
      <c r="M16882" s="3">
        <v>0</v>
      </c>
      <c r="N16882" s="3">
        <v>0</v>
      </c>
      <c r="O16882" s="3" t="s">
        <v>10</v>
      </c>
      <c r="P16882" s="3" t="s">
        <v>9</v>
      </c>
      <c r="Q16882" s="3"/>
    </row>
    <row r="16883" spans="1:17" ht="15" x14ac:dyDescent="0.25">
      <c r="A16883" s="3">
        <f>16876</f>
        <v>16876</v>
      </c>
      <c r="B16883" s="3" t="s">
        <v>16885</v>
      </c>
      <c r="C16883" s="3" t="s">
        <v>9</v>
      </c>
      <c r="D16883" s="3" t="s">
        <v>10</v>
      </c>
      <c r="E16883" s="3">
        <v>0</v>
      </c>
      <c r="F16883" s="3">
        <v>0</v>
      </c>
      <c r="G16883" s="3">
        <v>1</v>
      </c>
      <c r="H16883" s="3">
        <v>0</v>
      </c>
      <c r="I16883" s="3">
        <v>0</v>
      </c>
      <c r="J16883" s="3">
        <v>0</v>
      </c>
      <c r="K16883" s="3">
        <v>0</v>
      </c>
      <c r="L16883" s="3">
        <v>1</v>
      </c>
      <c r="M16883" s="3">
        <v>0</v>
      </c>
      <c r="N16883" s="3">
        <v>0</v>
      </c>
      <c r="O16883" s="3" t="s">
        <v>10</v>
      </c>
      <c r="P16883" s="3" t="s">
        <v>9</v>
      </c>
      <c r="Q16883" s="3"/>
    </row>
    <row r="16884" spans="1:17" ht="15" x14ac:dyDescent="0.25">
      <c r="A16884" s="3">
        <f>16877</f>
        <v>16877</v>
      </c>
      <c r="B16884" s="3" t="s">
        <v>16886</v>
      </c>
      <c r="C16884" s="3" t="s">
        <v>9</v>
      </c>
      <c r="D16884" s="3" t="s">
        <v>10</v>
      </c>
      <c r="E16884" s="3">
        <v>0</v>
      </c>
      <c r="F16884" s="3">
        <v>0</v>
      </c>
      <c r="G16884" s="3">
        <v>1</v>
      </c>
      <c r="H16884" s="3">
        <v>0</v>
      </c>
      <c r="I16884" s="3">
        <v>0</v>
      </c>
      <c r="J16884" s="3">
        <v>0</v>
      </c>
      <c r="K16884" s="3">
        <v>0</v>
      </c>
      <c r="L16884" s="3">
        <v>1</v>
      </c>
      <c r="M16884" s="3">
        <v>0</v>
      </c>
      <c r="N16884" s="3">
        <v>0</v>
      </c>
      <c r="O16884" s="3" t="s">
        <v>10</v>
      </c>
      <c r="P16884" s="3" t="s">
        <v>9</v>
      </c>
      <c r="Q16884" s="3"/>
    </row>
    <row r="16885" spans="1:17" ht="15" x14ac:dyDescent="0.25">
      <c r="A16885" s="3">
        <f>16878</f>
        <v>16878</v>
      </c>
      <c r="B16885" s="3" t="s">
        <v>16887</v>
      </c>
      <c r="C16885" s="3" t="s">
        <v>9</v>
      </c>
      <c r="D16885" s="3" t="s">
        <v>10</v>
      </c>
      <c r="E16885" s="3">
        <v>0</v>
      </c>
      <c r="F16885" s="3">
        <v>0</v>
      </c>
      <c r="G16885" s="3">
        <v>1</v>
      </c>
      <c r="H16885" s="3">
        <v>0</v>
      </c>
      <c r="I16885" s="3">
        <v>0</v>
      </c>
      <c r="J16885" s="3">
        <v>0</v>
      </c>
      <c r="K16885" s="3">
        <v>0</v>
      </c>
      <c r="L16885" s="3">
        <v>1</v>
      </c>
      <c r="M16885" s="3">
        <v>0</v>
      </c>
      <c r="N16885" s="3">
        <v>0</v>
      </c>
      <c r="O16885" s="3" t="s">
        <v>10</v>
      </c>
      <c r="P16885" s="3" t="s">
        <v>9</v>
      </c>
      <c r="Q16885" s="3"/>
    </row>
    <row r="16886" spans="1:17" ht="15" x14ac:dyDescent="0.25">
      <c r="A16886" s="3">
        <f>16879</f>
        <v>16879</v>
      </c>
      <c r="B16886" s="3" t="s">
        <v>16888</v>
      </c>
      <c r="C16886" s="3" t="s">
        <v>9</v>
      </c>
      <c r="D16886" s="3" t="s">
        <v>10</v>
      </c>
      <c r="E16886" s="3">
        <v>0</v>
      </c>
      <c r="F16886" s="3">
        <v>0</v>
      </c>
      <c r="G16886" s="3">
        <v>1</v>
      </c>
      <c r="H16886" s="3">
        <v>0</v>
      </c>
      <c r="I16886" s="3">
        <v>0</v>
      </c>
      <c r="J16886" s="3">
        <v>0</v>
      </c>
      <c r="K16886" s="3">
        <v>0</v>
      </c>
      <c r="L16886" s="3">
        <v>1</v>
      </c>
      <c r="M16886" s="3">
        <v>0</v>
      </c>
      <c r="N16886" s="3">
        <v>0</v>
      </c>
      <c r="O16886" s="3" t="s">
        <v>10</v>
      </c>
      <c r="P16886" s="3" t="s">
        <v>9</v>
      </c>
      <c r="Q16886" s="3"/>
    </row>
    <row r="16887" spans="1:17" ht="15" x14ac:dyDescent="0.25">
      <c r="A16887" s="3">
        <f>16880</f>
        <v>16880</v>
      </c>
      <c r="B16887" s="3" t="s">
        <v>16889</v>
      </c>
      <c r="C16887" s="3" t="s">
        <v>9</v>
      </c>
      <c r="D16887" s="3" t="s">
        <v>10</v>
      </c>
      <c r="E16887" s="3">
        <v>0</v>
      </c>
      <c r="F16887" s="3">
        <v>0</v>
      </c>
      <c r="G16887" s="3">
        <v>1</v>
      </c>
      <c r="H16887" s="3">
        <v>0</v>
      </c>
      <c r="I16887" s="3">
        <v>0</v>
      </c>
      <c r="J16887" s="3">
        <v>0</v>
      </c>
      <c r="K16887" s="3">
        <v>0</v>
      </c>
      <c r="L16887" s="3">
        <v>1</v>
      </c>
      <c r="M16887" s="3">
        <v>0</v>
      </c>
      <c r="N16887" s="3">
        <v>0</v>
      </c>
      <c r="O16887" s="3" t="s">
        <v>10</v>
      </c>
      <c r="P16887" s="3" t="s">
        <v>9</v>
      </c>
      <c r="Q16887" s="3"/>
    </row>
    <row r="16888" spans="1:17" ht="15" x14ac:dyDescent="0.25">
      <c r="A16888" s="3">
        <f>16881</f>
        <v>16881</v>
      </c>
      <c r="B16888" s="3" t="s">
        <v>16890</v>
      </c>
      <c r="C16888" s="3" t="s">
        <v>9</v>
      </c>
      <c r="D16888" s="3" t="s">
        <v>10</v>
      </c>
      <c r="E16888" s="3">
        <v>0</v>
      </c>
      <c r="F16888" s="3">
        <v>0</v>
      </c>
      <c r="G16888" s="3">
        <v>1</v>
      </c>
      <c r="H16888" s="3">
        <v>0</v>
      </c>
      <c r="I16888" s="3">
        <v>0</v>
      </c>
      <c r="J16888" s="3">
        <v>0</v>
      </c>
      <c r="K16888" s="3">
        <v>0</v>
      </c>
      <c r="L16888" s="3">
        <v>1</v>
      </c>
      <c r="M16888" s="3">
        <v>0</v>
      </c>
      <c r="N16888" s="3">
        <v>0</v>
      </c>
      <c r="O16888" s="3" t="s">
        <v>10</v>
      </c>
      <c r="P16888" s="3" t="s">
        <v>9</v>
      </c>
      <c r="Q16888" s="3"/>
    </row>
    <row r="16889" spans="1:17" ht="15" x14ac:dyDescent="0.25">
      <c r="A16889" s="3">
        <f>16882</f>
        <v>16882</v>
      </c>
      <c r="B16889" s="3" t="s">
        <v>16891</v>
      </c>
      <c r="C16889" s="3" t="s">
        <v>9</v>
      </c>
      <c r="D16889" s="3" t="s">
        <v>10</v>
      </c>
      <c r="E16889" s="3">
        <v>0</v>
      </c>
      <c r="F16889" s="3">
        <v>0</v>
      </c>
      <c r="G16889" s="3">
        <v>1</v>
      </c>
      <c r="H16889" s="3">
        <v>0</v>
      </c>
      <c r="I16889" s="3">
        <v>0</v>
      </c>
      <c r="J16889" s="3">
        <v>0</v>
      </c>
      <c r="K16889" s="3">
        <v>0</v>
      </c>
      <c r="L16889" s="3">
        <v>1</v>
      </c>
      <c r="M16889" s="3">
        <v>0</v>
      </c>
      <c r="N16889" s="3">
        <v>0</v>
      </c>
      <c r="O16889" s="3" t="s">
        <v>10</v>
      </c>
      <c r="P16889" s="3" t="s">
        <v>9</v>
      </c>
      <c r="Q16889" s="3"/>
    </row>
    <row r="16890" spans="1:17" ht="15" x14ac:dyDescent="0.25">
      <c r="A16890" s="3">
        <f>16883</f>
        <v>16883</v>
      </c>
      <c r="B16890" s="3" t="s">
        <v>16892</v>
      </c>
      <c r="C16890" s="3" t="s">
        <v>9</v>
      </c>
      <c r="D16890" s="3" t="s">
        <v>10</v>
      </c>
      <c r="E16890" s="3">
        <v>0</v>
      </c>
      <c r="F16890" s="3">
        <v>0</v>
      </c>
      <c r="G16890" s="3">
        <v>1</v>
      </c>
      <c r="H16890" s="3">
        <v>0</v>
      </c>
      <c r="I16890" s="3">
        <v>0</v>
      </c>
      <c r="J16890" s="3">
        <v>0</v>
      </c>
      <c r="K16890" s="3">
        <v>0</v>
      </c>
      <c r="L16890" s="3">
        <v>1</v>
      </c>
      <c r="M16890" s="3">
        <v>0</v>
      </c>
      <c r="N16890" s="3">
        <v>0</v>
      </c>
      <c r="O16890" s="3" t="s">
        <v>10</v>
      </c>
      <c r="P16890" s="3" t="s">
        <v>9</v>
      </c>
      <c r="Q16890" s="3"/>
    </row>
    <row r="16891" spans="1:17" ht="15" x14ac:dyDescent="0.25">
      <c r="A16891" s="3">
        <f>16884</f>
        <v>16884</v>
      </c>
      <c r="B16891" s="3" t="s">
        <v>16893</v>
      </c>
      <c r="C16891" s="3" t="s">
        <v>9</v>
      </c>
      <c r="D16891" s="3" t="s">
        <v>10</v>
      </c>
      <c r="E16891" s="3">
        <v>0</v>
      </c>
      <c r="F16891" s="3">
        <v>0</v>
      </c>
      <c r="G16891" s="3">
        <v>1</v>
      </c>
      <c r="H16891" s="3">
        <v>0</v>
      </c>
      <c r="I16891" s="3">
        <v>0</v>
      </c>
      <c r="J16891" s="3">
        <v>0</v>
      </c>
      <c r="K16891" s="3">
        <v>0</v>
      </c>
      <c r="L16891" s="3">
        <v>1</v>
      </c>
      <c r="M16891" s="3">
        <v>0</v>
      </c>
      <c r="N16891" s="3">
        <v>0</v>
      </c>
      <c r="O16891" s="3" t="s">
        <v>10</v>
      </c>
      <c r="P16891" s="3" t="s">
        <v>9</v>
      </c>
      <c r="Q16891" s="3"/>
    </row>
    <row r="16892" spans="1:17" ht="15" x14ac:dyDescent="0.25">
      <c r="A16892" s="3">
        <f>16885</f>
        <v>16885</v>
      </c>
      <c r="B16892" s="3" t="s">
        <v>16894</v>
      </c>
      <c r="C16892" s="3" t="s">
        <v>9</v>
      </c>
      <c r="D16892" s="3" t="s">
        <v>10</v>
      </c>
      <c r="E16892" s="3">
        <v>0</v>
      </c>
      <c r="F16892" s="3">
        <v>0</v>
      </c>
      <c r="G16892" s="3">
        <v>1</v>
      </c>
      <c r="H16892" s="3">
        <v>0</v>
      </c>
      <c r="I16892" s="3">
        <v>0</v>
      </c>
      <c r="J16892" s="3">
        <v>0</v>
      </c>
      <c r="K16892" s="3">
        <v>0</v>
      </c>
      <c r="L16892" s="3">
        <v>1</v>
      </c>
      <c r="M16892" s="3">
        <v>0</v>
      </c>
      <c r="N16892" s="3">
        <v>0</v>
      </c>
      <c r="O16892" s="3" t="s">
        <v>10</v>
      </c>
      <c r="P16892" s="3" t="s">
        <v>9</v>
      </c>
      <c r="Q16892" s="3"/>
    </row>
    <row r="16893" spans="1:17" ht="15" x14ac:dyDescent="0.25">
      <c r="A16893" s="3">
        <f>16886</f>
        <v>16886</v>
      </c>
      <c r="B16893" s="3" t="s">
        <v>16895</v>
      </c>
      <c r="C16893" s="3" t="s">
        <v>9</v>
      </c>
      <c r="D16893" s="3" t="s">
        <v>10</v>
      </c>
      <c r="E16893" s="3">
        <v>0</v>
      </c>
      <c r="F16893" s="3">
        <v>0</v>
      </c>
      <c r="G16893" s="3">
        <v>1</v>
      </c>
      <c r="H16893" s="3">
        <v>0</v>
      </c>
      <c r="I16893" s="3">
        <v>0</v>
      </c>
      <c r="J16893" s="3">
        <v>0</v>
      </c>
      <c r="K16893" s="3">
        <v>0</v>
      </c>
      <c r="L16893" s="3">
        <v>1</v>
      </c>
      <c r="M16893" s="3">
        <v>0</v>
      </c>
      <c r="N16893" s="3">
        <v>0</v>
      </c>
      <c r="O16893" s="3" t="s">
        <v>10</v>
      </c>
      <c r="P16893" s="3" t="s">
        <v>9</v>
      </c>
      <c r="Q16893" s="3"/>
    </row>
    <row r="16894" spans="1:17" ht="15" x14ac:dyDescent="0.25">
      <c r="A16894" s="3">
        <f>16887</f>
        <v>16887</v>
      </c>
      <c r="B16894" s="3" t="s">
        <v>16896</v>
      </c>
      <c r="C16894" s="3" t="s">
        <v>9</v>
      </c>
      <c r="D16894" s="3" t="s">
        <v>10</v>
      </c>
      <c r="E16894" s="3">
        <v>0</v>
      </c>
      <c r="F16894" s="3">
        <v>0</v>
      </c>
      <c r="G16894" s="3">
        <v>1</v>
      </c>
      <c r="H16894" s="3">
        <v>0</v>
      </c>
      <c r="I16894" s="3">
        <v>0</v>
      </c>
      <c r="J16894" s="3">
        <v>0</v>
      </c>
      <c r="K16894" s="3">
        <v>0</v>
      </c>
      <c r="L16894" s="3">
        <v>1</v>
      </c>
      <c r="M16894" s="3">
        <v>0</v>
      </c>
      <c r="N16894" s="3">
        <v>0</v>
      </c>
      <c r="O16894" s="3" t="s">
        <v>10</v>
      </c>
      <c r="P16894" s="3" t="s">
        <v>9</v>
      </c>
      <c r="Q16894" s="3"/>
    </row>
    <row r="16895" spans="1:17" ht="15" x14ac:dyDescent="0.25">
      <c r="A16895" s="3">
        <f>16888</f>
        <v>16888</v>
      </c>
      <c r="B16895" s="3" t="s">
        <v>16897</v>
      </c>
      <c r="C16895" s="3" t="s">
        <v>9</v>
      </c>
      <c r="D16895" s="3" t="s">
        <v>10</v>
      </c>
      <c r="E16895" s="3">
        <v>0</v>
      </c>
      <c r="F16895" s="3">
        <v>0</v>
      </c>
      <c r="G16895" s="3">
        <v>1</v>
      </c>
      <c r="H16895" s="3">
        <v>0</v>
      </c>
      <c r="I16895" s="3">
        <v>0</v>
      </c>
      <c r="J16895" s="3">
        <v>0</v>
      </c>
      <c r="K16895" s="3">
        <v>0</v>
      </c>
      <c r="L16895" s="3">
        <v>1</v>
      </c>
      <c r="M16895" s="3">
        <v>0</v>
      </c>
      <c r="N16895" s="3">
        <v>0</v>
      </c>
      <c r="O16895" s="3" t="s">
        <v>10</v>
      </c>
      <c r="P16895" s="3" t="s">
        <v>9</v>
      </c>
      <c r="Q16895" s="3"/>
    </row>
    <row r="16896" spans="1:17" ht="15" x14ac:dyDescent="0.25">
      <c r="A16896" s="3">
        <f>16889</f>
        <v>16889</v>
      </c>
      <c r="B16896" s="3" t="s">
        <v>16898</v>
      </c>
      <c r="C16896" s="3" t="s">
        <v>9</v>
      </c>
      <c r="D16896" s="3" t="s">
        <v>10</v>
      </c>
      <c r="E16896" s="3">
        <v>0</v>
      </c>
      <c r="F16896" s="3">
        <v>0</v>
      </c>
      <c r="G16896" s="3">
        <v>1</v>
      </c>
      <c r="H16896" s="3">
        <v>0</v>
      </c>
      <c r="I16896" s="3">
        <v>0</v>
      </c>
      <c r="J16896" s="3">
        <v>0</v>
      </c>
      <c r="K16896" s="3">
        <v>0</v>
      </c>
      <c r="L16896" s="3">
        <v>1</v>
      </c>
      <c r="M16896" s="3">
        <v>0</v>
      </c>
      <c r="N16896" s="3">
        <v>0</v>
      </c>
      <c r="O16896" s="3" t="s">
        <v>10</v>
      </c>
      <c r="P16896" s="3" t="s">
        <v>9</v>
      </c>
      <c r="Q16896" s="3"/>
    </row>
    <row r="16897" spans="1:17" ht="15" x14ac:dyDescent="0.25">
      <c r="A16897" s="3">
        <f>16890</f>
        <v>16890</v>
      </c>
      <c r="B16897" s="3" t="s">
        <v>16899</v>
      </c>
      <c r="C16897" s="3" t="s">
        <v>9</v>
      </c>
      <c r="D16897" s="3" t="s">
        <v>10</v>
      </c>
      <c r="E16897" s="3">
        <v>0</v>
      </c>
      <c r="F16897" s="3">
        <v>0</v>
      </c>
      <c r="G16897" s="3">
        <v>1</v>
      </c>
      <c r="H16897" s="3">
        <v>0</v>
      </c>
      <c r="I16897" s="3">
        <v>0</v>
      </c>
      <c r="J16897" s="3">
        <v>0</v>
      </c>
      <c r="K16897" s="3">
        <v>0</v>
      </c>
      <c r="L16897" s="3">
        <v>1</v>
      </c>
      <c r="M16897" s="3">
        <v>0</v>
      </c>
      <c r="N16897" s="3">
        <v>0</v>
      </c>
      <c r="O16897" s="3" t="s">
        <v>10</v>
      </c>
      <c r="P16897" s="3" t="s">
        <v>9</v>
      </c>
      <c r="Q16897" s="3"/>
    </row>
    <row r="16898" spans="1:17" ht="15" x14ac:dyDescent="0.25">
      <c r="A16898" s="3">
        <f>16891</f>
        <v>16891</v>
      </c>
      <c r="B16898" s="3" t="s">
        <v>16900</v>
      </c>
      <c r="C16898" s="3" t="s">
        <v>9</v>
      </c>
      <c r="D16898" s="3" t="s">
        <v>10</v>
      </c>
      <c r="E16898" s="3">
        <v>0</v>
      </c>
      <c r="F16898" s="3">
        <v>0</v>
      </c>
      <c r="G16898" s="3">
        <v>1</v>
      </c>
      <c r="H16898" s="3">
        <v>0</v>
      </c>
      <c r="I16898" s="3">
        <v>0</v>
      </c>
      <c r="J16898" s="3">
        <v>0</v>
      </c>
      <c r="K16898" s="3">
        <v>0</v>
      </c>
      <c r="L16898" s="3">
        <v>1</v>
      </c>
      <c r="M16898" s="3">
        <v>0</v>
      </c>
      <c r="N16898" s="3">
        <v>0</v>
      </c>
      <c r="O16898" s="3" t="s">
        <v>10</v>
      </c>
      <c r="P16898" s="3" t="s">
        <v>9</v>
      </c>
      <c r="Q16898" s="3"/>
    </row>
    <row r="16899" spans="1:17" ht="15" x14ac:dyDescent="0.25">
      <c r="A16899" s="3">
        <f>16892</f>
        <v>16892</v>
      </c>
      <c r="B16899" s="3" t="s">
        <v>16901</v>
      </c>
      <c r="C16899" s="3" t="s">
        <v>9</v>
      </c>
      <c r="D16899" s="3" t="s">
        <v>10</v>
      </c>
      <c r="E16899" s="3">
        <v>0</v>
      </c>
      <c r="F16899" s="3">
        <v>0</v>
      </c>
      <c r="G16899" s="3">
        <v>1</v>
      </c>
      <c r="H16899" s="3">
        <v>0</v>
      </c>
      <c r="I16899" s="3">
        <v>0</v>
      </c>
      <c r="J16899" s="3">
        <v>0</v>
      </c>
      <c r="K16899" s="3">
        <v>0</v>
      </c>
      <c r="L16899" s="3">
        <v>1</v>
      </c>
      <c r="M16899" s="3">
        <v>0</v>
      </c>
      <c r="N16899" s="3">
        <v>0</v>
      </c>
      <c r="O16899" s="3" t="s">
        <v>10</v>
      </c>
      <c r="P16899" s="3" t="s">
        <v>9</v>
      </c>
      <c r="Q16899" s="3"/>
    </row>
    <row r="16900" spans="1:17" ht="15" x14ac:dyDescent="0.25">
      <c r="A16900" s="3">
        <f>16893</f>
        <v>16893</v>
      </c>
      <c r="B16900" s="3" t="s">
        <v>16902</v>
      </c>
      <c r="C16900" s="3" t="s">
        <v>9</v>
      </c>
      <c r="D16900" s="3" t="s">
        <v>10</v>
      </c>
      <c r="E16900" s="3">
        <v>0</v>
      </c>
      <c r="F16900" s="3">
        <v>0</v>
      </c>
      <c r="G16900" s="3">
        <v>1</v>
      </c>
      <c r="H16900" s="3">
        <v>0</v>
      </c>
      <c r="I16900" s="3">
        <v>0</v>
      </c>
      <c r="J16900" s="3">
        <v>0</v>
      </c>
      <c r="K16900" s="3">
        <v>0</v>
      </c>
      <c r="L16900" s="3">
        <v>1</v>
      </c>
      <c r="M16900" s="3">
        <v>0</v>
      </c>
      <c r="N16900" s="3">
        <v>0</v>
      </c>
      <c r="O16900" s="3" t="s">
        <v>10</v>
      </c>
      <c r="P16900" s="3" t="s">
        <v>9</v>
      </c>
      <c r="Q16900" s="3"/>
    </row>
    <row r="16901" spans="1:17" ht="15" x14ac:dyDescent="0.25">
      <c r="A16901" s="3">
        <f>16894</f>
        <v>16894</v>
      </c>
      <c r="B16901" s="3" t="s">
        <v>16903</v>
      </c>
      <c r="C16901" s="3" t="s">
        <v>9</v>
      </c>
      <c r="D16901" s="3" t="s">
        <v>10</v>
      </c>
      <c r="E16901" s="3">
        <v>0</v>
      </c>
      <c r="F16901" s="3">
        <v>0</v>
      </c>
      <c r="G16901" s="3">
        <v>1</v>
      </c>
      <c r="H16901" s="3">
        <v>0</v>
      </c>
      <c r="I16901" s="3">
        <v>0</v>
      </c>
      <c r="J16901" s="3">
        <v>0</v>
      </c>
      <c r="K16901" s="3">
        <v>0</v>
      </c>
      <c r="L16901" s="3">
        <v>1</v>
      </c>
      <c r="M16901" s="3">
        <v>0</v>
      </c>
      <c r="N16901" s="3">
        <v>0</v>
      </c>
      <c r="O16901" s="3" t="s">
        <v>10</v>
      </c>
      <c r="P16901" s="3" t="s">
        <v>9</v>
      </c>
      <c r="Q16901" s="3"/>
    </row>
    <row r="16902" spans="1:17" ht="15" x14ac:dyDescent="0.25">
      <c r="A16902" s="3">
        <f>16895</f>
        <v>16895</v>
      </c>
      <c r="B16902" s="3" t="s">
        <v>16904</v>
      </c>
      <c r="C16902" s="3" t="s">
        <v>9</v>
      </c>
      <c r="D16902" s="3" t="s">
        <v>10</v>
      </c>
      <c r="E16902" s="3">
        <v>0</v>
      </c>
      <c r="F16902" s="3">
        <v>0</v>
      </c>
      <c r="G16902" s="3">
        <v>1</v>
      </c>
      <c r="H16902" s="3">
        <v>0</v>
      </c>
      <c r="I16902" s="3">
        <v>0</v>
      </c>
      <c r="J16902" s="3">
        <v>0</v>
      </c>
      <c r="K16902" s="3">
        <v>0</v>
      </c>
      <c r="L16902" s="3">
        <v>1</v>
      </c>
      <c r="M16902" s="3">
        <v>0</v>
      </c>
      <c r="N16902" s="3">
        <v>0</v>
      </c>
      <c r="O16902" s="3" t="s">
        <v>10</v>
      </c>
      <c r="P16902" s="3" t="s">
        <v>9</v>
      </c>
      <c r="Q16902" s="3"/>
    </row>
    <row r="16903" spans="1:17" ht="15" x14ac:dyDescent="0.25">
      <c r="A16903" s="3">
        <f>16896</f>
        <v>16896</v>
      </c>
      <c r="B16903" s="3" t="s">
        <v>16905</v>
      </c>
      <c r="C16903" s="3" t="s">
        <v>9</v>
      </c>
      <c r="D16903" s="3" t="s">
        <v>10</v>
      </c>
      <c r="E16903" s="3">
        <v>0</v>
      </c>
      <c r="F16903" s="3">
        <v>0</v>
      </c>
      <c r="G16903" s="3">
        <v>1</v>
      </c>
      <c r="H16903" s="3">
        <v>0</v>
      </c>
      <c r="I16903" s="3">
        <v>0</v>
      </c>
      <c r="J16903" s="3">
        <v>0</v>
      </c>
      <c r="K16903" s="3">
        <v>0</v>
      </c>
      <c r="L16903" s="3">
        <v>1</v>
      </c>
      <c r="M16903" s="3">
        <v>0</v>
      </c>
      <c r="N16903" s="3">
        <v>0</v>
      </c>
      <c r="O16903" s="3" t="s">
        <v>10</v>
      </c>
      <c r="P16903" s="3" t="s">
        <v>9</v>
      </c>
      <c r="Q16903" s="3"/>
    </row>
    <row r="16904" spans="1:17" ht="15" x14ac:dyDescent="0.25">
      <c r="A16904" s="3">
        <f>16897</f>
        <v>16897</v>
      </c>
      <c r="B16904" s="3" t="s">
        <v>16906</v>
      </c>
      <c r="C16904" s="3" t="s">
        <v>9</v>
      </c>
      <c r="D16904" s="3" t="s">
        <v>10</v>
      </c>
      <c r="E16904" s="3">
        <v>0</v>
      </c>
      <c r="F16904" s="3">
        <v>0</v>
      </c>
      <c r="G16904" s="3">
        <v>1</v>
      </c>
      <c r="H16904" s="3">
        <v>0</v>
      </c>
      <c r="I16904" s="3">
        <v>0</v>
      </c>
      <c r="J16904" s="3">
        <v>0</v>
      </c>
      <c r="K16904" s="3">
        <v>0</v>
      </c>
      <c r="L16904" s="3">
        <v>1</v>
      </c>
      <c r="M16904" s="3">
        <v>0</v>
      </c>
      <c r="N16904" s="3">
        <v>0</v>
      </c>
      <c r="O16904" s="3" t="s">
        <v>10</v>
      </c>
      <c r="P16904" s="3" t="s">
        <v>9</v>
      </c>
      <c r="Q16904" s="3"/>
    </row>
    <row r="16905" spans="1:17" ht="15" x14ac:dyDescent="0.25">
      <c r="A16905" s="3">
        <f>16898</f>
        <v>16898</v>
      </c>
      <c r="B16905" s="3" t="s">
        <v>16907</v>
      </c>
      <c r="C16905" s="3" t="s">
        <v>9</v>
      </c>
      <c r="D16905" s="3" t="s">
        <v>10</v>
      </c>
      <c r="E16905" s="3">
        <v>0</v>
      </c>
      <c r="F16905" s="3">
        <v>0</v>
      </c>
      <c r="G16905" s="3">
        <v>1</v>
      </c>
      <c r="H16905" s="3">
        <v>0</v>
      </c>
      <c r="I16905" s="3">
        <v>0</v>
      </c>
      <c r="J16905" s="3">
        <v>0</v>
      </c>
      <c r="K16905" s="3">
        <v>0</v>
      </c>
      <c r="L16905" s="3">
        <v>1</v>
      </c>
      <c r="M16905" s="3">
        <v>0</v>
      </c>
      <c r="N16905" s="3">
        <v>0</v>
      </c>
      <c r="O16905" s="3" t="s">
        <v>10</v>
      </c>
      <c r="P16905" s="3" t="s">
        <v>9</v>
      </c>
      <c r="Q16905" s="3"/>
    </row>
    <row r="16906" spans="1:17" ht="15" x14ac:dyDescent="0.25">
      <c r="A16906" s="3">
        <f>16899</f>
        <v>16899</v>
      </c>
      <c r="B16906" s="3" t="s">
        <v>16908</v>
      </c>
      <c r="C16906" s="3" t="s">
        <v>9</v>
      </c>
      <c r="D16906" s="3" t="s">
        <v>10</v>
      </c>
      <c r="E16906" s="3">
        <v>0</v>
      </c>
      <c r="F16906" s="3">
        <v>0</v>
      </c>
      <c r="G16906" s="3">
        <v>1</v>
      </c>
      <c r="H16906" s="3">
        <v>0</v>
      </c>
      <c r="I16906" s="3">
        <v>0</v>
      </c>
      <c r="J16906" s="3">
        <v>0</v>
      </c>
      <c r="K16906" s="3">
        <v>0</v>
      </c>
      <c r="L16906" s="3">
        <v>1</v>
      </c>
      <c r="M16906" s="3">
        <v>0</v>
      </c>
      <c r="N16906" s="3">
        <v>0</v>
      </c>
      <c r="O16906" s="3" t="s">
        <v>10</v>
      </c>
      <c r="P16906" s="3" t="s">
        <v>9</v>
      </c>
      <c r="Q16906" s="3"/>
    </row>
    <row r="16907" spans="1:17" ht="15" x14ac:dyDescent="0.25">
      <c r="A16907" s="3">
        <f>16900</f>
        <v>16900</v>
      </c>
      <c r="B16907" s="3" t="s">
        <v>16909</v>
      </c>
      <c r="C16907" s="3" t="s">
        <v>9</v>
      </c>
      <c r="D16907" s="3" t="s">
        <v>10</v>
      </c>
      <c r="E16907" s="3">
        <v>0</v>
      </c>
      <c r="F16907" s="3">
        <v>0</v>
      </c>
      <c r="G16907" s="3">
        <v>1</v>
      </c>
      <c r="H16907" s="3">
        <v>0</v>
      </c>
      <c r="I16907" s="3">
        <v>0</v>
      </c>
      <c r="J16907" s="3">
        <v>0</v>
      </c>
      <c r="K16907" s="3">
        <v>0</v>
      </c>
      <c r="L16907" s="3">
        <v>1</v>
      </c>
      <c r="M16907" s="3">
        <v>0</v>
      </c>
      <c r="N16907" s="3">
        <v>0</v>
      </c>
      <c r="O16907" s="3" t="s">
        <v>10</v>
      </c>
      <c r="P16907" s="3" t="s">
        <v>9</v>
      </c>
      <c r="Q16907" s="3"/>
    </row>
    <row r="16908" spans="1:17" ht="15" x14ac:dyDescent="0.25">
      <c r="A16908" s="3">
        <f>16901</f>
        <v>16901</v>
      </c>
      <c r="B16908" s="3" t="s">
        <v>16910</v>
      </c>
      <c r="C16908" s="3" t="s">
        <v>9</v>
      </c>
      <c r="D16908" s="3" t="s">
        <v>10</v>
      </c>
      <c r="E16908" s="3">
        <v>0</v>
      </c>
      <c r="F16908" s="3">
        <v>0</v>
      </c>
      <c r="G16908" s="3">
        <v>1</v>
      </c>
      <c r="H16908" s="3">
        <v>0</v>
      </c>
      <c r="I16908" s="3">
        <v>0</v>
      </c>
      <c r="J16908" s="3">
        <v>0</v>
      </c>
      <c r="K16908" s="3">
        <v>0</v>
      </c>
      <c r="L16908" s="3">
        <v>1</v>
      </c>
      <c r="M16908" s="3">
        <v>0</v>
      </c>
      <c r="N16908" s="3">
        <v>0</v>
      </c>
      <c r="O16908" s="3" t="s">
        <v>10</v>
      </c>
      <c r="P16908" s="3" t="s">
        <v>9</v>
      </c>
      <c r="Q16908" s="3"/>
    </row>
    <row r="16909" spans="1:17" ht="15" x14ac:dyDescent="0.25">
      <c r="A16909" s="3">
        <f>16902</f>
        <v>16902</v>
      </c>
      <c r="B16909" s="3" t="s">
        <v>16911</v>
      </c>
      <c r="C16909" s="3" t="s">
        <v>9</v>
      </c>
      <c r="D16909" s="3" t="s">
        <v>10</v>
      </c>
      <c r="E16909" s="3">
        <v>0</v>
      </c>
      <c r="F16909" s="3">
        <v>0</v>
      </c>
      <c r="G16909" s="3">
        <v>1</v>
      </c>
      <c r="H16909" s="3">
        <v>0</v>
      </c>
      <c r="I16909" s="3">
        <v>0</v>
      </c>
      <c r="J16909" s="3">
        <v>0</v>
      </c>
      <c r="K16909" s="3">
        <v>0</v>
      </c>
      <c r="L16909" s="3">
        <v>1</v>
      </c>
      <c r="M16909" s="3">
        <v>0</v>
      </c>
      <c r="N16909" s="3">
        <v>0</v>
      </c>
      <c r="O16909" s="3" t="s">
        <v>10</v>
      </c>
      <c r="P16909" s="3" t="s">
        <v>9</v>
      </c>
      <c r="Q16909" s="3"/>
    </row>
    <row r="16910" spans="1:17" ht="15" x14ac:dyDescent="0.25">
      <c r="A16910" s="3">
        <f>16903</f>
        <v>16903</v>
      </c>
      <c r="B16910" s="3" t="s">
        <v>16912</v>
      </c>
      <c r="C16910" s="3" t="s">
        <v>9</v>
      </c>
      <c r="D16910" s="3" t="s">
        <v>10</v>
      </c>
      <c r="E16910" s="3">
        <v>0</v>
      </c>
      <c r="F16910" s="3">
        <v>0</v>
      </c>
      <c r="G16910" s="3">
        <v>1</v>
      </c>
      <c r="H16910" s="3">
        <v>0</v>
      </c>
      <c r="I16910" s="3">
        <v>0</v>
      </c>
      <c r="J16910" s="3">
        <v>0</v>
      </c>
      <c r="K16910" s="3">
        <v>0</v>
      </c>
      <c r="L16910" s="3">
        <v>1</v>
      </c>
      <c r="M16910" s="3">
        <v>0</v>
      </c>
      <c r="N16910" s="3">
        <v>0</v>
      </c>
      <c r="O16910" s="3" t="s">
        <v>10</v>
      </c>
      <c r="P16910" s="3" t="s">
        <v>9</v>
      </c>
      <c r="Q16910" s="3"/>
    </row>
    <row r="16911" spans="1:17" ht="15" x14ac:dyDescent="0.25">
      <c r="A16911" s="3">
        <f>16904</f>
        <v>16904</v>
      </c>
      <c r="B16911" s="3" t="s">
        <v>16913</v>
      </c>
      <c r="C16911" s="3" t="s">
        <v>9</v>
      </c>
      <c r="D16911" s="3" t="s">
        <v>10</v>
      </c>
      <c r="E16911" s="3">
        <v>0</v>
      </c>
      <c r="F16911" s="3">
        <v>0</v>
      </c>
      <c r="G16911" s="3">
        <v>1</v>
      </c>
      <c r="H16911" s="3">
        <v>0</v>
      </c>
      <c r="I16911" s="3">
        <v>0</v>
      </c>
      <c r="J16911" s="3">
        <v>0</v>
      </c>
      <c r="K16911" s="3">
        <v>0</v>
      </c>
      <c r="L16911" s="3">
        <v>1</v>
      </c>
      <c r="M16911" s="3">
        <v>0</v>
      </c>
      <c r="N16911" s="3">
        <v>0</v>
      </c>
      <c r="O16911" s="3" t="s">
        <v>10</v>
      </c>
      <c r="P16911" s="3" t="s">
        <v>9</v>
      </c>
      <c r="Q16911" s="3"/>
    </row>
    <row r="16912" spans="1:17" ht="15" x14ac:dyDescent="0.25">
      <c r="A16912" s="3">
        <f>16905</f>
        <v>16905</v>
      </c>
      <c r="B16912" s="3" t="s">
        <v>16914</v>
      </c>
      <c r="C16912" s="3" t="s">
        <v>9</v>
      </c>
      <c r="D16912" s="3" t="s">
        <v>10</v>
      </c>
      <c r="E16912" s="3">
        <v>0</v>
      </c>
      <c r="F16912" s="3">
        <v>0</v>
      </c>
      <c r="G16912" s="3">
        <v>1</v>
      </c>
      <c r="H16912" s="3">
        <v>0</v>
      </c>
      <c r="I16912" s="3">
        <v>0</v>
      </c>
      <c r="J16912" s="3">
        <v>0</v>
      </c>
      <c r="K16912" s="3">
        <v>0</v>
      </c>
      <c r="L16912" s="3">
        <v>1</v>
      </c>
      <c r="M16912" s="3">
        <v>0</v>
      </c>
      <c r="N16912" s="3">
        <v>0</v>
      </c>
      <c r="O16912" s="3" t="s">
        <v>10</v>
      </c>
      <c r="P16912" s="3" t="s">
        <v>9</v>
      </c>
      <c r="Q16912" s="3"/>
    </row>
    <row r="16913" spans="1:17" ht="15" x14ac:dyDescent="0.25">
      <c r="A16913" s="3">
        <f>16906</f>
        <v>16906</v>
      </c>
      <c r="B16913" s="3" t="s">
        <v>16915</v>
      </c>
      <c r="C16913" s="3" t="s">
        <v>9</v>
      </c>
      <c r="D16913" s="3" t="s">
        <v>10</v>
      </c>
      <c r="E16913" s="3">
        <v>0</v>
      </c>
      <c r="F16913" s="3">
        <v>0</v>
      </c>
      <c r="G16913" s="3">
        <v>1</v>
      </c>
      <c r="H16913" s="3">
        <v>0</v>
      </c>
      <c r="I16913" s="3">
        <v>0</v>
      </c>
      <c r="J16913" s="3">
        <v>0</v>
      </c>
      <c r="K16913" s="3">
        <v>0</v>
      </c>
      <c r="L16913" s="3">
        <v>1</v>
      </c>
      <c r="M16913" s="3">
        <v>0</v>
      </c>
      <c r="N16913" s="3">
        <v>0</v>
      </c>
      <c r="O16913" s="3" t="s">
        <v>10</v>
      </c>
      <c r="P16913" s="3" t="s">
        <v>9</v>
      </c>
      <c r="Q16913" s="3"/>
    </row>
    <row r="16914" spans="1:17" ht="15" x14ac:dyDescent="0.25">
      <c r="A16914" s="3">
        <f>16907</f>
        <v>16907</v>
      </c>
      <c r="B16914" s="3" t="s">
        <v>16916</v>
      </c>
      <c r="C16914" s="3" t="s">
        <v>9</v>
      </c>
      <c r="D16914" s="3" t="s">
        <v>10</v>
      </c>
      <c r="E16914" s="3">
        <v>0</v>
      </c>
      <c r="F16914" s="3">
        <v>0</v>
      </c>
      <c r="G16914" s="3">
        <v>1</v>
      </c>
      <c r="H16914" s="3">
        <v>0</v>
      </c>
      <c r="I16914" s="3">
        <v>0</v>
      </c>
      <c r="J16914" s="3">
        <v>0</v>
      </c>
      <c r="K16914" s="3">
        <v>0</v>
      </c>
      <c r="L16914" s="3">
        <v>1</v>
      </c>
      <c r="M16914" s="3">
        <v>0</v>
      </c>
      <c r="N16914" s="3">
        <v>0</v>
      </c>
      <c r="O16914" s="3" t="s">
        <v>10</v>
      </c>
      <c r="P16914" s="3" t="s">
        <v>9</v>
      </c>
      <c r="Q16914" s="3"/>
    </row>
    <row r="16915" spans="1:17" ht="15" x14ac:dyDescent="0.25">
      <c r="A16915" s="3">
        <f>16908</f>
        <v>16908</v>
      </c>
      <c r="B16915" s="3" t="s">
        <v>16917</v>
      </c>
      <c r="C16915" s="3" t="s">
        <v>9</v>
      </c>
      <c r="D16915" s="3" t="s">
        <v>10</v>
      </c>
      <c r="E16915" s="3">
        <v>0</v>
      </c>
      <c r="F16915" s="3">
        <v>0</v>
      </c>
      <c r="G16915" s="3">
        <v>1</v>
      </c>
      <c r="H16915" s="3">
        <v>0</v>
      </c>
      <c r="I16915" s="3">
        <v>0</v>
      </c>
      <c r="J16915" s="3">
        <v>0</v>
      </c>
      <c r="K16915" s="3">
        <v>0</v>
      </c>
      <c r="L16915" s="3">
        <v>1</v>
      </c>
      <c r="M16915" s="3">
        <v>0</v>
      </c>
      <c r="N16915" s="3">
        <v>0</v>
      </c>
      <c r="O16915" s="3" t="s">
        <v>10</v>
      </c>
      <c r="P16915" s="3" t="s">
        <v>9</v>
      </c>
      <c r="Q16915" s="3"/>
    </row>
    <row r="16916" spans="1:17" ht="15" x14ac:dyDescent="0.25">
      <c r="A16916" s="3">
        <f>16909</f>
        <v>16909</v>
      </c>
      <c r="B16916" s="3" t="s">
        <v>16918</v>
      </c>
      <c r="C16916" s="3" t="s">
        <v>9</v>
      </c>
      <c r="D16916" s="3" t="s">
        <v>10</v>
      </c>
      <c r="E16916" s="3">
        <v>0</v>
      </c>
      <c r="F16916" s="3">
        <v>0</v>
      </c>
      <c r="G16916" s="3">
        <v>1</v>
      </c>
      <c r="H16916" s="3">
        <v>0</v>
      </c>
      <c r="I16916" s="3">
        <v>0</v>
      </c>
      <c r="J16916" s="3">
        <v>0</v>
      </c>
      <c r="K16916" s="3">
        <v>0</v>
      </c>
      <c r="L16916" s="3">
        <v>1</v>
      </c>
      <c r="M16916" s="3">
        <v>0</v>
      </c>
      <c r="N16916" s="3">
        <v>0</v>
      </c>
      <c r="O16916" s="3" t="s">
        <v>10</v>
      </c>
      <c r="P16916" s="3" t="s">
        <v>9</v>
      </c>
      <c r="Q16916" s="3"/>
    </row>
    <row r="16917" spans="1:17" ht="15" x14ac:dyDescent="0.25">
      <c r="A16917" s="3">
        <f>16910</f>
        <v>16910</v>
      </c>
      <c r="B16917" s="3" t="s">
        <v>16919</v>
      </c>
      <c r="C16917" s="3" t="s">
        <v>9</v>
      </c>
      <c r="D16917" s="3" t="s">
        <v>10</v>
      </c>
      <c r="E16917" s="3">
        <v>0</v>
      </c>
      <c r="F16917" s="3">
        <v>0</v>
      </c>
      <c r="G16917" s="3">
        <v>1</v>
      </c>
      <c r="H16917" s="3">
        <v>0</v>
      </c>
      <c r="I16917" s="3">
        <v>0</v>
      </c>
      <c r="J16917" s="3">
        <v>0</v>
      </c>
      <c r="K16917" s="3">
        <v>0</v>
      </c>
      <c r="L16917" s="3">
        <v>1</v>
      </c>
      <c r="M16917" s="3">
        <v>0</v>
      </c>
      <c r="N16917" s="3">
        <v>0</v>
      </c>
      <c r="O16917" s="3" t="s">
        <v>10</v>
      </c>
      <c r="P16917" s="3" t="s">
        <v>9</v>
      </c>
      <c r="Q16917" s="3"/>
    </row>
    <row r="16918" spans="1:17" ht="15" x14ac:dyDescent="0.25">
      <c r="A16918" s="3">
        <f>16911</f>
        <v>16911</v>
      </c>
      <c r="B16918" s="3" t="s">
        <v>16920</v>
      </c>
      <c r="C16918" s="3" t="s">
        <v>9</v>
      </c>
      <c r="D16918" s="3" t="s">
        <v>10</v>
      </c>
      <c r="E16918" s="3">
        <v>0</v>
      </c>
      <c r="F16918" s="3">
        <v>0</v>
      </c>
      <c r="G16918" s="3">
        <v>1</v>
      </c>
      <c r="H16918" s="3">
        <v>0</v>
      </c>
      <c r="I16918" s="3">
        <v>0</v>
      </c>
      <c r="J16918" s="3">
        <v>0</v>
      </c>
      <c r="K16918" s="3">
        <v>0</v>
      </c>
      <c r="L16918" s="3">
        <v>1</v>
      </c>
      <c r="M16918" s="3">
        <v>0</v>
      </c>
      <c r="N16918" s="3">
        <v>0</v>
      </c>
      <c r="O16918" s="3" t="s">
        <v>10</v>
      </c>
      <c r="P16918" s="3" t="s">
        <v>9</v>
      </c>
      <c r="Q16918" s="3"/>
    </row>
    <row r="16919" spans="1:17" ht="15" x14ac:dyDescent="0.25">
      <c r="A16919" s="3">
        <f>16912</f>
        <v>16912</v>
      </c>
      <c r="B16919" s="3" t="s">
        <v>16921</v>
      </c>
      <c r="C16919" s="3" t="s">
        <v>9</v>
      </c>
      <c r="D16919" s="3" t="s">
        <v>10</v>
      </c>
      <c r="E16919" s="3">
        <v>0</v>
      </c>
      <c r="F16919" s="3">
        <v>0</v>
      </c>
      <c r="G16919" s="3">
        <v>1</v>
      </c>
      <c r="H16919" s="3">
        <v>0</v>
      </c>
      <c r="I16919" s="3">
        <v>0</v>
      </c>
      <c r="J16919" s="3">
        <v>0</v>
      </c>
      <c r="K16919" s="3">
        <v>0</v>
      </c>
      <c r="L16919" s="3">
        <v>1</v>
      </c>
      <c r="M16919" s="3">
        <v>0</v>
      </c>
      <c r="N16919" s="3">
        <v>0</v>
      </c>
      <c r="O16919" s="3" t="s">
        <v>10</v>
      </c>
      <c r="P16919" s="3" t="s">
        <v>9</v>
      </c>
      <c r="Q16919" s="3"/>
    </row>
    <row r="16920" spans="1:17" ht="15" x14ac:dyDescent="0.25">
      <c r="A16920" s="3">
        <f>16913</f>
        <v>16913</v>
      </c>
      <c r="B16920" s="3" t="s">
        <v>16922</v>
      </c>
      <c r="C16920" s="3" t="s">
        <v>9</v>
      </c>
      <c r="D16920" s="3" t="s">
        <v>10</v>
      </c>
      <c r="E16920" s="3">
        <v>0</v>
      </c>
      <c r="F16920" s="3">
        <v>0</v>
      </c>
      <c r="G16920" s="3">
        <v>1</v>
      </c>
      <c r="H16920" s="3">
        <v>0</v>
      </c>
      <c r="I16920" s="3">
        <v>0</v>
      </c>
      <c r="J16920" s="3">
        <v>0</v>
      </c>
      <c r="K16920" s="3">
        <v>0</v>
      </c>
      <c r="L16920" s="3">
        <v>1</v>
      </c>
      <c r="M16920" s="3">
        <v>0</v>
      </c>
      <c r="N16920" s="3">
        <v>0</v>
      </c>
      <c r="O16920" s="3" t="s">
        <v>10</v>
      </c>
      <c r="P16920" s="3" t="s">
        <v>9</v>
      </c>
      <c r="Q16920" s="3"/>
    </row>
    <row r="16921" spans="1:17" ht="15" x14ac:dyDescent="0.25">
      <c r="A16921" s="3">
        <f>16914</f>
        <v>16914</v>
      </c>
      <c r="B16921" s="3" t="s">
        <v>16923</v>
      </c>
      <c r="C16921" s="3" t="s">
        <v>9</v>
      </c>
      <c r="D16921" s="3" t="s">
        <v>10</v>
      </c>
      <c r="E16921" s="3">
        <v>0</v>
      </c>
      <c r="F16921" s="3">
        <v>0</v>
      </c>
      <c r="G16921" s="3">
        <v>1</v>
      </c>
      <c r="H16921" s="3">
        <v>0</v>
      </c>
      <c r="I16921" s="3">
        <v>0</v>
      </c>
      <c r="J16921" s="3">
        <v>0</v>
      </c>
      <c r="K16921" s="3">
        <v>0</v>
      </c>
      <c r="L16921" s="3">
        <v>1</v>
      </c>
      <c r="M16921" s="3">
        <v>0</v>
      </c>
      <c r="N16921" s="3">
        <v>0</v>
      </c>
      <c r="O16921" s="3" t="s">
        <v>10</v>
      </c>
      <c r="P16921" s="3" t="s">
        <v>9</v>
      </c>
      <c r="Q16921" s="3"/>
    </row>
    <row r="16922" spans="1:17" ht="15" x14ac:dyDescent="0.25">
      <c r="A16922" s="3">
        <f>16915</f>
        <v>16915</v>
      </c>
      <c r="B16922" s="3" t="s">
        <v>16924</v>
      </c>
      <c r="C16922" s="3" t="s">
        <v>9</v>
      </c>
      <c r="D16922" s="3" t="s">
        <v>10</v>
      </c>
      <c r="E16922" s="3">
        <v>0</v>
      </c>
      <c r="F16922" s="3">
        <v>0</v>
      </c>
      <c r="G16922" s="3">
        <v>1</v>
      </c>
      <c r="H16922" s="3">
        <v>0</v>
      </c>
      <c r="I16922" s="3">
        <v>0</v>
      </c>
      <c r="J16922" s="3">
        <v>0</v>
      </c>
      <c r="K16922" s="3">
        <v>0</v>
      </c>
      <c r="L16922" s="3">
        <v>1</v>
      </c>
      <c r="M16922" s="3">
        <v>0</v>
      </c>
      <c r="N16922" s="3">
        <v>0</v>
      </c>
      <c r="O16922" s="3" t="s">
        <v>10</v>
      </c>
      <c r="P16922" s="3" t="s">
        <v>9</v>
      </c>
      <c r="Q16922" s="3"/>
    </row>
    <row r="16923" spans="1:17" ht="15" x14ac:dyDescent="0.25">
      <c r="A16923" s="3">
        <f>16916</f>
        <v>16916</v>
      </c>
      <c r="B16923" s="3" t="s">
        <v>16925</v>
      </c>
      <c r="C16923" s="3" t="s">
        <v>9</v>
      </c>
      <c r="D16923" s="3" t="s">
        <v>10</v>
      </c>
      <c r="E16923" s="3">
        <v>0</v>
      </c>
      <c r="F16923" s="3">
        <v>0</v>
      </c>
      <c r="G16923" s="3">
        <v>1</v>
      </c>
      <c r="H16923" s="3">
        <v>0</v>
      </c>
      <c r="I16923" s="3">
        <v>0</v>
      </c>
      <c r="J16923" s="3">
        <v>0</v>
      </c>
      <c r="K16923" s="3">
        <v>0</v>
      </c>
      <c r="L16923" s="3">
        <v>1</v>
      </c>
      <c r="M16923" s="3">
        <v>0</v>
      </c>
      <c r="N16923" s="3">
        <v>0</v>
      </c>
      <c r="O16923" s="3" t="s">
        <v>10</v>
      </c>
      <c r="P16923" s="3" t="s">
        <v>9</v>
      </c>
      <c r="Q16923" s="3"/>
    </row>
    <row r="16924" spans="1:17" ht="15" x14ac:dyDescent="0.25">
      <c r="A16924" s="3">
        <f>16917</f>
        <v>16917</v>
      </c>
      <c r="B16924" s="3" t="s">
        <v>16926</v>
      </c>
      <c r="C16924" s="3" t="s">
        <v>9</v>
      </c>
      <c r="D16924" s="3" t="s">
        <v>10</v>
      </c>
      <c r="E16924" s="3">
        <v>0</v>
      </c>
      <c r="F16924" s="3">
        <v>0</v>
      </c>
      <c r="G16924" s="3">
        <v>1</v>
      </c>
      <c r="H16924" s="3">
        <v>0</v>
      </c>
      <c r="I16924" s="3">
        <v>0</v>
      </c>
      <c r="J16924" s="3">
        <v>0</v>
      </c>
      <c r="K16924" s="3">
        <v>0</v>
      </c>
      <c r="L16924" s="3">
        <v>1</v>
      </c>
      <c r="M16924" s="3">
        <v>0</v>
      </c>
      <c r="N16924" s="3">
        <v>0</v>
      </c>
      <c r="O16924" s="3" t="s">
        <v>10</v>
      </c>
      <c r="P16924" s="3" t="s">
        <v>9</v>
      </c>
      <c r="Q16924" s="3"/>
    </row>
    <row r="16925" spans="1:17" ht="15" x14ac:dyDescent="0.25">
      <c r="A16925" s="3">
        <f>16918</f>
        <v>16918</v>
      </c>
      <c r="B16925" s="3" t="s">
        <v>16927</v>
      </c>
      <c r="C16925" s="3" t="s">
        <v>9</v>
      </c>
      <c r="D16925" s="3" t="s">
        <v>10</v>
      </c>
      <c r="E16925" s="3">
        <v>0</v>
      </c>
      <c r="F16925" s="3">
        <v>0</v>
      </c>
      <c r="G16925" s="3">
        <v>1</v>
      </c>
      <c r="H16925" s="3">
        <v>0</v>
      </c>
      <c r="I16925" s="3">
        <v>0</v>
      </c>
      <c r="J16925" s="3">
        <v>0</v>
      </c>
      <c r="K16925" s="3">
        <v>0</v>
      </c>
      <c r="L16925" s="3">
        <v>1</v>
      </c>
      <c r="M16925" s="3">
        <v>0</v>
      </c>
      <c r="N16925" s="3">
        <v>0</v>
      </c>
      <c r="O16925" s="3" t="s">
        <v>10</v>
      </c>
      <c r="P16925" s="3" t="s">
        <v>9</v>
      </c>
      <c r="Q16925" s="3"/>
    </row>
    <row r="16926" spans="1:17" ht="15" x14ac:dyDescent="0.25">
      <c r="A16926" s="3">
        <f>16919</f>
        <v>16919</v>
      </c>
      <c r="B16926" s="3" t="s">
        <v>16928</v>
      </c>
      <c r="C16926" s="3" t="s">
        <v>9</v>
      </c>
      <c r="D16926" s="3" t="s">
        <v>10</v>
      </c>
      <c r="E16926" s="3">
        <v>0</v>
      </c>
      <c r="F16926" s="3">
        <v>0</v>
      </c>
      <c r="G16926" s="3">
        <v>1</v>
      </c>
      <c r="H16926" s="3">
        <v>0</v>
      </c>
      <c r="I16926" s="3">
        <v>0</v>
      </c>
      <c r="J16926" s="3">
        <v>0</v>
      </c>
      <c r="K16926" s="3">
        <v>0</v>
      </c>
      <c r="L16926" s="3">
        <v>1</v>
      </c>
      <c r="M16926" s="3">
        <v>0</v>
      </c>
      <c r="N16926" s="3">
        <v>0</v>
      </c>
      <c r="O16926" s="3" t="s">
        <v>10</v>
      </c>
      <c r="P16926" s="3" t="s">
        <v>9</v>
      </c>
      <c r="Q16926" s="3"/>
    </row>
    <row r="16927" spans="1:17" ht="15" x14ac:dyDescent="0.25">
      <c r="A16927" s="3">
        <f>16920</f>
        <v>16920</v>
      </c>
      <c r="B16927" s="3" t="s">
        <v>16929</v>
      </c>
      <c r="C16927" s="3" t="s">
        <v>9</v>
      </c>
      <c r="D16927" s="3" t="s">
        <v>10</v>
      </c>
      <c r="E16927" s="3">
        <v>0</v>
      </c>
      <c r="F16927" s="3">
        <v>0</v>
      </c>
      <c r="G16927" s="3">
        <v>1</v>
      </c>
      <c r="H16927" s="3">
        <v>0</v>
      </c>
      <c r="I16927" s="3">
        <v>0</v>
      </c>
      <c r="J16927" s="3">
        <v>0</v>
      </c>
      <c r="K16927" s="3">
        <v>0</v>
      </c>
      <c r="L16927" s="3">
        <v>1</v>
      </c>
      <c r="M16927" s="3">
        <v>0</v>
      </c>
      <c r="N16927" s="3">
        <v>0</v>
      </c>
      <c r="O16927" s="3" t="s">
        <v>10</v>
      </c>
      <c r="P16927" s="3" t="s">
        <v>9</v>
      </c>
      <c r="Q16927" s="3"/>
    </row>
    <row r="16928" spans="1:17" ht="15" x14ac:dyDescent="0.25">
      <c r="A16928" s="3">
        <f>16921</f>
        <v>16921</v>
      </c>
      <c r="B16928" s="3" t="s">
        <v>16930</v>
      </c>
      <c r="C16928" s="3" t="s">
        <v>9</v>
      </c>
      <c r="D16928" s="3" t="s">
        <v>10</v>
      </c>
      <c r="E16928" s="3">
        <v>0</v>
      </c>
      <c r="F16928" s="3">
        <v>0</v>
      </c>
      <c r="G16928" s="3">
        <v>1</v>
      </c>
      <c r="H16928" s="3">
        <v>0</v>
      </c>
      <c r="I16928" s="3">
        <v>0</v>
      </c>
      <c r="J16928" s="3">
        <v>0</v>
      </c>
      <c r="K16928" s="3">
        <v>0</v>
      </c>
      <c r="L16928" s="3">
        <v>1</v>
      </c>
      <c r="M16928" s="3">
        <v>0</v>
      </c>
      <c r="N16928" s="3">
        <v>0</v>
      </c>
      <c r="O16928" s="3" t="s">
        <v>10</v>
      </c>
      <c r="P16928" s="3" t="s">
        <v>9</v>
      </c>
      <c r="Q16928" s="3"/>
    </row>
    <row r="16929" spans="1:17" ht="15" x14ac:dyDescent="0.25">
      <c r="A16929" s="3">
        <f>16922</f>
        <v>16922</v>
      </c>
      <c r="B16929" s="3" t="s">
        <v>16931</v>
      </c>
      <c r="C16929" s="3" t="s">
        <v>9</v>
      </c>
      <c r="D16929" s="3" t="s">
        <v>10</v>
      </c>
      <c r="E16929" s="3">
        <v>0</v>
      </c>
      <c r="F16929" s="3">
        <v>0</v>
      </c>
      <c r="G16929" s="3">
        <v>1</v>
      </c>
      <c r="H16929" s="3">
        <v>0</v>
      </c>
      <c r="I16929" s="3">
        <v>0</v>
      </c>
      <c r="J16929" s="3">
        <v>0</v>
      </c>
      <c r="K16929" s="3">
        <v>0</v>
      </c>
      <c r="L16929" s="3">
        <v>1</v>
      </c>
      <c r="M16929" s="3">
        <v>0</v>
      </c>
      <c r="N16929" s="3">
        <v>0</v>
      </c>
      <c r="O16929" s="3" t="s">
        <v>10</v>
      </c>
      <c r="P16929" s="3" t="s">
        <v>9</v>
      </c>
      <c r="Q16929" s="3"/>
    </row>
    <row r="16930" spans="1:17" ht="15" x14ac:dyDescent="0.25">
      <c r="A16930" s="3">
        <f>16923</f>
        <v>16923</v>
      </c>
      <c r="B16930" s="3" t="s">
        <v>16932</v>
      </c>
      <c r="C16930" s="3" t="s">
        <v>9</v>
      </c>
      <c r="D16930" s="3" t="s">
        <v>10</v>
      </c>
      <c r="E16930" s="3">
        <v>0</v>
      </c>
      <c r="F16930" s="3">
        <v>0</v>
      </c>
      <c r="G16930" s="3">
        <v>1</v>
      </c>
      <c r="H16930" s="3">
        <v>0</v>
      </c>
      <c r="I16930" s="3">
        <v>0</v>
      </c>
      <c r="J16930" s="3">
        <v>0</v>
      </c>
      <c r="K16930" s="3">
        <v>0</v>
      </c>
      <c r="L16930" s="3">
        <v>1</v>
      </c>
      <c r="M16930" s="3">
        <v>0</v>
      </c>
      <c r="N16930" s="3">
        <v>0</v>
      </c>
      <c r="O16930" s="3" t="s">
        <v>10</v>
      </c>
      <c r="P16930" s="3" t="s">
        <v>9</v>
      </c>
      <c r="Q16930" s="3"/>
    </row>
    <row r="16931" spans="1:17" ht="15" x14ac:dyDescent="0.25">
      <c r="A16931" s="3">
        <f>16924</f>
        <v>16924</v>
      </c>
      <c r="B16931" s="3" t="s">
        <v>16933</v>
      </c>
      <c r="C16931" s="3" t="s">
        <v>9</v>
      </c>
      <c r="D16931" s="3" t="s">
        <v>10</v>
      </c>
      <c r="E16931" s="3">
        <v>0</v>
      </c>
      <c r="F16931" s="3">
        <v>0</v>
      </c>
      <c r="G16931" s="3">
        <v>1</v>
      </c>
      <c r="H16931" s="3">
        <v>0</v>
      </c>
      <c r="I16931" s="3">
        <v>0</v>
      </c>
      <c r="J16931" s="3">
        <v>0</v>
      </c>
      <c r="K16931" s="3">
        <v>0</v>
      </c>
      <c r="L16931" s="3">
        <v>1</v>
      </c>
      <c r="M16931" s="3">
        <v>0</v>
      </c>
      <c r="N16931" s="3">
        <v>0</v>
      </c>
      <c r="O16931" s="3" t="s">
        <v>10</v>
      </c>
      <c r="P16931" s="3" t="s">
        <v>9</v>
      </c>
      <c r="Q16931" s="3"/>
    </row>
    <row r="16932" spans="1:17" ht="15" x14ac:dyDescent="0.25">
      <c r="A16932" s="3">
        <f>16925</f>
        <v>16925</v>
      </c>
      <c r="B16932" s="3" t="s">
        <v>16934</v>
      </c>
      <c r="C16932" s="3" t="s">
        <v>9</v>
      </c>
      <c r="D16932" s="3" t="s">
        <v>10</v>
      </c>
      <c r="E16932" s="3">
        <v>0</v>
      </c>
      <c r="F16932" s="3">
        <v>0</v>
      </c>
      <c r="G16932" s="3">
        <v>1</v>
      </c>
      <c r="H16932" s="3">
        <v>0</v>
      </c>
      <c r="I16932" s="3">
        <v>0</v>
      </c>
      <c r="J16932" s="3">
        <v>0</v>
      </c>
      <c r="K16932" s="3">
        <v>0</v>
      </c>
      <c r="L16932" s="3">
        <v>1</v>
      </c>
      <c r="M16932" s="3">
        <v>0</v>
      </c>
      <c r="N16932" s="3">
        <v>0</v>
      </c>
      <c r="O16932" s="3" t="s">
        <v>10</v>
      </c>
      <c r="P16932" s="3" t="s">
        <v>9</v>
      </c>
      <c r="Q16932" s="3"/>
    </row>
    <row r="16933" spans="1:17" ht="15" x14ac:dyDescent="0.25">
      <c r="A16933" s="3">
        <f>16926</f>
        <v>16926</v>
      </c>
      <c r="B16933" s="3" t="s">
        <v>16935</v>
      </c>
      <c r="C16933" s="3" t="s">
        <v>9</v>
      </c>
      <c r="D16933" s="3" t="s">
        <v>10</v>
      </c>
      <c r="E16933" s="3">
        <v>0</v>
      </c>
      <c r="F16933" s="3">
        <v>0</v>
      </c>
      <c r="G16933" s="3">
        <v>1</v>
      </c>
      <c r="H16933" s="3">
        <v>0</v>
      </c>
      <c r="I16933" s="3">
        <v>0</v>
      </c>
      <c r="J16933" s="3">
        <v>0</v>
      </c>
      <c r="K16933" s="3">
        <v>0</v>
      </c>
      <c r="L16933" s="3">
        <v>1</v>
      </c>
      <c r="M16933" s="3">
        <v>0</v>
      </c>
      <c r="N16933" s="3">
        <v>0</v>
      </c>
      <c r="O16933" s="3" t="s">
        <v>10</v>
      </c>
      <c r="P16933" s="3" t="s">
        <v>9</v>
      </c>
      <c r="Q16933" s="3"/>
    </row>
    <row r="16934" spans="1:17" ht="15" x14ac:dyDescent="0.25">
      <c r="A16934" s="3">
        <f>16927</f>
        <v>16927</v>
      </c>
      <c r="B16934" s="3" t="s">
        <v>16936</v>
      </c>
      <c r="C16934" s="3" t="s">
        <v>9</v>
      </c>
      <c r="D16934" s="3" t="s">
        <v>10</v>
      </c>
      <c r="E16934" s="3">
        <v>0</v>
      </c>
      <c r="F16934" s="3">
        <v>0</v>
      </c>
      <c r="G16934" s="3">
        <v>1</v>
      </c>
      <c r="H16934" s="3">
        <v>0</v>
      </c>
      <c r="I16934" s="3">
        <v>0</v>
      </c>
      <c r="J16934" s="3">
        <v>0</v>
      </c>
      <c r="K16934" s="3">
        <v>0</v>
      </c>
      <c r="L16934" s="3">
        <v>1</v>
      </c>
      <c r="M16934" s="3">
        <v>0</v>
      </c>
      <c r="N16934" s="3">
        <v>0</v>
      </c>
      <c r="O16934" s="3" t="s">
        <v>10</v>
      </c>
      <c r="P16934" s="3" t="s">
        <v>9</v>
      </c>
      <c r="Q16934" s="3"/>
    </row>
    <row r="16935" spans="1:17" ht="15" x14ac:dyDescent="0.25">
      <c r="A16935" s="3">
        <f>16928</f>
        <v>16928</v>
      </c>
      <c r="B16935" s="3" t="s">
        <v>16937</v>
      </c>
      <c r="C16935" s="3" t="s">
        <v>9</v>
      </c>
      <c r="D16935" s="3" t="s">
        <v>10</v>
      </c>
      <c r="E16935" s="3">
        <v>0</v>
      </c>
      <c r="F16935" s="3">
        <v>0</v>
      </c>
      <c r="G16935" s="3">
        <v>1</v>
      </c>
      <c r="H16935" s="3">
        <v>0</v>
      </c>
      <c r="I16935" s="3">
        <v>0</v>
      </c>
      <c r="J16935" s="3">
        <v>0</v>
      </c>
      <c r="K16935" s="3">
        <v>0</v>
      </c>
      <c r="L16935" s="3">
        <v>1</v>
      </c>
      <c r="M16935" s="3">
        <v>0</v>
      </c>
      <c r="N16935" s="3">
        <v>0</v>
      </c>
      <c r="O16935" s="3" t="s">
        <v>10</v>
      </c>
      <c r="P16935" s="3" t="s">
        <v>9</v>
      </c>
      <c r="Q16935" s="3"/>
    </row>
    <row r="16936" spans="1:17" ht="15" x14ac:dyDescent="0.25">
      <c r="A16936" s="3">
        <f>16929</f>
        <v>16929</v>
      </c>
      <c r="B16936" s="3" t="s">
        <v>16938</v>
      </c>
      <c r="C16936" s="3" t="s">
        <v>9</v>
      </c>
      <c r="D16936" s="3" t="s">
        <v>10</v>
      </c>
      <c r="E16936" s="3">
        <v>0</v>
      </c>
      <c r="F16936" s="3">
        <v>0</v>
      </c>
      <c r="G16936" s="3">
        <v>1</v>
      </c>
      <c r="H16936" s="3">
        <v>0</v>
      </c>
      <c r="I16936" s="3">
        <v>0</v>
      </c>
      <c r="J16936" s="3">
        <v>0</v>
      </c>
      <c r="K16936" s="3">
        <v>0</v>
      </c>
      <c r="L16936" s="3">
        <v>1</v>
      </c>
      <c r="M16936" s="3">
        <v>0</v>
      </c>
      <c r="N16936" s="3">
        <v>0</v>
      </c>
      <c r="O16936" s="3" t="s">
        <v>10</v>
      </c>
      <c r="P16936" s="3" t="s">
        <v>9</v>
      </c>
      <c r="Q16936" s="3"/>
    </row>
    <row r="16937" spans="1:17" ht="15" x14ac:dyDescent="0.25">
      <c r="A16937" s="3">
        <f>16930</f>
        <v>16930</v>
      </c>
      <c r="B16937" s="3" t="s">
        <v>16939</v>
      </c>
      <c r="C16937" s="3" t="s">
        <v>9</v>
      </c>
      <c r="D16937" s="3" t="s">
        <v>10</v>
      </c>
      <c r="E16937" s="3">
        <v>0</v>
      </c>
      <c r="F16937" s="3">
        <v>0</v>
      </c>
      <c r="G16937" s="3">
        <v>1</v>
      </c>
      <c r="H16937" s="3">
        <v>0</v>
      </c>
      <c r="I16937" s="3">
        <v>0</v>
      </c>
      <c r="J16937" s="3">
        <v>0</v>
      </c>
      <c r="K16937" s="3">
        <v>0</v>
      </c>
      <c r="L16937" s="3">
        <v>1</v>
      </c>
      <c r="M16937" s="3">
        <v>0</v>
      </c>
      <c r="N16937" s="3">
        <v>0</v>
      </c>
      <c r="O16937" s="3" t="s">
        <v>10</v>
      </c>
      <c r="P16937" s="3" t="s">
        <v>9</v>
      </c>
      <c r="Q16937" s="3"/>
    </row>
    <row r="16938" spans="1:17" ht="15" x14ac:dyDescent="0.25">
      <c r="A16938" s="3">
        <f>16931</f>
        <v>16931</v>
      </c>
      <c r="B16938" s="3" t="s">
        <v>16940</v>
      </c>
      <c r="C16938" s="3" t="s">
        <v>9</v>
      </c>
      <c r="D16938" s="3" t="s">
        <v>10</v>
      </c>
      <c r="E16938" s="3">
        <v>0</v>
      </c>
      <c r="F16938" s="3">
        <v>0</v>
      </c>
      <c r="G16938" s="3">
        <v>1</v>
      </c>
      <c r="H16938" s="3">
        <v>0</v>
      </c>
      <c r="I16938" s="3">
        <v>0</v>
      </c>
      <c r="J16938" s="3">
        <v>0</v>
      </c>
      <c r="K16938" s="3">
        <v>0</v>
      </c>
      <c r="L16938" s="3">
        <v>1</v>
      </c>
      <c r="M16938" s="3">
        <v>0</v>
      </c>
      <c r="N16938" s="3">
        <v>0</v>
      </c>
      <c r="O16938" s="3" t="s">
        <v>10</v>
      </c>
      <c r="P16938" s="3" t="s">
        <v>9</v>
      </c>
      <c r="Q16938" s="3"/>
    </row>
    <row r="16939" spans="1:17" ht="15" x14ac:dyDescent="0.25">
      <c r="A16939" s="3">
        <f>16932</f>
        <v>16932</v>
      </c>
      <c r="B16939" s="3" t="s">
        <v>16941</v>
      </c>
      <c r="C16939" s="3" t="s">
        <v>9</v>
      </c>
      <c r="D16939" s="3" t="s">
        <v>10</v>
      </c>
      <c r="E16939" s="3">
        <v>0</v>
      </c>
      <c r="F16939" s="3">
        <v>0</v>
      </c>
      <c r="G16939" s="3">
        <v>1</v>
      </c>
      <c r="H16939" s="3">
        <v>0</v>
      </c>
      <c r="I16939" s="3">
        <v>0</v>
      </c>
      <c r="J16939" s="3">
        <v>0</v>
      </c>
      <c r="K16939" s="3">
        <v>0</v>
      </c>
      <c r="L16939" s="3">
        <v>1</v>
      </c>
      <c r="M16939" s="3">
        <v>0</v>
      </c>
      <c r="N16939" s="3">
        <v>0</v>
      </c>
      <c r="O16939" s="3" t="s">
        <v>10</v>
      </c>
      <c r="P16939" s="3" t="s">
        <v>9</v>
      </c>
      <c r="Q16939" s="3"/>
    </row>
    <row r="16940" spans="1:17" ht="15" x14ac:dyDescent="0.25">
      <c r="A16940" s="3">
        <f>16933</f>
        <v>16933</v>
      </c>
      <c r="B16940" s="3" t="s">
        <v>16942</v>
      </c>
      <c r="C16940" s="3" t="s">
        <v>9</v>
      </c>
      <c r="D16940" s="3" t="s">
        <v>10</v>
      </c>
      <c r="E16940" s="3">
        <v>0</v>
      </c>
      <c r="F16940" s="3">
        <v>0</v>
      </c>
      <c r="G16940" s="3">
        <v>1</v>
      </c>
      <c r="H16940" s="3">
        <v>0</v>
      </c>
      <c r="I16940" s="3">
        <v>0</v>
      </c>
      <c r="J16940" s="3">
        <v>0</v>
      </c>
      <c r="K16940" s="3">
        <v>0</v>
      </c>
      <c r="L16940" s="3">
        <v>1</v>
      </c>
      <c r="M16940" s="3">
        <v>0</v>
      </c>
      <c r="N16940" s="3">
        <v>0</v>
      </c>
      <c r="O16940" s="3" t="s">
        <v>10</v>
      </c>
      <c r="P16940" s="3" t="s">
        <v>9</v>
      </c>
      <c r="Q16940" s="3"/>
    </row>
    <row r="16941" spans="1:17" ht="15" x14ac:dyDescent="0.25">
      <c r="A16941" s="3">
        <f>16934</f>
        <v>16934</v>
      </c>
      <c r="B16941" s="3" t="s">
        <v>16943</v>
      </c>
      <c r="C16941" s="3" t="s">
        <v>9</v>
      </c>
      <c r="D16941" s="3" t="s">
        <v>10</v>
      </c>
      <c r="E16941" s="3">
        <v>0</v>
      </c>
      <c r="F16941" s="3">
        <v>0</v>
      </c>
      <c r="G16941" s="3">
        <v>1</v>
      </c>
      <c r="H16941" s="3">
        <v>0</v>
      </c>
      <c r="I16941" s="3">
        <v>0</v>
      </c>
      <c r="J16941" s="3">
        <v>0</v>
      </c>
      <c r="K16941" s="3">
        <v>0</v>
      </c>
      <c r="L16941" s="3">
        <v>1</v>
      </c>
      <c r="M16941" s="3">
        <v>0</v>
      </c>
      <c r="N16941" s="3">
        <v>0</v>
      </c>
      <c r="O16941" s="3" t="s">
        <v>10</v>
      </c>
      <c r="P16941" s="3" t="s">
        <v>9</v>
      </c>
      <c r="Q16941" s="3"/>
    </row>
    <row r="16942" spans="1:17" ht="15" x14ac:dyDescent="0.25">
      <c r="A16942" s="3">
        <f>16935</f>
        <v>16935</v>
      </c>
      <c r="B16942" s="3" t="s">
        <v>16944</v>
      </c>
      <c r="C16942" s="3" t="s">
        <v>9</v>
      </c>
      <c r="D16942" s="3" t="s">
        <v>10</v>
      </c>
      <c r="E16942" s="3">
        <v>0</v>
      </c>
      <c r="F16942" s="3">
        <v>0</v>
      </c>
      <c r="G16942" s="3">
        <v>1</v>
      </c>
      <c r="H16942" s="3">
        <v>0</v>
      </c>
      <c r="I16942" s="3">
        <v>0</v>
      </c>
      <c r="J16942" s="3">
        <v>0</v>
      </c>
      <c r="K16942" s="3">
        <v>0</v>
      </c>
      <c r="L16942" s="3">
        <v>1</v>
      </c>
      <c r="M16942" s="3">
        <v>0</v>
      </c>
      <c r="N16942" s="3">
        <v>0</v>
      </c>
      <c r="O16942" s="3" t="s">
        <v>10</v>
      </c>
      <c r="P16942" s="3" t="s">
        <v>9</v>
      </c>
      <c r="Q16942" s="3"/>
    </row>
    <row r="16943" spans="1:17" ht="15" x14ac:dyDescent="0.25">
      <c r="A16943" s="3">
        <f>16936</f>
        <v>16936</v>
      </c>
      <c r="B16943" s="3" t="s">
        <v>16945</v>
      </c>
      <c r="C16943" s="3" t="s">
        <v>10</v>
      </c>
      <c r="D16943" s="3" t="s">
        <v>9</v>
      </c>
      <c r="E16943" s="3">
        <v>0</v>
      </c>
      <c r="F16943" s="3">
        <v>0</v>
      </c>
      <c r="G16943" s="3">
        <v>1</v>
      </c>
      <c r="H16943" s="3">
        <v>0</v>
      </c>
      <c r="I16943" s="3">
        <v>0</v>
      </c>
      <c r="J16943" s="3">
        <v>0</v>
      </c>
      <c r="K16943" s="3">
        <v>0</v>
      </c>
      <c r="L16943" s="3">
        <v>1</v>
      </c>
      <c r="M16943" s="3">
        <v>0</v>
      </c>
      <c r="N16943" s="3">
        <v>0</v>
      </c>
      <c r="O16943" s="3" t="s">
        <v>10</v>
      </c>
      <c r="P16943" s="3" t="s">
        <v>9</v>
      </c>
      <c r="Q16943" s="3"/>
    </row>
    <row r="16944" spans="1:17" ht="15" x14ac:dyDescent="0.25">
      <c r="A16944" s="3">
        <f>16937</f>
        <v>16937</v>
      </c>
      <c r="B16944" s="3" t="s">
        <v>16946</v>
      </c>
      <c r="C16944" s="3" t="s">
        <v>10</v>
      </c>
      <c r="D16944" s="3" t="s">
        <v>9</v>
      </c>
      <c r="E16944" s="3">
        <v>0</v>
      </c>
      <c r="F16944" s="3">
        <v>0</v>
      </c>
      <c r="G16944" s="3">
        <v>1</v>
      </c>
      <c r="H16944" s="3">
        <v>0</v>
      </c>
      <c r="I16944" s="3">
        <v>0</v>
      </c>
      <c r="J16944" s="3">
        <v>0</v>
      </c>
      <c r="K16944" s="3">
        <v>0</v>
      </c>
      <c r="L16944" s="3">
        <v>1</v>
      </c>
      <c r="M16944" s="3">
        <v>0</v>
      </c>
      <c r="N16944" s="3">
        <v>0</v>
      </c>
      <c r="O16944" s="3" t="s">
        <v>10</v>
      </c>
      <c r="P16944" s="3" t="s">
        <v>9</v>
      </c>
      <c r="Q16944" s="3"/>
    </row>
    <row r="16945" spans="1:17" ht="15" x14ac:dyDescent="0.25">
      <c r="A16945" s="3">
        <f>16938</f>
        <v>16938</v>
      </c>
      <c r="B16945" s="3" t="s">
        <v>16947</v>
      </c>
      <c r="C16945" s="3" t="s">
        <v>10</v>
      </c>
      <c r="D16945" s="3" t="s">
        <v>9</v>
      </c>
      <c r="E16945" s="3">
        <v>0</v>
      </c>
      <c r="F16945" s="3">
        <v>0</v>
      </c>
      <c r="G16945" s="3">
        <v>1</v>
      </c>
      <c r="H16945" s="3">
        <v>0</v>
      </c>
      <c r="I16945" s="3">
        <v>0</v>
      </c>
      <c r="J16945" s="3">
        <v>0</v>
      </c>
      <c r="K16945" s="3">
        <v>0</v>
      </c>
      <c r="L16945" s="3">
        <v>1</v>
      </c>
      <c r="M16945" s="3">
        <v>0</v>
      </c>
      <c r="N16945" s="3">
        <v>0</v>
      </c>
      <c r="O16945" s="3" t="s">
        <v>10</v>
      </c>
      <c r="P16945" s="3" t="s">
        <v>9</v>
      </c>
      <c r="Q16945" s="3"/>
    </row>
    <row r="16946" spans="1:17" ht="15" x14ac:dyDescent="0.25">
      <c r="A16946" s="3">
        <f>16939</f>
        <v>16939</v>
      </c>
      <c r="B16946" s="3" t="s">
        <v>16948</v>
      </c>
      <c r="C16946" s="3" t="s">
        <v>10</v>
      </c>
      <c r="D16946" s="3" t="s">
        <v>9</v>
      </c>
      <c r="E16946" s="3">
        <v>0</v>
      </c>
      <c r="F16946" s="3">
        <v>0</v>
      </c>
      <c r="G16946" s="3">
        <v>1</v>
      </c>
      <c r="H16946" s="3">
        <v>0</v>
      </c>
      <c r="I16946" s="3">
        <v>0</v>
      </c>
      <c r="J16946" s="3">
        <v>0</v>
      </c>
      <c r="K16946" s="3">
        <v>0</v>
      </c>
      <c r="L16946" s="3">
        <v>1</v>
      </c>
      <c r="M16946" s="3">
        <v>0</v>
      </c>
      <c r="N16946" s="3">
        <v>0</v>
      </c>
      <c r="O16946" s="3" t="s">
        <v>10</v>
      </c>
      <c r="P16946" s="3" t="s">
        <v>9</v>
      </c>
      <c r="Q16946" s="3"/>
    </row>
    <row r="16947" spans="1:17" ht="15" x14ac:dyDescent="0.25">
      <c r="A16947" s="3">
        <f>16940</f>
        <v>16940</v>
      </c>
      <c r="B16947" s="3" t="s">
        <v>16949</v>
      </c>
      <c r="C16947" s="3" t="s">
        <v>10</v>
      </c>
      <c r="D16947" s="3" t="s">
        <v>9</v>
      </c>
      <c r="E16947" s="3">
        <v>0</v>
      </c>
      <c r="F16947" s="3">
        <v>0</v>
      </c>
      <c r="G16947" s="3">
        <v>1</v>
      </c>
      <c r="H16947" s="3">
        <v>0</v>
      </c>
      <c r="I16947" s="3">
        <v>0</v>
      </c>
      <c r="J16947" s="3">
        <v>0</v>
      </c>
      <c r="K16947" s="3">
        <v>0</v>
      </c>
      <c r="L16947" s="3">
        <v>1</v>
      </c>
      <c r="M16947" s="3">
        <v>0</v>
      </c>
      <c r="N16947" s="3">
        <v>0</v>
      </c>
      <c r="O16947" s="3" t="s">
        <v>10</v>
      </c>
      <c r="P16947" s="3" t="s">
        <v>9</v>
      </c>
      <c r="Q16947" s="3"/>
    </row>
    <row r="16948" spans="1:17" ht="15" x14ac:dyDescent="0.25">
      <c r="A16948" s="3">
        <f>16941</f>
        <v>16941</v>
      </c>
      <c r="B16948" s="3" t="s">
        <v>16950</v>
      </c>
      <c r="C16948" s="3" t="s">
        <v>10</v>
      </c>
      <c r="D16948" s="3" t="s">
        <v>9</v>
      </c>
      <c r="E16948" s="3">
        <v>0</v>
      </c>
      <c r="F16948" s="3">
        <v>0</v>
      </c>
      <c r="G16948" s="3">
        <v>1</v>
      </c>
      <c r="H16948" s="3">
        <v>0</v>
      </c>
      <c r="I16948" s="3">
        <v>0</v>
      </c>
      <c r="J16948" s="3">
        <v>0</v>
      </c>
      <c r="K16948" s="3">
        <v>0</v>
      </c>
      <c r="L16948" s="3">
        <v>1</v>
      </c>
      <c r="M16948" s="3">
        <v>0</v>
      </c>
      <c r="N16948" s="3">
        <v>0</v>
      </c>
      <c r="O16948" s="3" t="s">
        <v>10</v>
      </c>
      <c r="P16948" s="3" t="s">
        <v>9</v>
      </c>
      <c r="Q16948" s="3"/>
    </row>
    <row r="16949" spans="1:17" ht="15" x14ac:dyDescent="0.25">
      <c r="A16949" s="3">
        <f>16942</f>
        <v>16942</v>
      </c>
      <c r="B16949" s="3" t="s">
        <v>16951</v>
      </c>
      <c r="C16949" s="3" t="s">
        <v>10</v>
      </c>
      <c r="D16949" s="3" t="s">
        <v>9</v>
      </c>
      <c r="E16949" s="3">
        <v>0</v>
      </c>
      <c r="F16949" s="3">
        <v>0</v>
      </c>
      <c r="G16949" s="3">
        <v>1</v>
      </c>
      <c r="H16949" s="3">
        <v>0</v>
      </c>
      <c r="I16949" s="3">
        <v>0</v>
      </c>
      <c r="J16949" s="3">
        <v>0</v>
      </c>
      <c r="K16949" s="3">
        <v>0</v>
      </c>
      <c r="L16949" s="3">
        <v>1</v>
      </c>
      <c r="M16949" s="3">
        <v>0</v>
      </c>
      <c r="N16949" s="3">
        <v>0</v>
      </c>
      <c r="O16949" s="3" t="s">
        <v>10</v>
      </c>
      <c r="P16949" s="3" t="s">
        <v>9</v>
      </c>
      <c r="Q16949" s="3"/>
    </row>
    <row r="16950" spans="1:17" ht="15" x14ac:dyDescent="0.25">
      <c r="A16950" s="3">
        <f>16943</f>
        <v>16943</v>
      </c>
      <c r="B16950" s="3" t="s">
        <v>16952</v>
      </c>
      <c r="C16950" s="3" t="s">
        <v>10</v>
      </c>
      <c r="D16950" s="3" t="s">
        <v>9</v>
      </c>
      <c r="E16950" s="3">
        <v>0</v>
      </c>
      <c r="F16950" s="3">
        <v>0</v>
      </c>
      <c r="G16950" s="3">
        <v>1</v>
      </c>
      <c r="H16950" s="3">
        <v>0</v>
      </c>
      <c r="I16950" s="3">
        <v>0</v>
      </c>
      <c r="J16950" s="3">
        <v>0</v>
      </c>
      <c r="K16950" s="3">
        <v>0</v>
      </c>
      <c r="L16950" s="3">
        <v>1</v>
      </c>
      <c r="M16950" s="3">
        <v>0</v>
      </c>
      <c r="N16950" s="3">
        <v>0</v>
      </c>
      <c r="O16950" s="3" t="s">
        <v>10</v>
      </c>
      <c r="P16950" s="3" t="s">
        <v>9</v>
      </c>
      <c r="Q16950" s="3"/>
    </row>
    <row r="16951" spans="1:17" ht="15" x14ac:dyDescent="0.25">
      <c r="A16951" s="3">
        <f>16944</f>
        <v>16944</v>
      </c>
      <c r="B16951" s="3" t="s">
        <v>16953</v>
      </c>
      <c r="C16951" s="3" t="s">
        <v>10</v>
      </c>
      <c r="D16951" s="3" t="s">
        <v>9</v>
      </c>
      <c r="E16951" s="3">
        <v>0</v>
      </c>
      <c r="F16951" s="3">
        <v>0</v>
      </c>
      <c r="G16951" s="3">
        <v>1</v>
      </c>
      <c r="H16951" s="3">
        <v>0</v>
      </c>
      <c r="I16951" s="3">
        <v>0</v>
      </c>
      <c r="J16951" s="3">
        <v>0</v>
      </c>
      <c r="K16951" s="3">
        <v>0</v>
      </c>
      <c r="L16951" s="3">
        <v>1</v>
      </c>
      <c r="M16951" s="3">
        <v>0</v>
      </c>
      <c r="N16951" s="3">
        <v>0</v>
      </c>
      <c r="O16951" s="3" t="s">
        <v>10</v>
      </c>
      <c r="P16951" s="3" t="s">
        <v>9</v>
      </c>
      <c r="Q16951" s="3"/>
    </row>
    <row r="16952" spans="1:17" ht="15" x14ac:dyDescent="0.25">
      <c r="A16952" s="3">
        <f>16945</f>
        <v>16945</v>
      </c>
      <c r="B16952" s="3" t="s">
        <v>16954</v>
      </c>
      <c r="C16952" s="3" t="s">
        <v>10</v>
      </c>
      <c r="D16952" s="3" t="s">
        <v>9</v>
      </c>
      <c r="E16952" s="3">
        <v>0</v>
      </c>
      <c r="F16952" s="3">
        <v>0</v>
      </c>
      <c r="G16952" s="3">
        <v>1</v>
      </c>
      <c r="H16952" s="3">
        <v>0</v>
      </c>
      <c r="I16952" s="3">
        <v>0</v>
      </c>
      <c r="J16952" s="3">
        <v>0</v>
      </c>
      <c r="K16952" s="3">
        <v>0</v>
      </c>
      <c r="L16952" s="3">
        <v>1</v>
      </c>
      <c r="M16952" s="3">
        <v>0</v>
      </c>
      <c r="N16952" s="3">
        <v>0</v>
      </c>
      <c r="O16952" s="3" t="s">
        <v>10</v>
      </c>
      <c r="P16952" s="3" t="s">
        <v>9</v>
      </c>
      <c r="Q16952" s="3"/>
    </row>
    <row r="16953" spans="1:17" ht="15" x14ac:dyDescent="0.25">
      <c r="A16953" s="3">
        <f>16946</f>
        <v>16946</v>
      </c>
      <c r="B16953" s="3" t="s">
        <v>16955</v>
      </c>
      <c r="C16953" s="3" t="s">
        <v>10</v>
      </c>
      <c r="D16953" s="3" t="s">
        <v>9</v>
      </c>
      <c r="E16953" s="3">
        <v>0</v>
      </c>
      <c r="F16953" s="3">
        <v>0</v>
      </c>
      <c r="G16953" s="3">
        <v>1</v>
      </c>
      <c r="H16953" s="3">
        <v>0</v>
      </c>
      <c r="I16953" s="3">
        <v>0</v>
      </c>
      <c r="J16953" s="3">
        <v>0</v>
      </c>
      <c r="K16953" s="3">
        <v>0</v>
      </c>
      <c r="L16953" s="3">
        <v>1</v>
      </c>
      <c r="M16953" s="3">
        <v>0</v>
      </c>
      <c r="N16953" s="3">
        <v>0</v>
      </c>
      <c r="O16953" s="3" t="s">
        <v>10</v>
      </c>
      <c r="P16953" s="3" t="s">
        <v>9</v>
      </c>
      <c r="Q16953" s="3"/>
    </row>
    <row r="16954" spans="1:17" ht="15" x14ac:dyDescent="0.25">
      <c r="A16954" s="3">
        <f>16947</f>
        <v>16947</v>
      </c>
      <c r="B16954" s="3" t="s">
        <v>16956</v>
      </c>
      <c r="C16954" s="3" t="s">
        <v>10</v>
      </c>
      <c r="D16954" s="3" t="s">
        <v>9</v>
      </c>
      <c r="E16954" s="3">
        <v>0</v>
      </c>
      <c r="F16954" s="3">
        <v>0</v>
      </c>
      <c r="G16954" s="3">
        <v>1</v>
      </c>
      <c r="H16954" s="3">
        <v>0</v>
      </c>
      <c r="I16954" s="3">
        <v>0</v>
      </c>
      <c r="J16954" s="3">
        <v>0</v>
      </c>
      <c r="K16954" s="3">
        <v>0</v>
      </c>
      <c r="L16954" s="3">
        <v>1</v>
      </c>
      <c r="M16954" s="3">
        <v>0</v>
      </c>
      <c r="N16954" s="3">
        <v>0</v>
      </c>
      <c r="O16954" s="3" t="s">
        <v>10</v>
      </c>
      <c r="P16954" s="3" t="s">
        <v>9</v>
      </c>
      <c r="Q16954" s="3"/>
    </row>
    <row r="16955" spans="1:17" ht="15" x14ac:dyDescent="0.25">
      <c r="A16955" s="3">
        <f>16948</f>
        <v>16948</v>
      </c>
      <c r="B16955" s="3" t="s">
        <v>16957</v>
      </c>
      <c r="C16955" s="3" t="s">
        <v>10</v>
      </c>
      <c r="D16955" s="3" t="s">
        <v>9</v>
      </c>
      <c r="E16955" s="3">
        <v>0</v>
      </c>
      <c r="F16955" s="3">
        <v>0</v>
      </c>
      <c r="G16955" s="3">
        <v>1</v>
      </c>
      <c r="H16955" s="3">
        <v>0</v>
      </c>
      <c r="I16955" s="3">
        <v>0</v>
      </c>
      <c r="J16955" s="3">
        <v>0</v>
      </c>
      <c r="K16955" s="3">
        <v>0</v>
      </c>
      <c r="L16955" s="3">
        <v>1</v>
      </c>
      <c r="M16955" s="3">
        <v>0</v>
      </c>
      <c r="N16955" s="3">
        <v>0</v>
      </c>
      <c r="O16955" s="3" t="s">
        <v>10</v>
      </c>
      <c r="P16955" s="3" t="s">
        <v>9</v>
      </c>
      <c r="Q16955" s="3"/>
    </row>
    <row r="16956" spans="1:17" ht="15" x14ac:dyDescent="0.25">
      <c r="A16956" s="3">
        <f>16949</f>
        <v>16949</v>
      </c>
      <c r="B16956" s="3" t="s">
        <v>16958</v>
      </c>
      <c r="C16956" s="3" t="s">
        <v>10</v>
      </c>
      <c r="D16956" s="3" t="s">
        <v>9</v>
      </c>
      <c r="E16956" s="3">
        <v>0</v>
      </c>
      <c r="F16956" s="3">
        <v>0</v>
      </c>
      <c r="G16956" s="3">
        <v>1</v>
      </c>
      <c r="H16956" s="3">
        <v>0</v>
      </c>
      <c r="I16956" s="3">
        <v>0</v>
      </c>
      <c r="J16956" s="3">
        <v>0</v>
      </c>
      <c r="K16956" s="3">
        <v>0</v>
      </c>
      <c r="L16956" s="3">
        <v>1</v>
      </c>
      <c r="M16956" s="3">
        <v>0</v>
      </c>
      <c r="N16956" s="3">
        <v>0</v>
      </c>
      <c r="O16956" s="3" t="s">
        <v>10</v>
      </c>
      <c r="P16956" s="3" t="s">
        <v>9</v>
      </c>
      <c r="Q16956" s="3"/>
    </row>
    <row r="16957" spans="1:17" ht="15" x14ac:dyDescent="0.25">
      <c r="A16957" s="3">
        <f>16950</f>
        <v>16950</v>
      </c>
      <c r="B16957" s="3" t="s">
        <v>16959</v>
      </c>
      <c r="C16957" s="3" t="s">
        <v>10</v>
      </c>
      <c r="D16957" s="3" t="s">
        <v>9</v>
      </c>
      <c r="E16957" s="3">
        <v>0</v>
      </c>
      <c r="F16957" s="3">
        <v>0</v>
      </c>
      <c r="G16957" s="3">
        <v>1</v>
      </c>
      <c r="H16957" s="3">
        <v>0</v>
      </c>
      <c r="I16957" s="3">
        <v>0</v>
      </c>
      <c r="J16957" s="3">
        <v>0</v>
      </c>
      <c r="K16957" s="3">
        <v>0</v>
      </c>
      <c r="L16957" s="3">
        <v>1</v>
      </c>
      <c r="M16957" s="3">
        <v>0</v>
      </c>
      <c r="N16957" s="3">
        <v>0</v>
      </c>
      <c r="O16957" s="3" t="s">
        <v>10</v>
      </c>
      <c r="P16957" s="3" t="s">
        <v>9</v>
      </c>
      <c r="Q16957" s="3"/>
    </row>
    <row r="16958" spans="1:17" ht="15" x14ac:dyDescent="0.25">
      <c r="A16958" s="3">
        <f>16951</f>
        <v>16951</v>
      </c>
      <c r="B16958" s="3" t="s">
        <v>16960</v>
      </c>
      <c r="C16958" s="3" t="s">
        <v>10</v>
      </c>
      <c r="D16958" s="3" t="s">
        <v>9</v>
      </c>
      <c r="E16958" s="3">
        <v>0</v>
      </c>
      <c r="F16958" s="3">
        <v>0</v>
      </c>
      <c r="G16958" s="3">
        <v>1</v>
      </c>
      <c r="H16958" s="3">
        <v>0</v>
      </c>
      <c r="I16958" s="3">
        <v>0</v>
      </c>
      <c r="J16958" s="3">
        <v>0</v>
      </c>
      <c r="K16958" s="3">
        <v>0</v>
      </c>
      <c r="L16958" s="3">
        <v>1</v>
      </c>
      <c r="M16958" s="3">
        <v>0</v>
      </c>
      <c r="N16958" s="3">
        <v>0</v>
      </c>
      <c r="O16958" s="3" t="s">
        <v>10</v>
      </c>
      <c r="P16958" s="3" t="s">
        <v>9</v>
      </c>
      <c r="Q16958" s="3"/>
    </row>
    <row r="16959" spans="1:17" ht="15" x14ac:dyDescent="0.25">
      <c r="A16959" s="3">
        <f>16952</f>
        <v>16952</v>
      </c>
      <c r="B16959" s="3" t="s">
        <v>16961</v>
      </c>
      <c r="C16959" s="3" t="s">
        <v>10</v>
      </c>
      <c r="D16959" s="3" t="s">
        <v>9</v>
      </c>
      <c r="E16959" s="3">
        <v>0</v>
      </c>
      <c r="F16959" s="3">
        <v>0</v>
      </c>
      <c r="G16959" s="3">
        <v>1</v>
      </c>
      <c r="H16959" s="3">
        <v>0</v>
      </c>
      <c r="I16959" s="3">
        <v>0</v>
      </c>
      <c r="J16959" s="3">
        <v>0</v>
      </c>
      <c r="K16959" s="3">
        <v>0</v>
      </c>
      <c r="L16959" s="3">
        <v>1</v>
      </c>
      <c r="M16959" s="3">
        <v>0</v>
      </c>
      <c r="N16959" s="3">
        <v>0</v>
      </c>
      <c r="O16959" s="3" t="s">
        <v>10</v>
      </c>
      <c r="P16959" s="3" t="s">
        <v>9</v>
      </c>
      <c r="Q16959" s="3"/>
    </row>
    <row r="16960" spans="1:17" ht="15" x14ac:dyDescent="0.25">
      <c r="A16960" s="3">
        <f>16953</f>
        <v>16953</v>
      </c>
      <c r="B16960" s="3" t="s">
        <v>16962</v>
      </c>
      <c r="C16960" s="3" t="s">
        <v>10</v>
      </c>
      <c r="D16960" s="3" t="s">
        <v>9</v>
      </c>
      <c r="E16960" s="3">
        <v>0</v>
      </c>
      <c r="F16960" s="3">
        <v>0</v>
      </c>
      <c r="G16960" s="3">
        <v>1</v>
      </c>
      <c r="H16960" s="3">
        <v>0</v>
      </c>
      <c r="I16960" s="3">
        <v>0</v>
      </c>
      <c r="J16960" s="3">
        <v>0</v>
      </c>
      <c r="K16960" s="3">
        <v>0</v>
      </c>
      <c r="L16960" s="3">
        <v>1</v>
      </c>
      <c r="M16960" s="3">
        <v>0</v>
      </c>
      <c r="N16960" s="3">
        <v>0</v>
      </c>
      <c r="O16960" s="3" t="s">
        <v>10</v>
      </c>
      <c r="P16960" s="3" t="s">
        <v>9</v>
      </c>
      <c r="Q16960" s="3"/>
    </row>
    <row r="16961" spans="1:17" ht="15" x14ac:dyDescent="0.25">
      <c r="A16961" s="3">
        <f>16954</f>
        <v>16954</v>
      </c>
      <c r="B16961" s="3" t="s">
        <v>16963</v>
      </c>
      <c r="C16961" s="3" t="s">
        <v>10</v>
      </c>
      <c r="D16961" s="3" t="s">
        <v>9</v>
      </c>
      <c r="E16961" s="3">
        <v>0</v>
      </c>
      <c r="F16961" s="3">
        <v>0</v>
      </c>
      <c r="G16961" s="3">
        <v>1</v>
      </c>
      <c r="H16961" s="3">
        <v>0</v>
      </c>
      <c r="I16961" s="3">
        <v>0</v>
      </c>
      <c r="J16961" s="3">
        <v>0</v>
      </c>
      <c r="K16961" s="3">
        <v>0</v>
      </c>
      <c r="L16961" s="3">
        <v>1</v>
      </c>
      <c r="M16961" s="3">
        <v>0</v>
      </c>
      <c r="N16961" s="3">
        <v>0</v>
      </c>
      <c r="O16961" s="3" t="s">
        <v>10</v>
      </c>
      <c r="P16961" s="3" t="s">
        <v>9</v>
      </c>
      <c r="Q16961" s="3"/>
    </row>
    <row r="16962" spans="1:17" ht="15" x14ac:dyDescent="0.25">
      <c r="A16962" s="3">
        <f>16955</f>
        <v>16955</v>
      </c>
      <c r="B16962" s="3" t="s">
        <v>16964</v>
      </c>
      <c r="C16962" s="3" t="s">
        <v>10</v>
      </c>
      <c r="D16962" s="3" t="s">
        <v>9</v>
      </c>
      <c r="E16962" s="3">
        <v>0</v>
      </c>
      <c r="F16962" s="3">
        <v>0</v>
      </c>
      <c r="G16962" s="3">
        <v>1</v>
      </c>
      <c r="H16962" s="3">
        <v>0</v>
      </c>
      <c r="I16962" s="3">
        <v>0</v>
      </c>
      <c r="J16962" s="3">
        <v>0</v>
      </c>
      <c r="K16962" s="3">
        <v>0</v>
      </c>
      <c r="L16962" s="3">
        <v>1</v>
      </c>
      <c r="M16962" s="3">
        <v>0</v>
      </c>
      <c r="N16962" s="3">
        <v>0</v>
      </c>
      <c r="O16962" s="3" t="s">
        <v>10</v>
      </c>
      <c r="P16962" s="3" t="s">
        <v>9</v>
      </c>
      <c r="Q16962" s="3"/>
    </row>
    <row r="16963" spans="1:17" ht="15" x14ac:dyDescent="0.25">
      <c r="A16963" s="3">
        <f>16956</f>
        <v>16956</v>
      </c>
      <c r="B16963" s="3" t="s">
        <v>16965</v>
      </c>
      <c r="C16963" s="3" t="s">
        <v>9</v>
      </c>
      <c r="D16963" s="3" t="s">
        <v>10</v>
      </c>
      <c r="E16963" s="3">
        <v>0</v>
      </c>
      <c r="F16963" s="3">
        <v>0</v>
      </c>
      <c r="G16963" s="3">
        <v>1</v>
      </c>
      <c r="H16963" s="3">
        <v>0</v>
      </c>
      <c r="I16963" s="3">
        <v>0</v>
      </c>
      <c r="J16963" s="3">
        <v>0</v>
      </c>
      <c r="K16963" s="3">
        <v>0</v>
      </c>
      <c r="L16963" s="3">
        <v>1</v>
      </c>
      <c r="M16963" s="3">
        <v>0</v>
      </c>
      <c r="N16963" s="3">
        <v>0</v>
      </c>
      <c r="O16963" s="3" t="s">
        <v>10</v>
      </c>
      <c r="P16963" s="3" t="s">
        <v>9</v>
      </c>
      <c r="Q16963" s="3"/>
    </row>
    <row r="16964" spans="1:17" ht="15" x14ac:dyDescent="0.25">
      <c r="A16964" s="3">
        <f>16957</f>
        <v>16957</v>
      </c>
      <c r="B16964" s="3" t="s">
        <v>16966</v>
      </c>
      <c r="C16964" s="3" t="s">
        <v>10</v>
      </c>
      <c r="D16964" s="3" t="s">
        <v>9</v>
      </c>
      <c r="E16964" s="3">
        <v>0</v>
      </c>
      <c r="F16964" s="3">
        <v>0</v>
      </c>
      <c r="G16964" s="3">
        <v>1</v>
      </c>
      <c r="H16964" s="3">
        <v>0</v>
      </c>
      <c r="I16964" s="3">
        <v>0</v>
      </c>
      <c r="J16964" s="3">
        <v>0</v>
      </c>
      <c r="K16964" s="3">
        <v>0</v>
      </c>
      <c r="L16964" s="3">
        <v>1</v>
      </c>
      <c r="M16964" s="3">
        <v>0</v>
      </c>
      <c r="N16964" s="3">
        <v>0</v>
      </c>
      <c r="O16964" s="3" t="s">
        <v>10</v>
      </c>
      <c r="P16964" s="3" t="s">
        <v>9</v>
      </c>
      <c r="Q16964" s="3"/>
    </row>
    <row r="16965" spans="1:17" ht="15" x14ac:dyDescent="0.25">
      <c r="A16965" s="3">
        <f>16958</f>
        <v>16958</v>
      </c>
      <c r="B16965" s="3" t="s">
        <v>16967</v>
      </c>
      <c r="C16965" s="3" t="s">
        <v>10</v>
      </c>
      <c r="D16965" s="3" t="s">
        <v>9</v>
      </c>
      <c r="E16965" s="3">
        <v>0</v>
      </c>
      <c r="F16965" s="3">
        <v>0</v>
      </c>
      <c r="G16965" s="3">
        <v>1</v>
      </c>
      <c r="H16965" s="3">
        <v>0</v>
      </c>
      <c r="I16965" s="3">
        <v>0</v>
      </c>
      <c r="J16965" s="3">
        <v>0</v>
      </c>
      <c r="K16965" s="3">
        <v>0</v>
      </c>
      <c r="L16965" s="3">
        <v>1</v>
      </c>
      <c r="M16965" s="3">
        <v>0</v>
      </c>
      <c r="N16965" s="3">
        <v>0</v>
      </c>
      <c r="O16965" s="3" t="s">
        <v>10</v>
      </c>
      <c r="P16965" s="3" t="s">
        <v>9</v>
      </c>
      <c r="Q16965" s="3"/>
    </row>
    <row r="16966" spans="1:17" ht="15" x14ac:dyDescent="0.25">
      <c r="A16966" s="3">
        <f>16959</f>
        <v>16959</v>
      </c>
      <c r="B16966" s="3" t="s">
        <v>16968</v>
      </c>
      <c r="C16966" s="3" t="s">
        <v>10</v>
      </c>
      <c r="D16966" s="3" t="s">
        <v>9</v>
      </c>
      <c r="E16966" s="3">
        <v>0</v>
      </c>
      <c r="F16966" s="3">
        <v>0</v>
      </c>
      <c r="G16966" s="3">
        <v>1</v>
      </c>
      <c r="H16966" s="3">
        <v>0</v>
      </c>
      <c r="I16966" s="3">
        <v>0</v>
      </c>
      <c r="J16966" s="3">
        <v>0</v>
      </c>
      <c r="K16966" s="3">
        <v>0</v>
      </c>
      <c r="L16966" s="3">
        <v>1</v>
      </c>
      <c r="M16966" s="3">
        <v>0</v>
      </c>
      <c r="N16966" s="3">
        <v>0</v>
      </c>
      <c r="O16966" s="3" t="s">
        <v>10</v>
      </c>
      <c r="P16966" s="3" t="s">
        <v>9</v>
      </c>
      <c r="Q16966" s="3"/>
    </row>
    <row r="16967" spans="1:17" ht="15" x14ac:dyDescent="0.25">
      <c r="A16967" s="3">
        <f>16960</f>
        <v>16960</v>
      </c>
      <c r="B16967" s="3" t="s">
        <v>16969</v>
      </c>
      <c r="C16967" s="3" t="s">
        <v>10</v>
      </c>
      <c r="D16967" s="3" t="s">
        <v>9</v>
      </c>
      <c r="E16967" s="3">
        <v>0</v>
      </c>
      <c r="F16967" s="3">
        <v>0</v>
      </c>
      <c r="G16967" s="3">
        <v>1</v>
      </c>
      <c r="H16967" s="3">
        <v>0</v>
      </c>
      <c r="I16967" s="3">
        <v>0</v>
      </c>
      <c r="J16967" s="3">
        <v>0</v>
      </c>
      <c r="K16967" s="3">
        <v>0</v>
      </c>
      <c r="L16967" s="3">
        <v>1</v>
      </c>
      <c r="M16967" s="3">
        <v>0</v>
      </c>
      <c r="N16967" s="3">
        <v>0</v>
      </c>
      <c r="O16967" s="3" t="s">
        <v>10</v>
      </c>
      <c r="P16967" s="3" t="s">
        <v>9</v>
      </c>
      <c r="Q16967" s="3"/>
    </row>
    <row r="16968" spans="1:17" ht="15" x14ac:dyDescent="0.25">
      <c r="A16968" s="3">
        <f>16961</f>
        <v>16961</v>
      </c>
      <c r="B16968" s="3" t="s">
        <v>16970</v>
      </c>
      <c r="C16968" s="3" t="s">
        <v>10</v>
      </c>
      <c r="D16968" s="3" t="s">
        <v>9</v>
      </c>
      <c r="E16968" s="3">
        <v>0</v>
      </c>
      <c r="F16968" s="3">
        <v>0</v>
      </c>
      <c r="G16968" s="3">
        <v>1</v>
      </c>
      <c r="H16968" s="3">
        <v>0</v>
      </c>
      <c r="I16968" s="3">
        <v>0</v>
      </c>
      <c r="J16968" s="3">
        <v>0</v>
      </c>
      <c r="K16968" s="3">
        <v>0</v>
      </c>
      <c r="L16968" s="3">
        <v>1</v>
      </c>
      <c r="M16968" s="3">
        <v>0</v>
      </c>
      <c r="N16968" s="3">
        <v>0</v>
      </c>
      <c r="O16968" s="3" t="s">
        <v>10</v>
      </c>
      <c r="P16968" s="3" t="s">
        <v>9</v>
      </c>
      <c r="Q16968" s="3"/>
    </row>
    <row r="16969" spans="1:17" ht="15" x14ac:dyDescent="0.25">
      <c r="A16969" s="3">
        <f>16962</f>
        <v>16962</v>
      </c>
      <c r="B16969" s="3" t="s">
        <v>16971</v>
      </c>
      <c r="C16969" s="3" t="s">
        <v>10</v>
      </c>
      <c r="D16969" s="3" t="s">
        <v>9</v>
      </c>
      <c r="E16969" s="3">
        <v>0</v>
      </c>
      <c r="F16969" s="3">
        <v>0</v>
      </c>
      <c r="G16969" s="3">
        <v>1</v>
      </c>
      <c r="H16969" s="3">
        <v>0</v>
      </c>
      <c r="I16969" s="3">
        <v>0</v>
      </c>
      <c r="J16969" s="3">
        <v>0</v>
      </c>
      <c r="K16969" s="3">
        <v>0</v>
      </c>
      <c r="L16969" s="3">
        <v>1</v>
      </c>
      <c r="M16969" s="3">
        <v>0</v>
      </c>
      <c r="N16969" s="3">
        <v>0</v>
      </c>
      <c r="O16969" s="3" t="s">
        <v>10</v>
      </c>
      <c r="P16969" s="3" t="s">
        <v>9</v>
      </c>
      <c r="Q16969" s="3"/>
    </row>
    <row r="16970" spans="1:17" ht="15" x14ac:dyDescent="0.25">
      <c r="A16970" s="3">
        <f>16963</f>
        <v>16963</v>
      </c>
      <c r="B16970" s="3" t="s">
        <v>16972</v>
      </c>
      <c r="C16970" s="3" t="s">
        <v>9</v>
      </c>
      <c r="D16970" s="3" t="s">
        <v>10</v>
      </c>
      <c r="E16970" s="3">
        <v>0</v>
      </c>
      <c r="F16970" s="3">
        <v>0</v>
      </c>
      <c r="G16970" s="3">
        <v>1</v>
      </c>
      <c r="H16970" s="3">
        <v>0</v>
      </c>
      <c r="I16970" s="3">
        <v>0</v>
      </c>
      <c r="J16970" s="3">
        <v>0</v>
      </c>
      <c r="K16970" s="3">
        <v>0</v>
      </c>
      <c r="L16970" s="3">
        <v>1</v>
      </c>
      <c r="M16970" s="3">
        <v>0</v>
      </c>
      <c r="N16970" s="3">
        <v>0</v>
      </c>
      <c r="O16970" s="3" t="s">
        <v>10</v>
      </c>
      <c r="P16970" s="3" t="s">
        <v>9</v>
      </c>
      <c r="Q16970" s="3"/>
    </row>
    <row r="16971" spans="1:17" ht="15" x14ac:dyDescent="0.25">
      <c r="A16971" s="3">
        <f>16964</f>
        <v>16964</v>
      </c>
      <c r="B16971" s="3" t="s">
        <v>16973</v>
      </c>
      <c r="C16971" s="3" t="s">
        <v>9</v>
      </c>
      <c r="D16971" s="3" t="s">
        <v>10</v>
      </c>
      <c r="E16971" s="3">
        <v>0</v>
      </c>
      <c r="F16971" s="3">
        <v>0</v>
      </c>
      <c r="G16971" s="3">
        <v>1</v>
      </c>
      <c r="H16971" s="3">
        <v>0</v>
      </c>
      <c r="I16971" s="3">
        <v>0</v>
      </c>
      <c r="J16971" s="3">
        <v>0</v>
      </c>
      <c r="K16971" s="3">
        <v>0</v>
      </c>
      <c r="L16971" s="3">
        <v>1</v>
      </c>
      <c r="M16971" s="3">
        <v>0</v>
      </c>
      <c r="N16971" s="3">
        <v>0</v>
      </c>
      <c r="O16971" s="3" t="s">
        <v>10</v>
      </c>
      <c r="P16971" s="3" t="s">
        <v>9</v>
      </c>
      <c r="Q16971" s="3"/>
    </row>
    <row r="16972" spans="1:17" ht="15" x14ac:dyDescent="0.25">
      <c r="A16972" s="3">
        <f>16965</f>
        <v>16965</v>
      </c>
      <c r="B16972" s="3" t="s">
        <v>16974</v>
      </c>
      <c r="C16972" s="3" t="s">
        <v>9</v>
      </c>
      <c r="D16972" s="3" t="s">
        <v>10</v>
      </c>
      <c r="E16972" s="3">
        <v>0</v>
      </c>
      <c r="F16972" s="3">
        <v>0</v>
      </c>
      <c r="G16972" s="3">
        <v>1</v>
      </c>
      <c r="H16972" s="3">
        <v>0</v>
      </c>
      <c r="I16972" s="3">
        <v>0</v>
      </c>
      <c r="J16972" s="3">
        <v>0</v>
      </c>
      <c r="K16972" s="3">
        <v>0</v>
      </c>
      <c r="L16972" s="3">
        <v>1</v>
      </c>
      <c r="M16972" s="3">
        <v>0</v>
      </c>
      <c r="N16972" s="3">
        <v>0</v>
      </c>
      <c r="O16972" s="3" t="s">
        <v>10</v>
      </c>
      <c r="P16972" s="3" t="s">
        <v>9</v>
      </c>
      <c r="Q16972" s="3"/>
    </row>
    <row r="16973" spans="1:17" ht="15" x14ac:dyDescent="0.25">
      <c r="A16973" s="3">
        <f>16966</f>
        <v>16966</v>
      </c>
      <c r="B16973" s="3" t="s">
        <v>16975</v>
      </c>
      <c r="C16973" s="3" t="s">
        <v>9</v>
      </c>
      <c r="D16973" s="3" t="s">
        <v>10</v>
      </c>
      <c r="E16973" s="3">
        <v>0</v>
      </c>
      <c r="F16973" s="3">
        <v>0</v>
      </c>
      <c r="G16973" s="3">
        <v>1</v>
      </c>
      <c r="H16973" s="3">
        <v>0</v>
      </c>
      <c r="I16973" s="3">
        <v>0</v>
      </c>
      <c r="J16973" s="3">
        <v>0</v>
      </c>
      <c r="K16973" s="3">
        <v>0</v>
      </c>
      <c r="L16973" s="3">
        <v>1</v>
      </c>
      <c r="M16973" s="3">
        <v>0</v>
      </c>
      <c r="N16973" s="3">
        <v>0</v>
      </c>
      <c r="O16973" s="3" t="s">
        <v>10</v>
      </c>
      <c r="P16973" s="3" t="s">
        <v>9</v>
      </c>
      <c r="Q16973" s="3"/>
    </row>
    <row r="16974" spans="1:17" ht="15" x14ac:dyDescent="0.25">
      <c r="A16974" s="3">
        <f>16967</f>
        <v>16967</v>
      </c>
      <c r="B16974" s="3" t="s">
        <v>16976</v>
      </c>
      <c r="C16974" s="3" t="s">
        <v>9</v>
      </c>
      <c r="D16974" s="3" t="s">
        <v>10</v>
      </c>
      <c r="E16974" s="3">
        <v>0</v>
      </c>
      <c r="F16974" s="3">
        <v>0</v>
      </c>
      <c r="G16974" s="3">
        <v>1</v>
      </c>
      <c r="H16974" s="3">
        <v>0</v>
      </c>
      <c r="I16974" s="3">
        <v>0</v>
      </c>
      <c r="J16974" s="3">
        <v>0</v>
      </c>
      <c r="K16974" s="3">
        <v>0</v>
      </c>
      <c r="L16974" s="3">
        <v>1</v>
      </c>
      <c r="M16974" s="3">
        <v>0</v>
      </c>
      <c r="N16974" s="3">
        <v>0</v>
      </c>
      <c r="O16974" s="3" t="s">
        <v>10</v>
      </c>
      <c r="P16974" s="3" t="s">
        <v>9</v>
      </c>
      <c r="Q16974" s="3"/>
    </row>
    <row r="16975" spans="1:17" ht="15" x14ac:dyDescent="0.25">
      <c r="A16975" s="3">
        <f>16968</f>
        <v>16968</v>
      </c>
      <c r="B16975" s="3" t="s">
        <v>16977</v>
      </c>
      <c r="C16975" s="3" t="s">
        <v>9</v>
      </c>
      <c r="D16975" s="3" t="s">
        <v>10</v>
      </c>
      <c r="E16975" s="3">
        <v>0</v>
      </c>
      <c r="F16975" s="3">
        <v>0</v>
      </c>
      <c r="G16975" s="3">
        <v>1</v>
      </c>
      <c r="H16975" s="3">
        <v>0</v>
      </c>
      <c r="I16975" s="3">
        <v>0</v>
      </c>
      <c r="J16975" s="3">
        <v>0</v>
      </c>
      <c r="K16975" s="3">
        <v>0</v>
      </c>
      <c r="L16975" s="3">
        <v>1</v>
      </c>
      <c r="M16975" s="3">
        <v>0</v>
      </c>
      <c r="N16975" s="3">
        <v>0</v>
      </c>
      <c r="O16975" s="3" t="s">
        <v>10</v>
      </c>
      <c r="P16975" s="3" t="s">
        <v>9</v>
      </c>
      <c r="Q16975" s="3"/>
    </row>
    <row r="16976" spans="1:17" ht="15" x14ac:dyDescent="0.25">
      <c r="A16976" s="3">
        <f>16969</f>
        <v>16969</v>
      </c>
      <c r="B16976" s="3" t="s">
        <v>16978</v>
      </c>
      <c r="C16976" s="3" t="s">
        <v>9</v>
      </c>
      <c r="D16976" s="3" t="s">
        <v>10</v>
      </c>
      <c r="E16976" s="3">
        <v>0</v>
      </c>
      <c r="F16976" s="3">
        <v>0</v>
      </c>
      <c r="G16976" s="3">
        <v>1</v>
      </c>
      <c r="H16976" s="3">
        <v>0</v>
      </c>
      <c r="I16976" s="3">
        <v>0</v>
      </c>
      <c r="J16976" s="3">
        <v>0</v>
      </c>
      <c r="K16976" s="3">
        <v>0</v>
      </c>
      <c r="L16976" s="3">
        <v>1</v>
      </c>
      <c r="M16976" s="3">
        <v>0</v>
      </c>
      <c r="N16976" s="3">
        <v>0</v>
      </c>
      <c r="O16976" s="3" t="s">
        <v>10</v>
      </c>
      <c r="P16976" s="3" t="s">
        <v>9</v>
      </c>
      <c r="Q16976" s="3"/>
    </row>
    <row r="16977" spans="1:17" ht="15" x14ac:dyDescent="0.25">
      <c r="A16977" s="3">
        <f>16970</f>
        <v>16970</v>
      </c>
      <c r="B16977" s="3" t="s">
        <v>16979</v>
      </c>
      <c r="C16977" s="3" t="s">
        <v>9</v>
      </c>
      <c r="D16977" s="3" t="s">
        <v>10</v>
      </c>
      <c r="E16977" s="3">
        <v>0</v>
      </c>
      <c r="F16977" s="3">
        <v>0</v>
      </c>
      <c r="G16977" s="3">
        <v>1</v>
      </c>
      <c r="H16977" s="3">
        <v>0</v>
      </c>
      <c r="I16977" s="3">
        <v>0</v>
      </c>
      <c r="J16977" s="3">
        <v>0</v>
      </c>
      <c r="K16977" s="3">
        <v>0</v>
      </c>
      <c r="L16977" s="3">
        <v>1</v>
      </c>
      <c r="M16977" s="3">
        <v>0</v>
      </c>
      <c r="N16977" s="3">
        <v>0</v>
      </c>
      <c r="O16977" s="3" t="s">
        <v>10</v>
      </c>
      <c r="P16977" s="3" t="s">
        <v>9</v>
      </c>
      <c r="Q16977" s="3"/>
    </row>
    <row r="16978" spans="1:17" ht="15" x14ac:dyDescent="0.25">
      <c r="A16978" s="3">
        <f>16971</f>
        <v>16971</v>
      </c>
      <c r="B16978" s="3" t="s">
        <v>16980</v>
      </c>
      <c r="C16978" s="3" t="s">
        <v>9</v>
      </c>
      <c r="D16978" s="3" t="s">
        <v>10</v>
      </c>
      <c r="E16978" s="3">
        <v>0</v>
      </c>
      <c r="F16978" s="3">
        <v>0</v>
      </c>
      <c r="G16978" s="3">
        <v>1</v>
      </c>
      <c r="H16978" s="3">
        <v>0</v>
      </c>
      <c r="I16978" s="3">
        <v>0</v>
      </c>
      <c r="J16978" s="3">
        <v>0</v>
      </c>
      <c r="K16978" s="3">
        <v>0</v>
      </c>
      <c r="L16978" s="3">
        <v>1</v>
      </c>
      <c r="M16978" s="3">
        <v>0</v>
      </c>
      <c r="N16978" s="3">
        <v>0</v>
      </c>
      <c r="O16978" s="3" t="s">
        <v>10</v>
      </c>
      <c r="P16978" s="3" t="s">
        <v>9</v>
      </c>
      <c r="Q16978" s="3"/>
    </row>
    <row r="16979" spans="1:17" ht="15" x14ac:dyDescent="0.25">
      <c r="A16979" s="3">
        <f>16972</f>
        <v>16972</v>
      </c>
      <c r="B16979" s="3" t="s">
        <v>16981</v>
      </c>
      <c r="C16979" s="3" t="s">
        <v>9</v>
      </c>
      <c r="D16979" s="3" t="s">
        <v>10</v>
      </c>
      <c r="E16979" s="3">
        <v>0</v>
      </c>
      <c r="F16979" s="3">
        <v>0</v>
      </c>
      <c r="G16979" s="3">
        <v>1</v>
      </c>
      <c r="H16979" s="3">
        <v>0</v>
      </c>
      <c r="I16979" s="3">
        <v>0</v>
      </c>
      <c r="J16979" s="3">
        <v>0</v>
      </c>
      <c r="K16979" s="3">
        <v>0</v>
      </c>
      <c r="L16979" s="3">
        <v>1</v>
      </c>
      <c r="M16979" s="3">
        <v>0</v>
      </c>
      <c r="N16979" s="3">
        <v>0</v>
      </c>
      <c r="O16979" s="3" t="s">
        <v>10</v>
      </c>
      <c r="P16979" s="3" t="s">
        <v>9</v>
      </c>
      <c r="Q16979" s="3"/>
    </row>
    <row r="16980" spans="1:17" ht="15" x14ac:dyDescent="0.25">
      <c r="A16980" s="3">
        <f>16973</f>
        <v>16973</v>
      </c>
      <c r="B16980" s="3" t="s">
        <v>16982</v>
      </c>
      <c r="C16980" s="3" t="s">
        <v>9</v>
      </c>
      <c r="D16980" s="3" t="s">
        <v>10</v>
      </c>
      <c r="E16980" s="3">
        <v>0</v>
      </c>
      <c r="F16980" s="3">
        <v>0</v>
      </c>
      <c r="G16980" s="3">
        <v>1</v>
      </c>
      <c r="H16980" s="3">
        <v>0</v>
      </c>
      <c r="I16980" s="3">
        <v>0</v>
      </c>
      <c r="J16980" s="3">
        <v>0</v>
      </c>
      <c r="K16980" s="3">
        <v>0</v>
      </c>
      <c r="L16980" s="3">
        <v>1</v>
      </c>
      <c r="M16980" s="3">
        <v>0</v>
      </c>
      <c r="N16980" s="3">
        <v>0</v>
      </c>
      <c r="O16980" s="3" t="s">
        <v>10</v>
      </c>
      <c r="P16980" s="3" t="s">
        <v>9</v>
      </c>
      <c r="Q16980" s="3"/>
    </row>
    <row r="16981" spans="1:17" ht="15" x14ac:dyDescent="0.25">
      <c r="A16981" s="3">
        <f>16974</f>
        <v>16974</v>
      </c>
      <c r="B16981" s="3" t="s">
        <v>16983</v>
      </c>
      <c r="C16981" s="3" t="s">
        <v>9</v>
      </c>
      <c r="D16981" s="3" t="s">
        <v>10</v>
      </c>
      <c r="E16981" s="3">
        <v>0</v>
      </c>
      <c r="F16981" s="3">
        <v>0</v>
      </c>
      <c r="G16981" s="3">
        <v>1</v>
      </c>
      <c r="H16981" s="3">
        <v>0</v>
      </c>
      <c r="I16981" s="3">
        <v>0</v>
      </c>
      <c r="J16981" s="3">
        <v>0</v>
      </c>
      <c r="K16981" s="3">
        <v>0</v>
      </c>
      <c r="L16981" s="3">
        <v>1</v>
      </c>
      <c r="M16981" s="3">
        <v>0</v>
      </c>
      <c r="N16981" s="3">
        <v>0</v>
      </c>
      <c r="O16981" s="3" t="s">
        <v>10</v>
      </c>
      <c r="P16981" s="3" t="s">
        <v>9</v>
      </c>
      <c r="Q16981" s="3"/>
    </row>
    <row r="16982" spans="1:17" ht="15" x14ac:dyDescent="0.25">
      <c r="A16982" s="3">
        <f>16975</f>
        <v>16975</v>
      </c>
      <c r="B16982" s="3" t="s">
        <v>16984</v>
      </c>
      <c r="C16982" s="3" t="s">
        <v>9</v>
      </c>
      <c r="D16982" s="3" t="s">
        <v>10</v>
      </c>
      <c r="E16982" s="3">
        <v>0</v>
      </c>
      <c r="F16982" s="3">
        <v>0</v>
      </c>
      <c r="G16982" s="3">
        <v>1</v>
      </c>
      <c r="H16982" s="3">
        <v>0</v>
      </c>
      <c r="I16982" s="3">
        <v>0</v>
      </c>
      <c r="J16982" s="3">
        <v>0</v>
      </c>
      <c r="K16982" s="3">
        <v>0</v>
      </c>
      <c r="L16982" s="3">
        <v>1</v>
      </c>
      <c r="M16982" s="3">
        <v>0</v>
      </c>
      <c r="N16982" s="3">
        <v>0</v>
      </c>
      <c r="O16982" s="3" t="s">
        <v>10</v>
      </c>
      <c r="P16982" s="3" t="s">
        <v>9</v>
      </c>
      <c r="Q16982" s="3"/>
    </row>
    <row r="16983" spans="1:17" ht="15" x14ac:dyDescent="0.25">
      <c r="A16983" s="3">
        <f>16976</f>
        <v>16976</v>
      </c>
      <c r="B16983" s="3" t="s">
        <v>16985</v>
      </c>
      <c r="C16983" s="3" t="s">
        <v>9</v>
      </c>
      <c r="D16983" s="3" t="s">
        <v>10</v>
      </c>
      <c r="E16983" s="3">
        <v>0</v>
      </c>
      <c r="F16983" s="3">
        <v>0</v>
      </c>
      <c r="G16983" s="3">
        <v>1</v>
      </c>
      <c r="H16983" s="3">
        <v>0</v>
      </c>
      <c r="I16983" s="3">
        <v>0</v>
      </c>
      <c r="J16983" s="3">
        <v>0</v>
      </c>
      <c r="K16983" s="3">
        <v>0</v>
      </c>
      <c r="L16983" s="3">
        <v>1</v>
      </c>
      <c r="M16983" s="3">
        <v>0</v>
      </c>
      <c r="N16983" s="3">
        <v>0</v>
      </c>
      <c r="O16983" s="3" t="s">
        <v>10</v>
      </c>
      <c r="P16983" s="3" t="s">
        <v>9</v>
      </c>
      <c r="Q16983" s="3"/>
    </row>
    <row r="16984" spans="1:17" ht="15" x14ac:dyDescent="0.25">
      <c r="A16984" s="3">
        <f>16977</f>
        <v>16977</v>
      </c>
      <c r="B16984" s="3" t="s">
        <v>16986</v>
      </c>
      <c r="C16984" s="3" t="s">
        <v>9</v>
      </c>
      <c r="D16984" s="3" t="s">
        <v>10</v>
      </c>
      <c r="E16984" s="3">
        <v>0</v>
      </c>
      <c r="F16984" s="3">
        <v>0</v>
      </c>
      <c r="G16984" s="3">
        <v>1</v>
      </c>
      <c r="H16984" s="3">
        <v>0</v>
      </c>
      <c r="I16984" s="3">
        <v>0</v>
      </c>
      <c r="J16984" s="3">
        <v>0</v>
      </c>
      <c r="K16984" s="3">
        <v>0</v>
      </c>
      <c r="L16984" s="3">
        <v>1</v>
      </c>
      <c r="M16984" s="3">
        <v>0</v>
      </c>
      <c r="N16984" s="3">
        <v>0</v>
      </c>
      <c r="O16984" s="3" t="s">
        <v>10</v>
      </c>
      <c r="P16984" s="3" t="s">
        <v>9</v>
      </c>
      <c r="Q16984" s="3"/>
    </row>
    <row r="16985" spans="1:17" ht="15" x14ac:dyDescent="0.25">
      <c r="A16985" s="3">
        <f>16978</f>
        <v>16978</v>
      </c>
      <c r="B16985" s="3" t="s">
        <v>16987</v>
      </c>
      <c r="C16985" s="3" t="s">
        <v>9</v>
      </c>
      <c r="D16985" s="3" t="s">
        <v>10</v>
      </c>
      <c r="E16985" s="3">
        <v>0</v>
      </c>
      <c r="F16985" s="3">
        <v>0</v>
      </c>
      <c r="G16985" s="3">
        <v>1</v>
      </c>
      <c r="H16985" s="3">
        <v>0</v>
      </c>
      <c r="I16985" s="3">
        <v>0</v>
      </c>
      <c r="J16985" s="3">
        <v>0</v>
      </c>
      <c r="K16985" s="3">
        <v>0</v>
      </c>
      <c r="L16985" s="3">
        <v>1</v>
      </c>
      <c r="M16985" s="3">
        <v>0</v>
      </c>
      <c r="N16985" s="3">
        <v>0</v>
      </c>
      <c r="O16985" s="3" t="s">
        <v>10</v>
      </c>
      <c r="P16985" s="3" t="s">
        <v>9</v>
      </c>
      <c r="Q16985" s="3"/>
    </row>
    <row r="16986" spans="1:17" ht="15" x14ac:dyDescent="0.25">
      <c r="A16986" s="3">
        <f>16979</f>
        <v>16979</v>
      </c>
      <c r="B16986" s="3" t="s">
        <v>16988</v>
      </c>
      <c r="C16986" s="3" t="s">
        <v>9</v>
      </c>
      <c r="D16986" s="3" t="s">
        <v>10</v>
      </c>
      <c r="E16986" s="3">
        <v>0</v>
      </c>
      <c r="F16986" s="3">
        <v>0</v>
      </c>
      <c r="G16986" s="3">
        <v>1</v>
      </c>
      <c r="H16986" s="3">
        <v>0</v>
      </c>
      <c r="I16986" s="3">
        <v>0</v>
      </c>
      <c r="J16986" s="3">
        <v>0</v>
      </c>
      <c r="K16986" s="3">
        <v>0</v>
      </c>
      <c r="L16986" s="3">
        <v>1</v>
      </c>
      <c r="M16986" s="3">
        <v>0</v>
      </c>
      <c r="N16986" s="3">
        <v>0</v>
      </c>
      <c r="O16986" s="3" t="s">
        <v>10</v>
      </c>
      <c r="P16986" s="3" t="s">
        <v>9</v>
      </c>
      <c r="Q16986" s="3"/>
    </row>
    <row r="16987" spans="1:17" ht="15" x14ac:dyDescent="0.25">
      <c r="A16987" s="3">
        <f>16980</f>
        <v>16980</v>
      </c>
      <c r="B16987" s="3" t="s">
        <v>16989</v>
      </c>
      <c r="C16987" s="3" t="s">
        <v>9</v>
      </c>
      <c r="D16987" s="3" t="s">
        <v>10</v>
      </c>
      <c r="E16987" s="3">
        <v>0</v>
      </c>
      <c r="F16987" s="3">
        <v>0</v>
      </c>
      <c r="G16987" s="3">
        <v>1</v>
      </c>
      <c r="H16987" s="3">
        <v>0</v>
      </c>
      <c r="I16987" s="3">
        <v>0</v>
      </c>
      <c r="J16987" s="3">
        <v>0</v>
      </c>
      <c r="K16987" s="3">
        <v>0</v>
      </c>
      <c r="L16987" s="3">
        <v>1</v>
      </c>
      <c r="M16987" s="3">
        <v>0</v>
      </c>
      <c r="N16987" s="3">
        <v>0</v>
      </c>
      <c r="O16987" s="3" t="s">
        <v>10</v>
      </c>
      <c r="P16987" s="3" t="s">
        <v>9</v>
      </c>
      <c r="Q16987" s="3"/>
    </row>
    <row r="16988" spans="1:17" ht="15" x14ac:dyDescent="0.25">
      <c r="A16988" s="3">
        <f>16981</f>
        <v>16981</v>
      </c>
      <c r="B16988" s="3" t="s">
        <v>16990</v>
      </c>
      <c r="C16988" s="3" t="s">
        <v>9</v>
      </c>
      <c r="D16988" s="3" t="s">
        <v>10</v>
      </c>
      <c r="E16988" s="3">
        <v>0</v>
      </c>
      <c r="F16988" s="3">
        <v>0</v>
      </c>
      <c r="G16988" s="3">
        <v>1</v>
      </c>
      <c r="H16988" s="3">
        <v>0</v>
      </c>
      <c r="I16988" s="3">
        <v>0</v>
      </c>
      <c r="J16988" s="3">
        <v>0</v>
      </c>
      <c r="K16988" s="3">
        <v>0</v>
      </c>
      <c r="L16988" s="3">
        <v>1</v>
      </c>
      <c r="M16988" s="3">
        <v>0</v>
      </c>
      <c r="N16988" s="3">
        <v>0</v>
      </c>
      <c r="O16988" s="3" t="s">
        <v>10</v>
      </c>
      <c r="P16988" s="3" t="s">
        <v>9</v>
      </c>
      <c r="Q16988" s="3"/>
    </row>
    <row r="16989" spans="1:17" ht="15" x14ac:dyDescent="0.25">
      <c r="A16989" s="3">
        <f>16982</f>
        <v>16982</v>
      </c>
      <c r="B16989" s="3" t="s">
        <v>16991</v>
      </c>
      <c r="C16989" s="3" t="s">
        <v>9</v>
      </c>
      <c r="D16989" s="3" t="s">
        <v>10</v>
      </c>
      <c r="E16989" s="3">
        <v>0</v>
      </c>
      <c r="F16989" s="3">
        <v>0</v>
      </c>
      <c r="G16989" s="3">
        <v>1</v>
      </c>
      <c r="H16989" s="3">
        <v>0</v>
      </c>
      <c r="I16989" s="3">
        <v>0</v>
      </c>
      <c r="J16989" s="3">
        <v>0</v>
      </c>
      <c r="K16989" s="3">
        <v>0</v>
      </c>
      <c r="L16989" s="3">
        <v>1</v>
      </c>
      <c r="M16989" s="3">
        <v>0</v>
      </c>
      <c r="N16989" s="3">
        <v>0</v>
      </c>
      <c r="O16989" s="3" t="s">
        <v>10</v>
      </c>
      <c r="P16989" s="3" t="s">
        <v>9</v>
      </c>
      <c r="Q16989" s="3"/>
    </row>
    <row r="16990" spans="1:17" ht="15" x14ac:dyDescent="0.25">
      <c r="A16990" s="3">
        <f>16983</f>
        <v>16983</v>
      </c>
      <c r="B16990" s="3" t="s">
        <v>16992</v>
      </c>
      <c r="C16990" s="3" t="s">
        <v>9</v>
      </c>
      <c r="D16990" s="3" t="s">
        <v>10</v>
      </c>
      <c r="E16990" s="3">
        <v>0</v>
      </c>
      <c r="F16990" s="3">
        <v>0</v>
      </c>
      <c r="G16990" s="3">
        <v>1</v>
      </c>
      <c r="H16990" s="3">
        <v>0</v>
      </c>
      <c r="I16990" s="3">
        <v>0</v>
      </c>
      <c r="J16990" s="3">
        <v>0</v>
      </c>
      <c r="K16990" s="3">
        <v>0</v>
      </c>
      <c r="L16990" s="3">
        <v>1</v>
      </c>
      <c r="M16990" s="3">
        <v>0</v>
      </c>
      <c r="N16990" s="3">
        <v>0</v>
      </c>
      <c r="O16990" s="3" t="s">
        <v>10</v>
      </c>
      <c r="P16990" s="3" t="s">
        <v>9</v>
      </c>
      <c r="Q16990" s="3"/>
    </row>
    <row r="16991" spans="1:17" ht="15" x14ac:dyDescent="0.25">
      <c r="A16991" s="3">
        <f>16984</f>
        <v>16984</v>
      </c>
      <c r="B16991" s="3" t="s">
        <v>16993</v>
      </c>
      <c r="C16991" s="3" t="s">
        <v>9</v>
      </c>
      <c r="D16991" s="3" t="s">
        <v>10</v>
      </c>
      <c r="E16991" s="3">
        <v>0</v>
      </c>
      <c r="F16991" s="3">
        <v>0</v>
      </c>
      <c r="G16991" s="3">
        <v>1</v>
      </c>
      <c r="H16991" s="3">
        <v>0</v>
      </c>
      <c r="I16991" s="3">
        <v>0</v>
      </c>
      <c r="J16991" s="3">
        <v>0</v>
      </c>
      <c r="K16991" s="3">
        <v>0</v>
      </c>
      <c r="L16991" s="3">
        <v>1</v>
      </c>
      <c r="M16991" s="3">
        <v>0</v>
      </c>
      <c r="N16991" s="3">
        <v>0</v>
      </c>
      <c r="O16991" s="3" t="s">
        <v>10</v>
      </c>
      <c r="P16991" s="3" t="s">
        <v>9</v>
      </c>
      <c r="Q16991" s="3"/>
    </row>
    <row r="16992" spans="1:17" ht="15" x14ac:dyDescent="0.25">
      <c r="A16992" s="3">
        <f>16985</f>
        <v>16985</v>
      </c>
      <c r="B16992" s="3" t="s">
        <v>16994</v>
      </c>
      <c r="C16992" s="3" t="s">
        <v>9</v>
      </c>
      <c r="D16992" s="3" t="s">
        <v>10</v>
      </c>
      <c r="E16992" s="3">
        <v>0</v>
      </c>
      <c r="F16992" s="3">
        <v>0</v>
      </c>
      <c r="G16992" s="3">
        <v>1</v>
      </c>
      <c r="H16992" s="3">
        <v>0</v>
      </c>
      <c r="I16992" s="3">
        <v>0</v>
      </c>
      <c r="J16992" s="3">
        <v>0</v>
      </c>
      <c r="K16992" s="3">
        <v>0</v>
      </c>
      <c r="L16992" s="3">
        <v>1</v>
      </c>
      <c r="M16992" s="3">
        <v>0</v>
      </c>
      <c r="N16992" s="3">
        <v>0</v>
      </c>
      <c r="O16992" s="3" t="s">
        <v>10</v>
      </c>
      <c r="P16992" s="3" t="s">
        <v>9</v>
      </c>
      <c r="Q16992" s="3"/>
    </row>
    <row r="16993" spans="1:17" ht="15" x14ac:dyDescent="0.25">
      <c r="A16993" s="3">
        <f>16986</f>
        <v>16986</v>
      </c>
      <c r="B16993" s="3" t="s">
        <v>16995</v>
      </c>
      <c r="C16993" s="3" t="s">
        <v>9</v>
      </c>
      <c r="D16993" s="3" t="s">
        <v>10</v>
      </c>
      <c r="E16993" s="3">
        <v>0</v>
      </c>
      <c r="F16993" s="3">
        <v>0</v>
      </c>
      <c r="G16993" s="3">
        <v>1</v>
      </c>
      <c r="H16993" s="3">
        <v>0</v>
      </c>
      <c r="I16993" s="3">
        <v>0</v>
      </c>
      <c r="J16993" s="3">
        <v>0</v>
      </c>
      <c r="K16993" s="3">
        <v>0</v>
      </c>
      <c r="L16993" s="3">
        <v>1</v>
      </c>
      <c r="M16993" s="3">
        <v>0</v>
      </c>
      <c r="N16993" s="3">
        <v>0</v>
      </c>
      <c r="O16993" s="3" t="s">
        <v>10</v>
      </c>
      <c r="P16993" s="3" t="s">
        <v>9</v>
      </c>
      <c r="Q16993" s="3"/>
    </row>
    <row r="16994" spans="1:17" ht="15" x14ac:dyDescent="0.25">
      <c r="A16994" s="3">
        <f>16987</f>
        <v>16987</v>
      </c>
      <c r="B16994" s="3" t="s">
        <v>16996</v>
      </c>
      <c r="C16994" s="3" t="s">
        <v>9</v>
      </c>
      <c r="D16994" s="3" t="s">
        <v>10</v>
      </c>
      <c r="E16994" s="3">
        <v>0</v>
      </c>
      <c r="F16994" s="3">
        <v>0</v>
      </c>
      <c r="G16994" s="3">
        <v>1</v>
      </c>
      <c r="H16994" s="3">
        <v>0</v>
      </c>
      <c r="I16994" s="3">
        <v>0</v>
      </c>
      <c r="J16994" s="3">
        <v>0</v>
      </c>
      <c r="K16994" s="3">
        <v>0</v>
      </c>
      <c r="L16994" s="3">
        <v>1</v>
      </c>
      <c r="M16994" s="3">
        <v>0</v>
      </c>
      <c r="N16994" s="3">
        <v>0</v>
      </c>
      <c r="O16994" s="3" t="s">
        <v>10</v>
      </c>
      <c r="P16994" s="3" t="s">
        <v>9</v>
      </c>
      <c r="Q16994" s="3"/>
    </row>
    <row r="16995" spans="1:17" ht="15" x14ac:dyDescent="0.25">
      <c r="A16995" s="3">
        <f>16988</f>
        <v>16988</v>
      </c>
      <c r="B16995" s="3" t="s">
        <v>16997</v>
      </c>
      <c r="C16995" s="3" t="s">
        <v>9</v>
      </c>
      <c r="D16995" s="3" t="s">
        <v>10</v>
      </c>
      <c r="E16995" s="3">
        <v>0</v>
      </c>
      <c r="F16995" s="3">
        <v>0</v>
      </c>
      <c r="G16995" s="3">
        <v>1</v>
      </c>
      <c r="H16995" s="3">
        <v>0</v>
      </c>
      <c r="I16995" s="3">
        <v>0</v>
      </c>
      <c r="J16995" s="3">
        <v>0</v>
      </c>
      <c r="K16995" s="3">
        <v>0</v>
      </c>
      <c r="L16995" s="3">
        <v>1</v>
      </c>
      <c r="M16995" s="3">
        <v>0</v>
      </c>
      <c r="N16995" s="3">
        <v>0</v>
      </c>
      <c r="O16995" s="3" t="s">
        <v>10</v>
      </c>
      <c r="P16995" s="3" t="s">
        <v>9</v>
      </c>
      <c r="Q16995" s="3"/>
    </row>
    <row r="16996" spans="1:17" ht="15" x14ac:dyDescent="0.25">
      <c r="A16996" s="3">
        <f>16989</f>
        <v>16989</v>
      </c>
      <c r="B16996" s="3" t="s">
        <v>16998</v>
      </c>
      <c r="C16996" s="3" t="s">
        <v>9</v>
      </c>
      <c r="D16996" s="3" t="s">
        <v>10</v>
      </c>
      <c r="E16996" s="3">
        <v>0</v>
      </c>
      <c r="F16996" s="3">
        <v>0</v>
      </c>
      <c r="G16996" s="3">
        <v>1</v>
      </c>
      <c r="H16996" s="3">
        <v>0</v>
      </c>
      <c r="I16996" s="3">
        <v>0</v>
      </c>
      <c r="J16996" s="3">
        <v>0</v>
      </c>
      <c r="K16996" s="3">
        <v>0</v>
      </c>
      <c r="L16996" s="3">
        <v>1</v>
      </c>
      <c r="M16996" s="3">
        <v>0</v>
      </c>
      <c r="N16996" s="3">
        <v>0</v>
      </c>
      <c r="O16996" s="3" t="s">
        <v>10</v>
      </c>
      <c r="P16996" s="3" t="s">
        <v>9</v>
      </c>
      <c r="Q16996" s="3"/>
    </row>
    <row r="16997" spans="1:17" ht="15" x14ac:dyDescent="0.25">
      <c r="A16997" s="3">
        <f>16990</f>
        <v>16990</v>
      </c>
      <c r="B16997" s="3" t="s">
        <v>16999</v>
      </c>
      <c r="C16997" s="3" t="s">
        <v>9</v>
      </c>
      <c r="D16997" s="3" t="s">
        <v>10</v>
      </c>
      <c r="E16997" s="3">
        <v>0</v>
      </c>
      <c r="F16997" s="3">
        <v>0</v>
      </c>
      <c r="G16997" s="3">
        <v>1</v>
      </c>
      <c r="H16997" s="3">
        <v>0</v>
      </c>
      <c r="I16997" s="3">
        <v>0</v>
      </c>
      <c r="J16997" s="3">
        <v>0</v>
      </c>
      <c r="K16997" s="3">
        <v>0</v>
      </c>
      <c r="L16997" s="3">
        <v>1</v>
      </c>
      <c r="M16997" s="3">
        <v>0</v>
      </c>
      <c r="N16997" s="3">
        <v>0</v>
      </c>
      <c r="O16997" s="3" t="s">
        <v>10</v>
      </c>
      <c r="P16997" s="3" t="s">
        <v>9</v>
      </c>
      <c r="Q16997" s="3"/>
    </row>
    <row r="16998" spans="1:17" ht="15" x14ac:dyDescent="0.25">
      <c r="A16998" s="3">
        <f>16991</f>
        <v>16991</v>
      </c>
      <c r="B16998" s="3" t="s">
        <v>17000</v>
      </c>
      <c r="C16998" s="3" t="s">
        <v>10</v>
      </c>
      <c r="D16998" s="3" t="s">
        <v>9</v>
      </c>
      <c r="E16998" s="3">
        <v>0</v>
      </c>
      <c r="F16998" s="3">
        <v>0</v>
      </c>
      <c r="G16998" s="3">
        <v>1</v>
      </c>
      <c r="H16998" s="3">
        <v>0</v>
      </c>
      <c r="I16998" s="3">
        <v>0</v>
      </c>
      <c r="J16998" s="3">
        <v>0</v>
      </c>
      <c r="K16998" s="3">
        <v>0</v>
      </c>
      <c r="L16998" s="3">
        <v>1</v>
      </c>
      <c r="M16998" s="3">
        <v>0</v>
      </c>
      <c r="N16998" s="3">
        <v>0</v>
      </c>
      <c r="O16998" s="3" t="s">
        <v>10</v>
      </c>
      <c r="P16998" s="3" t="s">
        <v>9</v>
      </c>
      <c r="Q16998" s="3"/>
    </row>
    <row r="16999" spans="1:17" ht="15" x14ac:dyDescent="0.25">
      <c r="A16999" s="3">
        <f>16992</f>
        <v>16992</v>
      </c>
      <c r="B16999" s="3" t="s">
        <v>17001</v>
      </c>
      <c r="C16999" s="3" t="s">
        <v>10</v>
      </c>
      <c r="D16999" s="3" t="s">
        <v>9</v>
      </c>
      <c r="E16999" s="3">
        <v>0</v>
      </c>
      <c r="F16999" s="3">
        <v>0</v>
      </c>
      <c r="G16999" s="3">
        <v>1</v>
      </c>
      <c r="H16999" s="3">
        <v>0</v>
      </c>
      <c r="I16999" s="3">
        <v>0</v>
      </c>
      <c r="J16999" s="3">
        <v>0</v>
      </c>
      <c r="K16999" s="3">
        <v>0</v>
      </c>
      <c r="L16999" s="3">
        <v>1</v>
      </c>
      <c r="M16999" s="3">
        <v>0</v>
      </c>
      <c r="N16999" s="3">
        <v>0</v>
      </c>
      <c r="O16999" s="3" t="s">
        <v>10</v>
      </c>
      <c r="P16999" s="3" t="s">
        <v>9</v>
      </c>
      <c r="Q16999" s="3"/>
    </row>
    <row r="17000" spans="1:17" ht="15" x14ac:dyDescent="0.25">
      <c r="A17000" s="3">
        <f>16993</f>
        <v>16993</v>
      </c>
      <c r="B17000" s="3" t="s">
        <v>17002</v>
      </c>
      <c r="C17000" s="3" t="s">
        <v>10</v>
      </c>
      <c r="D17000" s="3" t="s">
        <v>9</v>
      </c>
      <c r="E17000" s="3">
        <v>0</v>
      </c>
      <c r="F17000" s="3">
        <v>0</v>
      </c>
      <c r="G17000" s="3">
        <v>1</v>
      </c>
      <c r="H17000" s="3">
        <v>0</v>
      </c>
      <c r="I17000" s="3">
        <v>0</v>
      </c>
      <c r="J17000" s="3">
        <v>0</v>
      </c>
      <c r="K17000" s="3">
        <v>0</v>
      </c>
      <c r="L17000" s="3">
        <v>1</v>
      </c>
      <c r="M17000" s="3">
        <v>0</v>
      </c>
      <c r="N17000" s="3">
        <v>0</v>
      </c>
      <c r="O17000" s="3" t="s">
        <v>10</v>
      </c>
      <c r="P17000" s="3" t="s">
        <v>9</v>
      </c>
      <c r="Q17000" s="3"/>
    </row>
    <row r="17001" spans="1:17" ht="15" x14ac:dyDescent="0.25">
      <c r="A17001" s="3">
        <f>16994</f>
        <v>16994</v>
      </c>
      <c r="B17001" s="3" t="s">
        <v>17003</v>
      </c>
      <c r="C17001" s="3" t="s">
        <v>10</v>
      </c>
      <c r="D17001" s="3" t="s">
        <v>9</v>
      </c>
      <c r="E17001" s="3">
        <v>0</v>
      </c>
      <c r="F17001" s="3">
        <v>0</v>
      </c>
      <c r="G17001" s="3">
        <v>1</v>
      </c>
      <c r="H17001" s="3">
        <v>0</v>
      </c>
      <c r="I17001" s="3">
        <v>0</v>
      </c>
      <c r="J17001" s="3">
        <v>0</v>
      </c>
      <c r="K17001" s="3">
        <v>0</v>
      </c>
      <c r="L17001" s="3">
        <v>1</v>
      </c>
      <c r="M17001" s="3">
        <v>0</v>
      </c>
      <c r="N17001" s="3">
        <v>0</v>
      </c>
      <c r="O17001" s="3" t="s">
        <v>10</v>
      </c>
      <c r="P17001" s="3" t="s">
        <v>9</v>
      </c>
      <c r="Q17001" s="3"/>
    </row>
    <row r="17002" spans="1:17" ht="15" x14ac:dyDescent="0.25">
      <c r="A17002" s="3">
        <f>16995</f>
        <v>16995</v>
      </c>
      <c r="B17002" s="3" t="s">
        <v>17004</v>
      </c>
      <c r="C17002" s="3" t="s">
        <v>10</v>
      </c>
      <c r="D17002" s="3" t="s">
        <v>9</v>
      </c>
      <c r="E17002" s="3">
        <v>0</v>
      </c>
      <c r="F17002" s="3">
        <v>0</v>
      </c>
      <c r="G17002" s="3">
        <v>1</v>
      </c>
      <c r="H17002" s="3">
        <v>0</v>
      </c>
      <c r="I17002" s="3">
        <v>0</v>
      </c>
      <c r="J17002" s="3">
        <v>0</v>
      </c>
      <c r="K17002" s="3">
        <v>0</v>
      </c>
      <c r="L17002" s="3">
        <v>1</v>
      </c>
      <c r="M17002" s="3">
        <v>0</v>
      </c>
      <c r="N17002" s="3">
        <v>0</v>
      </c>
      <c r="O17002" s="3" t="s">
        <v>10</v>
      </c>
      <c r="P17002" s="3" t="s">
        <v>9</v>
      </c>
      <c r="Q17002" s="3"/>
    </row>
    <row r="17003" spans="1:17" ht="15" x14ac:dyDescent="0.25">
      <c r="A17003" s="3">
        <f>16996</f>
        <v>16996</v>
      </c>
      <c r="B17003" s="3" t="s">
        <v>17005</v>
      </c>
      <c r="C17003" s="3" t="s">
        <v>10</v>
      </c>
      <c r="D17003" s="3" t="s">
        <v>9</v>
      </c>
      <c r="E17003" s="3">
        <v>0</v>
      </c>
      <c r="F17003" s="3">
        <v>0</v>
      </c>
      <c r="G17003" s="3">
        <v>1</v>
      </c>
      <c r="H17003" s="3">
        <v>0</v>
      </c>
      <c r="I17003" s="3">
        <v>0</v>
      </c>
      <c r="J17003" s="3">
        <v>0</v>
      </c>
      <c r="K17003" s="3">
        <v>0</v>
      </c>
      <c r="L17003" s="3">
        <v>1</v>
      </c>
      <c r="M17003" s="3">
        <v>0</v>
      </c>
      <c r="N17003" s="3">
        <v>0</v>
      </c>
      <c r="O17003" s="3" t="s">
        <v>10</v>
      </c>
      <c r="P17003" s="3" t="s">
        <v>9</v>
      </c>
      <c r="Q17003" s="3"/>
    </row>
    <row r="17004" spans="1:17" ht="15" x14ac:dyDescent="0.25">
      <c r="A17004" s="3">
        <f>16997</f>
        <v>16997</v>
      </c>
      <c r="B17004" s="3" t="s">
        <v>17006</v>
      </c>
      <c r="C17004" s="3" t="s">
        <v>9</v>
      </c>
      <c r="D17004" s="3" t="s">
        <v>10</v>
      </c>
      <c r="E17004" s="3">
        <v>0</v>
      </c>
      <c r="F17004" s="3">
        <v>0</v>
      </c>
      <c r="G17004" s="3">
        <v>1</v>
      </c>
      <c r="H17004" s="3">
        <v>0</v>
      </c>
      <c r="I17004" s="3">
        <v>0</v>
      </c>
      <c r="J17004" s="3">
        <v>0</v>
      </c>
      <c r="K17004" s="3">
        <v>0</v>
      </c>
      <c r="L17004" s="3">
        <v>1</v>
      </c>
      <c r="M17004" s="3">
        <v>0</v>
      </c>
      <c r="N17004" s="3">
        <v>0</v>
      </c>
      <c r="O17004" s="3" t="s">
        <v>10</v>
      </c>
      <c r="P17004" s="3" t="s">
        <v>9</v>
      </c>
      <c r="Q17004" s="3"/>
    </row>
    <row r="17005" spans="1:17" ht="15" x14ac:dyDescent="0.25">
      <c r="A17005" s="3">
        <f>16998</f>
        <v>16998</v>
      </c>
      <c r="B17005" s="3" t="s">
        <v>17007</v>
      </c>
      <c r="C17005" s="3" t="s">
        <v>9</v>
      </c>
      <c r="D17005" s="3" t="s">
        <v>10</v>
      </c>
      <c r="E17005" s="3">
        <v>0</v>
      </c>
      <c r="F17005" s="3">
        <v>0</v>
      </c>
      <c r="G17005" s="3">
        <v>1</v>
      </c>
      <c r="H17005" s="3">
        <v>0</v>
      </c>
      <c r="I17005" s="3">
        <v>0</v>
      </c>
      <c r="J17005" s="3">
        <v>0</v>
      </c>
      <c r="K17005" s="3">
        <v>0</v>
      </c>
      <c r="L17005" s="3">
        <v>1</v>
      </c>
      <c r="M17005" s="3">
        <v>0</v>
      </c>
      <c r="N17005" s="3">
        <v>0</v>
      </c>
      <c r="O17005" s="3" t="s">
        <v>10</v>
      </c>
      <c r="P17005" s="3" t="s">
        <v>9</v>
      </c>
      <c r="Q17005" s="3"/>
    </row>
    <row r="17006" spans="1:17" ht="15" x14ac:dyDescent="0.25">
      <c r="A17006" s="3">
        <f>16999</f>
        <v>16999</v>
      </c>
      <c r="B17006" s="3" t="s">
        <v>17008</v>
      </c>
      <c r="C17006" s="3" t="s">
        <v>9</v>
      </c>
      <c r="D17006" s="3" t="s">
        <v>10</v>
      </c>
      <c r="E17006" s="3">
        <v>0</v>
      </c>
      <c r="F17006" s="3">
        <v>0</v>
      </c>
      <c r="G17006" s="3">
        <v>1</v>
      </c>
      <c r="H17006" s="3">
        <v>0</v>
      </c>
      <c r="I17006" s="3">
        <v>0</v>
      </c>
      <c r="J17006" s="3">
        <v>0</v>
      </c>
      <c r="K17006" s="3">
        <v>0</v>
      </c>
      <c r="L17006" s="3">
        <v>1</v>
      </c>
      <c r="M17006" s="3">
        <v>0</v>
      </c>
      <c r="N17006" s="3">
        <v>0</v>
      </c>
      <c r="O17006" s="3" t="s">
        <v>10</v>
      </c>
      <c r="P17006" s="3" t="s">
        <v>9</v>
      </c>
      <c r="Q17006" s="3"/>
    </row>
    <row r="17007" spans="1:17" ht="15" x14ac:dyDescent="0.25">
      <c r="A17007" s="3">
        <f>17000</f>
        <v>17000</v>
      </c>
      <c r="B17007" s="3" t="s">
        <v>17009</v>
      </c>
      <c r="C17007" s="3" t="s">
        <v>9</v>
      </c>
      <c r="D17007" s="3" t="s">
        <v>10</v>
      </c>
      <c r="E17007" s="3">
        <v>0</v>
      </c>
      <c r="F17007" s="3">
        <v>0</v>
      </c>
      <c r="G17007" s="3">
        <v>1</v>
      </c>
      <c r="H17007" s="3">
        <v>0</v>
      </c>
      <c r="I17007" s="3">
        <v>0</v>
      </c>
      <c r="J17007" s="3">
        <v>0</v>
      </c>
      <c r="K17007" s="3">
        <v>0</v>
      </c>
      <c r="L17007" s="3">
        <v>1</v>
      </c>
      <c r="M17007" s="3">
        <v>0</v>
      </c>
      <c r="N17007" s="3">
        <v>0</v>
      </c>
      <c r="O17007" s="3" t="s">
        <v>10</v>
      </c>
      <c r="P17007" s="3" t="s">
        <v>9</v>
      </c>
      <c r="Q17007" s="3"/>
    </row>
    <row r="17008" spans="1:17" ht="15" x14ac:dyDescent="0.25">
      <c r="A17008" s="3">
        <f>17001</f>
        <v>17001</v>
      </c>
      <c r="B17008" s="3" t="s">
        <v>17010</v>
      </c>
      <c r="C17008" s="3" t="s">
        <v>9</v>
      </c>
      <c r="D17008" s="3" t="s">
        <v>10</v>
      </c>
      <c r="E17008" s="3">
        <v>0</v>
      </c>
      <c r="F17008" s="3">
        <v>0</v>
      </c>
      <c r="G17008" s="3">
        <v>1</v>
      </c>
      <c r="H17008" s="3">
        <v>0</v>
      </c>
      <c r="I17008" s="3">
        <v>0</v>
      </c>
      <c r="J17008" s="3">
        <v>0</v>
      </c>
      <c r="K17008" s="3">
        <v>0</v>
      </c>
      <c r="L17008" s="3">
        <v>1</v>
      </c>
      <c r="M17008" s="3">
        <v>0</v>
      </c>
      <c r="N17008" s="3">
        <v>0</v>
      </c>
      <c r="O17008" s="3" t="s">
        <v>10</v>
      </c>
      <c r="P17008" s="3" t="s">
        <v>9</v>
      </c>
      <c r="Q17008" s="3"/>
    </row>
    <row r="17009" spans="1:17" ht="15" x14ac:dyDescent="0.25">
      <c r="A17009" s="3">
        <f>17002</f>
        <v>17002</v>
      </c>
      <c r="B17009" s="3" t="s">
        <v>17011</v>
      </c>
      <c r="C17009" s="3" t="s">
        <v>9</v>
      </c>
      <c r="D17009" s="3" t="s">
        <v>10</v>
      </c>
      <c r="E17009" s="3">
        <v>0</v>
      </c>
      <c r="F17009" s="3">
        <v>0</v>
      </c>
      <c r="G17009" s="3">
        <v>1</v>
      </c>
      <c r="H17009" s="3">
        <v>0</v>
      </c>
      <c r="I17009" s="3">
        <v>0</v>
      </c>
      <c r="J17009" s="3">
        <v>0</v>
      </c>
      <c r="K17009" s="3">
        <v>0</v>
      </c>
      <c r="L17009" s="3">
        <v>1</v>
      </c>
      <c r="M17009" s="3">
        <v>0</v>
      </c>
      <c r="N17009" s="3">
        <v>0</v>
      </c>
      <c r="O17009" s="3" t="s">
        <v>10</v>
      </c>
      <c r="P17009" s="3" t="s">
        <v>9</v>
      </c>
      <c r="Q17009" s="3"/>
    </row>
    <row r="17010" spans="1:17" ht="15" x14ac:dyDescent="0.25">
      <c r="A17010" s="3">
        <f>17003</f>
        <v>17003</v>
      </c>
      <c r="B17010" s="3" t="s">
        <v>17012</v>
      </c>
      <c r="C17010" s="3" t="s">
        <v>9</v>
      </c>
      <c r="D17010" s="3" t="s">
        <v>10</v>
      </c>
      <c r="E17010" s="3">
        <v>0</v>
      </c>
      <c r="F17010" s="3">
        <v>0</v>
      </c>
      <c r="G17010" s="3">
        <v>1</v>
      </c>
      <c r="H17010" s="3">
        <v>0</v>
      </c>
      <c r="I17010" s="3">
        <v>0</v>
      </c>
      <c r="J17010" s="3">
        <v>0</v>
      </c>
      <c r="K17010" s="3">
        <v>0</v>
      </c>
      <c r="L17010" s="3">
        <v>1</v>
      </c>
      <c r="M17010" s="3">
        <v>0</v>
      </c>
      <c r="N17010" s="3">
        <v>0</v>
      </c>
      <c r="O17010" s="3" t="s">
        <v>10</v>
      </c>
      <c r="P17010" s="3" t="s">
        <v>9</v>
      </c>
      <c r="Q17010" s="3"/>
    </row>
    <row r="17011" spans="1:17" ht="15" x14ac:dyDescent="0.25">
      <c r="A17011" s="3">
        <f>17004</f>
        <v>17004</v>
      </c>
      <c r="B17011" s="3" t="s">
        <v>17013</v>
      </c>
      <c r="C17011" s="3" t="s">
        <v>9</v>
      </c>
      <c r="D17011" s="3" t="s">
        <v>10</v>
      </c>
      <c r="E17011" s="3">
        <v>0</v>
      </c>
      <c r="F17011" s="3">
        <v>0</v>
      </c>
      <c r="G17011" s="3">
        <v>1</v>
      </c>
      <c r="H17011" s="3">
        <v>0</v>
      </c>
      <c r="I17011" s="3">
        <v>0</v>
      </c>
      <c r="J17011" s="3">
        <v>0</v>
      </c>
      <c r="K17011" s="3">
        <v>0</v>
      </c>
      <c r="L17011" s="3">
        <v>1</v>
      </c>
      <c r="M17011" s="3">
        <v>0</v>
      </c>
      <c r="N17011" s="3">
        <v>0</v>
      </c>
      <c r="O17011" s="3" t="s">
        <v>10</v>
      </c>
      <c r="P17011" s="3" t="s">
        <v>9</v>
      </c>
      <c r="Q17011" s="3"/>
    </row>
    <row r="17012" spans="1:17" ht="15" x14ac:dyDescent="0.25">
      <c r="A17012" s="3">
        <f>17005</f>
        <v>17005</v>
      </c>
      <c r="B17012" s="3" t="s">
        <v>17014</v>
      </c>
      <c r="C17012" s="3" t="s">
        <v>9</v>
      </c>
      <c r="D17012" s="3" t="s">
        <v>10</v>
      </c>
      <c r="E17012" s="3">
        <v>0</v>
      </c>
      <c r="F17012" s="3">
        <v>0</v>
      </c>
      <c r="G17012" s="3">
        <v>1</v>
      </c>
      <c r="H17012" s="3">
        <v>0</v>
      </c>
      <c r="I17012" s="3">
        <v>0</v>
      </c>
      <c r="J17012" s="3">
        <v>0</v>
      </c>
      <c r="K17012" s="3">
        <v>0</v>
      </c>
      <c r="L17012" s="3">
        <v>1</v>
      </c>
      <c r="M17012" s="3">
        <v>0</v>
      </c>
      <c r="N17012" s="3">
        <v>0</v>
      </c>
      <c r="O17012" s="3" t="s">
        <v>10</v>
      </c>
      <c r="P17012" s="3" t="s">
        <v>9</v>
      </c>
      <c r="Q17012" s="3"/>
    </row>
    <row r="17013" spans="1:17" ht="15" x14ac:dyDescent="0.25">
      <c r="A17013" s="3">
        <f>17006</f>
        <v>17006</v>
      </c>
      <c r="B17013" s="3" t="s">
        <v>17015</v>
      </c>
      <c r="C17013" s="3" t="s">
        <v>9</v>
      </c>
      <c r="D17013" s="3" t="s">
        <v>10</v>
      </c>
      <c r="E17013" s="3">
        <v>0</v>
      </c>
      <c r="F17013" s="3">
        <v>0</v>
      </c>
      <c r="G17013" s="3">
        <v>1</v>
      </c>
      <c r="H17013" s="3">
        <v>0</v>
      </c>
      <c r="I17013" s="3">
        <v>0</v>
      </c>
      <c r="J17013" s="3">
        <v>0</v>
      </c>
      <c r="K17013" s="3">
        <v>0</v>
      </c>
      <c r="L17013" s="3">
        <v>1</v>
      </c>
      <c r="M17013" s="3">
        <v>0</v>
      </c>
      <c r="N17013" s="3">
        <v>0</v>
      </c>
      <c r="O17013" s="3" t="s">
        <v>10</v>
      </c>
      <c r="P17013" s="3" t="s">
        <v>9</v>
      </c>
      <c r="Q17013" s="3"/>
    </row>
    <row r="17014" spans="1:17" ht="15" x14ac:dyDescent="0.25">
      <c r="A17014" s="3">
        <f>17007</f>
        <v>17007</v>
      </c>
      <c r="B17014" s="3" t="s">
        <v>17016</v>
      </c>
      <c r="C17014" s="3" t="s">
        <v>9</v>
      </c>
      <c r="D17014" s="3" t="s">
        <v>10</v>
      </c>
      <c r="E17014" s="3">
        <v>0</v>
      </c>
      <c r="F17014" s="3">
        <v>0</v>
      </c>
      <c r="G17014" s="3">
        <v>1</v>
      </c>
      <c r="H17014" s="3">
        <v>0</v>
      </c>
      <c r="I17014" s="3">
        <v>0</v>
      </c>
      <c r="J17014" s="3">
        <v>0</v>
      </c>
      <c r="K17014" s="3">
        <v>0</v>
      </c>
      <c r="L17014" s="3">
        <v>1</v>
      </c>
      <c r="M17014" s="3">
        <v>0</v>
      </c>
      <c r="N17014" s="3">
        <v>0</v>
      </c>
      <c r="O17014" s="3" t="s">
        <v>10</v>
      </c>
      <c r="P17014" s="3" t="s">
        <v>9</v>
      </c>
      <c r="Q17014" s="3"/>
    </row>
    <row r="17015" spans="1:17" ht="15" x14ac:dyDescent="0.25">
      <c r="A17015" s="3">
        <f>17008</f>
        <v>17008</v>
      </c>
      <c r="B17015" s="3" t="s">
        <v>17017</v>
      </c>
      <c r="C17015" s="3" t="s">
        <v>9</v>
      </c>
      <c r="D17015" s="3" t="s">
        <v>10</v>
      </c>
      <c r="E17015" s="3">
        <v>0</v>
      </c>
      <c r="F17015" s="3">
        <v>0</v>
      </c>
      <c r="G17015" s="3">
        <v>1</v>
      </c>
      <c r="H17015" s="3">
        <v>0</v>
      </c>
      <c r="I17015" s="3">
        <v>0</v>
      </c>
      <c r="J17015" s="3">
        <v>0</v>
      </c>
      <c r="K17015" s="3">
        <v>0</v>
      </c>
      <c r="L17015" s="3">
        <v>1</v>
      </c>
      <c r="M17015" s="3">
        <v>0</v>
      </c>
      <c r="N17015" s="3">
        <v>0</v>
      </c>
      <c r="O17015" s="3" t="s">
        <v>10</v>
      </c>
      <c r="P17015" s="3" t="s">
        <v>9</v>
      </c>
      <c r="Q17015" s="3"/>
    </row>
    <row r="17016" spans="1:17" ht="15" x14ac:dyDescent="0.25">
      <c r="A17016" s="3">
        <f>17009</f>
        <v>17009</v>
      </c>
      <c r="B17016" s="3" t="s">
        <v>17018</v>
      </c>
      <c r="C17016" s="3" t="s">
        <v>9</v>
      </c>
      <c r="D17016" s="3" t="s">
        <v>10</v>
      </c>
      <c r="E17016" s="3">
        <v>0</v>
      </c>
      <c r="F17016" s="3">
        <v>0</v>
      </c>
      <c r="G17016" s="3">
        <v>1</v>
      </c>
      <c r="H17016" s="3">
        <v>0</v>
      </c>
      <c r="I17016" s="3">
        <v>0</v>
      </c>
      <c r="J17016" s="3">
        <v>0</v>
      </c>
      <c r="K17016" s="3">
        <v>0</v>
      </c>
      <c r="L17016" s="3">
        <v>1</v>
      </c>
      <c r="M17016" s="3">
        <v>0</v>
      </c>
      <c r="N17016" s="3">
        <v>0</v>
      </c>
      <c r="O17016" s="3" t="s">
        <v>10</v>
      </c>
      <c r="P17016" s="3" t="s">
        <v>9</v>
      </c>
      <c r="Q17016" s="3"/>
    </row>
    <row r="17017" spans="1:17" ht="15" x14ac:dyDescent="0.25">
      <c r="A17017" s="3">
        <f>17010</f>
        <v>17010</v>
      </c>
      <c r="B17017" s="3" t="s">
        <v>17019</v>
      </c>
      <c r="C17017" s="3" t="s">
        <v>9</v>
      </c>
      <c r="D17017" s="3" t="s">
        <v>10</v>
      </c>
      <c r="E17017" s="3">
        <v>0</v>
      </c>
      <c r="F17017" s="3">
        <v>0</v>
      </c>
      <c r="G17017" s="3">
        <v>1</v>
      </c>
      <c r="H17017" s="3">
        <v>0</v>
      </c>
      <c r="I17017" s="3">
        <v>0</v>
      </c>
      <c r="J17017" s="3">
        <v>0</v>
      </c>
      <c r="K17017" s="3">
        <v>0</v>
      </c>
      <c r="L17017" s="3">
        <v>1</v>
      </c>
      <c r="M17017" s="3">
        <v>0</v>
      </c>
      <c r="N17017" s="3">
        <v>0</v>
      </c>
      <c r="O17017" s="3" t="s">
        <v>10</v>
      </c>
      <c r="P17017" s="3" t="s">
        <v>9</v>
      </c>
      <c r="Q17017" s="3"/>
    </row>
    <row r="17018" spans="1:17" ht="15" x14ac:dyDescent="0.25">
      <c r="A17018" s="3">
        <f>17011</f>
        <v>17011</v>
      </c>
      <c r="B17018" s="3" t="s">
        <v>17020</v>
      </c>
      <c r="C17018" s="3" t="s">
        <v>9</v>
      </c>
      <c r="D17018" s="3" t="s">
        <v>10</v>
      </c>
      <c r="E17018" s="3">
        <v>0</v>
      </c>
      <c r="F17018" s="3">
        <v>0</v>
      </c>
      <c r="G17018" s="3">
        <v>1</v>
      </c>
      <c r="H17018" s="3">
        <v>0</v>
      </c>
      <c r="I17018" s="3">
        <v>0</v>
      </c>
      <c r="J17018" s="3">
        <v>0</v>
      </c>
      <c r="K17018" s="3">
        <v>0</v>
      </c>
      <c r="L17018" s="3">
        <v>1</v>
      </c>
      <c r="M17018" s="3">
        <v>0</v>
      </c>
      <c r="N17018" s="3">
        <v>0</v>
      </c>
      <c r="O17018" s="3" t="s">
        <v>10</v>
      </c>
      <c r="P17018" s="3" t="s">
        <v>9</v>
      </c>
      <c r="Q17018" s="3"/>
    </row>
    <row r="17019" spans="1:17" ht="15" x14ac:dyDescent="0.25">
      <c r="A17019" s="3">
        <f>17012</f>
        <v>17012</v>
      </c>
      <c r="B17019" s="3" t="s">
        <v>17021</v>
      </c>
      <c r="C17019" s="3" t="s">
        <v>9</v>
      </c>
      <c r="D17019" s="3" t="s">
        <v>10</v>
      </c>
      <c r="E17019" s="3">
        <v>0</v>
      </c>
      <c r="F17019" s="3">
        <v>0</v>
      </c>
      <c r="G17019" s="3">
        <v>1</v>
      </c>
      <c r="H17019" s="3">
        <v>0</v>
      </c>
      <c r="I17019" s="3">
        <v>0</v>
      </c>
      <c r="J17019" s="3">
        <v>0</v>
      </c>
      <c r="K17019" s="3">
        <v>0</v>
      </c>
      <c r="L17019" s="3">
        <v>1</v>
      </c>
      <c r="M17019" s="3">
        <v>0</v>
      </c>
      <c r="N17019" s="3">
        <v>0</v>
      </c>
      <c r="O17019" s="3" t="s">
        <v>10</v>
      </c>
      <c r="P17019" s="3" t="s">
        <v>9</v>
      </c>
      <c r="Q17019" s="3"/>
    </row>
    <row r="17020" spans="1:17" ht="15" x14ac:dyDescent="0.25">
      <c r="A17020" s="3">
        <f>17013</f>
        <v>17013</v>
      </c>
      <c r="B17020" s="3" t="s">
        <v>17022</v>
      </c>
      <c r="C17020" s="3" t="s">
        <v>9</v>
      </c>
      <c r="D17020" s="3" t="s">
        <v>10</v>
      </c>
      <c r="E17020" s="3">
        <v>0</v>
      </c>
      <c r="F17020" s="3">
        <v>0</v>
      </c>
      <c r="G17020" s="3">
        <v>1</v>
      </c>
      <c r="H17020" s="3">
        <v>0</v>
      </c>
      <c r="I17020" s="3">
        <v>0</v>
      </c>
      <c r="J17020" s="3">
        <v>0</v>
      </c>
      <c r="K17020" s="3">
        <v>0</v>
      </c>
      <c r="L17020" s="3">
        <v>1</v>
      </c>
      <c r="M17020" s="3">
        <v>0</v>
      </c>
      <c r="N17020" s="3">
        <v>0</v>
      </c>
      <c r="O17020" s="3" t="s">
        <v>10</v>
      </c>
      <c r="P17020" s="3" t="s">
        <v>9</v>
      </c>
      <c r="Q17020" s="3"/>
    </row>
    <row r="17021" spans="1:17" ht="15" x14ac:dyDescent="0.25">
      <c r="A17021" s="3">
        <f>17014</f>
        <v>17014</v>
      </c>
      <c r="B17021" s="3" t="s">
        <v>17023</v>
      </c>
      <c r="C17021" s="3" t="s">
        <v>9</v>
      </c>
      <c r="D17021" s="3" t="s">
        <v>10</v>
      </c>
      <c r="E17021" s="3">
        <v>0</v>
      </c>
      <c r="F17021" s="3">
        <v>0</v>
      </c>
      <c r="G17021" s="3">
        <v>1</v>
      </c>
      <c r="H17021" s="3">
        <v>0</v>
      </c>
      <c r="I17021" s="3">
        <v>0</v>
      </c>
      <c r="J17021" s="3">
        <v>0</v>
      </c>
      <c r="K17021" s="3">
        <v>0</v>
      </c>
      <c r="L17021" s="3">
        <v>1</v>
      </c>
      <c r="M17021" s="3">
        <v>0</v>
      </c>
      <c r="N17021" s="3">
        <v>0</v>
      </c>
      <c r="O17021" s="3" t="s">
        <v>10</v>
      </c>
      <c r="P17021" s="3" t="s">
        <v>9</v>
      </c>
      <c r="Q17021" s="3"/>
    </row>
    <row r="17022" spans="1:17" ht="15" x14ac:dyDescent="0.25">
      <c r="A17022" s="3">
        <f>17015</f>
        <v>17015</v>
      </c>
      <c r="B17022" s="3" t="s">
        <v>17024</v>
      </c>
      <c r="C17022" s="3" t="s">
        <v>9</v>
      </c>
      <c r="D17022" s="3" t="s">
        <v>10</v>
      </c>
      <c r="E17022" s="3">
        <v>0</v>
      </c>
      <c r="F17022" s="3">
        <v>0</v>
      </c>
      <c r="G17022" s="3">
        <v>1</v>
      </c>
      <c r="H17022" s="3">
        <v>0</v>
      </c>
      <c r="I17022" s="3">
        <v>0</v>
      </c>
      <c r="J17022" s="3">
        <v>0</v>
      </c>
      <c r="K17022" s="3">
        <v>0</v>
      </c>
      <c r="L17022" s="3">
        <v>1</v>
      </c>
      <c r="M17022" s="3">
        <v>0</v>
      </c>
      <c r="N17022" s="3">
        <v>0</v>
      </c>
      <c r="O17022" s="3" t="s">
        <v>10</v>
      </c>
      <c r="P17022" s="3" t="s">
        <v>9</v>
      </c>
      <c r="Q17022" s="3"/>
    </row>
    <row r="17023" spans="1:17" ht="15" x14ac:dyDescent="0.25">
      <c r="A17023" s="3">
        <f>17016</f>
        <v>17016</v>
      </c>
      <c r="B17023" s="3" t="s">
        <v>17025</v>
      </c>
      <c r="C17023" s="3" t="s">
        <v>9</v>
      </c>
      <c r="D17023" s="3" t="s">
        <v>10</v>
      </c>
      <c r="E17023" s="3">
        <v>0</v>
      </c>
      <c r="F17023" s="3">
        <v>0</v>
      </c>
      <c r="G17023" s="3">
        <v>1</v>
      </c>
      <c r="H17023" s="3">
        <v>0</v>
      </c>
      <c r="I17023" s="3">
        <v>0</v>
      </c>
      <c r="J17023" s="3">
        <v>0</v>
      </c>
      <c r="K17023" s="3">
        <v>0</v>
      </c>
      <c r="L17023" s="3">
        <v>1</v>
      </c>
      <c r="M17023" s="3">
        <v>0</v>
      </c>
      <c r="N17023" s="3">
        <v>0</v>
      </c>
      <c r="O17023" s="3" t="s">
        <v>10</v>
      </c>
      <c r="P17023" s="3" t="s">
        <v>9</v>
      </c>
      <c r="Q17023" s="3"/>
    </row>
    <row r="17024" spans="1:17" ht="15" x14ac:dyDescent="0.25">
      <c r="A17024" s="3">
        <f>17017</f>
        <v>17017</v>
      </c>
      <c r="B17024" s="3" t="s">
        <v>17026</v>
      </c>
      <c r="C17024" s="3" t="s">
        <v>9</v>
      </c>
      <c r="D17024" s="3" t="s">
        <v>10</v>
      </c>
      <c r="E17024" s="3">
        <v>0</v>
      </c>
      <c r="F17024" s="3">
        <v>0</v>
      </c>
      <c r="G17024" s="3">
        <v>1</v>
      </c>
      <c r="H17024" s="3">
        <v>0</v>
      </c>
      <c r="I17024" s="3">
        <v>0</v>
      </c>
      <c r="J17024" s="3">
        <v>0</v>
      </c>
      <c r="K17024" s="3">
        <v>0</v>
      </c>
      <c r="L17024" s="3">
        <v>1</v>
      </c>
      <c r="M17024" s="3">
        <v>0</v>
      </c>
      <c r="N17024" s="3">
        <v>0</v>
      </c>
      <c r="O17024" s="3" t="s">
        <v>10</v>
      </c>
      <c r="P17024" s="3" t="s">
        <v>9</v>
      </c>
      <c r="Q17024" s="3"/>
    </row>
    <row r="17025" spans="1:17" ht="15" x14ac:dyDescent="0.25">
      <c r="A17025" s="3">
        <f>17018</f>
        <v>17018</v>
      </c>
      <c r="B17025" s="3" t="s">
        <v>17027</v>
      </c>
      <c r="C17025" s="3" t="s">
        <v>9</v>
      </c>
      <c r="D17025" s="3" t="s">
        <v>10</v>
      </c>
      <c r="E17025" s="3">
        <v>0</v>
      </c>
      <c r="F17025" s="3">
        <v>0</v>
      </c>
      <c r="G17025" s="3">
        <v>1</v>
      </c>
      <c r="H17025" s="3">
        <v>0</v>
      </c>
      <c r="I17025" s="3">
        <v>0</v>
      </c>
      <c r="J17025" s="3">
        <v>0</v>
      </c>
      <c r="K17025" s="3">
        <v>0</v>
      </c>
      <c r="L17025" s="3">
        <v>1</v>
      </c>
      <c r="M17025" s="3">
        <v>0</v>
      </c>
      <c r="N17025" s="3">
        <v>0</v>
      </c>
      <c r="O17025" s="3" t="s">
        <v>10</v>
      </c>
      <c r="P17025" s="3" t="s">
        <v>9</v>
      </c>
      <c r="Q17025" s="3"/>
    </row>
    <row r="17026" spans="1:17" ht="15" x14ac:dyDescent="0.25">
      <c r="A17026" s="3">
        <f>17019</f>
        <v>17019</v>
      </c>
      <c r="B17026" s="3" t="s">
        <v>17028</v>
      </c>
      <c r="C17026" s="3" t="s">
        <v>9</v>
      </c>
      <c r="D17026" s="3" t="s">
        <v>10</v>
      </c>
      <c r="E17026" s="3">
        <v>0</v>
      </c>
      <c r="F17026" s="3">
        <v>0</v>
      </c>
      <c r="G17026" s="3">
        <v>1</v>
      </c>
      <c r="H17026" s="3">
        <v>0</v>
      </c>
      <c r="I17026" s="3">
        <v>0</v>
      </c>
      <c r="J17026" s="3">
        <v>0</v>
      </c>
      <c r="K17026" s="3">
        <v>0</v>
      </c>
      <c r="L17026" s="3">
        <v>1</v>
      </c>
      <c r="M17026" s="3">
        <v>0</v>
      </c>
      <c r="N17026" s="3">
        <v>0</v>
      </c>
      <c r="O17026" s="3" t="s">
        <v>10</v>
      </c>
      <c r="P17026" s="3" t="s">
        <v>9</v>
      </c>
      <c r="Q17026" s="3"/>
    </row>
    <row r="17027" spans="1:17" ht="15" x14ac:dyDescent="0.25">
      <c r="A17027" s="3">
        <f>17020</f>
        <v>17020</v>
      </c>
      <c r="B17027" s="3" t="s">
        <v>17029</v>
      </c>
      <c r="C17027" s="3" t="s">
        <v>9</v>
      </c>
      <c r="D17027" s="3" t="s">
        <v>10</v>
      </c>
      <c r="E17027" s="3">
        <v>0</v>
      </c>
      <c r="F17027" s="3">
        <v>0</v>
      </c>
      <c r="G17027" s="3">
        <v>1</v>
      </c>
      <c r="H17027" s="3">
        <v>0</v>
      </c>
      <c r="I17027" s="3">
        <v>0</v>
      </c>
      <c r="J17027" s="3">
        <v>0</v>
      </c>
      <c r="K17027" s="3">
        <v>0</v>
      </c>
      <c r="L17027" s="3">
        <v>1</v>
      </c>
      <c r="M17027" s="3">
        <v>0</v>
      </c>
      <c r="N17027" s="3">
        <v>0</v>
      </c>
      <c r="O17027" s="3" t="s">
        <v>10</v>
      </c>
      <c r="P17027" s="3" t="s">
        <v>9</v>
      </c>
      <c r="Q17027" s="3"/>
    </row>
    <row r="17028" spans="1:17" ht="15" x14ac:dyDescent="0.25">
      <c r="A17028" s="3">
        <f>17021</f>
        <v>17021</v>
      </c>
      <c r="B17028" s="3" t="s">
        <v>17030</v>
      </c>
      <c r="C17028" s="3" t="s">
        <v>9</v>
      </c>
      <c r="D17028" s="3" t="s">
        <v>10</v>
      </c>
      <c r="E17028" s="3">
        <v>0</v>
      </c>
      <c r="F17028" s="3">
        <v>0</v>
      </c>
      <c r="G17028" s="3">
        <v>1</v>
      </c>
      <c r="H17028" s="3">
        <v>0</v>
      </c>
      <c r="I17028" s="3">
        <v>0</v>
      </c>
      <c r="J17028" s="3">
        <v>0</v>
      </c>
      <c r="K17028" s="3">
        <v>0</v>
      </c>
      <c r="L17028" s="3">
        <v>1</v>
      </c>
      <c r="M17028" s="3">
        <v>0</v>
      </c>
      <c r="N17028" s="3">
        <v>0</v>
      </c>
      <c r="O17028" s="3" t="s">
        <v>10</v>
      </c>
      <c r="P17028" s="3" t="s">
        <v>9</v>
      </c>
      <c r="Q17028" s="3"/>
    </row>
    <row r="17029" spans="1:17" ht="15" x14ac:dyDescent="0.25">
      <c r="A17029" s="3">
        <f>17022</f>
        <v>17022</v>
      </c>
      <c r="B17029" s="3" t="s">
        <v>17031</v>
      </c>
      <c r="C17029" s="3" t="s">
        <v>9</v>
      </c>
      <c r="D17029" s="3" t="s">
        <v>10</v>
      </c>
      <c r="E17029" s="3">
        <v>0</v>
      </c>
      <c r="F17029" s="3">
        <v>0</v>
      </c>
      <c r="G17029" s="3">
        <v>1</v>
      </c>
      <c r="H17029" s="3">
        <v>0</v>
      </c>
      <c r="I17029" s="3">
        <v>0</v>
      </c>
      <c r="J17029" s="3">
        <v>0</v>
      </c>
      <c r="K17029" s="3">
        <v>0</v>
      </c>
      <c r="L17029" s="3">
        <v>1</v>
      </c>
      <c r="M17029" s="3">
        <v>0</v>
      </c>
      <c r="N17029" s="3">
        <v>0</v>
      </c>
      <c r="O17029" s="3" t="s">
        <v>10</v>
      </c>
      <c r="P17029" s="3" t="s">
        <v>9</v>
      </c>
      <c r="Q17029" s="3"/>
    </row>
    <row r="17030" spans="1:17" ht="15" x14ac:dyDescent="0.25">
      <c r="A17030" s="3">
        <f>17023</f>
        <v>17023</v>
      </c>
      <c r="B17030" s="3" t="s">
        <v>17032</v>
      </c>
      <c r="C17030" s="3" t="s">
        <v>9</v>
      </c>
      <c r="D17030" s="3" t="s">
        <v>10</v>
      </c>
      <c r="E17030" s="3">
        <v>0</v>
      </c>
      <c r="F17030" s="3">
        <v>0</v>
      </c>
      <c r="G17030" s="3">
        <v>1</v>
      </c>
      <c r="H17030" s="3">
        <v>0</v>
      </c>
      <c r="I17030" s="3">
        <v>0</v>
      </c>
      <c r="J17030" s="3">
        <v>0</v>
      </c>
      <c r="K17030" s="3">
        <v>0</v>
      </c>
      <c r="L17030" s="3">
        <v>1</v>
      </c>
      <c r="M17030" s="3">
        <v>0</v>
      </c>
      <c r="N17030" s="3">
        <v>0</v>
      </c>
      <c r="O17030" s="3" t="s">
        <v>10</v>
      </c>
      <c r="P17030" s="3" t="s">
        <v>9</v>
      </c>
      <c r="Q17030" s="3"/>
    </row>
    <row r="17031" spans="1:17" ht="15" x14ac:dyDescent="0.25">
      <c r="A17031" s="3">
        <f>17024</f>
        <v>17024</v>
      </c>
      <c r="B17031" s="3" t="s">
        <v>17033</v>
      </c>
      <c r="C17031" s="3" t="s">
        <v>9</v>
      </c>
      <c r="D17031" s="3" t="s">
        <v>10</v>
      </c>
      <c r="E17031" s="3">
        <v>0</v>
      </c>
      <c r="F17031" s="3">
        <v>0</v>
      </c>
      <c r="G17031" s="3">
        <v>1</v>
      </c>
      <c r="H17031" s="3">
        <v>0</v>
      </c>
      <c r="I17031" s="3">
        <v>0</v>
      </c>
      <c r="J17031" s="3">
        <v>0</v>
      </c>
      <c r="K17031" s="3">
        <v>0</v>
      </c>
      <c r="L17031" s="3">
        <v>1</v>
      </c>
      <c r="M17031" s="3">
        <v>0</v>
      </c>
      <c r="N17031" s="3">
        <v>0</v>
      </c>
      <c r="O17031" s="3" t="s">
        <v>10</v>
      </c>
      <c r="P17031" s="3" t="s">
        <v>9</v>
      </c>
      <c r="Q17031" s="3"/>
    </row>
    <row r="17032" spans="1:17" ht="15" x14ac:dyDescent="0.25">
      <c r="A17032" s="3">
        <f>17025</f>
        <v>17025</v>
      </c>
      <c r="B17032" s="3" t="s">
        <v>17034</v>
      </c>
      <c r="C17032" s="3" t="s">
        <v>9</v>
      </c>
      <c r="D17032" s="3" t="s">
        <v>10</v>
      </c>
      <c r="E17032" s="3">
        <v>0</v>
      </c>
      <c r="F17032" s="3">
        <v>0</v>
      </c>
      <c r="G17032" s="3">
        <v>1</v>
      </c>
      <c r="H17032" s="3">
        <v>0</v>
      </c>
      <c r="I17032" s="3">
        <v>0</v>
      </c>
      <c r="J17032" s="3">
        <v>0</v>
      </c>
      <c r="K17032" s="3">
        <v>0</v>
      </c>
      <c r="L17032" s="3">
        <v>1</v>
      </c>
      <c r="M17032" s="3">
        <v>0</v>
      </c>
      <c r="N17032" s="3">
        <v>0</v>
      </c>
      <c r="O17032" s="3" t="s">
        <v>10</v>
      </c>
      <c r="P17032" s="3" t="s">
        <v>9</v>
      </c>
      <c r="Q17032" s="3"/>
    </row>
    <row r="17033" spans="1:17" ht="15" x14ac:dyDescent="0.25">
      <c r="A17033" s="3">
        <f>17026</f>
        <v>17026</v>
      </c>
      <c r="B17033" s="3" t="s">
        <v>17035</v>
      </c>
      <c r="C17033" s="3" t="s">
        <v>9</v>
      </c>
      <c r="D17033" s="3" t="s">
        <v>10</v>
      </c>
      <c r="E17033" s="3">
        <v>0</v>
      </c>
      <c r="F17033" s="3">
        <v>0</v>
      </c>
      <c r="G17033" s="3">
        <v>1</v>
      </c>
      <c r="H17033" s="3">
        <v>0</v>
      </c>
      <c r="I17033" s="3">
        <v>0</v>
      </c>
      <c r="J17033" s="3">
        <v>0</v>
      </c>
      <c r="K17033" s="3">
        <v>0</v>
      </c>
      <c r="L17033" s="3">
        <v>1</v>
      </c>
      <c r="M17033" s="3">
        <v>0</v>
      </c>
      <c r="N17033" s="3">
        <v>0</v>
      </c>
      <c r="O17033" s="3" t="s">
        <v>10</v>
      </c>
      <c r="P17033" s="3" t="s">
        <v>9</v>
      </c>
      <c r="Q17033" s="3"/>
    </row>
    <row r="17034" spans="1:17" ht="15" x14ac:dyDescent="0.25">
      <c r="A17034" s="3">
        <f>17027</f>
        <v>17027</v>
      </c>
      <c r="B17034" s="3" t="s">
        <v>17036</v>
      </c>
      <c r="C17034" s="3" t="s">
        <v>9</v>
      </c>
      <c r="D17034" s="3" t="s">
        <v>10</v>
      </c>
      <c r="E17034" s="3">
        <v>0</v>
      </c>
      <c r="F17034" s="3">
        <v>0</v>
      </c>
      <c r="G17034" s="3">
        <v>1</v>
      </c>
      <c r="H17034" s="3">
        <v>0</v>
      </c>
      <c r="I17034" s="3">
        <v>0</v>
      </c>
      <c r="J17034" s="3">
        <v>0</v>
      </c>
      <c r="K17034" s="3">
        <v>0</v>
      </c>
      <c r="L17034" s="3">
        <v>1</v>
      </c>
      <c r="M17034" s="3">
        <v>0</v>
      </c>
      <c r="N17034" s="3">
        <v>0</v>
      </c>
      <c r="O17034" s="3" t="s">
        <v>10</v>
      </c>
      <c r="P17034" s="3" t="s">
        <v>9</v>
      </c>
      <c r="Q17034" s="3"/>
    </row>
    <row r="17035" spans="1:17" ht="15" x14ac:dyDescent="0.25">
      <c r="A17035" s="3">
        <f>17028</f>
        <v>17028</v>
      </c>
      <c r="B17035" s="3" t="s">
        <v>17037</v>
      </c>
      <c r="C17035" s="3" t="s">
        <v>9</v>
      </c>
      <c r="D17035" s="3" t="s">
        <v>10</v>
      </c>
      <c r="E17035" s="3">
        <v>0</v>
      </c>
      <c r="F17035" s="3">
        <v>0</v>
      </c>
      <c r="G17035" s="3">
        <v>1</v>
      </c>
      <c r="H17035" s="3">
        <v>0</v>
      </c>
      <c r="I17035" s="3">
        <v>0</v>
      </c>
      <c r="J17035" s="3">
        <v>0</v>
      </c>
      <c r="K17035" s="3">
        <v>0</v>
      </c>
      <c r="L17035" s="3">
        <v>1</v>
      </c>
      <c r="M17035" s="3">
        <v>0</v>
      </c>
      <c r="N17035" s="3">
        <v>0</v>
      </c>
      <c r="O17035" s="3" t="s">
        <v>10</v>
      </c>
      <c r="P17035" s="3" t="s">
        <v>9</v>
      </c>
      <c r="Q17035" s="3"/>
    </row>
    <row r="17036" spans="1:17" ht="15" x14ac:dyDescent="0.25">
      <c r="A17036" s="3">
        <f>17029</f>
        <v>17029</v>
      </c>
      <c r="B17036" s="3" t="s">
        <v>17038</v>
      </c>
      <c r="C17036" s="3" t="s">
        <v>9</v>
      </c>
      <c r="D17036" s="3" t="s">
        <v>10</v>
      </c>
      <c r="E17036" s="3">
        <v>0</v>
      </c>
      <c r="F17036" s="3">
        <v>0</v>
      </c>
      <c r="G17036" s="3">
        <v>1</v>
      </c>
      <c r="H17036" s="3">
        <v>0</v>
      </c>
      <c r="I17036" s="3">
        <v>0</v>
      </c>
      <c r="J17036" s="3">
        <v>0</v>
      </c>
      <c r="K17036" s="3">
        <v>0</v>
      </c>
      <c r="L17036" s="3">
        <v>1</v>
      </c>
      <c r="M17036" s="3">
        <v>0</v>
      </c>
      <c r="N17036" s="3">
        <v>0</v>
      </c>
      <c r="O17036" s="3" t="s">
        <v>10</v>
      </c>
      <c r="P17036" s="3" t="s">
        <v>9</v>
      </c>
      <c r="Q17036" s="3"/>
    </row>
    <row r="17037" spans="1:17" ht="15" x14ac:dyDescent="0.25">
      <c r="A17037" s="3">
        <f>17030</f>
        <v>17030</v>
      </c>
      <c r="B17037" s="3" t="s">
        <v>17039</v>
      </c>
      <c r="C17037" s="3" t="s">
        <v>9</v>
      </c>
      <c r="D17037" s="3" t="s">
        <v>10</v>
      </c>
      <c r="E17037" s="3">
        <v>0</v>
      </c>
      <c r="F17037" s="3">
        <v>0</v>
      </c>
      <c r="G17037" s="3">
        <v>1</v>
      </c>
      <c r="H17037" s="3">
        <v>0</v>
      </c>
      <c r="I17037" s="3">
        <v>0</v>
      </c>
      <c r="J17037" s="3">
        <v>0</v>
      </c>
      <c r="K17037" s="3">
        <v>0</v>
      </c>
      <c r="L17037" s="3">
        <v>1</v>
      </c>
      <c r="M17037" s="3">
        <v>0</v>
      </c>
      <c r="N17037" s="3">
        <v>0</v>
      </c>
      <c r="O17037" s="3" t="s">
        <v>10</v>
      </c>
      <c r="P17037" s="3" t="s">
        <v>9</v>
      </c>
      <c r="Q17037" s="3"/>
    </row>
    <row r="17038" spans="1:17" ht="15" x14ac:dyDescent="0.25">
      <c r="A17038" s="3">
        <f>17031</f>
        <v>17031</v>
      </c>
      <c r="B17038" s="3" t="s">
        <v>17040</v>
      </c>
      <c r="C17038" s="3" t="s">
        <v>9</v>
      </c>
      <c r="D17038" s="3" t="s">
        <v>10</v>
      </c>
      <c r="E17038" s="3">
        <v>0</v>
      </c>
      <c r="F17038" s="3">
        <v>0</v>
      </c>
      <c r="G17038" s="3">
        <v>1</v>
      </c>
      <c r="H17038" s="3">
        <v>0</v>
      </c>
      <c r="I17038" s="3">
        <v>0</v>
      </c>
      <c r="J17038" s="3">
        <v>0</v>
      </c>
      <c r="K17038" s="3">
        <v>0</v>
      </c>
      <c r="L17038" s="3">
        <v>1</v>
      </c>
      <c r="M17038" s="3">
        <v>0</v>
      </c>
      <c r="N17038" s="3">
        <v>0</v>
      </c>
      <c r="O17038" s="3" t="s">
        <v>10</v>
      </c>
      <c r="P17038" s="3" t="s">
        <v>9</v>
      </c>
      <c r="Q17038" s="3"/>
    </row>
    <row r="17039" spans="1:17" ht="15" x14ac:dyDescent="0.25">
      <c r="A17039" s="3">
        <f>17032</f>
        <v>17032</v>
      </c>
      <c r="B17039" s="3" t="s">
        <v>17041</v>
      </c>
      <c r="C17039" s="3" t="s">
        <v>9</v>
      </c>
      <c r="D17039" s="3" t="s">
        <v>10</v>
      </c>
      <c r="E17039" s="3">
        <v>0</v>
      </c>
      <c r="F17039" s="3">
        <v>0</v>
      </c>
      <c r="G17039" s="3">
        <v>1</v>
      </c>
      <c r="H17039" s="3">
        <v>0</v>
      </c>
      <c r="I17039" s="3">
        <v>0</v>
      </c>
      <c r="J17039" s="3">
        <v>0</v>
      </c>
      <c r="K17039" s="3">
        <v>0</v>
      </c>
      <c r="L17039" s="3">
        <v>1</v>
      </c>
      <c r="M17039" s="3">
        <v>0</v>
      </c>
      <c r="N17039" s="3">
        <v>0</v>
      </c>
      <c r="O17039" s="3" t="s">
        <v>10</v>
      </c>
      <c r="P17039" s="3" t="s">
        <v>9</v>
      </c>
      <c r="Q17039" s="3"/>
    </row>
    <row r="17040" spans="1:17" ht="15" x14ac:dyDescent="0.25">
      <c r="A17040" s="3">
        <f>17033</f>
        <v>17033</v>
      </c>
      <c r="B17040" s="3" t="s">
        <v>17042</v>
      </c>
      <c r="C17040" s="3" t="s">
        <v>9</v>
      </c>
      <c r="D17040" s="3" t="s">
        <v>10</v>
      </c>
      <c r="E17040" s="3">
        <v>0</v>
      </c>
      <c r="F17040" s="3">
        <v>0</v>
      </c>
      <c r="G17040" s="3">
        <v>1</v>
      </c>
      <c r="H17040" s="3">
        <v>0</v>
      </c>
      <c r="I17040" s="3">
        <v>0</v>
      </c>
      <c r="J17040" s="3">
        <v>0</v>
      </c>
      <c r="K17040" s="3">
        <v>0</v>
      </c>
      <c r="L17040" s="3">
        <v>1</v>
      </c>
      <c r="M17040" s="3">
        <v>0</v>
      </c>
      <c r="N17040" s="3">
        <v>0</v>
      </c>
      <c r="O17040" s="3" t="s">
        <v>10</v>
      </c>
      <c r="P17040" s="3" t="s">
        <v>9</v>
      </c>
      <c r="Q17040" s="3"/>
    </row>
    <row r="17041" spans="1:17" ht="15" x14ac:dyDescent="0.25">
      <c r="A17041" s="3">
        <f>17034</f>
        <v>17034</v>
      </c>
      <c r="B17041" s="3" t="s">
        <v>17043</v>
      </c>
      <c r="C17041" s="3" t="s">
        <v>9</v>
      </c>
      <c r="D17041" s="3" t="s">
        <v>10</v>
      </c>
      <c r="E17041" s="3">
        <v>0</v>
      </c>
      <c r="F17041" s="3">
        <v>0</v>
      </c>
      <c r="G17041" s="3">
        <v>1</v>
      </c>
      <c r="H17041" s="3">
        <v>0</v>
      </c>
      <c r="I17041" s="3">
        <v>0</v>
      </c>
      <c r="J17041" s="3">
        <v>0</v>
      </c>
      <c r="K17041" s="3">
        <v>0</v>
      </c>
      <c r="L17041" s="3">
        <v>1</v>
      </c>
      <c r="M17041" s="3">
        <v>0</v>
      </c>
      <c r="N17041" s="3">
        <v>0</v>
      </c>
      <c r="O17041" s="3" t="s">
        <v>10</v>
      </c>
      <c r="P17041" s="3" t="s">
        <v>9</v>
      </c>
      <c r="Q17041" s="3"/>
    </row>
    <row r="17042" spans="1:17" ht="15" x14ac:dyDescent="0.25">
      <c r="A17042" s="3">
        <f>17035</f>
        <v>17035</v>
      </c>
      <c r="B17042" s="3" t="s">
        <v>17044</v>
      </c>
      <c r="C17042" s="3" t="s">
        <v>9</v>
      </c>
      <c r="D17042" s="3" t="s">
        <v>10</v>
      </c>
      <c r="E17042" s="3">
        <v>0</v>
      </c>
      <c r="F17042" s="3">
        <v>0</v>
      </c>
      <c r="G17042" s="3">
        <v>1</v>
      </c>
      <c r="H17042" s="3">
        <v>0</v>
      </c>
      <c r="I17042" s="3">
        <v>0</v>
      </c>
      <c r="J17042" s="3">
        <v>0</v>
      </c>
      <c r="K17042" s="3">
        <v>0</v>
      </c>
      <c r="L17042" s="3">
        <v>1</v>
      </c>
      <c r="M17042" s="3">
        <v>0</v>
      </c>
      <c r="N17042" s="3">
        <v>0</v>
      </c>
      <c r="O17042" s="3" t="s">
        <v>10</v>
      </c>
      <c r="P17042" s="3" t="s">
        <v>9</v>
      </c>
      <c r="Q17042" s="3"/>
    </row>
    <row r="17043" spans="1:17" ht="15" x14ac:dyDescent="0.25">
      <c r="A17043" s="3">
        <f>17036</f>
        <v>17036</v>
      </c>
      <c r="B17043" s="3" t="s">
        <v>17045</v>
      </c>
      <c r="C17043" s="3" t="s">
        <v>9</v>
      </c>
      <c r="D17043" s="3" t="s">
        <v>10</v>
      </c>
      <c r="E17043" s="3">
        <v>0</v>
      </c>
      <c r="F17043" s="3">
        <v>0</v>
      </c>
      <c r="G17043" s="3">
        <v>1</v>
      </c>
      <c r="H17043" s="3">
        <v>0</v>
      </c>
      <c r="I17043" s="3">
        <v>0</v>
      </c>
      <c r="J17043" s="3">
        <v>0</v>
      </c>
      <c r="K17043" s="3">
        <v>0</v>
      </c>
      <c r="L17043" s="3">
        <v>1</v>
      </c>
      <c r="M17043" s="3">
        <v>0</v>
      </c>
      <c r="N17043" s="3">
        <v>0</v>
      </c>
      <c r="O17043" s="3" t="s">
        <v>10</v>
      </c>
      <c r="P17043" s="3" t="s">
        <v>9</v>
      </c>
      <c r="Q17043" s="3"/>
    </row>
    <row r="17044" spans="1:17" ht="15" x14ac:dyDescent="0.25">
      <c r="A17044" s="3">
        <f>17037</f>
        <v>17037</v>
      </c>
      <c r="B17044" s="3" t="s">
        <v>17046</v>
      </c>
      <c r="C17044" s="3" t="s">
        <v>9</v>
      </c>
      <c r="D17044" s="3" t="s">
        <v>10</v>
      </c>
      <c r="E17044" s="3">
        <v>0</v>
      </c>
      <c r="F17044" s="3">
        <v>0</v>
      </c>
      <c r="G17044" s="3">
        <v>1</v>
      </c>
      <c r="H17044" s="3">
        <v>0</v>
      </c>
      <c r="I17044" s="3">
        <v>0</v>
      </c>
      <c r="J17044" s="3">
        <v>0</v>
      </c>
      <c r="K17044" s="3">
        <v>0</v>
      </c>
      <c r="L17044" s="3">
        <v>1</v>
      </c>
      <c r="M17044" s="3">
        <v>0</v>
      </c>
      <c r="N17044" s="3">
        <v>0</v>
      </c>
      <c r="O17044" s="3" t="s">
        <v>10</v>
      </c>
      <c r="P17044" s="3" t="s">
        <v>9</v>
      </c>
      <c r="Q17044" s="3"/>
    </row>
    <row r="17045" spans="1:17" ht="15" x14ac:dyDescent="0.25">
      <c r="A17045" s="3">
        <f>17038</f>
        <v>17038</v>
      </c>
      <c r="B17045" s="3" t="s">
        <v>17047</v>
      </c>
      <c r="C17045" s="3" t="s">
        <v>9</v>
      </c>
      <c r="D17045" s="3" t="s">
        <v>10</v>
      </c>
      <c r="E17045" s="3">
        <v>0</v>
      </c>
      <c r="F17045" s="3">
        <v>0</v>
      </c>
      <c r="G17045" s="3">
        <v>1</v>
      </c>
      <c r="H17045" s="3">
        <v>0</v>
      </c>
      <c r="I17045" s="3">
        <v>0</v>
      </c>
      <c r="J17045" s="3">
        <v>0</v>
      </c>
      <c r="K17045" s="3">
        <v>0</v>
      </c>
      <c r="L17045" s="3">
        <v>1</v>
      </c>
      <c r="M17045" s="3">
        <v>0</v>
      </c>
      <c r="N17045" s="3">
        <v>0</v>
      </c>
      <c r="O17045" s="3" t="s">
        <v>10</v>
      </c>
      <c r="P17045" s="3" t="s">
        <v>9</v>
      </c>
      <c r="Q17045" s="3"/>
    </row>
    <row r="17046" spans="1:17" ht="15" x14ac:dyDescent="0.25">
      <c r="A17046" s="3">
        <f>17039</f>
        <v>17039</v>
      </c>
      <c r="B17046" s="3" t="s">
        <v>17048</v>
      </c>
      <c r="C17046" s="3" t="s">
        <v>9</v>
      </c>
      <c r="D17046" s="3" t="s">
        <v>10</v>
      </c>
      <c r="E17046" s="3">
        <v>0</v>
      </c>
      <c r="F17046" s="3">
        <v>0</v>
      </c>
      <c r="G17046" s="3">
        <v>1</v>
      </c>
      <c r="H17046" s="3">
        <v>0</v>
      </c>
      <c r="I17046" s="3">
        <v>0</v>
      </c>
      <c r="J17046" s="3">
        <v>0</v>
      </c>
      <c r="K17046" s="3">
        <v>0</v>
      </c>
      <c r="L17046" s="3">
        <v>1</v>
      </c>
      <c r="M17046" s="3">
        <v>0</v>
      </c>
      <c r="N17046" s="3">
        <v>0</v>
      </c>
      <c r="O17046" s="3" t="s">
        <v>10</v>
      </c>
      <c r="P17046" s="3" t="s">
        <v>9</v>
      </c>
      <c r="Q17046" s="3"/>
    </row>
    <row r="17047" spans="1:17" ht="15" x14ac:dyDescent="0.25">
      <c r="A17047" s="3">
        <f>17040</f>
        <v>17040</v>
      </c>
      <c r="B17047" s="3" t="s">
        <v>17049</v>
      </c>
      <c r="C17047" s="3" t="s">
        <v>9</v>
      </c>
      <c r="D17047" s="3" t="s">
        <v>10</v>
      </c>
      <c r="E17047" s="3">
        <v>0</v>
      </c>
      <c r="F17047" s="3">
        <v>0</v>
      </c>
      <c r="G17047" s="3">
        <v>1</v>
      </c>
      <c r="H17047" s="3">
        <v>0</v>
      </c>
      <c r="I17047" s="3">
        <v>0</v>
      </c>
      <c r="J17047" s="3">
        <v>0</v>
      </c>
      <c r="K17047" s="3">
        <v>0</v>
      </c>
      <c r="L17047" s="3">
        <v>1</v>
      </c>
      <c r="M17047" s="3">
        <v>0</v>
      </c>
      <c r="N17047" s="3">
        <v>0</v>
      </c>
      <c r="O17047" s="3" t="s">
        <v>10</v>
      </c>
      <c r="P17047" s="3" t="s">
        <v>9</v>
      </c>
      <c r="Q17047" s="3"/>
    </row>
    <row r="17048" spans="1:17" ht="15" x14ac:dyDescent="0.25">
      <c r="A17048" s="3">
        <f>17041</f>
        <v>17041</v>
      </c>
      <c r="B17048" s="3" t="s">
        <v>17050</v>
      </c>
      <c r="C17048" s="3" t="s">
        <v>9</v>
      </c>
      <c r="D17048" s="3" t="s">
        <v>10</v>
      </c>
      <c r="E17048" s="3">
        <v>0</v>
      </c>
      <c r="F17048" s="3">
        <v>0</v>
      </c>
      <c r="G17048" s="3">
        <v>1</v>
      </c>
      <c r="H17048" s="3">
        <v>0</v>
      </c>
      <c r="I17048" s="3">
        <v>0</v>
      </c>
      <c r="J17048" s="3">
        <v>0</v>
      </c>
      <c r="K17048" s="3">
        <v>0</v>
      </c>
      <c r="L17048" s="3">
        <v>1</v>
      </c>
      <c r="M17048" s="3">
        <v>0</v>
      </c>
      <c r="N17048" s="3">
        <v>0</v>
      </c>
      <c r="O17048" s="3" t="s">
        <v>10</v>
      </c>
      <c r="P17048" s="3" t="s">
        <v>9</v>
      </c>
      <c r="Q17048" s="3"/>
    </row>
    <row r="17049" spans="1:17" ht="15" x14ac:dyDescent="0.25">
      <c r="A17049" s="3">
        <f>17042</f>
        <v>17042</v>
      </c>
      <c r="B17049" s="3" t="s">
        <v>17051</v>
      </c>
      <c r="C17049" s="3" t="s">
        <v>9</v>
      </c>
      <c r="D17049" s="3" t="s">
        <v>10</v>
      </c>
      <c r="E17049" s="3">
        <v>0</v>
      </c>
      <c r="F17049" s="3">
        <v>0</v>
      </c>
      <c r="G17049" s="3">
        <v>1</v>
      </c>
      <c r="H17049" s="3">
        <v>0</v>
      </c>
      <c r="I17049" s="3">
        <v>0</v>
      </c>
      <c r="J17049" s="3">
        <v>0</v>
      </c>
      <c r="K17049" s="3">
        <v>0</v>
      </c>
      <c r="L17049" s="3">
        <v>1</v>
      </c>
      <c r="M17049" s="3">
        <v>0</v>
      </c>
      <c r="N17049" s="3">
        <v>0</v>
      </c>
      <c r="O17049" s="3" t="s">
        <v>10</v>
      </c>
      <c r="P17049" s="3" t="s">
        <v>9</v>
      </c>
      <c r="Q17049" s="3"/>
    </row>
    <row r="17050" spans="1:17" ht="15" x14ac:dyDescent="0.25">
      <c r="A17050" s="3">
        <f>17043</f>
        <v>17043</v>
      </c>
      <c r="B17050" s="3" t="s">
        <v>17052</v>
      </c>
      <c r="C17050" s="3" t="s">
        <v>9</v>
      </c>
      <c r="D17050" s="3" t="s">
        <v>10</v>
      </c>
      <c r="E17050" s="3">
        <v>0</v>
      </c>
      <c r="F17050" s="3">
        <v>0</v>
      </c>
      <c r="G17050" s="3">
        <v>1</v>
      </c>
      <c r="H17050" s="3">
        <v>0</v>
      </c>
      <c r="I17050" s="3">
        <v>0</v>
      </c>
      <c r="J17050" s="3">
        <v>0</v>
      </c>
      <c r="K17050" s="3">
        <v>0</v>
      </c>
      <c r="L17050" s="3">
        <v>1</v>
      </c>
      <c r="M17050" s="3">
        <v>0</v>
      </c>
      <c r="N17050" s="3">
        <v>0</v>
      </c>
      <c r="O17050" s="3" t="s">
        <v>10</v>
      </c>
      <c r="P17050" s="3" t="s">
        <v>9</v>
      </c>
      <c r="Q17050" s="3"/>
    </row>
    <row r="17051" spans="1:17" ht="15" x14ac:dyDescent="0.25">
      <c r="A17051" s="3">
        <f>17044</f>
        <v>17044</v>
      </c>
      <c r="B17051" s="3" t="s">
        <v>17053</v>
      </c>
      <c r="C17051" s="3" t="s">
        <v>9</v>
      </c>
      <c r="D17051" s="3" t="s">
        <v>10</v>
      </c>
      <c r="E17051" s="3">
        <v>0</v>
      </c>
      <c r="F17051" s="3">
        <v>0</v>
      </c>
      <c r="G17051" s="3">
        <v>1</v>
      </c>
      <c r="H17051" s="3">
        <v>0</v>
      </c>
      <c r="I17051" s="3">
        <v>0</v>
      </c>
      <c r="J17051" s="3">
        <v>0</v>
      </c>
      <c r="K17051" s="3">
        <v>0</v>
      </c>
      <c r="L17051" s="3">
        <v>1</v>
      </c>
      <c r="M17051" s="3">
        <v>0</v>
      </c>
      <c r="N17051" s="3">
        <v>0</v>
      </c>
      <c r="O17051" s="3" t="s">
        <v>10</v>
      </c>
      <c r="P17051" s="3" t="s">
        <v>9</v>
      </c>
      <c r="Q17051" s="3"/>
    </row>
    <row r="17052" spans="1:17" ht="15" x14ac:dyDescent="0.25">
      <c r="A17052" s="3">
        <f>17045</f>
        <v>17045</v>
      </c>
      <c r="B17052" s="3" t="s">
        <v>17054</v>
      </c>
      <c r="C17052" s="3" t="s">
        <v>9</v>
      </c>
      <c r="D17052" s="3" t="s">
        <v>10</v>
      </c>
      <c r="E17052" s="3">
        <v>0</v>
      </c>
      <c r="F17052" s="3">
        <v>0</v>
      </c>
      <c r="G17052" s="3">
        <v>1</v>
      </c>
      <c r="H17052" s="3">
        <v>0</v>
      </c>
      <c r="I17052" s="3">
        <v>0</v>
      </c>
      <c r="J17052" s="3">
        <v>0</v>
      </c>
      <c r="K17052" s="3">
        <v>0</v>
      </c>
      <c r="L17052" s="3">
        <v>1</v>
      </c>
      <c r="M17052" s="3">
        <v>0</v>
      </c>
      <c r="N17052" s="3">
        <v>0</v>
      </c>
      <c r="O17052" s="3" t="s">
        <v>10</v>
      </c>
      <c r="P17052" s="3" t="s">
        <v>9</v>
      </c>
      <c r="Q17052" s="3"/>
    </row>
    <row r="17053" spans="1:17" ht="15" x14ac:dyDescent="0.25">
      <c r="A17053" s="3">
        <f>17046</f>
        <v>17046</v>
      </c>
      <c r="B17053" s="3" t="s">
        <v>17055</v>
      </c>
      <c r="C17053" s="3" t="s">
        <v>9</v>
      </c>
      <c r="D17053" s="3" t="s">
        <v>10</v>
      </c>
      <c r="E17053" s="3">
        <v>0</v>
      </c>
      <c r="F17053" s="3">
        <v>0</v>
      </c>
      <c r="G17053" s="3">
        <v>1</v>
      </c>
      <c r="H17053" s="3">
        <v>0</v>
      </c>
      <c r="I17053" s="3">
        <v>0</v>
      </c>
      <c r="J17053" s="3">
        <v>0</v>
      </c>
      <c r="K17053" s="3">
        <v>0</v>
      </c>
      <c r="L17053" s="3">
        <v>1</v>
      </c>
      <c r="M17053" s="3">
        <v>0</v>
      </c>
      <c r="N17053" s="3">
        <v>0</v>
      </c>
      <c r="O17053" s="3" t="s">
        <v>10</v>
      </c>
      <c r="P17053" s="3" t="s">
        <v>9</v>
      </c>
      <c r="Q17053" s="3"/>
    </row>
    <row r="17054" spans="1:17" ht="15" x14ac:dyDescent="0.25">
      <c r="A17054" s="3">
        <f>17047</f>
        <v>17047</v>
      </c>
      <c r="B17054" s="3" t="s">
        <v>17056</v>
      </c>
      <c r="C17054" s="3" t="s">
        <v>9</v>
      </c>
      <c r="D17054" s="3" t="s">
        <v>10</v>
      </c>
      <c r="E17054" s="3">
        <v>0</v>
      </c>
      <c r="F17054" s="3">
        <v>0</v>
      </c>
      <c r="G17054" s="3">
        <v>1</v>
      </c>
      <c r="H17054" s="3">
        <v>0</v>
      </c>
      <c r="I17054" s="3">
        <v>0</v>
      </c>
      <c r="J17054" s="3">
        <v>0</v>
      </c>
      <c r="K17054" s="3">
        <v>0</v>
      </c>
      <c r="L17054" s="3">
        <v>1</v>
      </c>
      <c r="M17054" s="3">
        <v>0</v>
      </c>
      <c r="N17054" s="3">
        <v>0</v>
      </c>
      <c r="O17054" s="3" t="s">
        <v>10</v>
      </c>
      <c r="P17054" s="3" t="s">
        <v>9</v>
      </c>
      <c r="Q17054" s="3"/>
    </row>
    <row r="17055" spans="1:17" ht="15" x14ac:dyDescent="0.25">
      <c r="A17055" s="3">
        <f>17048</f>
        <v>17048</v>
      </c>
      <c r="B17055" s="3" t="s">
        <v>17057</v>
      </c>
      <c r="C17055" s="3" t="s">
        <v>9</v>
      </c>
      <c r="D17055" s="3" t="s">
        <v>10</v>
      </c>
      <c r="E17055" s="3">
        <v>0</v>
      </c>
      <c r="F17055" s="3">
        <v>0</v>
      </c>
      <c r="G17055" s="3">
        <v>1</v>
      </c>
      <c r="H17055" s="3">
        <v>0</v>
      </c>
      <c r="I17055" s="3">
        <v>0</v>
      </c>
      <c r="J17055" s="3">
        <v>0</v>
      </c>
      <c r="K17055" s="3">
        <v>0</v>
      </c>
      <c r="L17055" s="3">
        <v>1</v>
      </c>
      <c r="M17055" s="3">
        <v>0</v>
      </c>
      <c r="N17055" s="3">
        <v>0</v>
      </c>
      <c r="O17055" s="3" t="s">
        <v>10</v>
      </c>
      <c r="P17055" s="3" t="s">
        <v>9</v>
      </c>
      <c r="Q17055" s="3"/>
    </row>
    <row r="17056" spans="1:17" ht="15" x14ac:dyDescent="0.25">
      <c r="A17056" s="3">
        <f>17049</f>
        <v>17049</v>
      </c>
      <c r="B17056" s="3" t="s">
        <v>17058</v>
      </c>
      <c r="C17056" s="3" t="s">
        <v>9</v>
      </c>
      <c r="D17056" s="3" t="s">
        <v>10</v>
      </c>
      <c r="E17056" s="3">
        <v>0</v>
      </c>
      <c r="F17056" s="3">
        <v>0</v>
      </c>
      <c r="G17056" s="3">
        <v>1</v>
      </c>
      <c r="H17056" s="3">
        <v>0</v>
      </c>
      <c r="I17056" s="3">
        <v>0</v>
      </c>
      <c r="J17056" s="3">
        <v>0</v>
      </c>
      <c r="K17056" s="3">
        <v>0</v>
      </c>
      <c r="L17056" s="3">
        <v>1</v>
      </c>
      <c r="M17056" s="3">
        <v>0</v>
      </c>
      <c r="N17056" s="3">
        <v>0</v>
      </c>
      <c r="O17056" s="3" t="s">
        <v>10</v>
      </c>
      <c r="P17056" s="3" t="s">
        <v>9</v>
      </c>
      <c r="Q17056" s="3"/>
    </row>
    <row r="17057" spans="1:17" ht="15" x14ac:dyDescent="0.25">
      <c r="A17057" s="3">
        <f>17050</f>
        <v>17050</v>
      </c>
      <c r="B17057" s="3" t="s">
        <v>17059</v>
      </c>
      <c r="C17057" s="3" t="s">
        <v>9</v>
      </c>
      <c r="D17057" s="3" t="s">
        <v>10</v>
      </c>
      <c r="E17057" s="3">
        <v>0</v>
      </c>
      <c r="F17057" s="3">
        <v>0</v>
      </c>
      <c r="G17057" s="3">
        <v>1</v>
      </c>
      <c r="H17057" s="3">
        <v>0</v>
      </c>
      <c r="I17057" s="3">
        <v>0</v>
      </c>
      <c r="J17057" s="3">
        <v>0</v>
      </c>
      <c r="K17057" s="3">
        <v>0</v>
      </c>
      <c r="L17057" s="3">
        <v>1</v>
      </c>
      <c r="M17057" s="3">
        <v>0</v>
      </c>
      <c r="N17057" s="3">
        <v>0</v>
      </c>
      <c r="O17057" s="3" t="s">
        <v>10</v>
      </c>
      <c r="P17057" s="3" t="s">
        <v>9</v>
      </c>
      <c r="Q17057" s="3"/>
    </row>
    <row r="17058" spans="1:17" ht="15" x14ac:dyDescent="0.25">
      <c r="A17058" s="3">
        <f>17051</f>
        <v>17051</v>
      </c>
      <c r="B17058" s="3" t="s">
        <v>17060</v>
      </c>
      <c r="C17058" s="3" t="s">
        <v>9</v>
      </c>
      <c r="D17058" s="3" t="s">
        <v>10</v>
      </c>
      <c r="E17058" s="3">
        <v>0</v>
      </c>
      <c r="F17058" s="3">
        <v>0</v>
      </c>
      <c r="G17058" s="3">
        <v>1</v>
      </c>
      <c r="H17058" s="3">
        <v>0</v>
      </c>
      <c r="I17058" s="3">
        <v>0</v>
      </c>
      <c r="J17058" s="3">
        <v>0</v>
      </c>
      <c r="K17058" s="3">
        <v>0</v>
      </c>
      <c r="L17058" s="3">
        <v>1</v>
      </c>
      <c r="M17058" s="3">
        <v>0</v>
      </c>
      <c r="N17058" s="3">
        <v>0</v>
      </c>
      <c r="O17058" s="3" t="s">
        <v>10</v>
      </c>
      <c r="P17058" s="3" t="s">
        <v>9</v>
      </c>
      <c r="Q17058" s="3"/>
    </row>
    <row r="17059" spans="1:17" ht="15" x14ac:dyDescent="0.25">
      <c r="A17059" s="3">
        <f>17052</f>
        <v>17052</v>
      </c>
      <c r="B17059" s="3" t="s">
        <v>17061</v>
      </c>
      <c r="C17059" s="3" t="s">
        <v>9</v>
      </c>
      <c r="D17059" s="3" t="s">
        <v>10</v>
      </c>
      <c r="E17059" s="3">
        <v>0</v>
      </c>
      <c r="F17059" s="3">
        <v>0</v>
      </c>
      <c r="G17059" s="3">
        <v>1</v>
      </c>
      <c r="H17059" s="3">
        <v>0</v>
      </c>
      <c r="I17059" s="3">
        <v>0</v>
      </c>
      <c r="J17059" s="3">
        <v>0</v>
      </c>
      <c r="K17059" s="3">
        <v>0</v>
      </c>
      <c r="L17059" s="3">
        <v>1</v>
      </c>
      <c r="M17059" s="3">
        <v>0</v>
      </c>
      <c r="N17059" s="3">
        <v>0</v>
      </c>
      <c r="O17059" s="3" t="s">
        <v>10</v>
      </c>
      <c r="P17059" s="3" t="s">
        <v>9</v>
      </c>
      <c r="Q17059" s="3"/>
    </row>
    <row r="17060" spans="1:17" ht="15" x14ac:dyDescent="0.25">
      <c r="A17060" s="3">
        <f>17053</f>
        <v>17053</v>
      </c>
      <c r="B17060" s="3" t="s">
        <v>17062</v>
      </c>
      <c r="C17060" s="3" t="s">
        <v>9</v>
      </c>
      <c r="D17060" s="3" t="s">
        <v>10</v>
      </c>
      <c r="E17060" s="3">
        <v>0</v>
      </c>
      <c r="F17060" s="3">
        <v>0</v>
      </c>
      <c r="G17060" s="3">
        <v>1</v>
      </c>
      <c r="H17060" s="3">
        <v>0</v>
      </c>
      <c r="I17060" s="3">
        <v>0</v>
      </c>
      <c r="J17060" s="3">
        <v>0</v>
      </c>
      <c r="K17060" s="3">
        <v>0</v>
      </c>
      <c r="L17060" s="3">
        <v>1</v>
      </c>
      <c r="M17060" s="3">
        <v>0</v>
      </c>
      <c r="N17060" s="3">
        <v>0</v>
      </c>
      <c r="O17060" s="3" t="s">
        <v>10</v>
      </c>
      <c r="P17060" s="3" t="s">
        <v>9</v>
      </c>
      <c r="Q17060" s="3"/>
    </row>
    <row r="17061" spans="1:17" ht="15" x14ac:dyDescent="0.25">
      <c r="A17061" s="3">
        <f>17054</f>
        <v>17054</v>
      </c>
      <c r="B17061" s="3" t="s">
        <v>17063</v>
      </c>
      <c r="C17061" s="3" t="s">
        <v>9</v>
      </c>
      <c r="D17061" s="3" t="s">
        <v>10</v>
      </c>
      <c r="E17061" s="3">
        <v>0</v>
      </c>
      <c r="F17061" s="3">
        <v>0</v>
      </c>
      <c r="G17061" s="3">
        <v>1</v>
      </c>
      <c r="H17061" s="3">
        <v>0</v>
      </c>
      <c r="I17061" s="3">
        <v>0</v>
      </c>
      <c r="J17061" s="3">
        <v>0</v>
      </c>
      <c r="K17061" s="3">
        <v>0</v>
      </c>
      <c r="L17061" s="3">
        <v>1</v>
      </c>
      <c r="M17061" s="3">
        <v>0</v>
      </c>
      <c r="N17061" s="3">
        <v>0</v>
      </c>
      <c r="O17061" s="3" t="s">
        <v>10</v>
      </c>
      <c r="P17061" s="3" t="s">
        <v>9</v>
      </c>
      <c r="Q17061" s="3"/>
    </row>
    <row r="17062" spans="1:17" ht="15" x14ac:dyDescent="0.25">
      <c r="A17062" s="3">
        <f>17055</f>
        <v>17055</v>
      </c>
      <c r="B17062" s="3" t="s">
        <v>17064</v>
      </c>
      <c r="C17062" s="3" t="s">
        <v>9</v>
      </c>
      <c r="D17062" s="3" t="s">
        <v>10</v>
      </c>
      <c r="E17062" s="3">
        <v>0</v>
      </c>
      <c r="F17062" s="3">
        <v>0</v>
      </c>
      <c r="G17062" s="3">
        <v>1</v>
      </c>
      <c r="H17062" s="3">
        <v>0</v>
      </c>
      <c r="I17062" s="3">
        <v>0</v>
      </c>
      <c r="J17062" s="3">
        <v>0</v>
      </c>
      <c r="K17062" s="3">
        <v>0</v>
      </c>
      <c r="L17062" s="3">
        <v>1</v>
      </c>
      <c r="M17062" s="3">
        <v>0</v>
      </c>
      <c r="N17062" s="3">
        <v>0</v>
      </c>
      <c r="O17062" s="3" t="s">
        <v>10</v>
      </c>
      <c r="P17062" s="3" t="s">
        <v>9</v>
      </c>
      <c r="Q17062" s="3"/>
    </row>
    <row r="17063" spans="1:17" ht="15" x14ac:dyDescent="0.25">
      <c r="A17063" s="3">
        <f>17056</f>
        <v>17056</v>
      </c>
      <c r="B17063" s="3" t="s">
        <v>17065</v>
      </c>
      <c r="C17063" s="3" t="s">
        <v>9</v>
      </c>
      <c r="D17063" s="3" t="s">
        <v>10</v>
      </c>
      <c r="E17063" s="3">
        <v>0</v>
      </c>
      <c r="F17063" s="3">
        <v>0</v>
      </c>
      <c r="G17063" s="3">
        <v>1</v>
      </c>
      <c r="H17063" s="3">
        <v>0</v>
      </c>
      <c r="I17063" s="3">
        <v>0</v>
      </c>
      <c r="J17063" s="3">
        <v>0</v>
      </c>
      <c r="K17063" s="3">
        <v>0</v>
      </c>
      <c r="L17063" s="3">
        <v>1</v>
      </c>
      <c r="M17063" s="3">
        <v>0</v>
      </c>
      <c r="N17063" s="3">
        <v>0</v>
      </c>
      <c r="O17063" s="3" t="s">
        <v>10</v>
      </c>
      <c r="P17063" s="3" t="s">
        <v>9</v>
      </c>
      <c r="Q17063" s="3"/>
    </row>
    <row r="17064" spans="1:17" ht="15" x14ac:dyDescent="0.25">
      <c r="A17064" s="3">
        <f>17057</f>
        <v>17057</v>
      </c>
      <c r="B17064" s="3" t="s">
        <v>17066</v>
      </c>
      <c r="C17064" s="3" t="s">
        <v>9</v>
      </c>
      <c r="D17064" s="3" t="s">
        <v>10</v>
      </c>
      <c r="E17064" s="3">
        <v>0</v>
      </c>
      <c r="F17064" s="3">
        <v>0</v>
      </c>
      <c r="G17064" s="3">
        <v>1</v>
      </c>
      <c r="H17064" s="3">
        <v>0</v>
      </c>
      <c r="I17064" s="3">
        <v>0</v>
      </c>
      <c r="J17064" s="3">
        <v>0</v>
      </c>
      <c r="K17064" s="3">
        <v>0</v>
      </c>
      <c r="L17064" s="3">
        <v>1</v>
      </c>
      <c r="M17064" s="3">
        <v>0</v>
      </c>
      <c r="N17064" s="3">
        <v>0</v>
      </c>
      <c r="O17064" s="3" t="s">
        <v>10</v>
      </c>
      <c r="P17064" s="3" t="s">
        <v>9</v>
      </c>
      <c r="Q17064" s="3"/>
    </row>
    <row r="17065" spans="1:17" ht="15" x14ac:dyDescent="0.25">
      <c r="A17065" s="3">
        <f>17058</f>
        <v>17058</v>
      </c>
      <c r="B17065" s="3" t="s">
        <v>17067</v>
      </c>
      <c r="C17065" s="3" t="s">
        <v>9</v>
      </c>
      <c r="D17065" s="3" t="s">
        <v>10</v>
      </c>
      <c r="E17065" s="3">
        <v>0</v>
      </c>
      <c r="F17065" s="3">
        <v>0</v>
      </c>
      <c r="G17065" s="3">
        <v>1</v>
      </c>
      <c r="H17065" s="3">
        <v>0</v>
      </c>
      <c r="I17065" s="3">
        <v>0</v>
      </c>
      <c r="J17065" s="3">
        <v>0</v>
      </c>
      <c r="K17065" s="3">
        <v>0</v>
      </c>
      <c r="L17065" s="3">
        <v>1</v>
      </c>
      <c r="M17065" s="3">
        <v>0</v>
      </c>
      <c r="N17065" s="3">
        <v>0</v>
      </c>
      <c r="O17065" s="3" t="s">
        <v>10</v>
      </c>
      <c r="P17065" s="3" t="s">
        <v>9</v>
      </c>
      <c r="Q17065" s="3"/>
    </row>
    <row r="17066" spans="1:17" ht="15" x14ac:dyDescent="0.25">
      <c r="A17066" s="3">
        <f>17059</f>
        <v>17059</v>
      </c>
      <c r="B17066" s="3" t="s">
        <v>17068</v>
      </c>
      <c r="C17066" s="3" t="s">
        <v>9</v>
      </c>
      <c r="D17066" s="3" t="s">
        <v>10</v>
      </c>
      <c r="E17066" s="3">
        <v>0</v>
      </c>
      <c r="F17066" s="3">
        <v>0</v>
      </c>
      <c r="G17066" s="3">
        <v>1</v>
      </c>
      <c r="H17066" s="3">
        <v>0</v>
      </c>
      <c r="I17066" s="3">
        <v>0</v>
      </c>
      <c r="J17066" s="3">
        <v>0</v>
      </c>
      <c r="K17066" s="3">
        <v>0</v>
      </c>
      <c r="L17066" s="3">
        <v>1</v>
      </c>
      <c r="M17066" s="3">
        <v>0</v>
      </c>
      <c r="N17066" s="3">
        <v>0</v>
      </c>
      <c r="O17066" s="3" t="s">
        <v>10</v>
      </c>
      <c r="P17066" s="3" t="s">
        <v>9</v>
      </c>
      <c r="Q17066" s="3"/>
    </row>
    <row r="17067" spans="1:17" ht="15" x14ac:dyDescent="0.25">
      <c r="A17067" s="3">
        <f>17060</f>
        <v>17060</v>
      </c>
      <c r="B17067" s="3" t="s">
        <v>17069</v>
      </c>
      <c r="C17067" s="3" t="s">
        <v>9</v>
      </c>
      <c r="D17067" s="3" t="s">
        <v>10</v>
      </c>
      <c r="E17067" s="3">
        <v>0</v>
      </c>
      <c r="F17067" s="3">
        <v>0</v>
      </c>
      <c r="G17067" s="3">
        <v>1</v>
      </c>
      <c r="H17067" s="3">
        <v>0</v>
      </c>
      <c r="I17067" s="3">
        <v>0</v>
      </c>
      <c r="J17067" s="3">
        <v>0</v>
      </c>
      <c r="K17067" s="3">
        <v>0</v>
      </c>
      <c r="L17067" s="3">
        <v>1</v>
      </c>
      <c r="M17067" s="3">
        <v>0</v>
      </c>
      <c r="N17067" s="3">
        <v>0</v>
      </c>
      <c r="O17067" s="3" t="s">
        <v>10</v>
      </c>
      <c r="P17067" s="3" t="s">
        <v>9</v>
      </c>
      <c r="Q17067" s="3"/>
    </row>
    <row r="17068" spans="1:17" ht="15" x14ac:dyDescent="0.25">
      <c r="A17068" s="3">
        <f>17061</f>
        <v>17061</v>
      </c>
      <c r="B17068" s="3" t="s">
        <v>17070</v>
      </c>
      <c r="C17068" s="3" t="s">
        <v>9</v>
      </c>
      <c r="D17068" s="3" t="s">
        <v>10</v>
      </c>
      <c r="E17068" s="3">
        <v>0</v>
      </c>
      <c r="F17068" s="3">
        <v>0</v>
      </c>
      <c r="G17068" s="3">
        <v>1</v>
      </c>
      <c r="H17068" s="3">
        <v>0</v>
      </c>
      <c r="I17068" s="3">
        <v>0</v>
      </c>
      <c r="J17068" s="3">
        <v>0</v>
      </c>
      <c r="K17068" s="3">
        <v>0</v>
      </c>
      <c r="L17068" s="3">
        <v>1</v>
      </c>
      <c r="M17068" s="3">
        <v>0</v>
      </c>
      <c r="N17068" s="3">
        <v>0</v>
      </c>
      <c r="O17068" s="3" t="s">
        <v>10</v>
      </c>
      <c r="P17068" s="3" t="s">
        <v>9</v>
      </c>
      <c r="Q17068" s="3"/>
    </row>
    <row r="17069" spans="1:17" ht="15" x14ac:dyDescent="0.25">
      <c r="A17069" s="3">
        <f>17062</f>
        <v>17062</v>
      </c>
      <c r="B17069" s="3" t="s">
        <v>17071</v>
      </c>
      <c r="C17069" s="3" t="s">
        <v>9</v>
      </c>
      <c r="D17069" s="3" t="s">
        <v>10</v>
      </c>
      <c r="E17069" s="3">
        <v>0</v>
      </c>
      <c r="F17069" s="3">
        <v>0</v>
      </c>
      <c r="G17069" s="3">
        <v>1</v>
      </c>
      <c r="H17069" s="3">
        <v>0</v>
      </c>
      <c r="I17069" s="3">
        <v>0</v>
      </c>
      <c r="J17069" s="3">
        <v>0</v>
      </c>
      <c r="K17069" s="3">
        <v>0</v>
      </c>
      <c r="L17069" s="3">
        <v>1</v>
      </c>
      <c r="M17069" s="3">
        <v>0</v>
      </c>
      <c r="N17069" s="3">
        <v>0</v>
      </c>
      <c r="O17069" s="3" t="s">
        <v>10</v>
      </c>
      <c r="P17069" s="3" t="s">
        <v>9</v>
      </c>
      <c r="Q17069" s="3"/>
    </row>
    <row r="17070" spans="1:17" ht="15" x14ac:dyDescent="0.25">
      <c r="A17070" s="3">
        <f>17063</f>
        <v>17063</v>
      </c>
      <c r="B17070" s="3" t="s">
        <v>17072</v>
      </c>
      <c r="C17070" s="3" t="s">
        <v>9</v>
      </c>
      <c r="D17070" s="3" t="s">
        <v>10</v>
      </c>
      <c r="E17070" s="3">
        <v>0</v>
      </c>
      <c r="F17070" s="3">
        <v>0</v>
      </c>
      <c r="G17070" s="3">
        <v>1</v>
      </c>
      <c r="H17070" s="3">
        <v>0</v>
      </c>
      <c r="I17070" s="3">
        <v>0</v>
      </c>
      <c r="J17070" s="3">
        <v>0</v>
      </c>
      <c r="K17070" s="3">
        <v>0</v>
      </c>
      <c r="L17070" s="3">
        <v>1</v>
      </c>
      <c r="M17070" s="3">
        <v>0</v>
      </c>
      <c r="N17070" s="3">
        <v>0</v>
      </c>
      <c r="O17070" s="3" t="s">
        <v>10</v>
      </c>
      <c r="P17070" s="3" t="s">
        <v>9</v>
      </c>
      <c r="Q17070" s="3"/>
    </row>
    <row r="17071" spans="1:17" ht="15" x14ac:dyDescent="0.25">
      <c r="A17071" s="3">
        <f>17064</f>
        <v>17064</v>
      </c>
      <c r="B17071" s="3" t="s">
        <v>17073</v>
      </c>
      <c r="C17071" s="3" t="s">
        <v>9</v>
      </c>
      <c r="D17071" s="3" t="s">
        <v>10</v>
      </c>
      <c r="E17071" s="3">
        <v>0</v>
      </c>
      <c r="F17071" s="3">
        <v>0</v>
      </c>
      <c r="G17071" s="3">
        <v>1</v>
      </c>
      <c r="H17071" s="3">
        <v>0</v>
      </c>
      <c r="I17071" s="3">
        <v>0</v>
      </c>
      <c r="J17071" s="3">
        <v>0</v>
      </c>
      <c r="K17071" s="3">
        <v>0</v>
      </c>
      <c r="L17071" s="3">
        <v>1</v>
      </c>
      <c r="M17071" s="3">
        <v>0</v>
      </c>
      <c r="N17071" s="3">
        <v>0</v>
      </c>
      <c r="O17071" s="3" t="s">
        <v>10</v>
      </c>
      <c r="P17071" s="3" t="s">
        <v>9</v>
      </c>
      <c r="Q17071" s="3"/>
    </row>
    <row r="17072" spans="1:17" ht="15" x14ac:dyDescent="0.25">
      <c r="A17072" s="3">
        <f>17065</f>
        <v>17065</v>
      </c>
      <c r="B17072" s="3" t="s">
        <v>17074</v>
      </c>
      <c r="C17072" s="3" t="s">
        <v>9</v>
      </c>
      <c r="D17072" s="3" t="s">
        <v>10</v>
      </c>
      <c r="E17072" s="3">
        <v>0</v>
      </c>
      <c r="F17072" s="3">
        <v>0</v>
      </c>
      <c r="G17072" s="3">
        <v>1</v>
      </c>
      <c r="H17072" s="3">
        <v>0</v>
      </c>
      <c r="I17072" s="3">
        <v>0</v>
      </c>
      <c r="J17072" s="3">
        <v>0</v>
      </c>
      <c r="K17072" s="3">
        <v>0</v>
      </c>
      <c r="L17072" s="3">
        <v>1</v>
      </c>
      <c r="M17072" s="3">
        <v>0</v>
      </c>
      <c r="N17072" s="3">
        <v>0</v>
      </c>
      <c r="O17072" s="3" t="s">
        <v>10</v>
      </c>
      <c r="P17072" s="3" t="s">
        <v>9</v>
      </c>
      <c r="Q17072" s="3"/>
    </row>
    <row r="17073" spans="1:17" ht="15" x14ac:dyDescent="0.25">
      <c r="A17073" s="3">
        <f>17066</f>
        <v>17066</v>
      </c>
      <c r="B17073" s="3" t="s">
        <v>17075</v>
      </c>
      <c r="C17073" s="3" t="s">
        <v>9</v>
      </c>
      <c r="D17073" s="3" t="s">
        <v>10</v>
      </c>
      <c r="E17073" s="3">
        <v>0</v>
      </c>
      <c r="F17073" s="3">
        <v>0</v>
      </c>
      <c r="G17073" s="3">
        <v>1</v>
      </c>
      <c r="H17073" s="3">
        <v>0</v>
      </c>
      <c r="I17073" s="3">
        <v>0</v>
      </c>
      <c r="J17073" s="3">
        <v>0</v>
      </c>
      <c r="K17073" s="3">
        <v>0</v>
      </c>
      <c r="L17073" s="3">
        <v>1</v>
      </c>
      <c r="M17073" s="3">
        <v>0</v>
      </c>
      <c r="N17073" s="3">
        <v>0</v>
      </c>
      <c r="O17073" s="3" t="s">
        <v>10</v>
      </c>
      <c r="P17073" s="3" t="s">
        <v>9</v>
      </c>
      <c r="Q17073" s="3"/>
    </row>
    <row r="17074" spans="1:17" ht="15" x14ac:dyDescent="0.25">
      <c r="A17074" s="3">
        <f>17067</f>
        <v>17067</v>
      </c>
      <c r="B17074" s="3" t="s">
        <v>17076</v>
      </c>
      <c r="C17074" s="3" t="s">
        <v>9</v>
      </c>
      <c r="D17074" s="3" t="s">
        <v>10</v>
      </c>
      <c r="E17074" s="3">
        <v>0</v>
      </c>
      <c r="F17074" s="3">
        <v>0</v>
      </c>
      <c r="G17074" s="3">
        <v>1</v>
      </c>
      <c r="H17074" s="3">
        <v>0</v>
      </c>
      <c r="I17074" s="3">
        <v>0</v>
      </c>
      <c r="J17074" s="3">
        <v>0</v>
      </c>
      <c r="K17074" s="3">
        <v>0</v>
      </c>
      <c r="L17074" s="3">
        <v>1</v>
      </c>
      <c r="M17074" s="3">
        <v>0</v>
      </c>
      <c r="N17074" s="3">
        <v>0</v>
      </c>
      <c r="O17074" s="3" t="s">
        <v>10</v>
      </c>
      <c r="P17074" s="3" t="s">
        <v>9</v>
      </c>
      <c r="Q17074" s="3"/>
    </row>
    <row r="17075" spans="1:17" ht="15" x14ac:dyDescent="0.25">
      <c r="A17075" s="3">
        <f>17068</f>
        <v>17068</v>
      </c>
      <c r="B17075" s="3" t="s">
        <v>17077</v>
      </c>
      <c r="C17075" s="3" t="s">
        <v>9</v>
      </c>
      <c r="D17075" s="3" t="s">
        <v>10</v>
      </c>
      <c r="E17075" s="3">
        <v>0</v>
      </c>
      <c r="F17075" s="3">
        <v>0</v>
      </c>
      <c r="G17075" s="3">
        <v>1</v>
      </c>
      <c r="H17075" s="3">
        <v>0</v>
      </c>
      <c r="I17075" s="3">
        <v>0</v>
      </c>
      <c r="J17075" s="3">
        <v>0</v>
      </c>
      <c r="K17075" s="3">
        <v>0</v>
      </c>
      <c r="L17075" s="3">
        <v>1</v>
      </c>
      <c r="M17075" s="3">
        <v>0</v>
      </c>
      <c r="N17075" s="3">
        <v>0</v>
      </c>
      <c r="O17075" s="3" t="s">
        <v>10</v>
      </c>
      <c r="P17075" s="3" t="s">
        <v>9</v>
      </c>
      <c r="Q17075" s="3"/>
    </row>
    <row r="17076" spans="1:17" ht="15" x14ac:dyDescent="0.25">
      <c r="A17076" s="3">
        <f>17069</f>
        <v>17069</v>
      </c>
      <c r="B17076" s="3" t="s">
        <v>17078</v>
      </c>
      <c r="C17076" s="3" t="s">
        <v>9</v>
      </c>
      <c r="D17076" s="3" t="s">
        <v>10</v>
      </c>
      <c r="E17076" s="3">
        <v>0</v>
      </c>
      <c r="F17076" s="3">
        <v>0</v>
      </c>
      <c r="G17076" s="3">
        <v>1</v>
      </c>
      <c r="H17076" s="3">
        <v>0</v>
      </c>
      <c r="I17076" s="3">
        <v>0</v>
      </c>
      <c r="J17076" s="3">
        <v>0</v>
      </c>
      <c r="K17076" s="3">
        <v>0</v>
      </c>
      <c r="L17076" s="3">
        <v>1</v>
      </c>
      <c r="M17076" s="3">
        <v>0</v>
      </c>
      <c r="N17076" s="3">
        <v>0</v>
      </c>
      <c r="O17076" s="3" t="s">
        <v>10</v>
      </c>
      <c r="P17076" s="3" t="s">
        <v>9</v>
      </c>
      <c r="Q17076" s="3"/>
    </row>
    <row r="17077" spans="1:17" ht="15" x14ac:dyDescent="0.25">
      <c r="A17077" s="3">
        <f>17070</f>
        <v>17070</v>
      </c>
      <c r="B17077" s="3" t="s">
        <v>17079</v>
      </c>
      <c r="C17077" s="3" t="s">
        <v>9</v>
      </c>
      <c r="D17077" s="3" t="s">
        <v>10</v>
      </c>
      <c r="E17077" s="3">
        <v>0</v>
      </c>
      <c r="F17077" s="3">
        <v>0</v>
      </c>
      <c r="G17077" s="3">
        <v>1</v>
      </c>
      <c r="H17077" s="3">
        <v>0</v>
      </c>
      <c r="I17077" s="3">
        <v>0</v>
      </c>
      <c r="J17077" s="3">
        <v>0</v>
      </c>
      <c r="K17077" s="3">
        <v>0</v>
      </c>
      <c r="L17077" s="3">
        <v>1</v>
      </c>
      <c r="M17077" s="3">
        <v>0</v>
      </c>
      <c r="N17077" s="3">
        <v>0</v>
      </c>
      <c r="O17077" s="3" t="s">
        <v>10</v>
      </c>
      <c r="P17077" s="3" t="s">
        <v>9</v>
      </c>
      <c r="Q17077" s="3"/>
    </row>
    <row r="17078" spans="1:17" ht="15" x14ac:dyDescent="0.25">
      <c r="A17078" s="3">
        <f>17071</f>
        <v>17071</v>
      </c>
      <c r="B17078" s="3" t="s">
        <v>17080</v>
      </c>
      <c r="C17078" s="3" t="s">
        <v>9</v>
      </c>
      <c r="D17078" s="3" t="s">
        <v>10</v>
      </c>
      <c r="E17078" s="3">
        <v>0</v>
      </c>
      <c r="F17078" s="3">
        <v>0</v>
      </c>
      <c r="G17078" s="3">
        <v>1</v>
      </c>
      <c r="H17078" s="3">
        <v>0</v>
      </c>
      <c r="I17078" s="3">
        <v>0</v>
      </c>
      <c r="J17078" s="3">
        <v>0</v>
      </c>
      <c r="K17078" s="3">
        <v>0</v>
      </c>
      <c r="L17078" s="3">
        <v>1</v>
      </c>
      <c r="M17078" s="3">
        <v>0</v>
      </c>
      <c r="N17078" s="3">
        <v>0</v>
      </c>
      <c r="O17078" s="3" t="s">
        <v>10</v>
      </c>
      <c r="P17078" s="3" t="s">
        <v>9</v>
      </c>
      <c r="Q17078" s="3"/>
    </row>
    <row r="17079" spans="1:17" ht="15" x14ac:dyDescent="0.25">
      <c r="A17079" s="3">
        <f>17072</f>
        <v>17072</v>
      </c>
      <c r="B17079" s="3" t="s">
        <v>17081</v>
      </c>
      <c r="C17079" s="3" t="s">
        <v>9</v>
      </c>
      <c r="D17079" s="3" t="s">
        <v>10</v>
      </c>
      <c r="E17079" s="3">
        <v>0</v>
      </c>
      <c r="F17079" s="3">
        <v>0</v>
      </c>
      <c r="G17079" s="3">
        <v>1</v>
      </c>
      <c r="H17079" s="3">
        <v>0</v>
      </c>
      <c r="I17079" s="3">
        <v>0</v>
      </c>
      <c r="J17079" s="3">
        <v>0</v>
      </c>
      <c r="K17079" s="3">
        <v>0</v>
      </c>
      <c r="L17079" s="3">
        <v>1</v>
      </c>
      <c r="M17079" s="3">
        <v>0</v>
      </c>
      <c r="N17079" s="3">
        <v>0</v>
      </c>
      <c r="O17079" s="3" t="s">
        <v>10</v>
      </c>
      <c r="P17079" s="3" t="s">
        <v>9</v>
      </c>
      <c r="Q17079" s="3"/>
    </row>
    <row r="17080" spans="1:17" ht="15" x14ac:dyDescent="0.25">
      <c r="A17080" s="3">
        <f>17073</f>
        <v>17073</v>
      </c>
      <c r="B17080" s="3" t="s">
        <v>17082</v>
      </c>
      <c r="C17080" s="3" t="s">
        <v>9</v>
      </c>
      <c r="D17080" s="3" t="s">
        <v>10</v>
      </c>
      <c r="E17080" s="3">
        <v>0</v>
      </c>
      <c r="F17080" s="3">
        <v>0</v>
      </c>
      <c r="G17080" s="3">
        <v>1</v>
      </c>
      <c r="H17080" s="3">
        <v>0</v>
      </c>
      <c r="I17080" s="3">
        <v>0</v>
      </c>
      <c r="J17080" s="3">
        <v>0</v>
      </c>
      <c r="K17080" s="3">
        <v>0</v>
      </c>
      <c r="L17080" s="3">
        <v>1</v>
      </c>
      <c r="M17080" s="3">
        <v>0</v>
      </c>
      <c r="N17080" s="3">
        <v>0</v>
      </c>
      <c r="O17080" s="3" t="s">
        <v>10</v>
      </c>
      <c r="P17080" s="3" t="s">
        <v>9</v>
      </c>
      <c r="Q17080" s="3"/>
    </row>
    <row r="17081" spans="1:17" ht="15" x14ac:dyDescent="0.25">
      <c r="A17081" s="3">
        <f>17074</f>
        <v>17074</v>
      </c>
      <c r="B17081" s="3" t="s">
        <v>17083</v>
      </c>
      <c r="C17081" s="3" t="s">
        <v>9</v>
      </c>
      <c r="D17081" s="3" t="s">
        <v>10</v>
      </c>
      <c r="E17081" s="3">
        <v>0</v>
      </c>
      <c r="F17081" s="3">
        <v>0</v>
      </c>
      <c r="G17081" s="3">
        <v>1</v>
      </c>
      <c r="H17081" s="3">
        <v>0</v>
      </c>
      <c r="I17081" s="3">
        <v>0</v>
      </c>
      <c r="J17081" s="3">
        <v>0</v>
      </c>
      <c r="K17081" s="3">
        <v>0</v>
      </c>
      <c r="L17081" s="3">
        <v>1</v>
      </c>
      <c r="M17081" s="3">
        <v>0</v>
      </c>
      <c r="N17081" s="3">
        <v>0</v>
      </c>
      <c r="O17081" s="3" t="s">
        <v>10</v>
      </c>
      <c r="P17081" s="3" t="s">
        <v>9</v>
      </c>
      <c r="Q17081" s="3"/>
    </row>
    <row r="17082" spans="1:17" ht="15" x14ac:dyDescent="0.25">
      <c r="A17082" s="3">
        <f>17075</f>
        <v>17075</v>
      </c>
      <c r="B17082" s="3" t="s">
        <v>17084</v>
      </c>
      <c r="C17082" s="3" t="s">
        <v>9</v>
      </c>
      <c r="D17082" s="3" t="s">
        <v>10</v>
      </c>
      <c r="E17082" s="3">
        <v>0</v>
      </c>
      <c r="F17082" s="3">
        <v>0</v>
      </c>
      <c r="G17082" s="3">
        <v>1</v>
      </c>
      <c r="H17082" s="3">
        <v>0</v>
      </c>
      <c r="I17082" s="3">
        <v>0</v>
      </c>
      <c r="J17082" s="3">
        <v>0</v>
      </c>
      <c r="K17082" s="3">
        <v>0</v>
      </c>
      <c r="L17082" s="3">
        <v>1</v>
      </c>
      <c r="M17082" s="3">
        <v>0</v>
      </c>
      <c r="N17082" s="3">
        <v>0</v>
      </c>
      <c r="O17082" s="3" t="s">
        <v>10</v>
      </c>
      <c r="P17082" s="3" t="s">
        <v>9</v>
      </c>
      <c r="Q17082" s="3"/>
    </row>
    <row r="17083" spans="1:17" ht="15" x14ac:dyDescent="0.25">
      <c r="A17083" s="3">
        <f>17076</f>
        <v>17076</v>
      </c>
      <c r="B17083" s="3" t="s">
        <v>17085</v>
      </c>
      <c r="C17083" s="3" t="s">
        <v>9</v>
      </c>
      <c r="D17083" s="3" t="s">
        <v>10</v>
      </c>
      <c r="E17083" s="3">
        <v>0</v>
      </c>
      <c r="F17083" s="3">
        <v>0</v>
      </c>
      <c r="G17083" s="3">
        <v>1</v>
      </c>
      <c r="H17083" s="3">
        <v>0</v>
      </c>
      <c r="I17083" s="3">
        <v>0</v>
      </c>
      <c r="J17083" s="3">
        <v>0</v>
      </c>
      <c r="K17083" s="3">
        <v>0</v>
      </c>
      <c r="L17083" s="3">
        <v>1</v>
      </c>
      <c r="M17083" s="3">
        <v>0</v>
      </c>
      <c r="N17083" s="3">
        <v>0</v>
      </c>
      <c r="O17083" s="3" t="s">
        <v>10</v>
      </c>
      <c r="P17083" s="3" t="s">
        <v>9</v>
      </c>
      <c r="Q17083" s="3"/>
    </row>
    <row r="17084" spans="1:17" ht="15" x14ac:dyDescent="0.25">
      <c r="A17084" s="3">
        <f>17077</f>
        <v>17077</v>
      </c>
      <c r="B17084" s="3" t="s">
        <v>17086</v>
      </c>
      <c r="C17084" s="3" t="s">
        <v>9</v>
      </c>
      <c r="D17084" s="3" t="s">
        <v>10</v>
      </c>
      <c r="E17084" s="3">
        <v>0</v>
      </c>
      <c r="F17084" s="3">
        <v>0</v>
      </c>
      <c r="G17084" s="3">
        <v>1</v>
      </c>
      <c r="H17084" s="3">
        <v>0</v>
      </c>
      <c r="I17084" s="3">
        <v>0</v>
      </c>
      <c r="J17084" s="3">
        <v>0</v>
      </c>
      <c r="K17084" s="3">
        <v>0</v>
      </c>
      <c r="L17084" s="3">
        <v>1</v>
      </c>
      <c r="M17084" s="3">
        <v>0</v>
      </c>
      <c r="N17084" s="3">
        <v>0</v>
      </c>
      <c r="O17084" s="3" t="s">
        <v>10</v>
      </c>
      <c r="P17084" s="3" t="s">
        <v>9</v>
      </c>
      <c r="Q17084" s="3"/>
    </row>
    <row r="17085" spans="1:17" ht="15" x14ac:dyDescent="0.25">
      <c r="A17085" s="3">
        <f>17078</f>
        <v>17078</v>
      </c>
      <c r="B17085" s="3" t="s">
        <v>17087</v>
      </c>
      <c r="C17085" s="3" t="s">
        <v>9</v>
      </c>
      <c r="D17085" s="3" t="s">
        <v>10</v>
      </c>
      <c r="E17085" s="3">
        <v>0</v>
      </c>
      <c r="F17085" s="3">
        <v>0</v>
      </c>
      <c r="G17085" s="3">
        <v>1</v>
      </c>
      <c r="H17085" s="3">
        <v>0</v>
      </c>
      <c r="I17085" s="3">
        <v>0</v>
      </c>
      <c r="J17085" s="3">
        <v>0</v>
      </c>
      <c r="K17085" s="3">
        <v>0</v>
      </c>
      <c r="L17085" s="3">
        <v>1</v>
      </c>
      <c r="M17085" s="3">
        <v>0</v>
      </c>
      <c r="N17085" s="3">
        <v>0</v>
      </c>
      <c r="O17085" s="3" t="s">
        <v>10</v>
      </c>
      <c r="P17085" s="3" t="s">
        <v>9</v>
      </c>
      <c r="Q17085" s="3"/>
    </row>
    <row r="17086" spans="1:17" ht="15" x14ac:dyDescent="0.25">
      <c r="A17086" s="3">
        <f>17079</f>
        <v>17079</v>
      </c>
      <c r="B17086" s="3" t="s">
        <v>17088</v>
      </c>
      <c r="C17086" s="3" t="s">
        <v>9</v>
      </c>
      <c r="D17086" s="3" t="s">
        <v>10</v>
      </c>
      <c r="E17086" s="3">
        <v>0</v>
      </c>
      <c r="F17086" s="3">
        <v>0</v>
      </c>
      <c r="G17086" s="3">
        <v>1</v>
      </c>
      <c r="H17086" s="3">
        <v>0</v>
      </c>
      <c r="I17086" s="3">
        <v>0</v>
      </c>
      <c r="J17086" s="3">
        <v>0</v>
      </c>
      <c r="K17086" s="3">
        <v>0</v>
      </c>
      <c r="L17086" s="3">
        <v>1</v>
      </c>
      <c r="M17086" s="3">
        <v>0</v>
      </c>
      <c r="N17086" s="3">
        <v>0</v>
      </c>
      <c r="O17086" s="3" t="s">
        <v>10</v>
      </c>
      <c r="P17086" s="3" t="s">
        <v>9</v>
      </c>
      <c r="Q17086" s="3"/>
    </row>
    <row r="17087" spans="1:17" ht="15" x14ac:dyDescent="0.25">
      <c r="A17087" s="3">
        <f>17080</f>
        <v>17080</v>
      </c>
      <c r="B17087" s="3" t="s">
        <v>17089</v>
      </c>
      <c r="C17087" s="3" t="s">
        <v>9</v>
      </c>
      <c r="D17087" s="3" t="s">
        <v>10</v>
      </c>
      <c r="E17087" s="3">
        <v>0</v>
      </c>
      <c r="F17087" s="3">
        <v>0</v>
      </c>
      <c r="G17087" s="3">
        <v>1</v>
      </c>
      <c r="H17087" s="3">
        <v>0</v>
      </c>
      <c r="I17087" s="3">
        <v>0</v>
      </c>
      <c r="J17087" s="3">
        <v>0</v>
      </c>
      <c r="K17087" s="3">
        <v>0</v>
      </c>
      <c r="L17087" s="3">
        <v>1</v>
      </c>
      <c r="M17087" s="3">
        <v>0</v>
      </c>
      <c r="N17087" s="3">
        <v>0</v>
      </c>
      <c r="O17087" s="3" t="s">
        <v>10</v>
      </c>
      <c r="P17087" s="3" t="s">
        <v>9</v>
      </c>
      <c r="Q17087" s="3"/>
    </row>
    <row r="17088" spans="1:17" ht="15" x14ac:dyDescent="0.25">
      <c r="A17088" s="3">
        <f>17081</f>
        <v>17081</v>
      </c>
      <c r="B17088" s="3" t="s">
        <v>17090</v>
      </c>
      <c r="C17088" s="3" t="s">
        <v>9</v>
      </c>
      <c r="D17088" s="3" t="s">
        <v>10</v>
      </c>
      <c r="E17088" s="3">
        <v>0</v>
      </c>
      <c r="F17088" s="3">
        <v>0</v>
      </c>
      <c r="G17088" s="3">
        <v>1</v>
      </c>
      <c r="H17088" s="3">
        <v>0</v>
      </c>
      <c r="I17088" s="3">
        <v>0</v>
      </c>
      <c r="J17088" s="3">
        <v>0</v>
      </c>
      <c r="K17088" s="3">
        <v>0</v>
      </c>
      <c r="L17088" s="3">
        <v>1</v>
      </c>
      <c r="M17088" s="3">
        <v>0</v>
      </c>
      <c r="N17088" s="3">
        <v>0</v>
      </c>
      <c r="O17088" s="3" t="s">
        <v>10</v>
      </c>
      <c r="P17088" s="3" t="s">
        <v>9</v>
      </c>
      <c r="Q17088" s="3"/>
    </row>
    <row r="17089" spans="1:17" ht="15" x14ac:dyDescent="0.25">
      <c r="A17089" s="3">
        <f>17082</f>
        <v>17082</v>
      </c>
      <c r="B17089" s="3" t="s">
        <v>17091</v>
      </c>
      <c r="C17089" s="3" t="s">
        <v>9</v>
      </c>
      <c r="D17089" s="3" t="s">
        <v>10</v>
      </c>
      <c r="E17089" s="3">
        <v>0</v>
      </c>
      <c r="F17089" s="3">
        <v>0</v>
      </c>
      <c r="G17089" s="3">
        <v>1</v>
      </c>
      <c r="H17089" s="3">
        <v>0</v>
      </c>
      <c r="I17089" s="3">
        <v>0</v>
      </c>
      <c r="J17089" s="3">
        <v>0</v>
      </c>
      <c r="K17089" s="3">
        <v>0</v>
      </c>
      <c r="L17089" s="3">
        <v>1</v>
      </c>
      <c r="M17089" s="3">
        <v>0</v>
      </c>
      <c r="N17089" s="3">
        <v>0</v>
      </c>
      <c r="O17089" s="3" t="s">
        <v>10</v>
      </c>
      <c r="P17089" s="3" t="s">
        <v>9</v>
      </c>
      <c r="Q17089" s="3"/>
    </row>
    <row r="17090" spans="1:17" ht="15" x14ac:dyDescent="0.25">
      <c r="A17090" s="3">
        <f>17083</f>
        <v>17083</v>
      </c>
      <c r="B17090" s="3" t="s">
        <v>17092</v>
      </c>
      <c r="C17090" s="3" t="s">
        <v>9</v>
      </c>
      <c r="D17090" s="3" t="s">
        <v>10</v>
      </c>
      <c r="E17090" s="3">
        <v>0</v>
      </c>
      <c r="F17090" s="3">
        <v>0</v>
      </c>
      <c r="G17090" s="3">
        <v>1</v>
      </c>
      <c r="H17090" s="3">
        <v>0</v>
      </c>
      <c r="I17090" s="3">
        <v>0</v>
      </c>
      <c r="J17090" s="3">
        <v>0</v>
      </c>
      <c r="K17090" s="3">
        <v>0</v>
      </c>
      <c r="L17090" s="3">
        <v>1</v>
      </c>
      <c r="M17090" s="3">
        <v>0</v>
      </c>
      <c r="N17090" s="3">
        <v>0</v>
      </c>
      <c r="O17090" s="3" t="s">
        <v>10</v>
      </c>
      <c r="P17090" s="3" t="s">
        <v>9</v>
      </c>
      <c r="Q17090" s="3"/>
    </row>
    <row r="17091" spans="1:17" ht="15" x14ac:dyDescent="0.25">
      <c r="A17091" s="3">
        <f>17084</f>
        <v>17084</v>
      </c>
      <c r="B17091" s="3" t="s">
        <v>17093</v>
      </c>
      <c r="C17091" s="3" t="s">
        <v>9</v>
      </c>
      <c r="D17091" s="3" t="s">
        <v>10</v>
      </c>
      <c r="E17091" s="3">
        <v>0</v>
      </c>
      <c r="F17091" s="3">
        <v>0</v>
      </c>
      <c r="G17091" s="3">
        <v>1</v>
      </c>
      <c r="H17091" s="3">
        <v>0</v>
      </c>
      <c r="I17091" s="3">
        <v>0</v>
      </c>
      <c r="J17091" s="3">
        <v>0</v>
      </c>
      <c r="K17091" s="3">
        <v>0</v>
      </c>
      <c r="L17091" s="3">
        <v>1</v>
      </c>
      <c r="M17091" s="3">
        <v>0</v>
      </c>
      <c r="N17091" s="3">
        <v>0</v>
      </c>
      <c r="O17091" s="3" t="s">
        <v>10</v>
      </c>
      <c r="P17091" s="3" t="s">
        <v>9</v>
      </c>
      <c r="Q17091" s="3"/>
    </row>
    <row r="17092" spans="1:17" ht="15" x14ac:dyDescent="0.25">
      <c r="A17092" s="3">
        <f>17085</f>
        <v>17085</v>
      </c>
      <c r="B17092" s="3" t="s">
        <v>17094</v>
      </c>
      <c r="C17092" s="3" t="s">
        <v>9</v>
      </c>
      <c r="D17092" s="3" t="s">
        <v>10</v>
      </c>
      <c r="E17092" s="3">
        <v>0</v>
      </c>
      <c r="F17092" s="3">
        <v>0</v>
      </c>
      <c r="G17092" s="3">
        <v>1</v>
      </c>
      <c r="H17092" s="3">
        <v>0</v>
      </c>
      <c r="I17092" s="3">
        <v>0</v>
      </c>
      <c r="J17092" s="3">
        <v>0</v>
      </c>
      <c r="K17092" s="3">
        <v>0</v>
      </c>
      <c r="L17092" s="3">
        <v>1</v>
      </c>
      <c r="M17092" s="3">
        <v>0</v>
      </c>
      <c r="N17092" s="3">
        <v>0</v>
      </c>
      <c r="O17092" s="3" t="s">
        <v>10</v>
      </c>
      <c r="P17092" s="3" t="s">
        <v>9</v>
      </c>
      <c r="Q17092" s="3"/>
    </row>
    <row r="17093" spans="1:17" ht="15" x14ac:dyDescent="0.25">
      <c r="A17093" s="3">
        <f>17086</f>
        <v>17086</v>
      </c>
      <c r="B17093" s="3" t="s">
        <v>17095</v>
      </c>
      <c r="C17093" s="3" t="s">
        <v>9</v>
      </c>
      <c r="D17093" s="3" t="s">
        <v>10</v>
      </c>
      <c r="E17093" s="3">
        <v>0</v>
      </c>
      <c r="F17093" s="3">
        <v>0</v>
      </c>
      <c r="G17093" s="3">
        <v>1</v>
      </c>
      <c r="H17093" s="3">
        <v>0</v>
      </c>
      <c r="I17093" s="3">
        <v>0</v>
      </c>
      <c r="J17093" s="3">
        <v>0</v>
      </c>
      <c r="K17093" s="3">
        <v>0</v>
      </c>
      <c r="L17093" s="3">
        <v>1</v>
      </c>
      <c r="M17093" s="3">
        <v>0</v>
      </c>
      <c r="N17093" s="3">
        <v>0</v>
      </c>
      <c r="O17093" s="3" t="s">
        <v>10</v>
      </c>
      <c r="P17093" s="3" t="s">
        <v>9</v>
      </c>
      <c r="Q17093" s="3"/>
    </row>
    <row r="17094" spans="1:17" ht="15" x14ac:dyDescent="0.25">
      <c r="A17094" s="3">
        <f>17087</f>
        <v>17087</v>
      </c>
      <c r="B17094" s="3" t="s">
        <v>17096</v>
      </c>
      <c r="C17094" s="3" t="s">
        <v>9</v>
      </c>
      <c r="D17094" s="3" t="s">
        <v>10</v>
      </c>
      <c r="E17094" s="3">
        <v>0</v>
      </c>
      <c r="F17094" s="3">
        <v>0</v>
      </c>
      <c r="G17094" s="3">
        <v>1</v>
      </c>
      <c r="H17094" s="3">
        <v>0</v>
      </c>
      <c r="I17094" s="3">
        <v>0</v>
      </c>
      <c r="J17094" s="3">
        <v>0</v>
      </c>
      <c r="K17094" s="3">
        <v>0</v>
      </c>
      <c r="L17094" s="3">
        <v>1</v>
      </c>
      <c r="M17094" s="3">
        <v>0</v>
      </c>
      <c r="N17094" s="3">
        <v>0</v>
      </c>
      <c r="O17094" s="3" t="s">
        <v>10</v>
      </c>
      <c r="P17094" s="3" t="s">
        <v>9</v>
      </c>
      <c r="Q17094" s="3"/>
    </row>
    <row r="17095" spans="1:17" ht="15" x14ac:dyDescent="0.25">
      <c r="A17095" s="3">
        <f>17088</f>
        <v>17088</v>
      </c>
      <c r="B17095" s="3" t="s">
        <v>17097</v>
      </c>
      <c r="C17095" s="3" t="s">
        <v>9</v>
      </c>
      <c r="D17095" s="3" t="s">
        <v>10</v>
      </c>
      <c r="E17095" s="3">
        <v>0</v>
      </c>
      <c r="F17095" s="3">
        <v>0</v>
      </c>
      <c r="G17095" s="3">
        <v>1</v>
      </c>
      <c r="H17095" s="3">
        <v>0</v>
      </c>
      <c r="I17095" s="3">
        <v>0</v>
      </c>
      <c r="J17095" s="3">
        <v>0</v>
      </c>
      <c r="K17095" s="3">
        <v>0</v>
      </c>
      <c r="L17095" s="3">
        <v>1</v>
      </c>
      <c r="M17095" s="3">
        <v>0</v>
      </c>
      <c r="N17095" s="3">
        <v>0</v>
      </c>
      <c r="O17095" s="3" t="s">
        <v>10</v>
      </c>
      <c r="P17095" s="3" t="s">
        <v>9</v>
      </c>
      <c r="Q17095" s="3"/>
    </row>
    <row r="17096" spans="1:17" ht="15" x14ac:dyDescent="0.25">
      <c r="A17096" s="3">
        <f>17089</f>
        <v>17089</v>
      </c>
      <c r="B17096" s="3" t="s">
        <v>17098</v>
      </c>
      <c r="C17096" s="3" t="s">
        <v>9</v>
      </c>
      <c r="D17096" s="3" t="s">
        <v>10</v>
      </c>
      <c r="E17096" s="3">
        <v>0</v>
      </c>
      <c r="F17096" s="3">
        <v>0</v>
      </c>
      <c r="G17096" s="3">
        <v>1</v>
      </c>
      <c r="H17096" s="3">
        <v>0</v>
      </c>
      <c r="I17096" s="3">
        <v>0</v>
      </c>
      <c r="J17096" s="3">
        <v>0</v>
      </c>
      <c r="K17096" s="3">
        <v>0</v>
      </c>
      <c r="L17096" s="3">
        <v>1</v>
      </c>
      <c r="M17096" s="3">
        <v>0</v>
      </c>
      <c r="N17096" s="3">
        <v>0</v>
      </c>
      <c r="O17096" s="3" t="s">
        <v>10</v>
      </c>
      <c r="P17096" s="3" t="s">
        <v>9</v>
      </c>
      <c r="Q17096" s="3"/>
    </row>
    <row r="17097" spans="1:17" ht="15" x14ac:dyDescent="0.25">
      <c r="A17097" s="3">
        <f>17090</f>
        <v>17090</v>
      </c>
      <c r="B17097" s="3" t="s">
        <v>17099</v>
      </c>
      <c r="C17097" s="3" t="s">
        <v>9</v>
      </c>
      <c r="D17097" s="3" t="s">
        <v>10</v>
      </c>
      <c r="E17097" s="3">
        <v>0</v>
      </c>
      <c r="F17097" s="3">
        <v>0</v>
      </c>
      <c r="G17097" s="3">
        <v>1</v>
      </c>
      <c r="H17097" s="3">
        <v>0</v>
      </c>
      <c r="I17097" s="3">
        <v>0</v>
      </c>
      <c r="J17097" s="3">
        <v>0</v>
      </c>
      <c r="K17097" s="3">
        <v>0</v>
      </c>
      <c r="L17097" s="3">
        <v>1</v>
      </c>
      <c r="M17097" s="3">
        <v>0</v>
      </c>
      <c r="N17097" s="3">
        <v>0</v>
      </c>
      <c r="O17097" s="3" t="s">
        <v>10</v>
      </c>
      <c r="P17097" s="3" t="s">
        <v>9</v>
      </c>
      <c r="Q17097" s="3"/>
    </row>
    <row r="17098" spans="1:17" ht="15" x14ac:dyDescent="0.25">
      <c r="A17098" s="3">
        <f>17091</f>
        <v>17091</v>
      </c>
      <c r="B17098" s="3" t="s">
        <v>17100</v>
      </c>
      <c r="C17098" s="3" t="s">
        <v>9</v>
      </c>
      <c r="D17098" s="3" t="s">
        <v>10</v>
      </c>
      <c r="E17098" s="3">
        <v>0</v>
      </c>
      <c r="F17098" s="3">
        <v>0</v>
      </c>
      <c r="G17098" s="3">
        <v>1</v>
      </c>
      <c r="H17098" s="3">
        <v>0</v>
      </c>
      <c r="I17098" s="3">
        <v>0</v>
      </c>
      <c r="J17098" s="3">
        <v>0</v>
      </c>
      <c r="K17098" s="3">
        <v>0</v>
      </c>
      <c r="L17098" s="3">
        <v>1</v>
      </c>
      <c r="M17098" s="3">
        <v>0</v>
      </c>
      <c r="N17098" s="3">
        <v>0</v>
      </c>
      <c r="O17098" s="3" t="s">
        <v>10</v>
      </c>
      <c r="P17098" s="3" t="s">
        <v>9</v>
      </c>
      <c r="Q17098" s="3"/>
    </row>
    <row r="17099" spans="1:17" ht="15" x14ac:dyDescent="0.25">
      <c r="A17099" s="3">
        <f>17092</f>
        <v>17092</v>
      </c>
      <c r="B17099" s="3" t="s">
        <v>17101</v>
      </c>
      <c r="C17099" s="3" t="s">
        <v>9</v>
      </c>
      <c r="D17099" s="3" t="s">
        <v>10</v>
      </c>
      <c r="E17099" s="3">
        <v>0</v>
      </c>
      <c r="F17099" s="3">
        <v>0</v>
      </c>
      <c r="G17099" s="3">
        <v>1</v>
      </c>
      <c r="H17099" s="3">
        <v>0</v>
      </c>
      <c r="I17099" s="3">
        <v>0</v>
      </c>
      <c r="J17099" s="3">
        <v>0</v>
      </c>
      <c r="K17099" s="3">
        <v>0</v>
      </c>
      <c r="L17099" s="3">
        <v>1</v>
      </c>
      <c r="M17099" s="3">
        <v>0</v>
      </c>
      <c r="N17099" s="3">
        <v>0</v>
      </c>
      <c r="O17099" s="3" t="s">
        <v>10</v>
      </c>
      <c r="P17099" s="3" t="s">
        <v>9</v>
      </c>
      <c r="Q17099" s="3"/>
    </row>
    <row r="17100" spans="1:17" ht="15" x14ac:dyDescent="0.25">
      <c r="A17100" s="3">
        <f>17093</f>
        <v>17093</v>
      </c>
      <c r="B17100" s="3" t="s">
        <v>17102</v>
      </c>
      <c r="C17100" s="3" t="s">
        <v>9</v>
      </c>
      <c r="D17100" s="3" t="s">
        <v>10</v>
      </c>
      <c r="E17100" s="3">
        <v>0</v>
      </c>
      <c r="F17100" s="3">
        <v>0</v>
      </c>
      <c r="G17100" s="3">
        <v>1</v>
      </c>
      <c r="H17100" s="3">
        <v>0</v>
      </c>
      <c r="I17100" s="3">
        <v>0</v>
      </c>
      <c r="J17100" s="3">
        <v>0</v>
      </c>
      <c r="K17100" s="3">
        <v>0</v>
      </c>
      <c r="L17100" s="3">
        <v>1</v>
      </c>
      <c r="M17100" s="3">
        <v>0</v>
      </c>
      <c r="N17100" s="3">
        <v>0</v>
      </c>
      <c r="O17100" s="3" t="s">
        <v>10</v>
      </c>
      <c r="P17100" s="3" t="s">
        <v>9</v>
      </c>
      <c r="Q17100" s="3"/>
    </row>
    <row r="17101" spans="1:17" ht="15" x14ac:dyDescent="0.25">
      <c r="A17101" s="3">
        <f>17094</f>
        <v>17094</v>
      </c>
      <c r="B17101" s="3" t="s">
        <v>17103</v>
      </c>
      <c r="C17101" s="3" t="s">
        <v>9</v>
      </c>
      <c r="D17101" s="3" t="s">
        <v>10</v>
      </c>
      <c r="E17101" s="3">
        <v>0</v>
      </c>
      <c r="F17101" s="3">
        <v>0</v>
      </c>
      <c r="G17101" s="3">
        <v>1</v>
      </c>
      <c r="H17101" s="3">
        <v>0</v>
      </c>
      <c r="I17101" s="3">
        <v>0</v>
      </c>
      <c r="J17101" s="3">
        <v>0</v>
      </c>
      <c r="K17101" s="3">
        <v>0</v>
      </c>
      <c r="L17101" s="3">
        <v>1</v>
      </c>
      <c r="M17101" s="3">
        <v>0</v>
      </c>
      <c r="N17101" s="3">
        <v>0</v>
      </c>
      <c r="O17101" s="3" t="s">
        <v>10</v>
      </c>
      <c r="P17101" s="3" t="s">
        <v>9</v>
      </c>
      <c r="Q17101" s="3"/>
    </row>
    <row r="17102" spans="1:17" ht="15" x14ac:dyDescent="0.25">
      <c r="A17102" s="3">
        <f>17095</f>
        <v>17095</v>
      </c>
      <c r="B17102" s="3" t="s">
        <v>17104</v>
      </c>
      <c r="C17102" s="3" t="s">
        <v>9</v>
      </c>
      <c r="D17102" s="3" t="s">
        <v>10</v>
      </c>
      <c r="E17102" s="3">
        <v>0</v>
      </c>
      <c r="F17102" s="3">
        <v>0</v>
      </c>
      <c r="G17102" s="3">
        <v>1</v>
      </c>
      <c r="H17102" s="3">
        <v>0</v>
      </c>
      <c r="I17102" s="3">
        <v>0</v>
      </c>
      <c r="J17102" s="3">
        <v>0</v>
      </c>
      <c r="K17102" s="3">
        <v>0</v>
      </c>
      <c r="L17102" s="3">
        <v>1</v>
      </c>
      <c r="M17102" s="3">
        <v>0</v>
      </c>
      <c r="N17102" s="3">
        <v>0</v>
      </c>
      <c r="O17102" s="3" t="s">
        <v>10</v>
      </c>
      <c r="P17102" s="3" t="s">
        <v>9</v>
      </c>
      <c r="Q17102" s="3"/>
    </row>
    <row r="17103" spans="1:17" ht="15" x14ac:dyDescent="0.25">
      <c r="A17103" s="3">
        <f>17096</f>
        <v>17096</v>
      </c>
      <c r="B17103" s="3" t="s">
        <v>17105</v>
      </c>
      <c r="C17103" s="3" t="s">
        <v>9</v>
      </c>
      <c r="D17103" s="3" t="s">
        <v>10</v>
      </c>
      <c r="E17103" s="3">
        <v>0</v>
      </c>
      <c r="F17103" s="3">
        <v>0</v>
      </c>
      <c r="G17103" s="3">
        <v>1</v>
      </c>
      <c r="H17103" s="3">
        <v>0</v>
      </c>
      <c r="I17103" s="3">
        <v>0</v>
      </c>
      <c r="J17103" s="3">
        <v>0</v>
      </c>
      <c r="K17103" s="3">
        <v>0</v>
      </c>
      <c r="L17103" s="3">
        <v>1</v>
      </c>
      <c r="M17103" s="3">
        <v>0</v>
      </c>
      <c r="N17103" s="3">
        <v>0</v>
      </c>
      <c r="O17103" s="3" t="s">
        <v>10</v>
      </c>
      <c r="P17103" s="3" t="s">
        <v>9</v>
      </c>
      <c r="Q17103" s="3"/>
    </row>
    <row r="17104" spans="1:17" ht="15" x14ac:dyDescent="0.25">
      <c r="A17104" s="3">
        <f>17097</f>
        <v>17097</v>
      </c>
      <c r="B17104" s="3" t="s">
        <v>17106</v>
      </c>
      <c r="C17104" s="3" t="s">
        <v>9</v>
      </c>
      <c r="D17104" s="3" t="s">
        <v>10</v>
      </c>
      <c r="E17104" s="3">
        <v>0</v>
      </c>
      <c r="F17104" s="3">
        <v>0</v>
      </c>
      <c r="G17104" s="3">
        <v>1</v>
      </c>
      <c r="H17104" s="3">
        <v>0</v>
      </c>
      <c r="I17104" s="3">
        <v>0</v>
      </c>
      <c r="J17104" s="3">
        <v>0</v>
      </c>
      <c r="K17104" s="3">
        <v>0</v>
      </c>
      <c r="L17104" s="3">
        <v>1</v>
      </c>
      <c r="M17104" s="3">
        <v>0</v>
      </c>
      <c r="N17104" s="3">
        <v>0</v>
      </c>
      <c r="O17104" s="3" t="s">
        <v>10</v>
      </c>
      <c r="P17104" s="3" t="s">
        <v>9</v>
      </c>
      <c r="Q17104" s="3"/>
    </row>
    <row r="17105" spans="1:17" ht="15" x14ac:dyDescent="0.25">
      <c r="A17105" s="3">
        <f>17098</f>
        <v>17098</v>
      </c>
      <c r="B17105" s="3" t="s">
        <v>17107</v>
      </c>
      <c r="C17105" s="3" t="s">
        <v>9</v>
      </c>
      <c r="D17105" s="3" t="s">
        <v>10</v>
      </c>
      <c r="E17105" s="3">
        <v>0</v>
      </c>
      <c r="F17105" s="3">
        <v>0</v>
      </c>
      <c r="G17105" s="3">
        <v>1</v>
      </c>
      <c r="H17105" s="3">
        <v>0</v>
      </c>
      <c r="I17105" s="3">
        <v>0</v>
      </c>
      <c r="J17105" s="3">
        <v>0</v>
      </c>
      <c r="K17105" s="3">
        <v>0</v>
      </c>
      <c r="L17105" s="3">
        <v>1</v>
      </c>
      <c r="M17105" s="3">
        <v>0</v>
      </c>
      <c r="N17105" s="3">
        <v>0</v>
      </c>
      <c r="O17105" s="3" t="s">
        <v>10</v>
      </c>
      <c r="P17105" s="3" t="s">
        <v>9</v>
      </c>
      <c r="Q17105" s="3"/>
    </row>
    <row r="17106" spans="1:17" ht="15" x14ac:dyDescent="0.25">
      <c r="A17106" s="3">
        <f>17099</f>
        <v>17099</v>
      </c>
      <c r="B17106" s="3" t="s">
        <v>17108</v>
      </c>
      <c r="C17106" s="3" t="s">
        <v>9</v>
      </c>
      <c r="D17106" s="3" t="s">
        <v>10</v>
      </c>
      <c r="E17106" s="3">
        <v>0</v>
      </c>
      <c r="F17106" s="3">
        <v>0</v>
      </c>
      <c r="G17106" s="3">
        <v>1</v>
      </c>
      <c r="H17106" s="3">
        <v>0</v>
      </c>
      <c r="I17106" s="3">
        <v>0</v>
      </c>
      <c r="J17106" s="3">
        <v>0</v>
      </c>
      <c r="K17106" s="3">
        <v>0</v>
      </c>
      <c r="L17106" s="3">
        <v>1</v>
      </c>
      <c r="M17106" s="3">
        <v>0</v>
      </c>
      <c r="N17106" s="3">
        <v>0</v>
      </c>
      <c r="O17106" s="3" t="s">
        <v>10</v>
      </c>
      <c r="P17106" s="3" t="s">
        <v>9</v>
      </c>
      <c r="Q17106" s="3"/>
    </row>
    <row r="17107" spans="1:17" ht="15" x14ac:dyDescent="0.25">
      <c r="A17107" s="3">
        <f>17100</f>
        <v>17100</v>
      </c>
      <c r="B17107" s="3" t="s">
        <v>17109</v>
      </c>
      <c r="C17107" s="3" t="s">
        <v>9</v>
      </c>
      <c r="D17107" s="3" t="s">
        <v>10</v>
      </c>
      <c r="E17107" s="3">
        <v>0</v>
      </c>
      <c r="F17107" s="3">
        <v>0</v>
      </c>
      <c r="G17107" s="3">
        <v>1</v>
      </c>
      <c r="H17107" s="3">
        <v>0</v>
      </c>
      <c r="I17107" s="3">
        <v>0</v>
      </c>
      <c r="J17107" s="3">
        <v>0</v>
      </c>
      <c r="K17107" s="3">
        <v>0</v>
      </c>
      <c r="L17107" s="3">
        <v>1</v>
      </c>
      <c r="M17107" s="3">
        <v>0</v>
      </c>
      <c r="N17107" s="3">
        <v>0</v>
      </c>
      <c r="O17107" s="3" t="s">
        <v>10</v>
      </c>
      <c r="P17107" s="3" t="s">
        <v>9</v>
      </c>
      <c r="Q17107" s="3"/>
    </row>
    <row r="17108" spans="1:17" ht="15" x14ac:dyDescent="0.25">
      <c r="A17108" s="3">
        <f>17101</f>
        <v>17101</v>
      </c>
      <c r="B17108" s="3" t="s">
        <v>17110</v>
      </c>
      <c r="C17108" s="3" t="s">
        <v>9</v>
      </c>
      <c r="D17108" s="3" t="s">
        <v>10</v>
      </c>
      <c r="E17108" s="3">
        <v>0</v>
      </c>
      <c r="F17108" s="3">
        <v>0</v>
      </c>
      <c r="G17108" s="3">
        <v>1</v>
      </c>
      <c r="H17108" s="3">
        <v>0</v>
      </c>
      <c r="I17108" s="3">
        <v>0</v>
      </c>
      <c r="J17108" s="3">
        <v>0</v>
      </c>
      <c r="K17108" s="3">
        <v>0</v>
      </c>
      <c r="L17108" s="3">
        <v>1</v>
      </c>
      <c r="M17108" s="3">
        <v>0</v>
      </c>
      <c r="N17108" s="3">
        <v>0</v>
      </c>
      <c r="O17108" s="3" t="s">
        <v>10</v>
      </c>
      <c r="P17108" s="3" t="s">
        <v>9</v>
      </c>
      <c r="Q17108" s="3"/>
    </row>
    <row r="17109" spans="1:17" ht="15" x14ac:dyDescent="0.25">
      <c r="A17109" s="3">
        <f>17102</f>
        <v>17102</v>
      </c>
      <c r="B17109" s="3" t="s">
        <v>17111</v>
      </c>
      <c r="C17109" s="3" t="s">
        <v>9</v>
      </c>
      <c r="D17109" s="3" t="s">
        <v>10</v>
      </c>
      <c r="E17109" s="3">
        <v>0</v>
      </c>
      <c r="F17109" s="3">
        <v>0</v>
      </c>
      <c r="G17109" s="3">
        <v>1</v>
      </c>
      <c r="H17109" s="3">
        <v>0</v>
      </c>
      <c r="I17109" s="3">
        <v>0</v>
      </c>
      <c r="J17109" s="3">
        <v>0</v>
      </c>
      <c r="K17109" s="3">
        <v>0</v>
      </c>
      <c r="L17109" s="3">
        <v>1</v>
      </c>
      <c r="M17109" s="3">
        <v>0</v>
      </c>
      <c r="N17109" s="3">
        <v>0</v>
      </c>
      <c r="O17109" s="3" t="s">
        <v>10</v>
      </c>
      <c r="P17109" s="3" t="s">
        <v>9</v>
      </c>
      <c r="Q17109" s="3"/>
    </row>
    <row r="17110" spans="1:17" ht="15" x14ac:dyDescent="0.25">
      <c r="A17110" s="3">
        <f>17103</f>
        <v>17103</v>
      </c>
      <c r="B17110" s="3" t="s">
        <v>17112</v>
      </c>
      <c r="C17110" s="3" t="s">
        <v>9</v>
      </c>
      <c r="D17110" s="3" t="s">
        <v>10</v>
      </c>
      <c r="E17110" s="3">
        <v>0</v>
      </c>
      <c r="F17110" s="3">
        <v>0</v>
      </c>
      <c r="G17110" s="3">
        <v>1</v>
      </c>
      <c r="H17110" s="3">
        <v>0</v>
      </c>
      <c r="I17110" s="3">
        <v>0</v>
      </c>
      <c r="J17110" s="3">
        <v>0</v>
      </c>
      <c r="K17110" s="3">
        <v>0</v>
      </c>
      <c r="L17110" s="3">
        <v>1</v>
      </c>
      <c r="M17110" s="3">
        <v>0</v>
      </c>
      <c r="N17110" s="3">
        <v>0</v>
      </c>
      <c r="O17110" s="3" t="s">
        <v>10</v>
      </c>
      <c r="P17110" s="3" t="s">
        <v>9</v>
      </c>
      <c r="Q17110" s="3"/>
    </row>
    <row r="17111" spans="1:17" ht="15" x14ac:dyDescent="0.25">
      <c r="A17111" s="3">
        <f>17104</f>
        <v>17104</v>
      </c>
      <c r="B17111" s="3" t="s">
        <v>17113</v>
      </c>
      <c r="C17111" s="3" t="s">
        <v>9</v>
      </c>
      <c r="D17111" s="3" t="s">
        <v>10</v>
      </c>
      <c r="E17111" s="3">
        <v>0</v>
      </c>
      <c r="F17111" s="3">
        <v>0</v>
      </c>
      <c r="G17111" s="3">
        <v>1</v>
      </c>
      <c r="H17111" s="3">
        <v>0</v>
      </c>
      <c r="I17111" s="3">
        <v>0</v>
      </c>
      <c r="J17111" s="3">
        <v>0</v>
      </c>
      <c r="K17111" s="3">
        <v>0</v>
      </c>
      <c r="L17111" s="3">
        <v>1</v>
      </c>
      <c r="M17111" s="3">
        <v>0</v>
      </c>
      <c r="N17111" s="3">
        <v>0</v>
      </c>
      <c r="O17111" s="3" t="s">
        <v>10</v>
      </c>
      <c r="P17111" s="3" t="s">
        <v>9</v>
      </c>
      <c r="Q17111" s="3"/>
    </row>
    <row r="17112" spans="1:17" ht="15" x14ac:dyDescent="0.25">
      <c r="A17112" s="3">
        <f>17105</f>
        <v>17105</v>
      </c>
      <c r="B17112" s="3" t="s">
        <v>17114</v>
      </c>
      <c r="C17112" s="3" t="s">
        <v>9</v>
      </c>
      <c r="D17112" s="3" t="s">
        <v>10</v>
      </c>
      <c r="E17112" s="3">
        <v>0</v>
      </c>
      <c r="F17112" s="3">
        <v>0</v>
      </c>
      <c r="G17112" s="3">
        <v>1</v>
      </c>
      <c r="H17112" s="3">
        <v>0</v>
      </c>
      <c r="I17112" s="3">
        <v>0</v>
      </c>
      <c r="J17112" s="3">
        <v>0</v>
      </c>
      <c r="K17112" s="3">
        <v>0</v>
      </c>
      <c r="L17112" s="3">
        <v>1</v>
      </c>
      <c r="M17112" s="3">
        <v>0</v>
      </c>
      <c r="N17112" s="3">
        <v>0</v>
      </c>
      <c r="O17112" s="3" t="s">
        <v>10</v>
      </c>
      <c r="P17112" s="3" t="s">
        <v>9</v>
      </c>
      <c r="Q17112" s="3"/>
    </row>
    <row r="17113" spans="1:17" ht="15" x14ac:dyDescent="0.25">
      <c r="A17113" s="3">
        <f>17106</f>
        <v>17106</v>
      </c>
      <c r="B17113" s="3" t="s">
        <v>17115</v>
      </c>
      <c r="C17113" s="3" t="s">
        <v>9</v>
      </c>
      <c r="D17113" s="3" t="s">
        <v>10</v>
      </c>
      <c r="E17113" s="3">
        <v>0</v>
      </c>
      <c r="F17113" s="3">
        <v>0</v>
      </c>
      <c r="G17113" s="3">
        <v>1</v>
      </c>
      <c r="H17113" s="3">
        <v>0</v>
      </c>
      <c r="I17113" s="3">
        <v>0</v>
      </c>
      <c r="J17113" s="3">
        <v>0</v>
      </c>
      <c r="K17113" s="3">
        <v>0</v>
      </c>
      <c r="L17113" s="3">
        <v>1</v>
      </c>
      <c r="M17113" s="3">
        <v>0</v>
      </c>
      <c r="N17113" s="3">
        <v>0</v>
      </c>
      <c r="O17113" s="3" t="s">
        <v>10</v>
      </c>
      <c r="P17113" s="3" t="s">
        <v>9</v>
      </c>
      <c r="Q17113" s="3"/>
    </row>
    <row r="17114" spans="1:17" ht="15" x14ac:dyDescent="0.25">
      <c r="A17114" s="3">
        <f>17107</f>
        <v>17107</v>
      </c>
      <c r="B17114" s="3" t="s">
        <v>17116</v>
      </c>
      <c r="C17114" s="3" t="s">
        <v>9</v>
      </c>
      <c r="D17114" s="3" t="s">
        <v>10</v>
      </c>
      <c r="E17114" s="3">
        <v>0</v>
      </c>
      <c r="F17114" s="3">
        <v>0</v>
      </c>
      <c r="G17114" s="3">
        <v>1</v>
      </c>
      <c r="H17114" s="3">
        <v>0</v>
      </c>
      <c r="I17114" s="3">
        <v>0</v>
      </c>
      <c r="J17114" s="3">
        <v>0</v>
      </c>
      <c r="K17114" s="3">
        <v>0</v>
      </c>
      <c r="L17114" s="3">
        <v>1</v>
      </c>
      <c r="M17114" s="3">
        <v>0</v>
      </c>
      <c r="N17114" s="3">
        <v>0</v>
      </c>
      <c r="O17114" s="3" t="s">
        <v>10</v>
      </c>
      <c r="P17114" s="3" t="s">
        <v>9</v>
      </c>
      <c r="Q17114" s="3"/>
    </row>
    <row r="17115" spans="1:17" ht="15" x14ac:dyDescent="0.25">
      <c r="A17115" s="3">
        <f>17108</f>
        <v>17108</v>
      </c>
      <c r="B17115" s="3" t="s">
        <v>17117</v>
      </c>
      <c r="C17115" s="3" t="s">
        <v>9</v>
      </c>
      <c r="D17115" s="3" t="s">
        <v>10</v>
      </c>
      <c r="E17115" s="3">
        <v>0</v>
      </c>
      <c r="F17115" s="3">
        <v>0</v>
      </c>
      <c r="G17115" s="3">
        <v>1</v>
      </c>
      <c r="H17115" s="3">
        <v>0</v>
      </c>
      <c r="I17115" s="3">
        <v>0</v>
      </c>
      <c r="J17115" s="3">
        <v>0</v>
      </c>
      <c r="K17115" s="3">
        <v>0</v>
      </c>
      <c r="L17115" s="3">
        <v>1</v>
      </c>
      <c r="M17115" s="3">
        <v>0</v>
      </c>
      <c r="N17115" s="3">
        <v>0</v>
      </c>
      <c r="O17115" s="3" t="s">
        <v>10</v>
      </c>
      <c r="P17115" s="3" t="s">
        <v>9</v>
      </c>
      <c r="Q17115" s="3"/>
    </row>
    <row r="17116" spans="1:17" ht="15" x14ac:dyDescent="0.25">
      <c r="A17116" s="3">
        <f>17109</f>
        <v>17109</v>
      </c>
      <c r="B17116" s="3" t="s">
        <v>17118</v>
      </c>
      <c r="C17116" s="3" t="s">
        <v>9</v>
      </c>
      <c r="D17116" s="3" t="s">
        <v>10</v>
      </c>
      <c r="E17116" s="3">
        <v>0</v>
      </c>
      <c r="F17116" s="3">
        <v>0</v>
      </c>
      <c r="G17116" s="3">
        <v>1</v>
      </c>
      <c r="H17116" s="3">
        <v>0</v>
      </c>
      <c r="I17116" s="3">
        <v>0</v>
      </c>
      <c r="J17116" s="3">
        <v>0</v>
      </c>
      <c r="K17116" s="3">
        <v>0</v>
      </c>
      <c r="L17116" s="3">
        <v>1</v>
      </c>
      <c r="M17116" s="3">
        <v>0</v>
      </c>
      <c r="N17116" s="3">
        <v>0</v>
      </c>
      <c r="O17116" s="3" t="s">
        <v>10</v>
      </c>
      <c r="P17116" s="3" t="s">
        <v>9</v>
      </c>
      <c r="Q17116" s="3"/>
    </row>
    <row r="17117" spans="1:17" ht="15" x14ac:dyDescent="0.25">
      <c r="A17117" s="3">
        <f>17110</f>
        <v>17110</v>
      </c>
      <c r="B17117" s="3" t="s">
        <v>17119</v>
      </c>
      <c r="C17117" s="3" t="s">
        <v>9</v>
      </c>
      <c r="D17117" s="3" t="s">
        <v>10</v>
      </c>
      <c r="E17117" s="3">
        <v>0</v>
      </c>
      <c r="F17117" s="3">
        <v>0</v>
      </c>
      <c r="G17117" s="3">
        <v>1</v>
      </c>
      <c r="H17117" s="3">
        <v>0</v>
      </c>
      <c r="I17117" s="3">
        <v>0</v>
      </c>
      <c r="J17117" s="3">
        <v>0</v>
      </c>
      <c r="K17117" s="3">
        <v>0</v>
      </c>
      <c r="L17117" s="3">
        <v>1</v>
      </c>
      <c r="M17117" s="3">
        <v>0</v>
      </c>
      <c r="N17117" s="3">
        <v>0</v>
      </c>
      <c r="O17117" s="3" t="s">
        <v>10</v>
      </c>
      <c r="P17117" s="3" t="s">
        <v>9</v>
      </c>
      <c r="Q17117" s="3"/>
    </row>
    <row r="17118" spans="1:17" ht="15" x14ac:dyDescent="0.25">
      <c r="A17118" s="3">
        <f>17111</f>
        <v>17111</v>
      </c>
      <c r="B17118" s="3" t="s">
        <v>17120</v>
      </c>
      <c r="C17118" s="3" t="s">
        <v>9</v>
      </c>
      <c r="D17118" s="3" t="s">
        <v>10</v>
      </c>
      <c r="E17118" s="3">
        <v>0</v>
      </c>
      <c r="F17118" s="3">
        <v>0</v>
      </c>
      <c r="G17118" s="3">
        <v>1</v>
      </c>
      <c r="H17118" s="3">
        <v>0</v>
      </c>
      <c r="I17118" s="3">
        <v>0</v>
      </c>
      <c r="J17118" s="3">
        <v>0</v>
      </c>
      <c r="K17118" s="3">
        <v>0</v>
      </c>
      <c r="L17118" s="3">
        <v>1</v>
      </c>
      <c r="M17118" s="3">
        <v>0</v>
      </c>
      <c r="N17118" s="3">
        <v>0</v>
      </c>
      <c r="O17118" s="3" t="s">
        <v>10</v>
      </c>
      <c r="P17118" s="3" t="s">
        <v>9</v>
      </c>
      <c r="Q17118" s="3"/>
    </row>
    <row r="17119" spans="1:17" ht="15" x14ac:dyDescent="0.25">
      <c r="A17119" s="3">
        <f>17112</f>
        <v>17112</v>
      </c>
      <c r="B17119" s="3" t="s">
        <v>17121</v>
      </c>
      <c r="C17119" s="3" t="s">
        <v>9</v>
      </c>
      <c r="D17119" s="3" t="s">
        <v>10</v>
      </c>
      <c r="E17119" s="3">
        <v>0</v>
      </c>
      <c r="F17119" s="3">
        <v>0</v>
      </c>
      <c r="G17119" s="3">
        <v>1</v>
      </c>
      <c r="H17119" s="3">
        <v>0</v>
      </c>
      <c r="I17119" s="3">
        <v>0</v>
      </c>
      <c r="J17119" s="3">
        <v>0</v>
      </c>
      <c r="K17119" s="3">
        <v>0</v>
      </c>
      <c r="L17119" s="3">
        <v>1</v>
      </c>
      <c r="M17119" s="3">
        <v>0</v>
      </c>
      <c r="N17119" s="3">
        <v>0</v>
      </c>
      <c r="O17119" s="3" t="s">
        <v>10</v>
      </c>
      <c r="P17119" s="3" t="s">
        <v>9</v>
      </c>
      <c r="Q17119" s="3"/>
    </row>
    <row r="17120" spans="1:17" ht="15" x14ac:dyDescent="0.25">
      <c r="A17120" s="3">
        <f>17113</f>
        <v>17113</v>
      </c>
      <c r="B17120" s="3" t="s">
        <v>17122</v>
      </c>
      <c r="C17120" s="3" t="s">
        <v>9</v>
      </c>
      <c r="D17120" s="3" t="s">
        <v>10</v>
      </c>
      <c r="E17120" s="3">
        <v>0</v>
      </c>
      <c r="F17120" s="3">
        <v>0</v>
      </c>
      <c r="G17120" s="3">
        <v>1</v>
      </c>
      <c r="H17120" s="3">
        <v>0</v>
      </c>
      <c r="I17120" s="3">
        <v>0</v>
      </c>
      <c r="J17120" s="3">
        <v>0</v>
      </c>
      <c r="K17120" s="3">
        <v>0</v>
      </c>
      <c r="L17120" s="3">
        <v>1</v>
      </c>
      <c r="M17120" s="3">
        <v>0</v>
      </c>
      <c r="N17120" s="3">
        <v>0</v>
      </c>
      <c r="O17120" s="3" t="s">
        <v>10</v>
      </c>
      <c r="P17120" s="3" t="s">
        <v>9</v>
      </c>
      <c r="Q17120" s="3"/>
    </row>
    <row r="17121" spans="1:17" ht="15" x14ac:dyDescent="0.25">
      <c r="A17121" s="3">
        <f>17114</f>
        <v>17114</v>
      </c>
      <c r="B17121" s="3" t="s">
        <v>17123</v>
      </c>
      <c r="C17121" s="3" t="s">
        <v>9</v>
      </c>
      <c r="D17121" s="3" t="s">
        <v>10</v>
      </c>
      <c r="E17121" s="3">
        <v>0</v>
      </c>
      <c r="F17121" s="3">
        <v>0</v>
      </c>
      <c r="G17121" s="3">
        <v>1</v>
      </c>
      <c r="H17121" s="3">
        <v>0</v>
      </c>
      <c r="I17121" s="3">
        <v>0</v>
      </c>
      <c r="J17121" s="3">
        <v>0</v>
      </c>
      <c r="K17121" s="3">
        <v>0</v>
      </c>
      <c r="L17121" s="3">
        <v>1</v>
      </c>
      <c r="M17121" s="3">
        <v>0</v>
      </c>
      <c r="N17121" s="3">
        <v>0</v>
      </c>
      <c r="O17121" s="3" t="s">
        <v>10</v>
      </c>
      <c r="P17121" s="3" t="s">
        <v>9</v>
      </c>
      <c r="Q17121" s="3"/>
    </row>
    <row r="17122" spans="1:17" ht="15" x14ac:dyDescent="0.25">
      <c r="A17122" s="3">
        <f>17115</f>
        <v>17115</v>
      </c>
      <c r="B17122" s="3" t="s">
        <v>17124</v>
      </c>
      <c r="C17122" s="3" t="s">
        <v>9</v>
      </c>
      <c r="D17122" s="3" t="s">
        <v>10</v>
      </c>
      <c r="E17122" s="3">
        <v>0</v>
      </c>
      <c r="F17122" s="3">
        <v>0</v>
      </c>
      <c r="G17122" s="3">
        <v>1</v>
      </c>
      <c r="H17122" s="3">
        <v>0</v>
      </c>
      <c r="I17122" s="3">
        <v>0</v>
      </c>
      <c r="J17122" s="3">
        <v>0</v>
      </c>
      <c r="K17122" s="3">
        <v>0</v>
      </c>
      <c r="L17122" s="3">
        <v>1</v>
      </c>
      <c r="M17122" s="3">
        <v>0</v>
      </c>
      <c r="N17122" s="3">
        <v>0</v>
      </c>
      <c r="O17122" s="3" t="s">
        <v>10</v>
      </c>
      <c r="P17122" s="3" t="s">
        <v>9</v>
      </c>
      <c r="Q17122" s="3"/>
    </row>
    <row r="17123" spans="1:17" ht="15" x14ac:dyDescent="0.25">
      <c r="A17123" s="3">
        <f>17116</f>
        <v>17116</v>
      </c>
      <c r="B17123" s="3" t="s">
        <v>17125</v>
      </c>
      <c r="C17123" s="3" t="s">
        <v>9</v>
      </c>
      <c r="D17123" s="3" t="s">
        <v>10</v>
      </c>
      <c r="E17123" s="3">
        <v>0</v>
      </c>
      <c r="F17123" s="3">
        <v>0</v>
      </c>
      <c r="G17123" s="3">
        <v>1</v>
      </c>
      <c r="H17123" s="3">
        <v>0</v>
      </c>
      <c r="I17123" s="3">
        <v>0</v>
      </c>
      <c r="J17123" s="3">
        <v>0</v>
      </c>
      <c r="K17123" s="3">
        <v>0</v>
      </c>
      <c r="L17123" s="3">
        <v>1</v>
      </c>
      <c r="M17123" s="3">
        <v>0</v>
      </c>
      <c r="N17123" s="3">
        <v>0</v>
      </c>
      <c r="O17123" s="3" t="s">
        <v>10</v>
      </c>
      <c r="P17123" s="3" t="s">
        <v>9</v>
      </c>
      <c r="Q17123" s="3"/>
    </row>
    <row r="17124" spans="1:17" ht="15" x14ac:dyDescent="0.25">
      <c r="A17124" s="3">
        <f>17117</f>
        <v>17117</v>
      </c>
      <c r="B17124" s="3" t="s">
        <v>17126</v>
      </c>
      <c r="C17124" s="3" t="s">
        <v>10</v>
      </c>
      <c r="D17124" s="3" t="s">
        <v>9</v>
      </c>
      <c r="E17124" s="3">
        <v>0</v>
      </c>
      <c r="F17124" s="3">
        <v>0</v>
      </c>
      <c r="G17124" s="3">
        <v>1</v>
      </c>
      <c r="H17124" s="3">
        <v>0</v>
      </c>
      <c r="I17124" s="3">
        <v>0</v>
      </c>
      <c r="J17124" s="3">
        <v>0</v>
      </c>
      <c r="K17124" s="3">
        <v>0</v>
      </c>
      <c r="L17124" s="3">
        <v>1</v>
      </c>
      <c r="M17124" s="3">
        <v>0</v>
      </c>
      <c r="N17124" s="3">
        <v>0</v>
      </c>
      <c r="O17124" s="3" t="s">
        <v>10</v>
      </c>
      <c r="P17124" s="3" t="s">
        <v>9</v>
      </c>
      <c r="Q17124" s="3"/>
    </row>
    <row r="17125" spans="1:17" ht="15" x14ac:dyDescent="0.25">
      <c r="A17125" s="3">
        <f>17118</f>
        <v>17118</v>
      </c>
      <c r="B17125" s="3" t="s">
        <v>17127</v>
      </c>
      <c r="C17125" s="3" t="s">
        <v>10</v>
      </c>
      <c r="D17125" s="3" t="s">
        <v>9</v>
      </c>
      <c r="E17125" s="3">
        <v>0</v>
      </c>
      <c r="F17125" s="3">
        <v>0</v>
      </c>
      <c r="G17125" s="3">
        <v>1</v>
      </c>
      <c r="H17125" s="3">
        <v>0</v>
      </c>
      <c r="I17125" s="3">
        <v>0</v>
      </c>
      <c r="J17125" s="3">
        <v>0</v>
      </c>
      <c r="K17125" s="3">
        <v>0</v>
      </c>
      <c r="L17125" s="3">
        <v>1</v>
      </c>
      <c r="M17125" s="3">
        <v>0</v>
      </c>
      <c r="N17125" s="3">
        <v>0</v>
      </c>
      <c r="O17125" s="3" t="s">
        <v>10</v>
      </c>
      <c r="P17125" s="3" t="s">
        <v>9</v>
      </c>
      <c r="Q17125" s="3"/>
    </row>
    <row r="17126" spans="1:17" ht="15" x14ac:dyDescent="0.25">
      <c r="A17126" s="3">
        <f>17119</f>
        <v>17119</v>
      </c>
      <c r="B17126" s="3" t="s">
        <v>17128</v>
      </c>
      <c r="C17126" s="3" t="s">
        <v>10</v>
      </c>
      <c r="D17126" s="3" t="s">
        <v>9</v>
      </c>
      <c r="E17126" s="3">
        <v>0</v>
      </c>
      <c r="F17126" s="3">
        <v>0</v>
      </c>
      <c r="G17126" s="3">
        <v>1</v>
      </c>
      <c r="H17126" s="3">
        <v>0</v>
      </c>
      <c r="I17126" s="3">
        <v>0</v>
      </c>
      <c r="J17126" s="3">
        <v>0</v>
      </c>
      <c r="K17126" s="3">
        <v>0</v>
      </c>
      <c r="L17126" s="3">
        <v>1</v>
      </c>
      <c r="M17126" s="3">
        <v>0</v>
      </c>
      <c r="N17126" s="3">
        <v>0</v>
      </c>
      <c r="O17126" s="3" t="s">
        <v>10</v>
      </c>
      <c r="P17126" s="3" t="s">
        <v>9</v>
      </c>
      <c r="Q17126" s="3"/>
    </row>
    <row r="17127" spans="1:17" ht="15" x14ac:dyDescent="0.25">
      <c r="A17127" s="3">
        <f>17120</f>
        <v>17120</v>
      </c>
      <c r="B17127" s="3" t="s">
        <v>17129</v>
      </c>
      <c r="C17127" s="3" t="s">
        <v>10</v>
      </c>
      <c r="D17127" s="3" t="s">
        <v>9</v>
      </c>
      <c r="E17127" s="3">
        <v>0</v>
      </c>
      <c r="F17127" s="3">
        <v>0</v>
      </c>
      <c r="G17127" s="3">
        <v>1</v>
      </c>
      <c r="H17127" s="3">
        <v>0</v>
      </c>
      <c r="I17127" s="3">
        <v>0</v>
      </c>
      <c r="J17127" s="3">
        <v>0</v>
      </c>
      <c r="K17127" s="3">
        <v>0</v>
      </c>
      <c r="L17127" s="3">
        <v>1</v>
      </c>
      <c r="M17127" s="3">
        <v>0</v>
      </c>
      <c r="N17127" s="3">
        <v>0</v>
      </c>
      <c r="O17127" s="3" t="s">
        <v>10</v>
      </c>
      <c r="P17127" s="3" t="s">
        <v>9</v>
      </c>
      <c r="Q17127" s="3"/>
    </row>
    <row r="17128" spans="1:17" ht="15" x14ac:dyDescent="0.25">
      <c r="A17128" s="3">
        <f>17121</f>
        <v>17121</v>
      </c>
      <c r="B17128" s="3" t="s">
        <v>17130</v>
      </c>
      <c r="C17128" s="3" t="s">
        <v>10</v>
      </c>
      <c r="D17128" s="3" t="s">
        <v>9</v>
      </c>
      <c r="E17128" s="3">
        <v>0</v>
      </c>
      <c r="F17128" s="3">
        <v>0</v>
      </c>
      <c r="G17128" s="3">
        <v>1</v>
      </c>
      <c r="H17128" s="3">
        <v>0</v>
      </c>
      <c r="I17128" s="3">
        <v>0</v>
      </c>
      <c r="J17128" s="3">
        <v>0</v>
      </c>
      <c r="K17128" s="3">
        <v>0</v>
      </c>
      <c r="L17128" s="3">
        <v>1</v>
      </c>
      <c r="M17128" s="3">
        <v>0</v>
      </c>
      <c r="N17128" s="3">
        <v>0</v>
      </c>
      <c r="O17128" s="3" t="s">
        <v>10</v>
      </c>
      <c r="P17128" s="3" t="s">
        <v>9</v>
      </c>
      <c r="Q17128" s="3"/>
    </row>
    <row r="17129" spans="1:17" ht="15" x14ac:dyDescent="0.25">
      <c r="A17129" s="3">
        <f>17122</f>
        <v>17122</v>
      </c>
      <c r="B17129" s="3" t="s">
        <v>17131</v>
      </c>
      <c r="C17129" s="3" t="s">
        <v>10</v>
      </c>
      <c r="D17129" s="3" t="s">
        <v>9</v>
      </c>
      <c r="E17129" s="3">
        <v>0</v>
      </c>
      <c r="F17129" s="3">
        <v>0</v>
      </c>
      <c r="G17129" s="3">
        <v>1</v>
      </c>
      <c r="H17129" s="3">
        <v>0</v>
      </c>
      <c r="I17129" s="3">
        <v>0</v>
      </c>
      <c r="J17129" s="3">
        <v>0</v>
      </c>
      <c r="K17129" s="3">
        <v>0</v>
      </c>
      <c r="L17129" s="3">
        <v>1</v>
      </c>
      <c r="M17129" s="3">
        <v>0</v>
      </c>
      <c r="N17129" s="3">
        <v>0</v>
      </c>
      <c r="O17129" s="3" t="s">
        <v>10</v>
      </c>
      <c r="P17129" s="3" t="s">
        <v>9</v>
      </c>
      <c r="Q17129" s="3"/>
    </row>
    <row r="17130" spans="1:17" ht="15" x14ac:dyDescent="0.25">
      <c r="A17130" s="3">
        <f>17123</f>
        <v>17123</v>
      </c>
      <c r="B17130" s="3" t="s">
        <v>17132</v>
      </c>
      <c r="C17130" s="3" t="s">
        <v>10</v>
      </c>
      <c r="D17130" s="3" t="s">
        <v>9</v>
      </c>
      <c r="E17130" s="3">
        <v>0</v>
      </c>
      <c r="F17130" s="3">
        <v>0</v>
      </c>
      <c r="G17130" s="3">
        <v>1</v>
      </c>
      <c r="H17130" s="3">
        <v>0</v>
      </c>
      <c r="I17130" s="3">
        <v>0</v>
      </c>
      <c r="J17130" s="3">
        <v>0</v>
      </c>
      <c r="K17130" s="3">
        <v>0</v>
      </c>
      <c r="L17130" s="3">
        <v>1</v>
      </c>
      <c r="M17130" s="3">
        <v>0</v>
      </c>
      <c r="N17130" s="3">
        <v>0</v>
      </c>
      <c r="O17130" s="3" t="s">
        <v>10</v>
      </c>
      <c r="P17130" s="3" t="s">
        <v>9</v>
      </c>
      <c r="Q17130" s="3"/>
    </row>
    <row r="17131" spans="1:17" ht="15" x14ac:dyDescent="0.25">
      <c r="A17131" s="3">
        <f>17124</f>
        <v>17124</v>
      </c>
      <c r="B17131" s="3" t="s">
        <v>17133</v>
      </c>
      <c r="C17131" s="3" t="s">
        <v>10</v>
      </c>
      <c r="D17131" s="3" t="s">
        <v>9</v>
      </c>
      <c r="E17131" s="3">
        <v>0</v>
      </c>
      <c r="F17131" s="3">
        <v>0</v>
      </c>
      <c r="G17131" s="3">
        <v>1</v>
      </c>
      <c r="H17131" s="3">
        <v>0</v>
      </c>
      <c r="I17131" s="3">
        <v>0</v>
      </c>
      <c r="J17131" s="3">
        <v>0</v>
      </c>
      <c r="K17131" s="3">
        <v>0</v>
      </c>
      <c r="L17131" s="3">
        <v>1</v>
      </c>
      <c r="M17131" s="3">
        <v>0</v>
      </c>
      <c r="N17131" s="3">
        <v>0</v>
      </c>
      <c r="O17131" s="3" t="s">
        <v>10</v>
      </c>
      <c r="P17131" s="3" t="s">
        <v>9</v>
      </c>
      <c r="Q17131" s="3"/>
    </row>
    <row r="17132" spans="1:17" ht="15" x14ac:dyDescent="0.25">
      <c r="A17132" s="3">
        <f>17125</f>
        <v>17125</v>
      </c>
      <c r="B17132" s="3" t="s">
        <v>17134</v>
      </c>
      <c r="C17132" s="3" t="s">
        <v>10</v>
      </c>
      <c r="D17132" s="3" t="s">
        <v>9</v>
      </c>
      <c r="E17132" s="3">
        <v>0</v>
      </c>
      <c r="F17132" s="3">
        <v>0</v>
      </c>
      <c r="G17132" s="3">
        <v>1</v>
      </c>
      <c r="H17132" s="3">
        <v>0</v>
      </c>
      <c r="I17132" s="3">
        <v>0</v>
      </c>
      <c r="J17132" s="3">
        <v>0</v>
      </c>
      <c r="K17132" s="3">
        <v>0</v>
      </c>
      <c r="L17132" s="3">
        <v>1</v>
      </c>
      <c r="M17132" s="3">
        <v>0</v>
      </c>
      <c r="N17132" s="3">
        <v>0</v>
      </c>
      <c r="O17132" s="3" t="s">
        <v>10</v>
      </c>
      <c r="P17132" s="3" t="s">
        <v>9</v>
      </c>
      <c r="Q17132" s="3"/>
    </row>
    <row r="17133" spans="1:17" ht="15" x14ac:dyDescent="0.25">
      <c r="A17133" s="3">
        <f>17126</f>
        <v>17126</v>
      </c>
      <c r="B17133" s="3" t="s">
        <v>17135</v>
      </c>
      <c r="C17133" s="3" t="s">
        <v>10</v>
      </c>
      <c r="D17133" s="3" t="s">
        <v>9</v>
      </c>
      <c r="E17133" s="3">
        <v>0</v>
      </c>
      <c r="F17133" s="3">
        <v>0</v>
      </c>
      <c r="G17133" s="3">
        <v>1</v>
      </c>
      <c r="H17133" s="3">
        <v>0</v>
      </c>
      <c r="I17133" s="3">
        <v>0</v>
      </c>
      <c r="J17133" s="3">
        <v>0</v>
      </c>
      <c r="K17133" s="3">
        <v>0</v>
      </c>
      <c r="L17133" s="3">
        <v>1</v>
      </c>
      <c r="M17133" s="3">
        <v>0</v>
      </c>
      <c r="N17133" s="3">
        <v>0</v>
      </c>
      <c r="O17133" s="3" t="s">
        <v>10</v>
      </c>
      <c r="P17133" s="3" t="s">
        <v>9</v>
      </c>
      <c r="Q17133" s="3"/>
    </row>
    <row r="17134" spans="1:17" ht="15" x14ac:dyDescent="0.25">
      <c r="A17134" s="3">
        <f>17127</f>
        <v>17127</v>
      </c>
      <c r="B17134" s="3" t="s">
        <v>17136</v>
      </c>
      <c r="C17134" s="3" t="s">
        <v>10</v>
      </c>
      <c r="D17134" s="3" t="s">
        <v>9</v>
      </c>
      <c r="E17134" s="3">
        <v>0</v>
      </c>
      <c r="F17134" s="3">
        <v>0</v>
      </c>
      <c r="G17134" s="3">
        <v>1</v>
      </c>
      <c r="H17134" s="3">
        <v>0</v>
      </c>
      <c r="I17134" s="3">
        <v>0</v>
      </c>
      <c r="J17134" s="3">
        <v>0</v>
      </c>
      <c r="K17134" s="3">
        <v>0</v>
      </c>
      <c r="L17134" s="3">
        <v>1</v>
      </c>
      <c r="M17134" s="3">
        <v>0</v>
      </c>
      <c r="N17134" s="3">
        <v>0</v>
      </c>
      <c r="O17134" s="3" t="s">
        <v>10</v>
      </c>
      <c r="P17134" s="3" t="s">
        <v>9</v>
      </c>
      <c r="Q17134" s="3"/>
    </row>
    <row r="17135" spans="1:17" ht="15" x14ac:dyDescent="0.25">
      <c r="A17135" s="3">
        <f>17128</f>
        <v>17128</v>
      </c>
      <c r="B17135" s="3" t="s">
        <v>17137</v>
      </c>
      <c r="C17135" s="3" t="s">
        <v>10</v>
      </c>
      <c r="D17135" s="3" t="s">
        <v>9</v>
      </c>
      <c r="E17135" s="3">
        <v>0</v>
      </c>
      <c r="F17135" s="3">
        <v>0</v>
      </c>
      <c r="G17135" s="3">
        <v>1</v>
      </c>
      <c r="H17135" s="3">
        <v>0</v>
      </c>
      <c r="I17135" s="3">
        <v>0</v>
      </c>
      <c r="J17135" s="3">
        <v>0</v>
      </c>
      <c r="K17135" s="3">
        <v>0</v>
      </c>
      <c r="L17135" s="3">
        <v>1</v>
      </c>
      <c r="M17135" s="3">
        <v>0</v>
      </c>
      <c r="N17135" s="3">
        <v>0</v>
      </c>
      <c r="O17135" s="3" t="s">
        <v>10</v>
      </c>
      <c r="P17135" s="3" t="s">
        <v>9</v>
      </c>
      <c r="Q17135" s="3"/>
    </row>
    <row r="17136" spans="1:17" ht="15" x14ac:dyDescent="0.25">
      <c r="A17136" s="3">
        <f>17129</f>
        <v>17129</v>
      </c>
      <c r="B17136" s="3" t="s">
        <v>17138</v>
      </c>
      <c r="C17136" s="3" t="s">
        <v>10</v>
      </c>
      <c r="D17136" s="3" t="s">
        <v>9</v>
      </c>
      <c r="E17136" s="3">
        <v>0</v>
      </c>
      <c r="F17136" s="3">
        <v>0</v>
      </c>
      <c r="G17136" s="3">
        <v>1</v>
      </c>
      <c r="H17136" s="3">
        <v>0</v>
      </c>
      <c r="I17136" s="3">
        <v>0</v>
      </c>
      <c r="J17136" s="3">
        <v>0</v>
      </c>
      <c r="K17136" s="3">
        <v>0</v>
      </c>
      <c r="L17136" s="3">
        <v>1</v>
      </c>
      <c r="M17136" s="3">
        <v>0</v>
      </c>
      <c r="N17136" s="3">
        <v>0</v>
      </c>
      <c r="O17136" s="3" t="s">
        <v>10</v>
      </c>
      <c r="P17136" s="3" t="s">
        <v>9</v>
      </c>
      <c r="Q17136" s="3"/>
    </row>
    <row r="17137" spans="1:17" ht="15" x14ac:dyDescent="0.25">
      <c r="A17137" s="3">
        <f>17130</f>
        <v>17130</v>
      </c>
      <c r="B17137" s="3" t="s">
        <v>17139</v>
      </c>
      <c r="C17137" s="3" t="s">
        <v>10</v>
      </c>
      <c r="D17137" s="3" t="s">
        <v>9</v>
      </c>
      <c r="E17137" s="3">
        <v>0</v>
      </c>
      <c r="F17137" s="3">
        <v>0</v>
      </c>
      <c r="G17137" s="3">
        <v>1</v>
      </c>
      <c r="H17137" s="3">
        <v>0</v>
      </c>
      <c r="I17137" s="3">
        <v>0</v>
      </c>
      <c r="J17137" s="3">
        <v>0</v>
      </c>
      <c r="K17137" s="3">
        <v>0</v>
      </c>
      <c r="L17137" s="3">
        <v>1</v>
      </c>
      <c r="M17137" s="3">
        <v>0</v>
      </c>
      <c r="N17137" s="3">
        <v>0</v>
      </c>
      <c r="O17137" s="3" t="s">
        <v>10</v>
      </c>
      <c r="P17137" s="3" t="s">
        <v>9</v>
      </c>
      <c r="Q17137" s="3"/>
    </row>
    <row r="17138" spans="1:17" ht="15" x14ac:dyDescent="0.25">
      <c r="A17138" s="3">
        <f>17131</f>
        <v>17131</v>
      </c>
      <c r="B17138" s="3" t="s">
        <v>17140</v>
      </c>
      <c r="C17138" s="3" t="s">
        <v>10</v>
      </c>
      <c r="D17138" s="3" t="s">
        <v>9</v>
      </c>
      <c r="E17138" s="3">
        <v>0</v>
      </c>
      <c r="F17138" s="3">
        <v>0</v>
      </c>
      <c r="G17138" s="3">
        <v>1</v>
      </c>
      <c r="H17138" s="3">
        <v>0</v>
      </c>
      <c r="I17138" s="3">
        <v>0</v>
      </c>
      <c r="J17138" s="3">
        <v>0</v>
      </c>
      <c r="K17138" s="3">
        <v>0</v>
      </c>
      <c r="L17138" s="3">
        <v>1</v>
      </c>
      <c r="M17138" s="3">
        <v>0</v>
      </c>
      <c r="N17138" s="3">
        <v>0</v>
      </c>
      <c r="O17138" s="3" t="s">
        <v>10</v>
      </c>
      <c r="P17138" s="3" t="s">
        <v>9</v>
      </c>
      <c r="Q17138" s="3"/>
    </row>
    <row r="17139" spans="1:17" ht="15" x14ac:dyDescent="0.25">
      <c r="A17139" s="3">
        <f>17132</f>
        <v>17132</v>
      </c>
      <c r="B17139" s="3" t="s">
        <v>17141</v>
      </c>
      <c r="C17139" s="3" t="s">
        <v>10</v>
      </c>
      <c r="D17139" s="3" t="s">
        <v>9</v>
      </c>
      <c r="E17139" s="3">
        <v>0</v>
      </c>
      <c r="F17139" s="3">
        <v>0</v>
      </c>
      <c r="G17139" s="3">
        <v>1</v>
      </c>
      <c r="H17139" s="3">
        <v>0</v>
      </c>
      <c r="I17139" s="3">
        <v>0</v>
      </c>
      <c r="J17139" s="3">
        <v>0</v>
      </c>
      <c r="K17139" s="3">
        <v>0</v>
      </c>
      <c r="L17139" s="3">
        <v>1</v>
      </c>
      <c r="M17139" s="3">
        <v>0</v>
      </c>
      <c r="N17139" s="3">
        <v>0</v>
      </c>
      <c r="O17139" s="3" t="s">
        <v>10</v>
      </c>
      <c r="P17139" s="3" t="s">
        <v>9</v>
      </c>
      <c r="Q17139" s="3"/>
    </row>
    <row r="17140" spans="1:17" ht="15" x14ac:dyDescent="0.25">
      <c r="A17140" s="3">
        <f>17133</f>
        <v>17133</v>
      </c>
      <c r="B17140" s="3" t="s">
        <v>17142</v>
      </c>
      <c r="C17140" s="3" t="s">
        <v>10</v>
      </c>
      <c r="D17140" s="3" t="s">
        <v>9</v>
      </c>
      <c r="E17140" s="3">
        <v>0</v>
      </c>
      <c r="F17140" s="3">
        <v>0</v>
      </c>
      <c r="G17140" s="3">
        <v>1</v>
      </c>
      <c r="H17140" s="3">
        <v>0</v>
      </c>
      <c r="I17140" s="3">
        <v>0</v>
      </c>
      <c r="J17140" s="3">
        <v>0</v>
      </c>
      <c r="K17140" s="3">
        <v>0</v>
      </c>
      <c r="L17140" s="3">
        <v>1</v>
      </c>
      <c r="M17140" s="3">
        <v>0</v>
      </c>
      <c r="N17140" s="3">
        <v>0</v>
      </c>
      <c r="O17140" s="3" t="s">
        <v>10</v>
      </c>
      <c r="P17140" s="3" t="s">
        <v>9</v>
      </c>
      <c r="Q17140" s="3"/>
    </row>
    <row r="17141" spans="1:17" ht="15" x14ac:dyDescent="0.25">
      <c r="A17141" s="3">
        <f>17134</f>
        <v>17134</v>
      </c>
      <c r="B17141" s="3" t="s">
        <v>17143</v>
      </c>
      <c r="C17141" s="3" t="s">
        <v>10</v>
      </c>
      <c r="D17141" s="3" t="s">
        <v>9</v>
      </c>
      <c r="E17141" s="3">
        <v>0</v>
      </c>
      <c r="F17141" s="3">
        <v>0</v>
      </c>
      <c r="G17141" s="3">
        <v>1</v>
      </c>
      <c r="H17141" s="3">
        <v>0</v>
      </c>
      <c r="I17141" s="3">
        <v>0</v>
      </c>
      <c r="J17141" s="3">
        <v>0</v>
      </c>
      <c r="K17141" s="3">
        <v>0</v>
      </c>
      <c r="L17141" s="3">
        <v>1</v>
      </c>
      <c r="M17141" s="3">
        <v>0</v>
      </c>
      <c r="N17141" s="3">
        <v>0</v>
      </c>
      <c r="O17141" s="3" t="s">
        <v>10</v>
      </c>
      <c r="P17141" s="3" t="s">
        <v>9</v>
      </c>
      <c r="Q17141" s="3"/>
    </row>
    <row r="17142" spans="1:17" ht="15" x14ac:dyDescent="0.25">
      <c r="A17142" s="3">
        <f>17135</f>
        <v>17135</v>
      </c>
      <c r="B17142" s="3" t="s">
        <v>17144</v>
      </c>
      <c r="C17142" s="3" t="s">
        <v>10</v>
      </c>
      <c r="D17142" s="3" t="s">
        <v>9</v>
      </c>
      <c r="E17142" s="3">
        <v>0</v>
      </c>
      <c r="F17142" s="3">
        <v>0</v>
      </c>
      <c r="G17142" s="3">
        <v>1</v>
      </c>
      <c r="H17142" s="3">
        <v>0</v>
      </c>
      <c r="I17142" s="3">
        <v>0</v>
      </c>
      <c r="J17142" s="3">
        <v>0</v>
      </c>
      <c r="K17142" s="3">
        <v>0</v>
      </c>
      <c r="L17142" s="3">
        <v>1</v>
      </c>
      <c r="M17142" s="3">
        <v>0</v>
      </c>
      <c r="N17142" s="3">
        <v>0</v>
      </c>
      <c r="O17142" s="3" t="s">
        <v>10</v>
      </c>
      <c r="P17142" s="3" t="s">
        <v>9</v>
      </c>
      <c r="Q17142" s="3"/>
    </row>
    <row r="17143" spans="1:17" ht="15" x14ac:dyDescent="0.25">
      <c r="A17143" s="3">
        <f>17136</f>
        <v>17136</v>
      </c>
      <c r="B17143" s="3" t="s">
        <v>17145</v>
      </c>
      <c r="C17143" s="3" t="s">
        <v>10</v>
      </c>
      <c r="D17143" s="3" t="s">
        <v>9</v>
      </c>
      <c r="E17143" s="3">
        <v>0</v>
      </c>
      <c r="F17143" s="3">
        <v>0</v>
      </c>
      <c r="G17143" s="3">
        <v>1</v>
      </c>
      <c r="H17143" s="3">
        <v>0</v>
      </c>
      <c r="I17143" s="3">
        <v>0</v>
      </c>
      <c r="J17143" s="3">
        <v>0</v>
      </c>
      <c r="K17143" s="3">
        <v>0</v>
      </c>
      <c r="L17143" s="3">
        <v>1</v>
      </c>
      <c r="M17143" s="3">
        <v>0</v>
      </c>
      <c r="N17143" s="3">
        <v>0</v>
      </c>
      <c r="O17143" s="3" t="s">
        <v>10</v>
      </c>
      <c r="P17143" s="3" t="s">
        <v>9</v>
      </c>
      <c r="Q17143" s="3"/>
    </row>
    <row r="17144" spans="1:17" ht="15" x14ac:dyDescent="0.25">
      <c r="A17144" s="3">
        <f>17137</f>
        <v>17137</v>
      </c>
      <c r="B17144" s="3" t="s">
        <v>17146</v>
      </c>
      <c r="C17144" s="3" t="s">
        <v>10</v>
      </c>
      <c r="D17144" s="3" t="s">
        <v>9</v>
      </c>
      <c r="E17144" s="3">
        <v>0</v>
      </c>
      <c r="F17144" s="3">
        <v>0</v>
      </c>
      <c r="G17144" s="3">
        <v>1</v>
      </c>
      <c r="H17144" s="3">
        <v>0</v>
      </c>
      <c r="I17144" s="3">
        <v>0</v>
      </c>
      <c r="J17144" s="3">
        <v>0</v>
      </c>
      <c r="K17144" s="3">
        <v>0</v>
      </c>
      <c r="L17144" s="3">
        <v>1</v>
      </c>
      <c r="M17144" s="3">
        <v>0</v>
      </c>
      <c r="N17144" s="3">
        <v>0</v>
      </c>
      <c r="O17144" s="3" t="s">
        <v>10</v>
      </c>
      <c r="P17144" s="3" t="s">
        <v>9</v>
      </c>
      <c r="Q17144" s="3"/>
    </row>
    <row r="17145" spans="1:17" ht="15" x14ac:dyDescent="0.25">
      <c r="A17145" s="3">
        <f>17138</f>
        <v>17138</v>
      </c>
      <c r="B17145" s="3" t="s">
        <v>17147</v>
      </c>
      <c r="C17145" s="3" t="s">
        <v>10</v>
      </c>
      <c r="D17145" s="3" t="s">
        <v>9</v>
      </c>
      <c r="E17145" s="3">
        <v>0</v>
      </c>
      <c r="F17145" s="3">
        <v>0</v>
      </c>
      <c r="G17145" s="3">
        <v>1</v>
      </c>
      <c r="H17145" s="3">
        <v>0</v>
      </c>
      <c r="I17145" s="3">
        <v>0</v>
      </c>
      <c r="J17145" s="3">
        <v>0</v>
      </c>
      <c r="K17145" s="3">
        <v>0</v>
      </c>
      <c r="L17145" s="3">
        <v>1</v>
      </c>
      <c r="M17145" s="3">
        <v>0</v>
      </c>
      <c r="N17145" s="3">
        <v>0</v>
      </c>
      <c r="O17145" s="3" t="s">
        <v>10</v>
      </c>
      <c r="P17145" s="3" t="s">
        <v>9</v>
      </c>
      <c r="Q17145" s="3"/>
    </row>
    <row r="17146" spans="1:17" ht="15" x14ac:dyDescent="0.25">
      <c r="A17146" s="3">
        <f>17139</f>
        <v>17139</v>
      </c>
      <c r="B17146" s="3" t="s">
        <v>17148</v>
      </c>
      <c r="C17146" s="3" t="s">
        <v>10</v>
      </c>
      <c r="D17146" s="3" t="s">
        <v>9</v>
      </c>
      <c r="E17146" s="3">
        <v>0</v>
      </c>
      <c r="F17146" s="3">
        <v>0</v>
      </c>
      <c r="G17146" s="3">
        <v>1</v>
      </c>
      <c r="H17146" s="3">
        <v>0</v>
      </c>
      <c r="I17146" s="3">
        <v>0</v>
      </c>
      <c r="J17146" s="3">
        <v>0</v>
      </c>
      <c r="K17146" s="3">
        <v>0</v>
      </c>
      <c r="L17146" s="3">
        <v>1</v>
      </c>
      <c r="M17146" s="3">
        <v>0</v>
      </c>
      <c r="N17146" s="3">
        <v>0</v>
      </c>
      <c r="O17146" s="3" t="s">
        <v>10</v>
      </c>
      <c r="P17146" s="3" t="s">
        <v>9</v>
      </c>
      <c r="Q17146" s="3"/>
    </row>
    <row r="17147" spans="1:17" ht="15" x14ac:dyDescent="0.25">
      <c r="A17147" s="3">
        <f>17140</f>
        <v>17140</v>
      </c>
      <c r="B17147" s="3" t="s">
        <v>17149</v>
      </c>
      <c r="C17147" s="3" t="s">
        <v>10</v>
      </c>
      <c r="D17147" s="3" t="s">
        <v>9</v>
      </c>
      <c r="E17147" s="3">
        <v>0</v>
      </c>
      <c r="F17147" s="3">
        <v>0</v>
      </c>
      <c r="G17147" s="3">
        <v>1</v>
      </c>
      <c r="H17147" s="3">
        <v>0</v>
      </c>
      <c r="I17147" s="3">
        <v>0</v>
      </c>
      <c r="J17147" s="3">
        <v>0</v>
      </c>
      <c r="K17147" s="3">
        <v>0</v>
      </c>
      <c r="L17147" s="3">
        <v>1</v>
      </c>
      <c r="M17147" s="3">
        <v>0</v>
      </c>
      <c r="N17147" s="3">
        <v>0</v>
      </c>
      <c r="O17147" s="3" t="s">
        <v>10</v>
      </c>
      <c r="P17147" s="3" t="s">
        <v>9</v>
      </c>
      <c r="Q17147" s="3"/>
    </row>
    <row r="17148" spans="1:17" ht="15" x14ac:dyDescent="0.25">
      <c r="A17148" s="3">
        <f>17141</f>
        <v>17141</v>
      </c>
      <c r="B17148" s="3" t="s">
        <v>17150</v>
      </c>
      <c r="C17148" s="3" t="s">
        <v>10</v>
      </c>
      <c r="D17148" s="3" t="s">
        <v>9</v>
      </c>
      <c r="E17148" s="3">
        <v>0</v>
      </c>
      <c r="F17148" s="3">
        <v>0</v>
      </c>
      <c r="G17148" s="3">
        <v>1</v>
      </c>
      <c r="H17148" s="3">
        <v>0</v>
      </c>
      <c r="I17148" s="3">
        <v>0</v>
      </c>
      <c r="J17148" s="3">
        <v>0</v>
      </c>
      <c r="K17148" s="3">
        <v>0</v>
      </c>
      <c r="L17148" s="3">
        <v>1</v>
      </c>
      <c r="M17148" s="3">
        <v>0</v>
      </c>
      <c r="N17148" s="3">
        <v>0</v>
      </c>
      <c r="O17148" s="3" t="s">
        <v>10</v>
      </c>
      <c r="P17148" s="3" t="s">
        <v>9</v>
      </c>
      <c r="Q17148" s="3"/>
    </row>
    <row r="17149" spans="1:17" ht="15" x14ac:dyDescent="0.25">
      <c r="A17149" s="3">
        <f>17142</f>
        <v>17142</v>
      </c>
      <c r="B17149" s="3" t="s">
        <v>17151</v>
      </c>
      <c r="C17149" s="3" t="s">
        <v>10</v>
      </c>
      <c r="D17149" s="3" t="s">
        <v>9</v>
      </c>
      <c r="E17149" s="3">
        <v>0</v>
      </c>
      <c r="F17149" s="3">
        <v>0</v>
      </c>
      <c r="G17149" s="3">
        <v>1</v>
      </c>
      <c r="H17149" s="3">
        <v>0</v>
      </c>
      <c r="I17149" s="3">
        <v>0</v>
      </c>
      <c r="J17149" s="3">
        <v>0</v>
      </c>
      <c r="K17149" s="3">
        <v>0</v>
      </c>
      <c r="L17149" s="3">
        <v>1</v>
      </c>
      <c r="M17149" s="3">
        <v>0</v>
      </c>
      <c r="N17149" s="3">
        <v>0</v>
      </c>
      <c r="O17149" s="3" t="s">
        <v>10</v>
      </c>
      <c r="P17149" s="3" t="s">
        <v>9</v>
      </c>
      <c r="Q17149" s="3"/>
    </row>
    <row r="17150" spans="1:17" ht="15" x14ac:dyDescent="0.25">
      <c r="A17150" s="3">
        <f>17143</f>
        <v>17143</v>
      </c>
      <c r="B17150" s="3" t="s">
        <v>17152</v>
      </c>
      <c r="C17150" s="3" t="s">
        <v>10</v>
      </c>
      <c r="D17150" s="3" t="s">
        <v>9</v>
      </c>
      <c r="E17150" s="3">
        <v>0</v>
      </c>
      <c r="F17150" s="3">
        <v>0</v>
      </c>
      <c r="G17150" s="3">
        <v>1</v>
      </c>
      <c r="H17150" s="3">
        <v>0</v>
      </c>
      <c r="I17150" s="3">
        <v>0</v>
      </c>
      <c r="J17150" s="3">
        <v>0</v>
      </c>
      <c r="K17150" s="3">
        <v>0</v>
      </c>
      <c r="L17150" s="3">
        <v>1</v>
      </c>
      <c r="M17150" s="3">
        <v>0</v>
      </c>
      <c r="N17150" s="3">
        <v>0</v>
      </c>
      <c r="O17150" s="3" t="s">
        <v>10</v>
      </c>
      <c r="P17150" s="3" t="s">
        <v>9</v>
      </c>
      <c r="Q17150" s="3"/>
    </row>
    <row r="17151" spans="1:17" ht="15" x14ac:dyDescent="0.25">
      <c r="A17151" s="3">
        <f>17144</f>
        <v>17144</v>
      </c>
      <c r="B17151" s="3" t="s">
        <v>17153</v>
      </c>
      <c r="C17151" s="3" t="s">
        <v>10</v>
      </c>
      <c r="D17151" s="3" t="s">
        <v>9</v>
      </c>
      <c r="E17151" s="3">
        <v>0</v>
      </c>
      <c r="F17151" s="3">
        <v>0</v>
      </c>
      <c r="G17151" s="3">
        <v>1</v>
      </c>
      <c r="H17151" s="3">
        <v>0</v>
      </c>
      <c r="I17151" s="3">
        <v>0</v>
      </c>
      <c r="J17151" s="3">
        <v>0</v>
      </c>
      <c r="K17151" s="3">
        <v>0</v>
      </c>
      <c r="L17151" s="3">
        <v>1</v>
      </c>
      <c r="M17151" s="3">
        <v>0</v>
      </c>
      <c r="N17151" s="3">
        <v>0</v>
      </c>
      <c r="O17151" s="3" t="s">
        <v>10</v>
      </c>
      <c r="P17151" s="3" t="s">
        <v>9</v>
      </c>
      <c r="Q17151" s="3"/>
    </row>
    <row r="17152" spans="1:17" ht="15" x14ac:dyDescent="0.25">
      <c r="A17152" s="3">
        <f>17145</f>
        <v>17145</v>
      </c>
      <c r="B17152" s="3" t="s">
        <v>17154</v>
      </c>
      <c r="C17152" s="3" t="s">
        <v>10</v>
      </c>
      <c r="D17152" s="3" t="s">
        <v>9</v>
      </c>
      <c r="E17152" s="3">
        <v>0</v>
      </c>
      <c r="F17152" s="3">
        <v>0</v>
      </c>
      <c r="G17152" s="3">
        <v>1</v>
      </c>
      <c r="H17152" s="3">
        <v>0</v>
      </c>
      <c r="I17152" s="3">
        <v>0</v>
      </c>
      <c r="J17152" s="3">
        <v>0</v>
      </c>
      <c r="K17152" s="3">
        <v>0</v>
      </c>
      <c r="L17152" s="3">
        <v>1</v>
      </c>
      <c r="M17152" s="3">
        <v>0</v>
      </c>
      <c r="N17152" s="3">
        <v>0</v>
      </c>
      <c r="O17152" s="3" t="s">
        <v>10</v>
      </c>
      <c r="P17152" s="3" t="s">
        <v>9</v>
      </c>
      <c r="Q17152" s="3"/>
    </row>
    <row r="17153" spans="1:17" ht="15" x14ac:dyDescent="0.25">
      <c r="A17153" s="3">
        <f>17146</f>
        <v>17146</v>
      </c>
      <c r="B17153" s="3" t="s">
        <v>17155</v>
      </c>
      <c r="C17153" s="3" t="s">
        <v>10</v>
      </c>
      <c r="D17153" s="3" t="s">
        <v>9</v>
      </c>
      <c r="E17153" s="3">
        <v>0</v>
      </c>
      <c r="F17153" s="3">
        <v>0</v>
      </c>
      <c r="G17153" s="3">
        <v>1</v>
      </c>
      <c r="H17153" s="3">
        <v>0</v>
      </c>
      <c r="I17153" s="3">
        <v>0</v>
      </c>
      <c r="J17153" s="3">
        <v>0</v>
      </c>
      <c r="K17153" s="3">
        <v>0</v>
      </c>
      <c r="L17153" s="3">
        <v>1</v>
      </c>
      <c r="M17153" s="3">
        <v>0</v>
      </c>
      <c r="N17153" s="3">
        <v>0</v>
      </c>
      <c r="O17153" s="3" t="s">
        <v>10</v>
      </c>
      <c r="P17153" s="3" t="s">
        <v>9</v>
      </c>
      <c r="Q17153" s="3"/>
    </row>
    <row r="17154" spans="1:17" ht="15" x14ac:dyDescent="0.25">
      <c r="A17154" s="3">
        <f>17147</f>
        <v>17147</v>
      </c>
      <c r="B17154" s="3" t="s">
        <v>17156</v>
      </c>
      <c r="C17154" s="3" t="s">
        <v>10</v>
      </c>
      <c r="D17154" s="3" t="s">
        <v>9</v>
      </c>
      <c r="E17154" s="3">
        <v>0</v>
      </c>
      <c r="F17154" s="3">
        <v>0</v>
      </c>
      <c r="G17154" s="3">
        <v>1</v>
      </c>
      <c r="H17154" s="3">
        <v>0</v>
      </c>
      <c r="I17154" s="3">
        <v>0</v>
      </c>
      <c r="J17154" s="3">
        <v>0</v>
      </c>
      <c r="K17154" s="3">
        <v>0</v>
      </c>
      <c r="L17154" s="3">
        <v>1</v>
      </c>
      <c r="M17154" s="3">
        <v>0</v>
      </c>
      <c r="N17154" s="3">
        <v>0</v>
      </c>
      <c r="O17154" s="3" t="s">
        <v>10</v>
      </c>
      <c r="P17154" s="3" t="s">
        <v>9</v>
      </c>
      <c r="Q17154" s="3"/>
    </row>
    <row r="17155" spans="1:17" ht="15" x14ac:dyDescent="0.25">
      <c r="A17155" s="3">
        <f>17148</f>
        <v>17148</v>
      </c>
      <c r="B17155" s="3" t="s">
        <v>17157</v>
      </c>
      <c r="C17155" s="3" t="s">
        <v>10</v>
      </c>
      <c r="D17155" s="3" t="s">
        <v>9</v>
      </c>
      <c r="E17155" s="3">
        <v>0</v>
      </c>
      <c r="F17155" s="3">
        <v>0</v>
      </c>
      <c r="G17155" s="3">
        <v>1</v>
      </c>
      <c r="H17155" s="3">
        <v>0</v>
      </c>
      <c r="I17155" s="3">
        <v>0</v>
      </c>
      <c r="J17155" s="3">
        <v>0</v>
      </c>
      <c r="K17155" s="3">
        <v>0</v>
      </c>
      <c r="L17155" s="3">
        <v>1</v>
      </c>
      <c r="M17155" s="3">
        <v>0</v>
      </c>
      <c r="N17155" s="3">
        <v>0</v>
      </c>
      <c r="O17155" s="3" t="s">
        <v>10</v>
      </c>
      <c r="P17155" s="3" t="s">
        <v>9</v>
      </c>
      <c r="Q17155" s="3"/>
    </row>
    <row r="17156" spans="1:17" ht="15" x14ac:dyDescent="0.25">
      <c r="A17156" s="3">
        <f>17149</f>
        <v>17149</v>
      </c>
      <c r="B17156" s="3" t="s">
        <v>17158</v>
      </c>
      <c r="C17156" s="3" t="s">
        <v>10</v>
      </c>
      <c r="D17156" s="3" t="s">
        <v>9</v>
      </c>
      <c r="E17156" s="3">
        <v>0</v>
      </c>
      <c r="F17156" s="3">
        <v>0</v>
      </c>
      <c r="G17156" s="3">
        <v>1</v>
      </c>
      <c r="H17156" s="3">
        <v>0</v>
      </c>
      <c r="I17156" s="3">
        <v>0</v>
      </c>
      <c r="J17156" s="3">
        <v>0</v>
      </c>
      <c r="K17156" s="3">
        <v>0</v>
      </c>
      <c r="L17156" s="3">
        <v>1</v>
      </c>
      <c r="M17156" s="3">
        <v>0</v>
      </c>
      <c r="N17156" s="3">
        <v>0</v>
      </c>
      <c r="O17156" s="3" t="s">
        <v>10</v>
      </c>
      <c r="P17156" s="3" t="s">
        <v>9</v>
      </c>
      <c r="Q17156" s="3"/>
    </row>
    <row r="17157" spans="1:17" ht="15" x14ac:dyDescent="0.25">
      <c r="A17157" s="3">
        <f>17150</f>
        <v>17150</v>
      </c>
      <c r="B17157" s="3" t="s">
        <v>17159</v>
      </c>
      <c r="C17157" s="3" t="s">
        <v>10</v>
      </c>
      <c r="D17157" s="3" t="s">
        <v>9</v>
      </c>
      <c r="E17157" s="3">
        <v>0</v>
      </c>
      <c r="F17157" s="3">
        <v>0</v>
      </c>
      <c r="G17157" s="3">
        <v>1</v>
      </c>
      <c r="H17157" s="3">
        <v>0</v>
      </c>
      <c r="I17157" s="3">
        <v>0</v>
      </c>
      <c r="J17157" s="3">
        <v>0</v>
      </c>
      <c r="K17157" s="3">
        <v>0</v>
      </c>
      <c r="L17157" s="3">
        <v>1</v>
      </c>
      <c r="M17157" s="3">
        <v>0</v>
      </c>
      <c r="N17157" s="3">
        <v>0</v>
      </c>
      <c r="O17157" s="3" t="s">
        <v>10</v>
      </c>
      <c r="P17157" s="3" t="s">
        <v>9</v>
      </c>
      <c r="Q17157" s="3"/>
    </row>
    <row r="17158" spans="1:17" ht="15" x14ac:dyDescent="0.25">
      <c r="A17158" s="3">
        <f>17151</f>
        <v>17151</v>
      </c>
      <c r="B17158" s="3" t="s">
        <v>17160</v>
      </c>
      <c r="C17158" s="3" t="s">
        <v>10</v>
      </c>
      <c r="D17158" s="3" t="s">
        <v>9</v>
      </c>
      <c r="E17158" s="3">
        <v>0</v>
      </c>
      <c r="F17158" s="3">
        <v>0</v>
      </c>
      <c r="G17158" s="3">
        <v>1</v>
      </c>
      <c r="H17158" s="3">
        <v>0</v>
      </c>
      <c r="I17158" s="3">
        <v>0</v>
      </c>
      <c r="J17158" s="3">
        <v>0</v>
      </c>
      <c r="K17158" s="3">
        <v>0</v>
      </c>
      <c r="L17158" s="3">
        <v>1</v>
      </c>
      <c r="M17158" s="3">
        <v>0</v>
      </c>
      <c r="N17158" s="3">
        <v>0</v>
      </c>
      <c r="O17158" s="3" t="s">
        <v>10</v>
      </c>
      <c r="P17158" s="3" t="s">
        <v>9</v>
      </c>
      <c r="Q17158" s="3"/>
    </row>
    <row r="17159" spans="1:17" ht="15" x14ac:dyDescent="0.25">
      <c r="A17159" s="3">
        <f>17152</f>
        <v>17152</v>
      </c>
      <c r="B17159" s="3" t="s">
        <v>17161</v>
      </c>
      <c r="C17159" s="3" t="s">
        <v>10</v>
      </c>
      <c r="D17159" s="3" t="s">
        <v>9</v>
      </c>
      <c r="E17159" s="3">
        <v>0</v>
      </c>
      <c r="F17159" s="3">
        <v>0</v>
      </c>
      <c r="G17159" s="3">
        <v>1</v>
      </c>
      <c r="H17159" s="3">
        <v>0</v>
      </c>
      <c r="I17159" s="3">
        <v>0</v>
      </c>
      <c r="J17159" s="3">
        <v>0</v>
      </c>
      <c r="K17159" s="3">
        <v>0</v>
      </c>
      <c r="L17159" s="3">
        <v>1</v>
      </c>
      <c r="M17159" s="3">
        <v>0</v>
      </c>
      <c r="N17159" s="3">
        <v>0</v>
      </c>
      <c r="O17159" s="3" t="s">
        <v>10</v>
      </c>
      <c r="P17159" s="3" t="s">
        <v>9</v>
      </c>
      <c r="Q17159" s="3"/>
    </row>
    <row r="17160" spans="1:17" ht="15" x14ac:dyDescent="0.25">
      <c r="A17160" s="3">
        <f>17153</f>
        <v>17153</v>
      </c>
      <c r="B17160" s="3" t="s">
        <v>17162</v>
      </c>
      <c r="C17160" s="3" t="s">
        <v>10</v>
      </c>
      <c r="D17160" s="3" t="s">
        <v>9</v>
      </c>
      <c r="E17160" s="3">
        <v>0</v>
      </c>
      <c r="F17160" s="3">
        <v>0</v>
      </c>
      <c r="G17160" s="3">
        <v>1</v>
      </c>
      <c r="H17160" s="3">
        <v>0</v>
      </c>
      <c r="I17160" s="3">
        <v>0</v>
      </c>
      <c r="J17160" s="3">
        <v>0</v>
      </c>
      <c r="K17160" s="3">
        <v>0</v>
      </c>
      <c r="L17160" s="3">
        <v>1</v>
      </c>
      <c r="M17160" s="3">
        <v>0</v>
      </c>
      <c r="N17160" s="3">
        <v>0</v>
      </c>
      <c r="O17160" s="3" t="s">
        <v>10</v>
      </c>
      <c r="P17160" s="3" t="s">
        <v>9</v>
      </c>
      <c r="Q17160" s="3"/>
    </row>
    <row r="17161" spans="1:17" ht="15" x14ac:dyDescent="0.25">
      <c r="A17161" s="3">
        <f>17154</f>
        <v>17154</v>
      </c>
      <c r="B17161" s="3" t="s">
        <v>17163</v>
      </c>
      <c r="C17161" s="3" t="s">
        <v>10</v>
      </c>
      <c r="D17161" s="3" t="s">
        <v>9</v>
      </c>
      <c r="E17161" s="3">
        <v>0</v>
      </c>
      <c r="F17161" s="3">
        <v>0</v>
      </c>
      <c r="G17161" s="3">
        <v>1</v>
      </c>
      <c r="H17161" s="3">
        <v>0</v>
      </c>
      <c r="I17161" s="3">
        <v>0</v>
      </c>
      <c r="J17161" s="3">
        <v>0</v>
      </c>
      <c r="K17161" s="3">
        <v>0</v>
      </c>
      <c r="L17161" s="3">
        <v>1</v>
      </c>
      <c r="M17161" s="3">
        <v>0</v>
      </c>
      <c r="N17161" s="3">
        <v>0</v>
      </c>
      <c r="O17161" s="3" t="s">
        <v>10</v>
      </c>
      <c r="P17161" s="3" t="s">
        <v>9</v>
      </c>
      <c r="Q17161" s="3"/>
    </row>
    <row r="17162" spans="1:17" ht="15" x14ac:dyDescent="0.25">
      <c r="A17162" s="3">
        <f>17155</f>
        <v>17155</v>
      </c>
      <c r="B17162" s="3" t="s">
        <v>17164</v>
      </c>
      <c r="C17162" s="3" t="s">
        <v>10</v>
      </c>
      <c r="D17162" s="3" t="s">
        <v>9</v>
      </c>
      <c r="E17162" s="3">
        <v>0</v>
      </c>
      <c r="F17162" s="3">
        <v>0</v>
      </c>
      <c r="G17162" s="3">
        <v>1</v>
      </c>
      <c r="H17162" s="3">
        <v>0</v>
      </c>
      <c r="I17162" s="3">
        <v>0</v>
      </c>
      <c r="J17162" s="3">
        <v>0</v>
      </c>
      <c r="K17162" s="3">
        <v>0</v>
      </c>
      <c r="L17162" s="3">
        <v>1</v>
      </c>
      <c r="M17162" s="3">
        <v>0</v>
      </c>
      <c r="N17162" s="3">
        <v>0</v>
      </c>
      <c r="O17162" s="3" t="s">
        <v>10</v>
      </c>
      <c r="P17162" s="3" t="s">
        <v>9</v>
      </c>
      <c r="Q17162" s="3"/>
    </row>
    <row r="17163" spans="1:17" ht="15" x14ac:dyDescent="0.25">
      <c r="A17163" s="3">
        <f>17156</f>
        <v>17156</v>
      </c>
      <c r="B17163" s="3" t="s">
        <v>17165</v>
      </c>
      <c r="C17163" s="3" t="s">
        <v>10</v>
      </c>
      <c r="D17163" s="3" t="s">
        <v>9</v>
      </c>
      <c r="E17163" s="3">
        <v>0</v>
      </c>
      <c r="F17163" s="3">
        <v>0</v>
      </c>
      <c r="G17163" s="3">
        <v>1</v>
      </c>
      <c r="H17163" s="3">
        <v>0</v>
      </c>
      <c r="I17163" s="3">
        <v>0</v>
      </c>
      <c r="J17163" s="3">
        <v>0</v>
      </c>
      <c r="K17163" s="3">
        <v>0</v>
      </c>
      <c r="L17163" s="3">
        <v>1</v>
      </c>
      <c r="M17163" s="3">
        <v>0</v>
      </c>
      <c r="N17163" s="3">
        <v>0</v>
      </c>
      <c r="O17163" s="3" t="s">
        <v>10</v>
      </c>
      <c r="P17163" s="3" t="s">
        <v>9</v>
      </c>
      <c r="Q17163" s="3"/>
    </row>
    <row r="17164" spans="1:17" ht="15" x14ac:dyDescent="0.25">
      <c r="A17164" s="3">
        <f>17157</f>
        <v>17157</v>
      </c>
      <c r="B17164" s="3" t="s">
        <v>17166</v>
      </c>
      <c r="C17164" s="3" t="s">
        <v>10</v>
      </c>
      <c r="D17164" s="3" t="s">
        <v>9</v>
      </c>
      <c r="E17164" s="3">
        <v>0</v>
      </c>
      <c r="F17164" s="3">
        <v>0</v>
      </c>
      <c r="G17164" s="3">
        <v>1</v>
      </c>
      <c r="H17164" s="3">
        <v>0</v>
      </c>
      <c r="I17164" s="3">
        <v>0</v>
      </c>
      <c r="J17164" s="3">
        <v>0</v>
      </c>
      <c r="K17164" s="3">
        <v>0</v>
      </c>
      <c r="L17164" s="3">
        <v>1</v>
      </c>
      <c r="M17164" s="3">
        <v>0</v>
      </c>
      <c r="N17164" s="3">
        <v>0</v>
      </c>
      <c r="O17164" s="3" t="s">
        <v>10</v>
      </c>
      <c r="P17164" s="3" t="s">
        <v>9</v>
      </c>
      <c r="Q17164" s="3"/>
    </row>
    <row r="17165" spans="1:17" ht="15" x14ac:dyDescent="0.25">
      <c r="A17165" s="3">
        <f>17158</f>
        <v>17158</v>
      </c>
      <c r="B17165" s="3" t="s">
        <v>17167</v>
      </c>
      <c r="C17165" s="3" t="s">
        <v>10</v>
      </c>
      <c r="D17165" s="3" t="s">
        <v>9</v>
      </c>
      <c r="E17165" s="3">
        <v>0</v>
      </c>
      <c r="F17165" s="3">
        <v>0</v>
      </c>
      <c r="G17165" s="3">
        <v>1</v>
      </c>
      <c r="H17165" s="3">
        <v>0</v>
      </c>
      <c r="I17165" s="3">
        <v>0</v>
      </c>
      <c r="J17165" s="3">
        <v>0</v>
      </c>
      <c r="K17165" s="3">
        <v>0</v>
      </c>
      <c r="L17165" s="3">
        <v>1</v>
      </c>
      <c r="M17165" s="3">
        <v>0</v>
      </c>
      <c r="N17165" s="3">
        <v>0</v>
      </c>
      <c r="O17165" s="3" t="s">
        <v>10</v>
      </c>
      <c r="P17165" s="3" t="s">
        <v>9</v>
      </c>
      <c r="Q17165" s="3"/>
    </row>
    <row r="17166" spans="1:17" ht="15" x14ac:dyDescent="0.25">
      <c r="A17166" s="3">
        <f>17159</f>
        <v>17159</v>
      </c>
      <c r="B17166" s="3" t="s">
        <v>17168</v>
      </c>
      <c r="C17166" s="3" t="s">
        <v>10</v>
      </c>
      <c r="D17166" s="3" t="s">
        <v>9</v>
      </c>
      <c r="E17166" s="3">
        <v>0</v>
      </c>
      <c r="F17166" s="3">
        <v>0</v>
      </c>
      <c r="G17166" s="3">
        <v>1</v>
      </c>
      <c r="H17166" s="3">
        <v>0</v>
      </c>
      <c r="I17166" s="3">
        <v>0</v>
      </c>
      <c r="J17166" s="3">
        <v>0</v>
      </c>
      <c r="K17166" s="3">
        <v>0</v>
      </c>
      <c r="L17166" s="3">
        <v>1</v>
      </c>
      <c r="M17166" s="3">
        <v>0</v>
      </c>
      <c r="N17166" s="3">
        <v>0</v>
      </c>
      <c r="O17166" s="3" t="s">
        <v>10</v>
      </c>
      <c r="P17166" s="3" t="s">
        <v>9</v>
      </c>
      <c r="Q17166" s="3"/>
    </row>
    <row r="17167" spans="1:17" ht="15" x14ac:dyDescent="0.25">
      <c r="A17167" s="3">
        <f>17160</f>
        <v>17160</v>
      </c>
      <c r="B17167" s="3" t="s">
        <v>17169</v>
      </c>
      <c r="C17167" s="3" t="s">
        <v>10</v>
      </c>
      <c r="D17167" s="3" t="s">
        <v>9</v>
      </c>
      <c r="E17167" s="3">
        <v>0</v>
      </c>
      <c r="F17167" s="3">
        <v>0</v>
      </c>
      <c r="G17167" s="3">
        <v>1</v>
      </c>
      <c r="H17167" s="3">
        <v>0</v>
      </c>
      <c r="I17167" s="3">
        <v>0</v>
      </c>
      <c r="J17167" s="3">
        <v>0</v>
      </c>
      <c r="K17167" s="3">
        <v>0</v>
      </c>
      <c r="L17167" s="3">
        <v>1</v>
      </c>
      <c r="M17167" s="3">
        <v>0</v>
      </c>
      <c r="N17167" s="3">
        <v>0</v>
      </c>
      <c r="O17167" s="3" t="s">
        <v>10</v>
      </c>
      <c r="P17167" s="3" t="s">
        <v>9</v>
      </c>
      <c r="Q17167" s="3"/>
    </row>
    <row r="17168" spans="1:17" ht="15" x14ac:dyDescent="0.25">
      <c r="A17168" s="3">
        <f>17161</f>
        <v>17161</v>
      </c>
      <c r="B17168" s="3" t="s">
        <v>17170</v>
      </c>
      <c r="C17168" s="3" t="s">
        <v>10</v>
      </c>
      <c r="D17168" s="3" t="s">
        <v>9</v>
      </c>
      <c r="E17168" s="3">
        <v>0</v>
      </c>
      <c r="F17168" s="3">
        <v>0</v>
      </c>
      <c r="G17168" s="3">
        <v>1</v>
      </c>
      <c r="H17168" s="3">
        <v>0</v>
      </c>
      <c r="I17168" s="3">
        <v>0</v>
      </c>
      <c r="J17168" s="3">
        <v>0</v>
      </c>
      <c r="K17168" s="3">
        <v>0</v>
      </c>
      <c r="L17168" s="3">
        <v>1</v>
      </c>
      <c r="M17168" s="3">
        <v>0</v>
      </c>
      <c r="N17168" s="3">
        <v>0</v>
      </c>
      <c r="O17168" s="3" t="s">
        <v>10</v>
      </c>
      <c r="P17168" s="3" t="s">
        <v>9</v>
      </c>
      <c r="Q17168" s="3"/>
    </row>
    <row r="17169" spans="1:17" ht="15" x14ac:dyDescent="0.25">
      <c r="A17169" s="3">
        <f>17162</f>
        <v>17162</v>
      </c>
      <c r="B17169" s="3" t="s">
        <v>17171</v>
      </c>
      <c r="C17169" s="3" t="s">
        <v>10</v>
      </c>
      <c r="D17169" s="3" t="s">
        <v>9</v>
      </c>
      <c r="E17169" s="3">
        <v>0</v>
      </c>
      <c r="F17169" s="3">
        <v>0</v>
      </c>
      <c r="G17169" s="3">
        <v>1</v>
      </c>
      <c r="H17169" s="3">
        <v>0</v>
      </c>
      <c r="I17169" s="3">
        <v>0</v>
      </c>
      <c r="J17169" s="3">
        <v>0</v>
      </c>
      <c r="K17169" s="3">
        <v>0</v>
      </c>
      <c r="L17169" s="3">
        <v>1</v>
      </c>
      <c r="M17169" s="3">
        <v>0</v>
      </c>
      <c r="N17169" s="3">
        <v>0</v>
      </c>
      <c r="O17169" s="3" t="s">
        <v>10</v>
      </c>
      <c r="P17169" s="3" t="s">
        <v>9</v>
      </c>
      <c r="Q17169" s="3"/>
    </row>
    <row r="17170" spans="1:17" ht="15" x14ac:dyDescent="0.25">
      <c r="A17170" s="3">
        <f>17163</f>
        <v>17163</v>
      </c>
      <c r="B17170" s="3" t="s">
        <v>17172</v>
      </c>
      <c r="C17170" s="3" t="s">
        <v>10</v>
      </c>
      <c r="D17170" s="3" t="s">
        <v>9</v>
      </c>
      <c r="E17170" s="3">
        <v>0</v>
      </c>
      <c r="F17170" s="3">
        <v>0</v>
      </c>
      <c r="G17170" s="3">
        <v>1</v>
      </c>
      <c r="H17170" s="3">
        <v>0</v>
      </c>
      <c r="I17170" s="3">
        <v>0</v>
      </c>
      <c r="J17170" s="3">
        <v>0</v>
      </c>
      <c r="K17170" s="3">
        <v>0</v>
      </c>
      <c r="L17170" s="3">
        <v>1</v>
      </c>
      <c r="M17170" s="3">
        <v>0</v>
      </c>
      <c r="N17170" s="3">
        <v>0</v>
      </c>
      <c r="O17170" s="3" t="s">
        <v>10</v>
      </c>
      <c r="P17170" s="3" t="s">
        <v>9</v>
      </c>
      <c r="Q17170" s="3"/>
    </row>
    <row r="17171" spans="1:17" ht="15" x14ac:dyDescent="0.25">
      <c r="A17171" s="3">
        <f>17164</f>
        <v>17164</v>
      </c>
      <c r="B17171" s="3" t="s">
        <v>17173</v>
      </c>
      <c r="C17171" s="3" t="s">
        <v>10</v>
      </c>
      <c r="D17171" s="3" t="s">
        <v>9</v>
      </c>
      <c r="E17171" s="3">
        <v>0</v>
      </c>
      <c r="F17171" s="3">
        <v>0</v>
      </c>
      <c r="G17171" s="3">
        <v>1</v>
      </c>
      <c r="H17171" s="3">
        <v>0</v>
      </c>
      <c r="I17171" s="3">
        <v>0</v>
      </c>
      <c r="J17171" s="3">
        <v>0</v>
      </c>
      <c r="K17171" s="3">
        <v>0</v>
      </c>
      <c r="L17171" s="3">
        <v>1</v>
      </c>
      <c r="M17171" s="3">
        <v>0</v>
      </c>
      <c r="N17171" s="3">
        <v>0</v>
      </c>
      <c r="O17171" s="3" t="s">
        <v>10</v>
      </c>
      <c r="P17171" s="3" t="s">
        <v>9</v>
      </c>
      <c r="Q17171" s="3"/>
    </row>
    <row r="17172" spans="1:17" ht="15" x14ac:dyDescent="0.25">
      <c r="A17172" s="3">
        <f>17165</f>
        <v>17165</v>
      </c>
      <c r="B17172" s="3" t="s">
        <v>17174</v>
      </c>
      <c r="C17172" s="3" t="s">
        <v>10</v>
      </c>
      <c r="D17172" s="3" t="s">
        <v>9</v>
      </c>
      <c r="E17172" s="3">
        <v>0</v>
      </c>
      <c r="F17172" s="3">
        <v>0</v>
      </c>
      <c r="G17172" s="3">
        <v>1</v>
      </c>
      <c r="H17172" s="3">
        <v>0</v>
      </c>
      <c r="I17172" s="3">
        <v>0</v>
      </c>
      <c r="J17172" s="3">
        <v>0</v>
      </c>
      <c r="K17172" s="3">
        <v>0</v>
      </c>
      <c r="L17172" s="3">
        <v>1</v>
      </c>
      <c r="M17172" s="3">
        <v>0</v>
      </c>
      <c r="N17172" s="3">
        <v>0</v>
      </c>
      <c r="O17172" s="3" t="s">
        <v>10</v>
      </c>
      <c r="P17172" s="3" t="s">
        <v>9</v>
      </c>
      <c r="Q17172" s="3"/>
    </row>
    <row r="17173" spans="1:17" ht="15" x14ac:dyDescent="0.25">
      <c r="A17173" s="3">
        <f>17166</f>
        <v>17166</v>
      </c>
      <c r="B17173" s="3" t="s">
        <v>17175</v>
      </c>
      <c r="C17173" s="3" t="s">
        <v>10</v>
      </c>
      <c r="D17173" s="3" t="s">
        <v>9</v>
      </c>
      <c r="E17173" s="3">
        <v>0</v>
      </c>
      <c r="F17173" s="3">
        <v>0</v>
      </c>
      <c r="G17173" s="3">
        <v>1</v>
      </c>
      <c r="H17173" s="3">
        <v>0</v>
      </c>
      <c r="I17173" s="3">
        <v>0</v>
      </c>
      <c r="J17173" s="3">
        <v>0</v>
      </c>
      <c r="K17173" s="3">
        <v>0</v>
      </c>
      <c r="L17173" s="3">
        <v>1</v>
      </c>
      <c r="M17173" s="3">
        <v>0</v>
      </c>
      <c r="N17173" s="3">
        <v>0</v>
      </c>
      <c r="O17173" s="3" t="s">
        <v>10</v>
      </c>
      <c r="P17173" s="3" t="s">
        <v>9</v>
      </c>
      <c r="Q17173" s="3"/>
    </row>
    <row r="17174" spans="1:17" ht="15" x14ac:dyDescent="0.25">
      <c r="A17174" s="3">
        <f>17167</f>
        <v>17167</v>
      </c>
      <c r="B17174" s="3" t="s">
        <v>17176</v>
      </c>
      <c r="C17174" s="3" t="s">
        <v>10</v>
      </c>
      <c r="D17174" s="3" t="s">
        <v>9</v>
      </c>
      <c r="E17174" s="3">
        <v>0</v>
      </c>
      <c r="F17174" s="3">
        <v>0</v>
      </c>
      <c r="G17174" s="3">
        <v>1</v>
      </c>
      <c r="H17174" s="3">
        <v>0</v>
      </c>
      <c r="I17174" s="3">
        <v>0</v>
      </c>
      <c r="J17174" s="3">
        <v>0</v>
      </c>
      <c r="K17174" s="3">
        <v>0</v>
      </c>
      <c r="L17174" s="3">
        <v>1</v>
      </c>
      <c r="M17174" s="3">
        <v>0</v>
      </c>
      <c r="N17174" s="3">
        <v>0</v>
      </c>
      <c r="O17174" s="3" t="s">
        <v>10</v>
      </c>
      <c r="P17174" s="3" t="s">
        <v>9</v>
      </c>
      <c r="Q17174" s="3"/>
    </row>
    <row r="17175" spans="1:17" ht="15" x14ac:dyDescent="0.25">
      <c r="A17175" s="3">
        <f>17168</f>
        <v>17168</v>
      </c>
      <c r="B17175" s="3" t="s">
        <v>17177</v>
      </c>
      <c r="C17175" s="3" t="s">
        <v>10</v>
      </c>
      <c r="D17175" s="3" t="s">
        <v>9</v>
      </c>
      <c r="E17175" s="3">
        <v>0</v>
      </c>
      <c r="F17175" s="3">
        <v>0</v>
      </c>
      <c r="G17175" s="3">
        <v>1</v>
      </c>
      <c r="H17175" s="3">
        <v>0</v>
      </c>
      <c r="I17175" s="3">
        <v>0</v>
      </c>
      <c r="J17175" s="3">
        <v>0</v>
      </c>
      <c r="K17175" s="3">
        <v>0</v>
      </c>
      <c r="L17175" s="3">
        <v>1</v>
      </c>
      <c r="M17175" s="3">
        <v>0</v>
      </c>
      <c r="N17175" s="3">
        <v>0</v>
      </c>
      <c r="O17175" s="3" t="s">
        <v>10</v>
      </c>
      <c r="P17175" s="3" t="s">
        <v>9</v>
      </c>
      <c r="Q17175" s="3"/>
    </row>
    <row r="17176" spans="1:17" ht="15" x14ac:dyDescent="0.25">
      <c r="A17176" s="3">
        <f>17169</f>
        <v>17169</v>
      </c>
      <c r="B17176" s="3" t="s">
        <v>17178</v>
      </c>
      <c r="C17176" s="3" t="s">
        <v>10</v>
      </c>
      <c r="D17176" s="3" t="s">
        <v>9</v>
      </c>
      <c r="E17176" s="3">
        <v>0</v>
      </c>
      <c r="F17176" s="3">
        <v>0</v>
      </c>
      <c r="G17176" s="3">
        <v>1</v>
      </c>
      <c r="H17176" s="3">
        <v>0</v>
      </c>
      <c r="I17176" s="3">
        <v>0</v>
      </c>
      <c r="J17176" s="3">
        <v>0</v>
      </c>
      <c r="K17176" s="3">
        <v>0</v>
      </c>
      <c r="L17176" s="3">
        <v>1</v>
      </c>
      <c r="M17176" s="3">
        <v>0</v>
      </c>
      <c r="N17176" s="3">
        <v>0</v>
      </c>
      <c r="O17176" s="3" t="s">
        <v>10</v>
      </c>
      <c r="P17176" s="3" t="s">
        <v>9</v>
      </c>
      <c r="Q17176" s="3"/>
    </row>
    <row r="17177" spans="1:17" ht="15" x14ac:dyDescent="0.25">
      <c r="A17177" s="3">
        <f>17170</f>
        <v>17170</v>
      </c>
      <c r="B17177" s="3" t="s">
        <v>17179</v>
      </c>
      <c r="C17177" s="3" t="s">
        <v>10</v>
      </c>
      <c r="D17177" s="3" t="s">
        <v>9</v>
      </c>
      <c r="E17177" s="3">
        <v>0</v>
      </c>
      <c r="F17177" s="3">
        <v>0</v>
      </c>
      <c r="G17177" s="3">
        <v>1</v>
      </c>
      <c r="H17177" s="3">
        <v>0</v>
      </c>
      <c r="I17177" s="3">
        <v>0</v>
      </c>
      <c r="J17177" s="3">
        <v>0</v>
      </c>
      <c r="K17177" s="3">
        <v>0</v>
      </c>
      <c r="L17177" s="3">
        <v>1</v>
      </c>
      <c r="M17177" s="3">
        <v>0</v>
      </c>
      <c r="N17177" s="3">
        <v>0</v>
      </c>
      <c r="O17177" s="3"/>
      <c r="P17177" s="3"/>
      <c r="Q17177" s="3"/>
    </row>
    <row r="17178" spans="1:17" ht="15" x14ac:dyDescent="0.25">
      <c r="A17178" s="3">
        <f>17171</f>
        <v>17171</v>
      </c>
      <c r="B17178" s="3" t="s">
        <v>17180</v>
      </c>
      <c r="C17178" s="3" t="s">
        <v>10</v>
      </c>
      <c r="D17178" s="3" t="s">
        <v>9</v>
      </c>
      <c r="E17178" s="3">
        <v>0</v>
      </c>
      <c r="F17178" s="3">
        <v>0</v>
      </c>
      <c r="G17178" s="3">
        <v>1</v>
      </c>
      <c r="H17178" s="3">
        <v>0</v>
      </c>
      <c r="I17178" s="3">
        <v>0</v>
      </c>
      <c r="J17178" s="3">
        <v>0</v>
      </c>
      <c r="K17178" s="3">
        <v>0</v>
      </c>
      <c r="L17178" s="3">
        <v>1</v>
      </c>
      <c r="M17178" s="3">
        <v>0</v>
      </c>
      <c r="N17178" s="3">
        <v>0</v>
      </c>
      <c r="O17178" s="3"/>
      <c r="P17178" s="3"/>
      <c r="Q17178" s="3"/>
    </row>
    <row r="17179" spans="1:17" ht="15" x14ac:dyDescent="0.25">
      <c r="A17179" s="3">
        <f>17172</f>
        <v>17172</v>
      </c>
      <c r="B17179" s="3" t="s">
        <v>17181</v>
      </c>
      <c r="C17179" s="3" t="s">
        <v>10</v>
      </c>
      <c r="D17179" s="3" t="s">
        <v>9</v>
      </c>
      <c r="E17179" s="3">
        <v>0</v>
      </c>
      <c r="F17179" s="3">
        <v>0</v>
      </c>
      <c r="G17179" s="3">
        <v>1</v>
      </c>
      <c r="H17179" s="3">
        <v>0</v>
      </c>
      <c r="I17179" s="3">
        <v>0</v>
      </c>
      <c r="J17179" s="3">
        <v>0</v>
      </c>
      <c r="K17179" s="3">
        <v>0</v>
      </c>
      <c r="L17179" s="3">
        <v>1</v>
      </c>
      <c r="M17179" s="3">
        <v>0</v>
      </c>
      <c r="N17179" s="3">
        <v>0</v>
      </c>
      <c r="O17179" s="3"/>
      <c r="P17179" s="3"/>
      <c r="Q17179" s="3"/>
    </row>
    <row r="17180" spans="1:17" ht="15" x14ac:dyDescent="0.25">
      <c r="A17180" s="3">
        <f>17173</f>
        <v>17173</v>
      </c>
      <c r="B17180" s="3" t="s">
        <v>17182</v>
      </c>
      <c r="C17180" s="3" t="s">
        <v>10</v>
      </c>
      <c r="D17180" s="3" t="s">
        <v>9</v>
      </c>
      <c r="E17180" s="3">
        <v>0</v>
      </c>
      <c r="F17180" s="3">
        <v>0</v>
      </c>
      <c r="G17180" s="3">
        <v>1</v>
      </c>
      <c r="H17180" s="3">
        <v>0</v>
      </c>
      <c r="I17180" s="3">
        <v>0</v>
      </c>
      <c r="J17180" s="3">
        <v>0</v>
      </c>
      <c r="K17180" s="3">
        <v>0</v>
      </c>
      <c r="L17180" s="3">
        <v>1</v>
      </c>
      <c r="M17180" s="3">
        <v>0</v>
      </c>
      <c r="N17180" s="3">
        <v>0</v>
      </c>
      <c r="O17180" s="3"/>
      <c r="P17180" s="3"/>
      <c r="Q17180" s="3"/>
    </row>
    <row r="17181" spans="1:17" ht="15" x14ac:dyDescent="0.25">
      <c r="A17181" s="3">
        <f>17174</f>
        <v>17174</v>
      </c>
      <c r="B17181" s="3" t="s">
        <v>17183</v>
      </c>
      <c r="C17181" s="3" t="s">
        <v>10</v>
      </c>
      <c r="D17181" s="3" t="s">
        <v>9</v>
      </c>
      <c r="E17181" s="3">
        <v>0</v>
      </c>
      <c r="F17181" s="3">
        <v>0</v>
      </c>
      <c r="G17181" s="3">
        <v>1</v>
      </c>
      <c r="H17181" s="3">
        <v>0</v>
      </c>
      <c r="I17181" s="3">
        <v>0</v>
      </c>
      <c r="J17181" s="3">
        <v>0</v>
      </c>
      <c r="K17181" s="3">
        <v>0</v>
      </c>
      <c r="L17181" s="3">
        <v>1</v>
      </c>
      <c r="M17181" s="3">
        <v>0</v>
      </c>
      <c r="N17181" s="3">
        <v>0</v>
      </c>
      <c r="O17181" s="3"/>
      <c r="P17181" s="3"/>
      <c r="Q17181" s="3"/>
    </row>
    <row r="17182" spans="1:17" ht="15" x14ac:dyDescent="0.25">
      <c r="A17182" s="3">
        <f>17175</f>
        <v>17175</v>
      </c>
      <c r="B17182" s="3" t="s">
        <v>17184</v>
      </c>
      <c r="C17182" s="3" t="s">
        <v>10</v>
      </c>
      <c r="D17182" s="3" t="s">
        <v>9</v>
      </c>
      <c r="E17182" s="3">
        <v>0</v>
      </c>
      <c r="F17182" s="3">
        <v>0</v>
      </c>
      <c r="G17182" s="3">
        <v>1</v>
      </c>
      <c r="H17182" s="3">
        <v>0</v>
      </c>
      <c r="I17182" s="3">
        <v>0</v>
      </c>
      <c r="J17182" s="3">
        <v>0</v>
      </c>
      <c r="K17182" s="3">
        <v>0</v>
      </c>
      <c r="L17182" s="3">
        <v>1</v>
      </c>
      <c r="M17182" s="3">
        <v>0</v>
      </c>
      <c r="N17182" s="3">
        <v>0</v>
      </c>
      <c r="O17182" s="3"/>
      <c r="P17182" s="3"/>
      <c r="Q17182" s="3"/>
    </row>
    <row r="17183" spans="1:17" ht="15" x14ac:dyDescent="0.25">
      <c r="A17183" s="3">
        <f>17176</f>
        <v>17176</v>
      </c>
      <c r="B17183" s="3" t="s">
        <v>17185</v>
      </c>
      <c r="C17183" s="3" t="s">
        <v>10</v>
      </c>
      <c r="D17183" s="3" t="s">
        <v>9</v>
      </c>
      <c r="E17183" s="3">
        <v>0</v>
      </c>
      <c r="F17183" s="3">
        <v>0</v>
      </c>
      <c r="G17183" s="3">
        <v>1</v>
      </c>
      <c r="H17183" s="3">
        <v>0</v>
      </c>
      <c r="I17183" s="3">
        <v>0</v>
      </c>
      <c r="J17183" s="3">
        <v>0</v>
      </c>
      <c r="K17183" s="3">
        <v>0</v>
      </c>
      <c r="L17183" s="3">
        <v>1</v>
      </c>
      <c r="M17183" s="3">
        <v>0</v>
      </c>
      <c r="N17183" s="3">
        <v>0</v>
      </c>
      <c r="O17183" s="3"/>
      <c r="P17183" s="3"/>
      <c r="Q17183" s="3"/>
    </row>
    <row r="17184" spans="1:17" ht="15" x14ac:dyDescent="0.25">
      <c r="A17184" s="3">
        <f>17177</f>
        <v>17177</v>
      </c>
      <c r="B17184" s="3" t="s">
        <v>17186</v>
      </c>
      <c r="C17184" s="3" t="s">
        <v>10</v>
      </c>
      <c r="D17184" s="3" t="s">
        <v>9</v>
      </c>
      <c r="E17184" s="3">
        <v>0</v>
      </c>
      <c r="F17184" s="3">
        <v>0</v>
      </c>
      <c r="G17184" s="3">
        <v>1</v>
      </c>
      <c r="H17184" s="3">
        <v>0</v>
      </c>
      <c r="I17184" s="3">
        <v>0</v>
      </c>
      <c r="J17184" s="3">
        <v>0</v>
      </c>
      <c r="K17184" s="3">
        <v>0</v>
      </c>
      <c r="L17184" s="3">
        <v>1</v>
      </c>
      <c r="M17184" s="3">
        <v>0</v>
      </c>
      <c r="N17184" s="3">
        <v>0</v>
      </c>
      <c r="O17184" s="3"/>
      <c r="P17184" s="3"/>
      <c r="Q17184" s="3"/>
    </row>
    <row r="17185" spans="1:17" ht="15" x14ac:dyDescent="0.25">
      <c r="A17185" s="3">
        <f>17178</f>
        <v>17178</v>
      </c>
      <c r="B17185" s="3" t="s">
        <v>17187</v>
      </c>
      <c r="C17185" s="3" t="s">
        <v>10</v>
      </c>
      <c r="D17185" s="3" t="s">
        <v>9</v>
      </c>
      <c r="E17185" s="3">
        <v>0</v>
      </c>
      <c r="F17185" s="3">
        <v>0</v>
      </c>
      <c r="G17185" s="3">
        <v>1</v>
      </c>
      <c r="H17185" s="3">
        <v>0</v>
      </c>
      <c r="I17185" s="3">
        <v>0</v>
      </c>
      <c r="J17185" s="3">
        <v>0</v>
      </c>
      <c r="K17185" s="3">
        <v>0</v>
      </c>
      <c r="L17185" s="3">
        <v>1</v>
      </c>
      <c r="M17185" s="3">
        <v>0</v>
      </c>
      <c r="N17185" s="3">
        <v>0</v>
      </c>
      <c r="O17185" s="3" t="s">
        <v>10</v>
      </c>
      <c r="P17185" s="3" t="s">
        <v>9</v>
      </c>
      <c r="Q17185" s="3"/>
    </row>
    <row r="17186" spans="1:17" ht="15" x14ac:dyDescent="0.25">
      <c r="A17186" s="3">
        <f>17179</f>
        <v>17179</v>
      </c>
      <c r="B17186" s="3" t="s">
        <v>17188</v>
      </c>
      <c r="C17186" s="3" t="s">
        <v>10</v>
      </c>
      <c r="D17186" s="3" t="s">
        <v>9</v>
      </c>
      <c r="E17186" s="3">
        <v>0</v>
      </c>
      <c r="F17186" s="3">
        <v>0</v>
      </c>
      <c r="G17186" s="3">
        <v>1</v>
      </c>
      <c r="H17186" s="3">
        <v>0</v>
      </c>
      <c r="I17186" s="3">
        <v>0</v>
      </c>
      <c r="J17186" s="3">
        <v>0</v>
      </c>
      <c r="K17186" s="3">
        <v>0</v>
      </c>
      <c r="L17186" s="3">
        <v>1</v>
      </c>
      <c r="M17186" s="3">
        <v>0</v>
      </c>
      <c r="N17186" s="3">
        <v>0</v>
      </c>
      <c r="O17186" s="3" t="s">
        <v>10</v>
      </c>
      <c r="P17186" s="3" t="s">
        <v>9</v>
      </c>
      <c r="Q17186" s="3"/>
    </row>
    <row r="17187" spans="1:17" ht="15" x14ac:dyDescent="0.25">
      <c r="A17187" s="3">
        <f>17180</f>
        <v>17180</v>
      </c>
      <c r="B17187" s="3" t="s">
        <v>17189</v>
      </c>
      <c r="C17187" s="3" t="s">
        <v>10</v>
      </c>
      <c r="D17187" s="3" t="s">
        <v>9</v>
      </c>
      <c r="E17187" s="3">
        <v>0</v>
      </c>
      <c r="F17187" s="3">
        <v>0</v>
      </c>
      <c r="G17187" s="3">
        <v>1</v>
      </c>
      <c r="H17187" s="3">
        <v>0</v>
      </c>
      <c r="I17187" s="3">
        <v>0</v>
      </c>
      <c r="J17187" s="3">
        <v>0</v>
      </c>
      <c r="K17187" s="3">
        <v>0</v>
      </c>
      <c r="L17187" s="3">
        <v>1</v>
      </c>
      <c r="M17187" s="3">
        <v>0</v>
      </c>
      <c r="N17187" s="3">
        <v>0</v>
      </c>
      <c r="O17187" s="3" t="s">
        <v>10</v>
      </c>
      <c r="P17187" s="3" t="s">
        <v>9</v>
      </c>
      <c r="Q17187" s="3"/>
    </row>
    <row r="17188" spans="1:17" ht="15" x14ac:dyDescent="0.25">
      <c r="A17188" s="3">
        <f>17181</f>
        <v>17181</v>
      </c>
      <c r="B17188" s="3" t="s">
        <v>17190</v>
      </c>
      <c r="C17188" s="3" t="s">
        <v>10</v>
      </c>
      <c r="D17188" s="3" t="s">
        <v>9</v>
      </c>
      <c r="E17188" s="3">
        <v>0</v>
      </c>
      <c r="F17188" s="3">
        <v>0</v>
      </c>
      <c r="G17188" s="3">
        <v>1</v>
      </c>
      <c r="H17188" s="3">
        <v>0</v>
      </c>
      <c r="I17188" s="3">
        <v>0</v>
      </c>
      <c r="J17188" s="3">
        <v>0</v>
      </c>
      <c r="K17188" s="3">
        <v>0</v>
      </c>
      <c r="L17188" s="3">
        <v>1</v>
      </c>
      <c r="M17188" s="3">
        <v>0</v>
      </c>
      <c r="N17188" s="3">
        <v>0</v>
      </c>
      <c r="O17188" s="3" t="s">
        <v>10</v>
      </c>
      <c r="P17188" s="3" t="s">
        <v>9</v>
      </c>
      <c r="Q17188" s="3"/>
    </row>
    <row r="17189" spans="1:17" ht="15" x14ac:dyDescent="0.25">
      <c r="A17189" s="3">
        <f>17182</f>
        <v>17182</v>
      </c>
      <c r="B17189" s="3" t="s">
        <v>17191</v>
      </c>
      <c r="C17189" s="3" t="s">
        <v>10</v>
      </c>
      <c r="D17189" s="3" t="s">
        <v>9</v>
      </c>
      <c r="E17189" s="3">
        <v>0</v>
      </c>
      <c r="F17189" s="3">
        <v>0</v>
      </c>
      <c r="G17189" s="3">
        <v>1</v>
      </c>
      <c r="H17189" s="3">
        <v>0</v>
      </c>
      <c r="I17189" s="3">
        <v>0</v>
      </c>
      <c r="J17189" s="3">
        <v>0</v>
      </c>
      <c r="K17189" s="3">
        <v>0</v>
      </c>
      <c r="L17189" s="3">
        <v>1</v>
      </c>
      <c r="M17189" s="3">
        <v>0</v>
      </c>
      <c r="N17189" s="3">
        <v>0</v>
      </c>
      <c r="O17189" s="3" t="s">
        <v>10</v>
      </c>
      <c r="P17189" s="3" t="s">
        <v>9</v>
      </c>
      <c r="Q17189" s="3"/>
    </row>
    <row r="17190" spans="1:17" ht="15" x14ac:dyDescent="0.25">
      <c r="A17190" s="3">
        <f>17183</f>
        <v>17183</v>
      </c>
      <c r="B17190" s="3" t="s">
        <v>17192</v>
      </c>
      <c r="C17190" s="3" t="s">
        <v>10</v>
      </c>
      <c r="D17190" s="3" t="s">
        <v>9</v>
      </c>
      <c r="E17190" s="3">
        <v>0</v>
      </c>
      <c r="F17190" s="3">
        <v>0</v>
      </c>
      <c r="G17190" s="3">
        <v>1</v>
      </c>
      <c r="H17190" s="3">
        <v>0</v>
      </c>
      <c r="I17190" s="3">
        <v>0</v>
      </c>
      <c r="J17190" s="3">
        <v>0</v>
      </c>
      <c r="K17190" s="3">
        <v>0</v>
      </c>
      <c r="L17190" s="3">
        <v>1</v>
      </c>
      <c r="M17190" s="3">
        <v>0</v>
      </c>
      <c r="N17190" s="3">
        <v>0</v>
      </c>
      <c r="O17190" s="3" t="s">
        <v>10</v>
      </c>
      <c r="P17190" s="3" t="s">
        <v>9</v>
      </c>
      <c r="Q17190" s="3"/>
    </row>
    <row r="17191" spans="1:17" ht="15" x14ac:dyDescent="0.25">
      <c r="A17191" s="3">
        <f>17184</f>
        <v>17184</v>
      </c>
      <c r="B17191" s="3" t="s">
        <v>17193</v>
      </c>
      <c r="C17191" s="3" t="s">
        <v>10</v>
      </c>
      <c r="D17191" s="3" t="s">
        <v>9</v>
      </c>
      <c r="E17191" s="3">
        <v>0</v>
      </c>
      <c r="F17191" s="3">
        <v>0</v>
      </c>
      <c r="G17191" s="3">
        <v>1</v>
      </c>
      <c r="H17191" s="3">
        <v>0</v>
      </c>
      <c r="I17191" s="3">
        <v>0</v>
      </c>
      <c r="J17191" s="3">
        <v>0</v>
      </c>
      <c r="K17191" s="3">
        <v>0</v>
      </c>
      <c r="L17191" s="3">
        <v>1</v>
      </c>
      <c r="M17191" s="3">
        <v>0</v>
      </c>
      <c r="N17191" s="3">
        <v>0</v>
      </c>
      <c r="O17191" s="3" t="s">
        <v>10</v>
      </c>
      <c r="P17191" s="3" t="s">
        <v>9</v>
      </c>
      <c r="Q17191" s="3"/>
    </row>
    <row r="17192" spans="1:17" ht="15" x14ac:dyDescent="0.25">
      <c r="A17192" s="3">
        <f>17185</f>
        <v>17185</v>
      </c>
      <c r="B17192" s="3" t="s">
        <v>17194</v>
      </c>
      <c r="C17192" s="3" t="s">
        <v>10</v>
      </c>
      <c r="D17192" s="3" t="s">
        <v>9</v>
      </c>
      <c r="E17192" s="3">
        <v>0</v>
      </c>
      <c r="F17192" s="3">
        <v>0</v>
      </c>
      <c r="G17192" s="3">
        <v>1</v>
      </c>
      <c r="H17192" s="3">
        <v>0</v>
      </c>
      <c r="I17192" s="3">
        <v>0</v>
      </c>
      <c r="J17192" s="3">
        <v>0</v>
      </c>
      <c r="K17192" s="3">
        <v>0</v>
      </c>
      <c r="L17192" s="3">
        <v>1</v>
      </c>
      <c r="M17192" s="3">
        <v>0</v>
      </c>
      <c r="N17192" s="3">
        <v>0</v>
      </c>
      <c r="O17192" s="3" t="s">
        <v>10</v>
      </c>
      <c r="P17192" s="3" t="s">
        <v>9</v>
      </c>
      <c r="Q17192" s="3"/>
    </row>
    <row r="17193" spans="1:17" ht="15" x14ac:dyDescent="0.25">
      <c r="A17193" s="3">
        <f>17186</f>
        <v>17186</v>
      </c>
      <c r="B17193" s="3" t="s">
        <v>17195</v>
      </c>
      <c r="C17193" s="3" t="s">
        <v>10</v>
      </c>
      <c r="D17193" s="3" t="s">
        <v>9</v>
      </c>
      <c r="E17193" s="3">
        <v>0</v>
      </c>
      <c r="F17193" s="3">
        <v>0</v>
      </c>
      <c r="G17193" s="3">
        <v>1</v>
      </c>
      <c r="H17193" s="3">
        <v>0</v>
      </c>
      <c r="I17193" s="3">
        <v>0</v>
      </c>
      <c r="J17193" s="3">
        <v>0</v>
      </c>
      <c r="K17193" s="3">
        <v>0</v>
      </c>
      <c r="L17193" s="3">
        <v>1</v>
      </c>
      <c r="M17193" s="3">
        <v>0</v>
      </c>
      <c r="N17193" s="3">
        <v>0</v>
      </c>
      <c r="O17193" s="3" t="s">
        <v>10</v>
      </c>
      <c r="P17193" s="3" t="s">
        <v>9</v>
      </c>
      <c r="Q17193" s="3"/>
    </row>
    <row r="17194" spans="1:17" ht="15" x14ac:dyDescent="0.25">
      <c r="A17194" s="3">
        <f>17187</f>
        <v>17187</v>
      </c>
      <c r="B17194" s="3" t="s">
        <v>17196</v>
      </c>
      <c r="C17194" s="3" t="s">
        <v>10</v>
      </c>
      <c r="D17194" s="3" t="s">
        <v>9</v>
      </c>
      <c r="E17194" s="3">
        <v>0</v>
      </c>
      <c r="F17194" s="3">
        <v>0</v>
      </c>
      <c r="G17194" s="3">
        <v>1</v>
      </c>
      <c r="H17194" s="3">
        <v>0</v>
      </c>
      <c r="I17194" s="3">
        <v>0</v>
      </c>
      <c r="J17194" s="3">
        <v>0</v>
      </c>
      <c r="K17194" s="3">
        <v>0</v>
      </c>
      <c r="L17194" s="3">
        <v>1</v>
      </c>
      <c r="M17194" s="3">
        <v>0</v>
      </c>
      <c r="N17194" s="3">
        <v>0</v>
      </c>
      <c r="O17194" s="3" t="s">
        <v>10</v>
      </c>
      <c r="P17194" s="3" t="s">
        <v>9</v>
      </c>
      <c r="Q17194" s="3"/>
    </row>
    <row r="17195" spans="1:17" ht="15" x14ac:dyDescent="0.25">
      <c r="A17195" s="3">
        <f>17188</f>
        <v>17188</v>
      </c>
      <c r="B17195" s="3" t="s">
        <v>17197</v>
      </c>
      <c r="C17195" s="3" t="s">
        <v>9</v>
      </c>
      <c r="D17195" s="3" t="s">
        <v>10</v>
      </c>
      <c r="E17195" s="3">
        <v>0</v>
      </c>
      <c r="F17195" s="3">
        <v>0</v>
      </c>
      <c r="G17195" s="3">
        <v>1</v>
      </c>
      <c r="H17195" s="3">
        <v>0</v>
      </c>
      <c r="I17195" s="3">
        <v>0</v>
      </c>
      <c r="J17195" s="3">
        <v>0</v>
      </c>
      <c r="K17195" s="3">
        <v>0</v>
      </c>
      <c r="L17195" s="3">
        <v>1</v>
      </c>
      <c r="M17195" s="3">
        <v>0</v>
      </c>
      <c r="N17195" s="3">
        <v>0</v>
      </c>
      <c r="O17195" s="3" t="s">
        <v>10</v>
      </c>
      <c r="P17195" s="3" t="s">
        <v>9</v>
      </c>
      <c r="Q17195" s="3"/>
    </row>
    <row r="17196" spans="1:17" ht="15" x14ac:dyDescent="0.25">
      <c r="A17196" s="3">
        <f>17189</f>
        <v>17189</v>
      </c>
      <c r="B17196" s="3" t="s">
        <v>17198</v>
      </c>
      <c r="C17196" s="3" t="s">
        <v>9</v>
      </c>
      <c r="D17196" s="3" t="s">
        <v>10</v>
      </c>
      <c r="E17196" s="3">
        <v>0</v>
      </c>
      <c r="F17196" s="3">
        <v>0</v>
      </c>
      <c r="G17196" s="3">
        <v>1</v>
      </c>
      <c r="H17196" s="3">
        <v>0</v>
      </c>
      <c r="I17196" s="3">
        <v>0</v>
      </c>
      <c r="J17196" s="3">
        <v>0</v>
      </c>
      <c r="K17196" s="3">
        <v>0</v>
      </c>
      <c r="L17196" s="3">
        <v>1</v>
      </c>
      <c r="M17196" s="3">
        <v>0</v>
      </c>
      <c r="N17196" s="3">
        <v>0</v>
      </c>
      <c r="O17196" s="3" t="s">
        <v>10</v>
      </c>
      <c r="P17196" s="3" t="s">
        <v>9</v>
      </c>
      <c r="Q17196" s="3"/>
    </row>
    <row r="17197" spans="1:17" ht="15" x14ac:dyDescent="0.25">
      <c r="A17197" s="3">
        <f>17190</f>
        <v>17190</v>
      </c>
      <c r="B17197" s="3" t="s">
        <v>17199</v>
      </c>
      <c r="C17197" s="3" t="s">
        <v>9</v>
      </c>
      <c r="D17197" s="3" t="s">
        <v>10</v>
      </c>
      <c r="E17197" s="3">
        <v>0</v>
      </c>
      <c r="F17197" s="3">
        <v>0</v>
      </c>
      <c r="G17197" s="3">
        <v>1</v>
      </c>
      <c r="H17197" s="3">
        <v>0</v>
      </c>
      <c r="I17197" s="3">
        <v>0</v>
      </c>
      <c r="J17197" s="3">
        <v>0</v>
      </c>
      <c r="K17197" s="3">
        <v>0</v>
      </c>
      <c r="L17197" s="3">
        <v>1</v>
      </c>
      <c r="M17197" s="3">
        <v>0</v>
      </c>
      <c r="N17197" s="3">
        <v>0</v>
      </c>
      <c r="O17197" s="3" t="s">
        <v>10</v>
      </c>
      <c r="P17197" s="3" t="s">
        <v>9</v>
      </c>
      <c r="Q17197" s="3"/>
    </row>
    <row r="17198" spans="1:17" ht="15" x14ac:dyDescent="0.25">
      <c r="A17198" s="3">
        <f>17191</f>
        <v>17191</v>
      </c>
      <c r="B17198" s="3" t="s">
        <v>17200</v>
      </c>
      <c r="C17198" s="3" t="s">
        <v>9</v>
      </c>
      <c r="D17198" s="3" t="s">
        <v>10</v>
      </c>
      <c r="E17198" s="3">
        <v>0</v>
      </c>
      <c r="F17198" s="3">
        <v>0</v>
      </c>
      <c r="G17198" s="3">
        <v>1</v>
      </c>
      <c r="H17198" s="3">
        <v>0</v>
      </c>
      <c r="I17198" s="3">
        <v>0</v>
      </c>
      <c r="J17198" s="3">
        <v>0</v>
      </c>
      <c r="K17198" s="3">
        <v>0</v>
      </c>
      <c r="L17198" s="3">
        <v>1</v>
      </c>
      <c r="M17198" s="3">
        <v>0</v>
      </c>
      <c r="N17198" s="3">
        <v>0</v>
      </c>
      <c r="O17198" s="3" t="s">
        <v>10</v>
      </c>
      <c r="P17198" s="3" t="s">
        <v>9</v>
      </c>
      <c r="Q17198" s="3"/>
    </row>
    <row r="17199" spans="1:17" ht="15" x14ac:dyDescent="0.25">
      <c r="A17199" s="3">
        <f>17192</f>
        <v>17192</v>
      </c>
      <c r="B17199" s="3" t="s">
        <v>17201</v>
      </c>
      <c r="C17199" s="3" t="s">
        <v>9</v>
      </c>
      <c r="D17199" s="3" t="s">
        <v>10</v>
      </c>
      <c r="E17199" s="3">
        <v>0</v>
      </c>
      <c r="F17199" s="3">
        <v>0</v>
      </c>
      <c r="G17199" s="3">
        <v>1</v>
      </c>
      <c r="H17199" s="3">
        <v>0</v>
      </c>
      <c r="I17199" s="3">
        <v>0</v>
      </c>
      <c r="J17199" s="3">
        <v>0</v>
      </c>
      <c r="K17199" s="3">
        <v>0</v>
      </c>
      <c r="L17199" s="3">
        <v>1</v>
      </c>
      <c r="M17199" s="3">
        <v>0</v>
      </c>
      <c r="N17199" s="3">
        <v>0</v>
      </c>
      <c r="O17199" s="3" t="s">
        <v>10</v>
      </c>
      <c r="P17199" s="3" t="s">
        <v>9</v>
      </c>
      <c r="Q17199" s="3"/>
    </row>
    <row r="17200" spans="1:17" ht="15" x14ac:dyDescent="0.25">
      <c r="A17200" s="3">
        <f>17193</f>
        <v>17193</v>
      </c>
      <c r="B17200" s="3" t="s">
        <v>17202</v>
      </c>
      <c r="C17200" s="3" t="s">
        <v>9</v>
      </c>
      <c r="D17200" s="3" t="s">
        <v>10</v>
      </c>
      <c r="E17200" s="3">
        <v>0</v>
      </c>
      <c r="F17200" s="3">
        <v>0</v>
      </c>
      <c r="G17200" s="3">
        <v>1</v>
      </c>
      <c r="H17200" s="3">
        <v>0</v>
      </c>
      <c r="I17200" s="3">
        <v>0</v>
      </c>
      <c r="J17200" s="3">
        <v>0</v>
      </c>
      <c r="K17200" s="3">
        <v>0</v>
      </c>
      <c r="L17200" s="3">
        <v>1</v>
      </c>
      <c r="M17200" s="3">
        <v>0</v>
      </c>
      <c r="N17200" s="3">
        <v>0</v>
      </c>
      <c r="O17200" s="3" t="s">
        <v>10</v>
      </c>
      <c r="P17200" s="3" t="s">
        <v>9</v>
      </c>
      <c r="Q17200" s="3"/>
    </row>
    <row r="17201" spans="1:17" ht="15" x14ac:dyDescent="0.25">
      <c r="A17201" s="3">
        <f>17194</f>
        <v>17194</v>
      </c>
      <c r="B17201" s="3" t="s">
        <v>17203</v>
      </c>
      <c r="C17201" s="3" t="s">
        <v>9</v>
      </c>
      <c r="D17201" s="3" t="s">
        <v>10</v>
      </c>
      <c r="E17201" s="3">
        <v>0</v>
      </c>
      <c r="F17201" s="3">
        <v>0</v>
      </c>
      <c r="G17201" s="3">
        <v>1</v>
      </c>
      <c r="H17201" s="3">
        <v>0</v>
      </c>
      <c r="I17201" s="3">
        <v>0</v>
      </c>
      <c r="J17201" s="3">
        <v>0</v>
      </c>
      <c r="K17201" s="3">
        <v>0</v>
      </c>
      <c r="L17201" s="3">
        <v>1</v>
      </c>
      <c r="M17201" s="3">
        <v>0</v>
      </c>
      <c r="N17201" s="3">
        <v>0</v>
      </c>
      <c r="O17201" s="3" t="s">
        <v>10</v>
      </c>
      <c r="P17201" s="3" t="s">
        <v>9</v>
      </c>
      <c r="Q17201" s="3"/>
    </row>
    <row r="17202" spans="1:17" ht="15" x14ac:dyDescent="0.25">
      <c r="A17202" s="3">
        <f>17195</f>
        <v>17195</v>
      </c>
      <c r="B17202" s="3" t="s">
        <v>17204</v>
      </c>
      <c r="C17202" s="3" t="s">
        <v>9</v>
      </c>
      <c r="D17202" s="3" t="s">
        <v>10</v>
      </c>
      <c r="E17202" s="3">
        <v>0</v>
      </c>
      <c r="F17202" s="3">
        <v>0</v>
      </c>
      <c r="G17202" s="3">
        <v>1</v>
      </c>
      <c r="H17202" s="3">
        <v>0</v>
      </c>
      <c r="I17202" s="3">
        <v>0</v>
      </c>
      <c r="J17202" s="3">
        <v>0</v>
      </c>
      <c r="K17202" s="3">
        <v>0</v>
      </c>
      <c r="L17202" s="3">
        <v>1</v>
      </c>
      <c r="M17202" s="3">
        <v>0</v>
      </c>
      <c r="N17202" s="3">
        <v>0</v>
      </c>
      <c r="O17202" s="3" t="s">
        <v>9</v>
      </c>
      <c r="P17202" s="3" t="s">
        <v>9</v>
      </c>
      <c r="Q17202" s="3"/>
    </row>
    <row r="17203" spans="1:17" ht="15" x14ac:dyDescent="0.25">
      <c r="A17203" s="3">
        <f>17196</f>
        <v>17196</v>
      </c>
      <c r="B17203" s="3" t="s">
        <v>17205</v>
      </c>
      <c r="C17203" s="3" t="s">
        <v>9</v>
      </c>
      <c r="D17203" s="3" t="s">
        <v>10</v>
      </c>
      <c r="E17203" s="3">
        <v>0</v>
      </c>
      <c r="F17203" s="3">
        <v>0</v>
      </c>
      <c r="G17203" s="3">
        <v>1</v>
      </c>
      <c r="H17203" s="3">
        <v>0</v>
      </c>
      <c r="I17203" s="3">
        <v>0</v>
      </c>
      <c r="J17203" s="3">
        <v>0</v>
      </c>
      <c r="K17203" s="3">
        <v>0</v>
      </c>
      <c r="L17203" s="3">
        <v>1</v>
      </c>
      <c r="M17203" s="3">
        <v>0</v>
      </c>
      <c r="N17203" s="3">
        <v>0</v>
      </c>
      <c r="O17203" s="3" t="s">
        <v>10</v>
      </c>
      <c r="P17203" s="3" t="s">
        <v>9</v>
      </c>
      <c r="Q17203" s="3"/>
    </row>
    <row r="17204" spans="1:17" ht="15" x14ac:dyDescent="0.25">
      <c r="A17204" s="3">
        <f>17197</f>
        <v>17197</v>
      </c>
      <c r="B17204" s="3" t="s">
        <v>17206</v>
      </c>
      <c r="C17204" s="3" t="s">
        <v>9</v>
      </c>
      <c r="D17204" s="3" t="s">
        <v>10</v>
      </c>
      <c r="E17204" s="3">
        <v>0</v>
      </c>
      <c r="F17204" s="3">
        <v>0</v>
      </c>
      <c r="G17204" s="3">
        <v>1</v>
      </c>
      <c r="H17204" s="3">
        <v>0</v>
      </c>
      <c r="I17204" s="3">
        <v>0</v>
      </c>
      <c r="J17204" s="3">
        <v>0</v>
      </c>
      <c r="K17204" s="3">
        <v>0</v>
      </c>
      <c r="L17204" s="3">
        <v>1</v>
      </c>
      <c r="M17204" s="3">
        <v>0</v>
      </c>
      <c r="N17204" s="3">
        <v>0</v>
      </c>
      <c r="O17204" s="3" t="s">
        <v>10</v>
      </c>
      <c r="P17204" s="3" t="s">
        <v>9</v>
      </c>
      <c r="Q17204" s="3"/>
    </row>
    <row r="17205" spans="1:17" ht="15" x14ac:dyDescent="0.25">
      <c r="A17205" s="3">
        <f>17198</f>
        <v>17198</v>
      </c>
      <c r="B17205" s="3" t="s">
        <v>17207</v>
      </c>
      <c r="C17205" s="3" t="s">
        <v>9</v>
      </c>
      <c r="D17205" s="3" t="s">
        <v>10</v>
      </c>
      <c r="E17205" s="3">
        <v>0</v>
      </c>
      <c r="F17205" s="3">
        <v>0</v>
      </c>
      <c r="G17205" s="3">
        <v>1</v>
      </c>
      <c r="H17205" s="3">
        <v>0</v>
      </c>
      <c r="I17205" s="3">
        <v>0</v>
      </c>
      <c r="J17205" s="3">
        <v>0</v>
      </c>
      <c r="K17205" s="3">
        <v>0</v>
      </c>
      <c r="L17205" s="3">
        <v>1</v>
      </c>
      <c r="M17205" s="3">
        <v>0</v>
      </c>
      <c r="N17205" s="3">
        <v>0</v>
      </c>
      <c r="O17205" s="3" t="s">
        <v>10</v>
      </c>
      <c r="P17205" s="3" t="s">
        <v>9</v>
      </c>
      <c r="Q17205" s="3"/>
    </row>
    <row r="17206" spans="1:17" ht="15" x14ac:dyDescent="0.25">
      <c r="A17206" s="3">
        <f>17199</f>
        <v>17199</v>
      </c>
      <c r="B17206" s="3" t="s">
        <v>17208</v>
      </c>
      <c r="C17206" s="3" t="s">
        <v>9</v>
      </c>
      <c r="D17206" s="3" t="s">
        <v>10</v>
      </c>
      <c r="E17206" s="3">
        <v>0</v>
      </c>
      <c r="F17206" s="3">
        <v>0</v>
      </c>
      <c r="G17206" s="3">
        <v>1</v>
      </c>
      <c r="H17206" s="3">
        <v>0</v>
      </c>
      <c r="I17206" s="3">
        <v>0</v>
      </c>
      <c r="J17206" s="3">
        <v>0</v>
      </c>
      <c r="K17206" s="3">
        <v>0</v>
      </c>
      <c r="L17206" s="3">
        <v>1</v>
      </c>
      <c r="M17206" s="3">
        <v>0</v>
      </c>
      <c r="N17206" s="3">
        <v>0</v>
      </c>
      <c r="O17206" s="3" t="s">
        <v>10</v>
      </c>
      <c r="P17206" s="3" t="s">
        <v>9</v>
      </c>
      <c r="Q17206" s="3"/>
    </row>
    <row r="17207" spans="1:17" ht="15" x14ac:dyDescent="0.25">
      <c r="A17207" s="3">
        <f>17200</f>
        <v>17200</v>
      </c>
      <c r="B17207" s="3" t="s">
        <v>17209</v>
      </c>
      <c r="C17207" s="3" t="s">
        <v>9</v>
      </c>
      <c r="D17207" s="3" t="s">
        <v>10</v>
      </c>
      <c r="E17207" s="3">
        <v>0</v>
      </c>
      <c r="F17207" s="3">
        <v>0</v>
      </c>
      <c r="G17207" s="3">
        <v>1</v>
      </c>
      <c r="H17207" s="3">
        <v>0</v>
      </c>
      <c r="I17207" s="3">
        <v>0</v>
      </c>
      <c r="J17207" s="3">
        <v>0</v>
      </c>
      <c r="K17207" s="3">
        <v>0</v>
      </c>
      <c r="L17207" s="3">
        <v>1</v>
      </c>
      <c r="M17207" s="3">
        <v>0</v>
      </c>
      <c r="N17207" s="3">
        <v>0</v>
      </c>
      <c r="O17207" s="3" t="s">
        <v>10</v>
      </c>
      <c r="P17207" s="3" t="s">
        <v>9</v>
      </c>
      <c r="Q17207" s="3"/>
    </row>
    <row r="17208" spans="1:17" ht="15" x14ac:dyDescent="0.25">
      <c r="A17208" s="3">
        <f>17201</f>
        <v>17201</v>
      </c>
      <c r="B17208" s="3" t="s">
        <v>17210</v>
      </c>
      <c r="C17208" s="3" t="s">
        <v>9</v>
      </c>
      <c r="D17208" s="3" t="s">
        <v>10</v>
      </c>
      <c r="E17208" s="3">
        <v>0</v>
      </c>
      <c r="F17208" s="3">
        <v>0</v>
      </c>
      <c r="G17208" s="3">
        <v>1</v>
      </c>
      <c r="H17208" s="3">
        <v>0</v>
      </c>
      <c r="I17208" s="3">
        <v>0</v>
      </c>
      <c r="J17208" s="3">
        <v>0</v>
      </c>
      <c r="K17208" s="3">
        <v>0</v>
      </c>
      <c r="L17208" s="3">
        <v>1</v>
      </c>
      <c r="M17208" s="3">
        <v>0</v>
      </c>
      <c r="N17208" s="3">
        <v>0</v>
      </c>
      <c r="O17208" s="3" t="s">
        <v>10</v>
      </c>
      <c r="P17208" s="3" t="s">
        <v>9</v>
      </c>
      <c r="Q17208" s="3"/>
    </row>
    <row r="17209" spans="1:17" ht="15" x14ac:dyDescent="0.25">
      <c r="A17209" s="3">
        <f>17202</f>
        <v>17202</v>
      </c>
      <c r="B17209" s="3" t="s">
        <v>17211</v>
      </c>
      <c r="C17209" s="3" t="s">
        <v>9</v>
      </c>
      <c r="D17209" s="3" t="s">
        <v>10</v>
      </c>
      <c r="E17209" s="3">
        <v>0</v>
      </c>
      <c r="F17209" s="3">
        <v>0</v>
      </c>
      <c r="G17209" s="3">
        <v>1</v>
      </c>
      <c r="H17209" s="3">
        <v>0</v>
      </c>
      <c r="I17209" s="3">
        <v>0</v>
      </c>
      <c r="J17209" s="3">
        <v>0</v>
      </c>
      <c r="K17209" s="3">
        <v>0</v>
      </c>
      <c r="L17209" s="3">
        <v>1</v>
      </c>
      <c r="M17209" s="3">
        <v>0</v>
      </c>
      <c r="N17209" s="3">
        <v>0</v>
      </c>
      <c r="O17209" s="3" t="s">
        <v>10</v>
      </c>
      <c r="P17209" s="3" t="s">
        <v>9</v>
      </c>
      <c r="Q17209" s="3"/>
    </row>
    <row r="17210" spans="1:17" ht="15" x14ac:dyDescent="0.25">
      <c r="A17210" s="3">
        <f>17203</f>
        <v>17203</v>
      </c>
      <c r="B17210" s="3" t="s">
        <v>17212</v>
      </c>
      <c r="C17210" s="3" t="s">
        <v>9</v>
      </c>
      <c r="D17210" s="3" t="s">
        <v>10</v>
      </c>
      <c r="E17210" s="3">
        <v>0</v>
      </c>
      <c r="F17210" s="3">
        <v>0</v>
      </c>
      <c r="G17210" s="3">
        <v>1</v>
      </c>
      <c r="H17210" s="3">
        <v>0</v>
      </c>
      <c r="I17210" s="3">
        <v>0</v>
      </c>
      <c r="J17210" s="3">
        <v>0</v>
      </c>
      <c r="K17210" s="3">
        <v>0</v>
      </c>
      <c r="L17210" s="3">
        <v>1</v>
      </c>
      <c r="M17210" s="3">
        <v>0</v>
      </c>
      <c r="N17210" s="3">
        <v>0</v>
      </c>
      <c r="O17210" s="3" t="s">
        <v>10</v>
      </c>
      <c r="P17210" s="3" t="s">
        <v>9</v>
      </c>
      <c r="Q17210" s="3"/>
    </row>
    <row r="17211" spans="1:17" ht="15" x14ac:dyDescent="0.25">
      <c r="A17211" s="3">
        <f>17204</f>
        <v>17204</v>
      </c>
      <c r="B17211" s="3" t="s">
        <v>17213</v>
      </c>
      <c r="C17211" s="3" t="s">
        <v>9</v>
      </c>
      <c r="D17211" s="3" t="s">
        <v>10</v>
      </c>
      <c r="E17211" s="3">
        <v>0</v>
      </c>
      <c r="F17211" s="3">
        <v>0</v>
      </c>
      <c r="G17211" s="3">
        <v>1</v>
      </c>
      <c r="H17211" s="3">
        <v>0</v>
      </c>
      <c r="I17211" s="3">
        <v>0</v>
      </c>
      <c r="J17211" s="3">
        <v>0</v>
      </c>
      <c r="K17211" s="3">
        <v>0</v>
      </c>
      <c r="L17211" s="3">
        <v>1</v>
      </c>
      <c r="M17211" s="3">
        <v>0</v>
      </c>
      <c r="N17211" s="3">
        <v>0</v>
      </c>
      <c r="O17211" s="3" t="s">
        <v>10</v>
      </c>
      <c r="P17211" s="3" t="s">
        <v>9</v>
      </c>
      <c r="Q17211" s="3"/>
    </row>
    <row r="17212" spans="1:17" ht="15" x14ac:dyDescent="0.25">
      <c r="A17212" s="3">
        <f>17205</f>
        <v>17205</v>
      </c>
      <c r="B17212" s="3" t="s">
        <v>17214</v>
      </c>
      <c r="C17212" s="3" t="s">
        <v>9</v>
      </c>
      <c r="D17212" s="3" t="s">
        <v>10</v>
      </c>
      <c r="E17212" s="3">
        <v>0</v>
      </c>
      <c r="F17212" s="3">
        <v>0</v>
      </c>
      <c r="G17212" s="3">
        <v>1</v>
      </c>
      <c r="H17212" s="3">
        <v>0</v>
      </c>
      <c r="I17212" s="3">
        <v>0</v>
      </c>
      <c r="J17212" s="3">
        <v>0</v>
      </c>
      <c r="K17212" s="3">
        <v>0</v>
      </c>
      <c r="L17212" s="3">
        <v>1</v>
      </c>
      <c r="M17212" s="3">
        <v>0</v>
      </c>
      <c r="N17212" s="3">
        <v>0</v>
      </c>
      <c r="O17212" s="3" t="s">
        <v>10</v>
      </c>
      <c r="P17212" s="3" t="s">
        <v>9</v>
      </c>
      <c r="Q17212" s="3"/>
    </row>
    <row r="17213" spans="1:17" ht="15" x14ac:dyDescent="0.25">
      <c r="A17213" s="3">
        <f>17206</f>
        <v>17206</v>
      </c>
      <c r="B17213" s="3" t="s">
        <v>17215</v>
      </c>
      <c r="C17213" s="3" t="s">
        <v>10</v>
      </c>
      <c r="D17213" s="3" t="s">
        <v>9</v>
      </c>
      <c r="E17213" s="3">
        <v>0</v>
      </c>
      <c r="F17213" s="3">
        <v>0</v>
      </c>
      <c r="G17213" s="3">
        <v>1</v>
      </c>
      <c r="H17213" s="3">
        <v>0</v>
      </c>
      <c r="I17213" s="3">
        <v>0</v>
      </c>
      <c r="J17213" s="3">
        <v>0</v>
      </c>
      <c r="K17213" s="3">
        <v>0</v>
      </c>
      <c r="L17213" s="3">
        <v>1</v>
      </c>
      <c r="M17213" s="3">
        <v>0</v>
      </c>
      <c r="N17213" s="3">
        <v>0</v>
      </c>
      <c r="O17213" s="3" t="s">
        <v>10</v>
      </c>
      <c r="P17213" s="3" t="s">
        <v>9</v>
      </c>
      <c r="Q17213" s="3"/>
    </row>
    <row r="17214" spans="1:17" ht="15" x14ac:dyDescent="0.25">
      <c r="A17214" s="3">
        <f>17207</f>
        <v>17207</v>
      </c>
      <c r="B17214" s="3" t="s">
        <v>17216</v>
      </c>
      <c r="C17214" s="3" t="s">
        <v>10</v>
      </c>
      <c r="D17214" s="3" t="s">
        <v>9</v>
      </c>
      <c r="E17214" s="3">
        <v>0</v>
      </c>
      <c r="F17214" s="3">
        <v>0</v>
      </c>
      <c r="G17214" s="3">
        <v>1</v>
      </c>
      <c r="H17214" s="3">
        <v>0</v>
      </c>
      <c r="I17214" s="3">
        <v>0</v>
      </c>
      <c r="J17214" s="3">
        <v>0</v>
      </c>
      <c r="K17214" s="3">
        <v>0</v>
      </c>
      <c r="L17214" s="3">
        <v>1</v>
      </c>
      <c r="M17214" s="3">
        <v>0</v>
      </c>
      <c r="N17214" s="3">
        <v>0</v>
      </c>
      <c r="O17214" s="3" t="s">
        <v>10</v>
      </c>
      <c r="P17214" s="3" t="s">
        <v>9</v>
      </c>
      <c r="Q17214" s="3"/>
    </row>
    <row r="17215" spans="1:17" ht="15" x14ac:dyDescent="0.25">
      <c r="A17215" s="3">
        <f>17208</f>
        <v>17208</v>
      </c>
      <c r="B17215" s="3" t="s">
        <v>17217</v>
      </c>
      <c r="C17215" s="3" t="s">
        <v>10</v>
      </c>
      <c r="D17215" s="3" t="s">
        <v>9</v>
      </c>
      <c r="E17215" s="3">
        <v>0</v>
      </c>
      <c r="F17215" s="3">
        <v>0</v>
      </c>
      <c r="G17215" s="3">
        <v>1</v>
      </c>
      <c r="H17215" s="3">
        <v>0</v>
      </c>
      <c r="I17215" s="3">
        <v>0</v>
      </c>
      <c r="J17215" s="3">
        <v>0</v>
      </c>
      <c r="K17215" s="3">
        <v>0</v>
      </c>
      <c r="L17215" s="3">
        <v>1</v>
      </c>
      <c r="M17215" s="3">
        <v>0</v>
      </c>
      <c r="N17215" s="3">
        <v>0</v>
      </c>
      <c r="O17215" s="3" t="s">
        <v>10</v>
      </c>
      <c r="P17215" s="3" t="s">
        <v>9</v>
      </c>
      <c r="Q17215" s="3"/>
    </row>
    <row r="17216" spans="1:17" ht="15" x14ac:dyDescent="0.25">
      <c r="A17216" s="3">
        <f>17209</f>
        <v>17209</v>
      </c>
      <c r="B17216" s="3" t="s">
        <v>17218</v>
      </c>
      <c r="C17216" s="3" t="s">
        <v>9</v>
      </c>
      <c r="D17216" s="3" t="s">
        <v>10</v>
      </c>
      <c r="E17216" s="3">
        <v>0</v>
      </c>
      <c r="F17216" s="3">
        <v>0</v>
      </c>
      <c r="G17216" s="3">
        <v>1</v>
      </c>
      <c r="H17216" s="3">
        <v>0</v>
      </c>
      <c r="I17216" s="3">
        <v>0</v>
      </c>
      <c r="J17216" s="3">
        <v>0</v>
      </c>
      <c r="K17216" s="3">
        <v>0</v>
      </c>
      <c r="L17216" s="3">
        <v>1</v>
      </c>
      <c r="M17216" s="3">
        <v>0</v>
      </c>
      <c r="N17216" s="3">
        <v>0</v>
      </c>
      <c r="O17216" s="3" t="s">
        <v>10</v>
      </c>
      <c r="P17216" s="3" t="s">
        <v>9</v>
      </c>
      <c r="Q17216" s="3"/>
    </row>
    <row r="17217" spans="1:17" ht="15" x14ac:dyDescent="0.25">
      <c r="A17217" s="3">
        <f>17210</f>
        <v>17210</v>
      </c>
      <c r="B17217" s="3" t="s">
        <v>17219</v>
      </c>
      <c r="C17217" s="3" t="s">
        <v>9</v>
      </c>
      <c r="D17217" s="3" t="s">
        <v>10</v>
      </c>
      <c r="E17217" s="3">
        <v>0</v>
      </c>
      <c r="F17217" s="3">
        <v>0</v>
      </c>
      <c r="G17217" s="3">
        <v>1</v>
      </c>
      <c r="H17217" s="3">
        <v>0</v>
      </c>
      <c r="I17217" s="3">
        <v>0</v>
      </c>
      <c r="J17217" s="3">
        <v>0</v>
      </c>
      <c r="K17217" s="3">
        <v>0</v>
      </c>
      <c r="L17217" s="3">
        <v>1</v>
      </c>
      <c r="M17217" s="3">
        <v>0</v>
      </c>
      <c r="N17217" s="3">
        <v>0</v>
      </c>
      <c r="O17217" s="3" t="s">
        <v>10</v>
      </c>
      <c r="P17217" s="3" t="s">
        <v>9</v>
      </c>
      <c r="Q17217" s="3"/>
    </row>
    <row r="17218" spans="1:17" ht="15" x14ac:dyDescent="0.25">
      <c r="A17218" s="3">
        <f>17211</f>
        <v>17211</v>
      </c>
      <c r="B17218" s="3" t="s">
        <v>17220</v>
      </c>
      <c r="C17218" s="3" t="s">
        <v>9</v>
      </c>
      <c r="D17218" s="3" t="s">
        <v>10</v>
      </c>
      <c r="E17218" s="3">
        <v>0</v>
      </c>
      <c r="F17218" s="3">
        <v>0</v>
      </c>
      <c r="G17218" s="3">
        <v>1</v>
      </c>
      <c r="H17218" s="3">
        <v>0</v>
      </c>
      <c r="I17218" s="3">
        <v>0</v>
      </c>
      <c r="J17218" s="3">
        <v>0</v>
      </c>
      <c r="K17218" s="3">
        <v>0</v>
      </c>
      <c r="L17218" s="3">
        <v>1</v>
      </c>
      <c r="M17218" s="3">
        <v>0</v>
      </c>
      <c r="N17218" s="3">
        <v>0</v>
      </c>
      <c r="O17218" s="3" t="s">
        <v>10</v>
      </c>
      <c r="P17218" s="3" t="s">
        <v>9</v>
      </c>
      <c r="Q17218" s="3"/>
    </row>
    <row r="17219" spans="1:17" ht="15" x14ac:dyDescent="0.25">
      <c r="A17219" s="3">
        <f>17212</f>
        <v>17212</v>
      </c>
      <c r="B17219" s="3" t="s">
        <v>17221</v>
      </c>
      <c r="C17219" s="3" t="s">
        <v>9</v>
      </c>
      <c r="D17219" s="3" t="s">
        <v>10</v>
      </c>
      <c r="E17219" s="3">
        <v>0</v>
      </c>
      <c r="F17219" s="3">
        <v>0</v>
      </c>
      <c r="G17219" s="3">
        <v>1</v>
      </c>
      <c r="H17219" s="3">
        <v>0</v>
      </c>
      <c r="I17219" s="3">
        <v>0</v>
      </c>
      <c r="J17219" s="3">
        <v>0</v>
      </c>
      <c r="K17219" s="3">
        <v>0</v>
      </c>
      <c r="L17219" s="3">
        <v>1</v>
      </c>
      <c r="M17219" s="3">
        <v>0</v>
      </c>
      <c r="N17219" s="3">
        <v>0</v>
      </c>
      <c r="O17219" s="3" t="s">
        <v>10</v>
      </c>
      <c r="P17219" s="3" t="s">
        <v>9</v>
      </c>
      <c r="Q17219" s="3"/>
    </row>
    <row r="17220" spans="1:17" ht="15" x14ac:dyDescent="0.25">
      <c r="A17220" s="3">
        <f>17213</f>
        <v>17213</v>
      </c>
      <c r="B17220" s="3" t="s">
        <v>17222</v>
      </c>
      <c r="C17220" s="3" t="s">
        <v>9</v>
      </c>
      <c r="D17220" s="3" t="s">
        <v>10</v>
      </c>
      <c r="E17220" s="3">
        <v>0</v>
      </c>
      <c r="F17220" s="3">
        <v>0</v>
      </c>
      <c r="G17220" s="3">
        <v>1</v>
      </c>
      <c r="H17220" s="3">
        <v>0</v>
      </c>
      <c r="I17220" s="3">
        <v>0</v>
      </c>
      <c r="J17220" s="3">
        <v>0</v>
      </c>
      <c r="K17220" s="3">
        <v>0</v>
      </c>
      <c r="L17220" s="3">
        <v>1</v>
      </c>
      <c r="M17220" s="3">
        <v>0</v>
      </c>
      <c r="N17220" s="3">
        <v>0</v>
      </c>
      <c r="O17220" s="3" t="s">
        <v>10</v>
      </c>
      <c r="P17220" s="3" t="s">
        <v>9</v>
      </c>
      <c r="Q17220" s="3"/>
    </row>
    <row r="17221" spans="1:17" ht="15" x14ac:dyDescent="0.25">
      <c r="A17221" s="3">
        <f>17214</f>
        <v>17214</v>
      </c>
      <c r="B17221" s="3" t="s">
        <v>17223</v>
      </c>
      <c r="C17221" s="3" t="s">
        <v>9</v>
      </c>
      <c r="D17221" s="3" t="s">
        <v>10</v>
      </c>
      <c r="E17221" s="3">
        <v>0</v>
      </c>
      <c r="F17221" s="3">
        <v>0</v>
      </c>
      <c r="G17221" s="3">
        <v>1</v>
      </c>
      <c r="H17221" s="3">
        <v>0</v>
      </c>
      <c r="I17221" s="3">
        <v>0</v>
      </c>
      <c r="J17221" s="3">
        <v>0</v>
      </c>
      <c r="K17221" s="3">
        <v>0</v>
      </c>
      <c r="L17221" s="3">
        <v>1</v>
      </c>
      <c r="M17221" s="3">
        <v>0</v>
      </c>
      <c r="N17221" s="3">
        <v>0</v>
      </c>
      <c r="O17221" s="3" t="s">
        <v>10</v>
      </c>
      <c r="P17221" s="3" t="s">
        <v>9</v>
      </c>
      <c r="Q17221" s="3"/>
    </row>
    <row r="17222" spans="1:17" ht="15" x14ac:dyDescent="0.25">
      <c r="A17222" s="3">
        <f>17215</f>
        <v>17215</v>
      </c>
      <c r="B17222" s="3" t="s">
        <v>17224</v>
      </c>
      <c r="C17222" s="3" t="s">
        <v>9</v>
      </c>
      <c r="D17222" s="3" t="s">
        <v>10</v>
      </c>
      <c r="E17222" s="3">
        <v>0</v>
      </c>
      <c r="F17222" s="3">
        <v>0</v>
      </c>
      <c r="G17222" s="3">
        <v>1</v>
      </c>
      <c r="H17222" s="3">
        <v>0</v>
      </c>
      <c r="I17222" s="3">
        <v>0</v>
      </c>
      <c r="J17222" s="3">
        <v>0</v>
      </c>
      <c r="K17222" s="3">
        <v>0</v>
      </c>
      <c r="L17222" s="3">
        <v>1</v>
      </c>
      <c r="M17222" s="3">
        <v>0</v>
      </c>
      <c r="N17222" s="3">
        <v>0</v>
      </c>
      <c r="O17222" s="3" t="s">
        <v>10</v>
      </c>
      <c r="P17222" s="3" t="s">
        <v>9</v>
      </c>
      <c r="Q17222" s="3"/>
    </row>
    <row r="17223" spans="1:17" ht="15" x14ac:dyDescent="0.25">
      <c r="A17223" s="3">
        <f>17216</f>
        <v>17216</v>
      </c>
      <c r="B17223" s="3" t="s">
        <v>17225</v>
      </c>
      <c r="C17223" s="3" t="s">
        <v>9</v>
      </c>
      <c r="D17223" s="3" t="s">
        <v>10</v>
      </c>
      <c r="E17223" s="3">
        <v>0</v>
      </c>
      <c r="F17223" s="3">
        <v>0</v>
      </c>
      <c r="G17223" s="3">
        <v>1</v>
      </c>
      <c r="H17223" s="3">
        <v>0</v>
      </c>
      <c r="I17223" s="3">
        <v>0</v>
      </c>
      <c r="J17223" s="3">
        <v>0</v>
      </c>
      <c r="K17223" s="3">
        <v>0</v>
      </c>
      <c r="L17223" s="3">
        <v>1</v>
      </c>
      <c r="M17223" s="3">
        <v>0</v>
      </c>
      <c r="N17223" s="3">
        <v>0</v>
      </c>
      <c r="O17223" s="3" t="s">
        <v>10</v>
      </c>
      <c r="P17223" s="3" t="s">
        <v>9</v>
      </c>
      <c r="Q17223" s="3"/>
    </row>
    <row r="17224" spans="1:17" ht="15" x14ac:dyDescent="0.25">
      <c r="A17224" s="3">
        <f>17217</f>
        <v>17217</v>
      </c>
      <c r="B17224" s="3" t="s">
        <v>17226</v>
      </c>
      <c r="C17224" s="3" t="s">
        <v>9</v>
      </c>
      <c r="D17224" s="3" t="s">
        <v>10</v>
      </c>
      <c r="E17224" s="3">
        <v>0</v>
      </c>
      <c r="F17224" s="3">
        <v>0</v>
      </c>
      <c r="G17224" s="3">
        <v>1</v>
      </c>
      <c r="H17224" s="3">
        <v>0</v>
      </c>
      <c r="I17224" s="3">
        <v>0</v>
      </c>
      <c r="J17224" s="3">
        <v>0</v>
      </c>
      <c r="K17224" s="3">
        <v>0</v>
      </c>
      <c r="L17224" s="3">
        <v>1</v>
      </c>
      <c r="M17224" s="3">
        <v>0</v>
      </c>
      <c r="N17224" s="3">
        <v>0</v>
      </c>
      <c r="O17224" s="3" t="s">
        <v>10</v>
      </c>
      <c r="P17224" s="3" t="s">
        <v>9</v>
      </c>
      <c r="Q17224" s="3"/>
    </row>
    <row r="17225" spans="1:17" ht="15" x14ac:dyDescent="0.25">
      <c r="A17225" s="3">
        <f>17218</f>
        <v>17218</v>
      </c>
      <c r="B17225" s="3" t="s">
        <v>17227</v>
      </c>
      <c r="C17225" s="3" t="s">
        <v>9</v>
      </c>
      <c r="D17225" s="3" t="s">
        <v>10</v>
      </c>
      <c r="E17225" s="3">
        <v>0</v>
      </c>
      <c r="F17225" s="3">
        <v>0</v>
      </c>
      <c r="G17225" s="3">
        <v>1</v>
      </c>
      <c r="H17225" s="3">
        <v>0</v>
      </c>
      <c r="I17225" s="3">
        <v>0</v>
      </c>
      <c r="J17225" s="3">
        <v>0</v>
      </c>
      <c r="K17225" s="3">
        <v>0</v>
      </c>
      <c r="L17225" s="3">
        <v>1</v>
      </c>
      <c r="M17225" s="3">
        <v>0</v>
      </c>
      <c r="N17225" s="3">
        <v>0</v>
      </c>
      <c r="O17225" s="3" t="s">
        <v>10</v>
      </c>
      <c r="P17225" s="3" t="s">
        <v>9</v>
      </c>
      <c r="Q17225" s="3"/>
    </row>
    <row r="17226" spans="1:17" ht="15" x14ac:dyDescent="0.25">
      <c r="A17226" s="3">
        <f>17219</f>
        <v>17219</v>
      </c>
      <c r="B17226" s="3" t="s">
        <v>17228</v>
      </c>
      <c r="C17226" s="3" t="s">
        <v>9</v>
      </c>
      <c r="D17226" s="3" t="s">
        <v>10</v>
      </c>
      <c r="E17226" s="3">
        <v>0</v>
      </c>
      <c r="F17226" s="3">
        <v>0</v>
      </c>
      <c r="G17226" s="3">
        <v>1</v>
      </c>
      <c r="H17226" s="3">
        <v>0</v>
      </c>
      <c r="I17226" s="3">
        <v>0</v>
      </c>
      <c r="J17226" s="3">
        <v>0</v>
      </c>
      <c r="K17226" s="3">
        <v>0</v>
      </c>
      <c r="L17226" s="3">
        <v>1</v>
      </c>
      <c r="M17226" s="3">
        <v>0</v>
      </c>
      <c r="N17226" s="3">
        <v>0</v>
      </c>
      <c r="O17226" s="3" t="s">
        <v>10</v>
      </c>
      <c r="P17226" s="3" t="s">
        <v>9</v>
      </c>
      <c r="Q17226" s="3"/>
    </row>
    <row r="17227" spans="1:17" ht="15" x14ac:dyDescent="0.25">
      <c r="A17227" s="3">
        <f>17220</f>
        <v>17220</v>
      </c>
      <c r="B17227" s="3" t="s">
        <v>17229</v>
      </c>
      <c r="C17227" s="3" t="s">
        <v>9</v>
      </c>
      <c r="D17227" s="3" t="s">
        <v>10</v>
      </c>
      <c r="E17227" s="3">
        <v>0</v>
      </c>
      <c r="F17227" s="3">
        <v>0</v>
      </c>
      <c r="G17227" s="3">
        <v>1</v>
      </c>
      <c r="H17227" s="3">
        <v>0</v>
      </c>
      <c r="I17227" s="3">
        <v>0</v>
      </c>
      <c r="J17227" s="3">
        <v>0</v>
      </c>
      <c r="K17227" s="3">
        <v>0</v>
      </c>
      <c r="L17227" s="3">
        <v>1</v>
      </c>
      <c r="M17227" s="3">
        <v>0</v>
      </c>
      <c r="N17227" s="3">
        <v>0</v>
      </c>
      <c r="O17227" s="3" t="s">
        <v>10</v>
      </c>
      <c r="P17227" s="3" t="s">
        <v>9</v>
      </c>
      <c r="Q17227" s="3"/>
    </row>
    <row r="17228" spans="1:17" ht="15" x14ac:dyDescent="0.25">
      <c r="A17228" s="3">
        <f>17221</f>
        <v>17221</v>
      </c>
      <c r="B17228" s="3" t="s">
        <v>17230</v>
      </c>
      <c r="C17228" s="3" t="s">
        <v>9</v>
      </c>
      <c r="D17228" s="3" t="s">
        <v>10</v>
      </c>
      <c r="E17228" s="3">
        <v>0</v>
      </c>
      <c r="F17228" s="3">
        <v>0</v>
      </c>
      <c r="G17228" s="3">
        <v>1</v>
      </c>
      <c r="H17228" s="3">
        <v>0</v>
      </c>
      <c r="I17228" s="3">
        <v>0</v>
      </c>
      <c r="J17228" s="3">
        <v>0</v>
      </c>
      <c r="K17228" s="3">
        <v>0</v>
      </c>
      <c r="L17228" s="3">
        <v>1</v>
      </c>
      <c r="M17228" s="3">
        <v>0</v>
      </c>
      <c r="N17228" s="3">
        <v>0</v>
      </c>
      <c r="O17228" s="3" t="s">
        <v>10</v>
      </c>
      <c r="P17228" s="3" t="s">
        <v>9</v>
      </c>
      <c r="Q17228" s="3"/>
    </row>
    <row r="17229" spans="1:17" ht="15" x14ac:dyDescent="0.25">
      <c r="A17229" s="3">
        <f>17222</f>
        <v>17222</v>
      </c>
      <c r="B17229" s="3" t="s">
        <v>17231</v>
      </c>
      <c r="C17229" s="3" t="s">
        <v>9</v>
      </c>
      <c r="D17229" s="3" t="s">
        <v>10</v>
      </c>
      <c r="E17229" s="3">
        <v>0</v>
      </c>
      <c r="F17229" s="3">
        <v>0</v>
      </c>
      <c r="G17229" s="3">
        <v>1</v>
      </c>
      <c r="H17229" s="3">
        <v>0</v>
      </c>
      <c r="I17229" s="3">
        <v>0</v>
      </c>
      <c r="J17229" s="3">
        <v>0</v>
      </c>
      <c r="K17229" s="3">
        <v>0</v>
      </c>
      <c r="L17229" s="3">
        <v>1</v>
      </c>
      <c r="M17229" s="3">
        <v>0</v>
      </c>
      <c r="N17229" s="3">
        <v>0</v>
      </c>
      <c r="O17229" s="3" t="s">
        <v>10</v>
      </c>
      <c r="P17229" s="3" t="s">
        <v>9</v>
      </c>
      <c r="Q17229" s="3"/>
    </row>
    <row r="17230" spans="1:17" ht="15" x14ac:dyDescent="0.25">
      <c r="A17230" s="3">
        <f>17223</f>
        <v>17223</v>
      </c>
      <c r="B17230" s="3" t="s">
        <v>17232</v>
      </c>
      <c r="C17230" s="3" t="s">
        <v>9</v>
      </c>
      <c r="D17230" s="3" t="s">
        <v>10</v>
      </c>
      <c r="E17230" s="3">
        <v>0</v>
      </c>
      <c r="F17230" s="3">
        <v>0</v>
      </c>
      <c r="G17230" s="3">
        <v>1</v>
      </c>
      <c r="H17230" s="3">
        <v>0</v>
      </c>
      <c r="I17230" s="3">
        <v>0</v>
      </c>
      <c r="J17230" s="3">
        <v>0</v>
      </c>
      <c r="K17230" s="3">
        <v>0</v>
      </c>
      <c r="L17230" s="3">
        <v>1</v>
      </c>
      <c r="M17230" s="3">
        <v>0</v>
      </c>
      <c r="N17230" s="3">
        <v>0</v>
      </c>
      <c r="O17230" s="3" t="s">
        <v>10</v>
      </c>
      <c r="P17230" s="3" t="s">
        <v>9</v>
      </c>
      <c r="Q17230" s="3"/>
    </row>
    <row r="17231" spans="1:17" ht="15" x14ac:dyDescent="0.25">
      <c r="A17231" s="3">
        <f>17224</f>
        <v>17224</v>
      </c>
      <c r="B17231" s="3" t="s">
        <v>17233</v>
      </c>
      <c r="C17231" s="3" t="s">
        <v>9</v>
      </c>
      <c r="D17231" s="3" t="s">
        <v>10</v>
      </c>
      <c r="E17231" s="3">
        <v>0</v>
      </c>
      <c r="F17231" s="3">
        <v>0</v>
      </c>
      <c r="G17231" s="3">
        <v>1</v>
      </c>
      <c r="H17231" s="3">
        <v>0</v>
      </c>
      <c r="I17231" s="3">
        <v>0</v>
      </c>
      <c r="J17231" s="3">
        <v>0</v>
      </c>
      <c r="K17231" s="3">
        <v>0</v>
      </c>
      <c r="L17231" s="3">
        <v>1</v>
      </c>
      <c r="M17231" s="3">
        <v>0</v>
      </c>
      <c r="N17231" s="3">
        <v>0</v>
      </c>
      <c r="O17231" s="3" t="s">
        <v>10</v>
      </c>
      <c r="P17231" s="3" t="s">
        <v>9</v>
      </c>
      <c r="Q17231" s="3"/>
    </row>
    <row r="17232" spans="1:17" ht="15" x14ac:dyDescent="0.25">
      <c r="A17232" s="3">
        <f>17225</f>
        <v>17225</v>
      </c>
      <c r="B17232" s="3" t="s">
        <v>17234</v>
      </c>
      <c r="C17232" s="3" t="s">
        <v>9</v>
      </c>
      <c r="D17232" s="3" t="s">
        <v>10</v>
      </c>
      <c r="E17232" s="3">
        <v>0</v>
      </c>
      <c r="F17232" s="3">
        <v>0</v>
      </c>
      <c r="G17232" s="3">
        <v>1</v>
      </c>
      <c r="H17232" s="3">
        <v>0</v>
      </c>
      <c r="I17232" s="3">
        <v>0</v>
      </c>
      <c r="J17232" s="3">
        <v>0</v>
      </c>
      <c r="K17232" s="3">
        <v>0</v>
      </c>
      <c r="L17232" s="3">
        <v>1</v>
      </c>
      <c r="M17232" s="3">
        <v>0</v>
      </c>
      <c r="N17232" s="3">
        <v>0</v>
      </c>
      <c r="O17232" s="3" t="s">
        <v>10</v>
      </c>
      <c r="P17232" s="3" t="s">
        <v>9</v>
      </c>
      <c r="Q17232" s="3"/>
    </row>
    <row r="17233" spans="1:17" ht="15" x14ac:dyDescent="0.25">
      <c r="A17233" s="3">
        <f>17226</f>
        <v>17226</v>
      </c>
      <c r="B17233" s="3" t="s">
        <v>17235</v>
      </c>
      <c r="C17233" s="3" t="s">
        <v>9</v>
      </c>
      <c r="D17233" s="3" t="s">
        <v>10</v>
      </c>
      <c r="E17233" s="3">
        <v>0</v>
      </c>
      <c r="F17233" s="3">
        <v>0</v>
      </c>
      <c r="G17233" s="3">
        <v>1</v>
      </c>
      <c r="H17233" s="3">
        <v>0</v>
      </c>
      <c r="I17233" s="3">
        <v>0</v>
      </c>
      <c r="J17233" s="3">
        <v>0</v>
      </c>
      <c r="K17233" s="3">
        <v>0</v>
      </c>
      <c r="L17233" s="3">
        <v>1</v>
      </c>
      <c r="M17233" s="3">
        <v>0</v>
      </c>
      <c r="N17233" s="3">
        <v>0</v>
      </c>
      <c r="O17233" s="3" t="s">
        <v>10</v>
      </c>
      <c r="P17233" s="3" t="s">
        <v>9</v>
      </c>
      <c r="Q17233" s="3"/>
    </row>
    <row r="17234" spans="1:17" ht="15" x14ac:dyDescent="0.25">
      <c r="A17234" s="3">
        <f>17227</f>
        <v>17227</v>
      </c>
      <c r="B17234" s="3" t="s">
        <v>17236</v>
      </c>
      <c r="C17234" s="3" t="s">
        <v>9</v>
      </c>
      <c r="D17234" s="3" t="s">
        <v>10</v>
      </c>
      <c r="E17234" s="3">
        <v>0</v>
      </c>
      <c r="F17234" s="3">
        <v>0</v>
      </c>
      <c r="G17234" s="3">
        <v>1</v>
      </c>
      <c r="H17234" s="3">
        <v>0</v>
      </c>
      <c r="I17234" s="3">
        <v>0</v>
      </c>
      <c r="J17234" s="3">
        <v>0</v>
      </c>
      <c r="K17234" s="3">
        <v>0</v>
      </c>
      <c r="L17234" s="3">
        <v>1</v>
      </c>
      <c r="M17234" s="3">
        <v>0</v>
      </c>
      <c r="N17234" s="3">
        <v>0</v>
      </c>
      <c r="O17234" s="3" t="s">
        <v>10</v>
      </c>
      <c r="P17234" s="3" t="s">
        <v>9</v>
      </c>
      <c r="Q17234" s="3"/>
    </row>
    <row r="17235" spans="1:17" ht="15" x14ac:dyDescent="0.25">
      <c r="A17235" s="3">
        <f>17228</f>
        <v>17228</v>
      </c>
      <c r="B17235" s="3" t="s">
        <v>17237</v>
      </c>
      <c r="C17235" s="3" t="s">
        <v>9</v>
      </c>
      <c r="D17235" s="3" t="s">
        <v>10</v>
      </c>
      <c r="E17235" s="3">
        <v>0</v>
      </c>
      <c r="F17235" s="3">
        <v>0</v>
      </c>
      <c r="G17235" s="3">
        <v>1</v>
      </c>
      <c r="H17235" s="3">
        <v>0</v>
      </c>
      <c r="I17235" s="3">
        <v>0</v>
      </c>
      <c r="J17235" s="3">
        <v>0</v>
      </c>
      <c r="K17235" s="3">
        <v>0</v>
      </c>
      <c r="L17235" s="3">
        <v>1</v>
      </c>
      <c r="M17235" s="3">
        <v>0</v>
      </c>
      <c r="N17235" s="3">
        <v>0</v>
      </c>
      <c r="O17235" s="3" t="s">
        <v>10</v>
      </c>
      <c r="P17235" s="3" t="s">
        <v>9</v>
      </c>
      <c r="Q17235" s="3"/>
    </row>
    <row r="17236" spans="1:17" ht="15" x14ac:dyDescent="0.25">
      <c r="A17236" s="3">
        <f>17229</f>
        <v>17229</v>
      </c>
      <c r="B17236" s="3" t="s">
        <v>17238</v>
      </c>
      <c r="C17236" s="3" t="s">
        <v>9</v>
      </c>
      <c r="D17236" s="3" t="s">
        <v>10</v>
      </c>
      <c r="E17236" s="3">
        <v>0</v>
      </c>
      <c r="F17236" s="3">
        <v>0</v>
      </c>
      <c r="G17236" s="3">
        <v>1</v>
      </c>
      <c r="H17236" s="3">
        <v>0</v>
      </c>
      <c r="I17236" s="3">
        <v>0</v>
      </c>
      <c r="J17236" s="3">
        <v>0</v>
      </c>
      <c r="K17236" s="3">
        <v>0</v>
      </c>
      <c r="L17236" s="3">
        <v>1</v>
      </c>
      <c r="M17236" s="3">
        <v>0</v>
      </c>
      <c r="N17236" s="3">
        <v>0</v>
      </c>
      <c r="O17236" s="3" t="s">
        <v>10</v>
      </c>
      <c r="P17236" s="3" t="s">
        <v>9</v>
      </c>
      <c r="Q17236" s="3"/>
    </row>
    <row r="17237" spans="1:17" ht="15" x14ac:dyDescent="0.25">
      <c r="A17237" s="3">
        <f>17230</f>
        <v>17230</v>
      </c>
      <c r="B17237" s="3" t="s">
        <v>17239</v>
      </c>
      <c r="C17237" s="3" t="s">
        <v>9</v>
      </c>
      <c r="D17237" s="3" t="s">
        <v>10</v>
      </c>
      <c r="E17237" s="3">
        <v>0</v>
      </c>
      <c r="F17237" s="3">
        <v>0</v>
      </c>
      <c r="G17237" s="3">
        <v>1</v>
      </c>
      <c r="H17237" s="3">
        <v>0</v>
      </c>
      <c r="I17237" s="3">
        <v>0</v>
      </c>
      <c r="J17237" s="3">
        <v>0</v>
      </c>
      <c r="K17237" s="3">
        <v>0</v>
      </c>
      <c r="L17237" s="3">
        <v>1</v>
      </c>
      <c r="M17237" s="3">
        <v>0</v>
      </c>
      <c r="N17237" s="3">
        <v>0</v>
      </c>
      <c r="O17237" s="3" t="s">
        <v>10</v>
      </c>
      <c r="P17237" s="3" t="s">
        <v>9</v>
      </c>
      <c r="Q17237" s="3"/>
    </row>
    <row r="17238" spans="1:17" ht="15" x14ac:dyDescent="0.25">
      <c r="A17238" s="3">
        <f>17231</f>
        <v>17231</v>
      </c>
      <c r="B17238" s="3" t="s">
        <v>17240</v>
      </c>
      <c r="C17238" s="3" t="s">
        <v>9</v>
      </c>
      <c r="D17238" s="3" t="s">
        <v>10</v>
      </c>
      <c r="E17238" s="3">
        <v>0</v>
      </c>
      <c r="F17238" s="3">
        <v>0</v>
      </c>
      <c r="G17238" s="3">
        <v>1</v>
      </c>
      <c r="H17238" s="3">
        <v>0</v>
      </c>
      <c r="I17238" s="3">
        <v>0</v>
      </c>
      <c r="J17238" s="3">
        <v>0</v>
      </c>
      <c r="K17238" s="3">
        <v>0</v>
      </c>
      <c r="L17238" s="3">
        <v>1</v>
      </c>
      <c r="M17238" s="3">
        <v>0</v>
      </c>
      <c r="N17238" s="3">
        <v>0</v>
      </c>
      <c r="O17238" s="3" t="s">
        <v>10</v>
      </c>
      <c r="P17238" s="3" t="s">
        <v>9</v>
      </c>
      <c r="Q17238" s="3"/>
    </row>
    <row r="17239" spans="1:17" ht="15" x14ac:dyDescent="0.25">
      <c r="A17239" s="3">
        <f>17232</f>
        <v>17232</v>
      </c>
      <c r="B17239" s="3" t="s">
        <v>17241</v>
      </c>
      <c r="C17239" s="3" t="s">
        <v>9</v>
      </c>
      <c r="D17239" s="3" t="s">
        <v>10</v>
      </c>
      <c r="E17239" s="3">
        <v>0</v>
      </c>
      <c r="F17239" s="3">
        <v>0</v>
      </c>
      <c r="G17239" s="3">
        <v>1</v>
      </c>
      <c r="H17239" s="3">
        <v>0</v>
      </c>
      <c r="I17239" s="3">
        <v>0</v>
      </c>
      <c r="J17239" s="3">
        <v>0</v>
      </c>
      <c r="K17239" s="3">
        <v>0</v>
      </c>
      <c r="L17239" s="3">
        <v>1</v>
      </c>
      <c r="M17239" s="3">
        <v>0</v>
      </c>
      <c r="N17239" s="3">
        <v>0</v>
      </c>
      <c r="O17239" s="3" t="s">
        <v>10</v>
      </c>
      <c r="P17239" s="3" t="s">
        <v>9</v>
      </c>
      <c r="Q17239" s="3"/>
    </row>
    <row r="17240" spans="1:17" ht="15" x14ac:dyDescent="0.25">
      <c r="A17240" s="3">
        <f>17233</f>
        <v>17233</v>
      </c>
      <c r="B17240" s="3" t="s">
        <v>17242</v>
      </c>
      <c r="C17240" s="3" t="s">
        <v>9</v>
      </c>
      <c r="D17240" s="3" t="s">
        <v>10</v>
      </c>
      <c r="E17240" s="3">
        <v>0</v>
      </c>
      <c r="F17240" s="3">
        <v>0</v>
      </c>
      <c r="G17240" s="3">
        <v>1</v>
      </c>
      <c r="H17240" s="3">
        <v>0</v>
      </c>
      <c r="I17240" s="3">
        <v>0</v>
      </c>
      <c r="J17240" s="3">
        <v>0</v>
      </c>
      <c r="K17240" s="3">
        <v>0</v>
      </c>
      <c r="L17240" s="3">
        <v>1</v>
      </c>
      <c r="M17240" s="3">
        <v>0</v>
      </c>
      <c r="N17240" s="3">
        <v>0</v>
      </c>
      <c r="O17240" s="3" t="s">
        <v>10</v>
      </c>
      <c r="P17240" s="3" t="s">
        <v>9</v>
      </c>
      <c r="Q17240" s="3"/>
    </row>
    <row r="17241" spans="1:17" ht="15" x14ac:dyDescent="0.25">
      <c r="A17241" s="3">
        <f>17234</f>
        <v>17234</v>
      </c>
      <c r="B17241" s="3" t="s">
        <v>17243</v>
      </c>
      <c r="C17241" s="3" t="s">
        <v>9</v>
      </c>
      <c r="D17241" s="3" t="s">
        <v>10</v>
      </c>
      <c r="E17241" s="3">
        <v>0</v>
      </c>
      <c r="F17241" s="3">
        <v>0</v>
      </c>
      <c r="G17241" s="3">
        <v>1</v>
      </c>
      <c r="H17241" s="3">
        <v>0</v>
      </c>
      <c r="I17241" s="3">
        <v>0</v>
      </c>
      <c r="J17241" s="3">
        <v>0</v>
      </c>
      <c r="K17241" s="3">
        <v>0</v>
      </c>
      <c r="L17241" s="3">
        <v>1</v>
      </c>
      <c r="M17241" s="3">
        <v>0</v>
      </c>
      <c r="N17241" s="3">
        <v>0</v>
      </c>
      <c r="O17241" s="3" t="s">
        <v>10</v>
      </c>
      <c r="P17241" s="3" t="s">
        <v>9</v>
      </c>
      <c r="Q17241" s="3"/>
    </row>
    <row r="17242" spans="1:17" ht="15" x14ac:dyDescent="0.25">
      <c r="A17242" s="3">
        <f>17235</f>
        <v>17235</v>
      </c>
      <c r="B17242" s="3" t="s">
        <v>17244</v>
      </c>
      <c r="C17242" s="3" t="s">
        <v>9</v>
      </c>
      <c r="D17242" s="3" t="s">
        <v>10</v>
      </c>
      <c r="E17242" s="3">
        <v>0</v>
      </c>
      <c r="F17242" s="3">
        <v>0</v>
      </c>
      <c r="G17242" s="3">
        <v>1</v>
      </c>
      <c r="H17242" s="3">
        <v>0</v>
      </c>
      <c r="I17242" s="3">
        <v>0</v>
      </c>
      <c r="J17242" s="3">
        <v>0</v>
      </c>
      <c r="K17242" s="3">
        <v>0</v>
      </c>
      <c r="L17242" s="3">
        <v>1</v>
      </c>
      <c r="M17242" s="3">
        <v>0</v>
      </c>
      <c r="N17242" s="3">
        <v>0</v>
      </c>
      <c r="O17242" s="3" t="s">
        <v>10</v>
      </c>
      <c r="P17242" s="3" t="s">
        <v>9</v>
      </c>
      <c r="Q17242" s="3"/>
    </row>
    <row r="17243" spans="1:17" ht="15" x14ac:dyDescent="0.25">
      <c r="A17243" s="3">
        <f>17236</f>
        <v>17236</v>
      </c>
      <c r="B17243" s="3" t="s">
        <v>17245</v>
      </c>
      <c r="C17243" s="3" t="s">
        <v>9</v>
      </c>
      <c r="D17243" s="3" t="s">
        <v>10</v>
      </c>
      <c r="E17243" s="3">
        <v>0</v>
      </c>
      <c r="F17243" s="3">
        <v>0</v>
      </c>
      <c r="G17243" s="3">
        <v>1</v>
      </c>
      <c r="H17243" s="3">
        <v>0</v>
      </c>
      <c r="I17243" s="3">
        <v>0</v>
      </c>
      <c r="J17243" s="3">
        <v>0</v>
      </c>
      <c r="K17243" s="3">
        <v>0</v>
      </c>
      <c r="L17243" s="3">
        <v>1</v>
      </c>
      <c r="M17243" s="3">
        <v>0</v>
      </c>
      <c r="N17243" s="3">
        <v>0</v>
      </c>
      <c r="O17243" s="3" t="s">
        <v>10</v>
      </c>
      <c r="P17243" s="3" t="s">
        <v>9</v>
      </c>
      <c r="Q17243" s="3"/>
    </row>
    <row r="17244" spans="1:17" ht="15" x14ac:dyDescent="0.25">
      <c r="A17244" s="3">
        <f>17237</f>
        <v>17237</v>
      </c>
      <c r="B17244" s="3" t="s">
        <v>17246</v>
      </c>
      <c r="C17244" s="3" t="s">
        <v>9</v>
      </c>
      <c r="D17244" s="3" t="s">
        <v>10</v>
      </c>
      <c r="E17244" s="3">
        <v>0</v>
      </c>
      <c r="F17244" s="3">
        <v>0</v>
      </c>
      <c r="G17244" s="3">
        <v>1</v>
      </c>
      <c r="H17244" s="3">
        <v>0</v>
      </c>
      <c r="I17244" s="3">
        <v>0</v>
      </c>
      <c r="J17244" s="3">
        <v>0</v>
      </c>
      <c r="K17244" s="3">
        <v>0</v>
      </c>
      <c r="L17244" s="3">
        <v>1</v>
      </c>
      <c r="M17244" s="3">
        <v>0</v>
      </c>
      <c r="N17244" s="3">
        <v>0</v>
      </c>
      <c r="O17244" s="3" t="s">
        <v>10</v>
      </c>
      <c r="P17244" s="3" t="s">
        <v>9</v>
      </c>
      <c r="Q17244" s="3"/>
    </row>
    <row r="17245" spans="1:17" ht="15" x14ac:dyDescent="0.25">
      <c r="A17245" s="3">
        <f>17238</f>
        <v>17238</v>
      </c>
      <c r="B17245" s="3" t="s">
        <v>17247</v>
      </c>
      <c r="C17245" s="3" t="s">
        <v>9</v>
      </c>
      <c r="D17245" s="3" t="s">
        <v>10</v>
      </c>
      <c r="E17245" s="3">
        <v>0</v>
      </c>
      <c r="F17245" s="3">
        <v>0</v>
      </c>
      <c r="G17245" s="3">
        <v>1</v>
      </c>
      <c r="H17245" s="3">
        <v>0</v>
      </c>
      <c r="I17245" s="3">
        <v>0</v>
      </c>
      <c r="J17245" s="3">
        <v>0</v>
      </c>
      <c r="K17245" s="3">
        <v>0</v>
      </c>
      <c r="L17245" s="3">
        <v>1</v>
      </c>
      <c r="M17245" s="3">
        <v>0</v>
      </c>
      <c r="N17245" s="3">
        <v>0</v>
      </c>
      <c r="O17245" s="3" t="s">
        <v>10</v>
      </c>
      <c r="P17245" s="3" t="s">
        <v>9</v>
      </c>
      <c r="Q17245" s="3"/>
    </row>
    <row r="17246" spans="1:17" ht="15" x14ac:dyDescent="0.25">
      <c r="A17246" s="3">
        <f>17239</f>
        <v>17239</v>
      </c>
      <c r="B17246" s="3" t="s">
        <v>17248</v>
      </c>
      <c r="C17246" s="3" t="s">
        <v>9</v>
      </c>
      <c r="D17246" s="3" t="s">
        <v>10</v>
      </c>
      <c r="E17246" s="3">
        <v>0</v>
      </c>
      <c r="F17246" s="3">
        <v>0</v>
      </c>
      <c r="G17246" s="3">
        <v>1</v>
      </c>
      <c r="H17246" s="3">
        <v>0</v>
      </c>
      <c r="I17246" s="3">
        <v>0</v>
      </c>
      <c r="J17246" s="3">
        <v>0</v>
      </c>
      <c r="K17246" s="3">
        <v>0</v>
      </c>
      <c r="L17246" s="3">
        <v>1</v>
      </c>
      <c r="M17246" s="3">
        <v>0</v>
      </c>
      <c r="N17246" s="3">
        <v>0</v>
      </c>
      <c r="O17246" s="3" t="s">
        <v>10</v>
      </c>
      <c r="P17246" s="3" t="s">
        <v>9</v>
      </c>
      <c r="Q17246" s="3"/>
    </row>
    <row r="17247" spans="1:17" ht="15" x14ac:dyDescent="0.25">
      <c r="A17247" s="3">
        <f>17240</f>
        <v>17240</v>
      </c>
      <c r="B17247" s="3" t="s">
        <v>17249</v>
      </c>
      <c r="C17247" s="3" t="s">
        <v>9</v>
      </c>
      <c r="D17247" s="3" t="s">
        <v>10</v>
      </c>
      <c r="E17247" s="3">
        <v>0</v>
      </c>
      <c r="F17247" s="3">
        <v>0</v>
      </c>
      <c r="G17247" s="3">
        <v>1</v>
      </c>
      <c r="H17247" s="3">
        <v>0</v>
      </c>
      <c r="I17247" s="3">
        <v>0</v>
      </c>
      <c r="J17247" s="3">
        <v>0</v>
      </c>
      <c r="K17247" s="3">
        <v>0</v>
      </c>
      <c r="L17247" s="3">
        <v>1</v>
      </c>
      <c r="M17247" s="3">
        <v>0</v>
      </c>
      <c r="N17247" s="3">
        <v>0</v>
      </c>
      <c r="O17247" s="3" t="s">
        <v>10</v>
      </c>
      <c r="P17247" s="3" t="s">
        <v>9</v>
      </c>
      <c r="Q17247" s="3"/>
    </row>
    <row r="17248" spans="1:17" ht="15" x14ac:dyDescent="0.25">
      <c r="A17248" s="3">
        <f>17241</f>
        <v>17241</v>
      </c>
      <c r="B17248" s="3" t="s">
        <v>17250</v>
      </c>
      <c r="C17248" s="3" t="s">
        <v>9</v>
      </c>
      <c r="D17248" s="3" t="s">
        <v>10</v>
      </c>
      <c r="E17248" s="3">
        <v>0</v>
      </c>
      <c r="F17248" s="3">
        <v>0</v>
      </c>
      <c r="G17248" s="3">
        <v>1</v>
      </c>
      <c r="H17248" s="3">
        <v>0</v>
      </c>
      <c r="I17248" s="3">
        <v>0</v>
      </c>
      <c r="J17248" s="3">
        <v>0</v>
      </c>
      <c r="K17248" s="3">
        <v>0</v>
      </c>
      <c r="L17248" s="3">
        <v>1</v>
      </c>
      <c r="M17248" s="3">
        <v>0</v>
      </c>
      <c r="N17248" s="3">
        <v>0</v>
      </c>
      <c r="O17248" s="3" t="s">
        <v>10</v>
      </c>
      <c r="P17248" s="3" t="s">
        <v>9</v>
      </c>
      <c r="Q17248" s="3"/>
    </row>
    <row r="17249" spans="1:17" ht="15" x14ac:dyDescent="0.25">
      <c r="A17249" s="3">
        <f>17242</f>
        <v>17242</v>
      </c>
      <c r="B17249" s="3" t="s">
        <v>17251</v>
      </c>
      <c r="C17249" s="3" t="s">
        <v>9</v>
      </c>
      <c r="D17249" s="3" t="s">
        <v>10</v>
      </c>
      <c r="E17249" s="3">
        <v>0</v>
      </c>
      <c r="F17249" s="3">
        <v>0</v>
      </c>
      <c r="G17249" s="3">
        <v>1</v>
      </c>
      <c r="H17249" s="3">
        <v>0</v>
      </c>
      <c r="I17249" s="3">
        <v>0</v>
      </c>
      <c r="J17249" s="3">
        <v>0</v>
      </c>
      <c r="K17249" s="3">
        <v>0</v>
      </c>
      <c r="L17249" s="3">
        <v>1</v>
      </c>
      <c r="M17249" s="3">
        <v>0</v>
      </c>
      <c r="N17249" s="3">
        <v>0</v>
      </c>
      <c r="O17249" s="3" t="s">
        <v>10</v>
      </c>
      <c r="P17249" s="3" t="s">
        <v>9</v>
      </c>
      <c r="Q17249" s="3"/>
    </row>
    <row r="17250" spans="1:17" ht="15" x14ac:dyDescent="0.25">
      <c r="A17250" s="3">
        <f>17243</f>
        <v>17243</v>
      </c>
      <c r="B17250" s="3" t="s">
        <v>17252</v>
      </c>
      <c r="C17250" s="3" t="s">
        <v>9</v>
      </c>
      <c r="D17250" s="3" t="s">
        <v>10</v>
      </c>
      <c r="E17250" s="3">
        <v>0</v>
      </c>
      <c r="F17250" s="3">
        <v>0</v>
      </c>
      <c r="G17250" s="3">
        <v>1</v>
      </c>
      <c r="H17250" s="3">
        <v>0</v>
      </c>
      <c r="I17250" s="3">
        <v>0</v>
      </c>
      <c r="J17250" s="3">
        <v>0</v>
      </c>
      <c r="K17250" s="3">
        <v>0</v>
      </c>
      <c r="L17250" s="3">
        <v>1</v>
      </c>
      <c r="M17250" s="3">
        <v>0</v>
      </c>
      <c r="N17250" s="3">
        <v>0</v>
      </c>
      <c r="O17250" s="3" t="s">
        <v>10</v>
      </c>
      <c r="P17250" s="3" t="s">
        <v>9</v>
      </c>
      <c r="Q17250" s="3"/>
    </row>
    <row r="17251" spans="1:17" ht="15" x14ac:dyDescent="0.25">
      <c r="A17251" s="3">
        <f>17244</f>
        <v>17244</v>
      </c>
      <c r="B17251" s="3" t="s">
        <v>17253</v>
      </c>
      <c r="C17251" s="3" t="s">
        <v>9</v>
      </c>
      <c r="D17251" s="3" t="s">
        <v>10</v>
      </c>
      <c r="E17251" s="3">
        <v>0</v>
      </c>
      <c r="F17251" s="3">
        <v>0</v>
      </c>
      <c r="G17251" s="3">
        <v>1</v>
      </c>
      <c r="H17251" s="3">
        <v>0</v>
      </c>
      <c r="I17251" s="3">
        <v>0</v>
      </c>
      <c r="J17251" s="3">
        <v>0</v>
      </c>
      <c r="K17251" s="3">
        <v>0</v>
      </c>
      <c r="L17251" s="3">
        <v>1</v>
      </c>
      <c r="M17251" s="3">
        <v>0</v>
      </c>
      <c r="N17251" s="3">
        <v>0</v>
      </c>
      <c r="O17251" s="3" t="s">
        <v>10</v>
      </c>
      <c r="P17251" s="3" t="s">
        <v>9</v>
      </c>
      <c r="Q17251" s="3"/>
    </row>
    <row r="17252" spans="1:17" ht="15" x14ac:dyDescent="0.25">
      <c r="A17252" s="3">
        <f>17245</f>
        <v>17245</v>
      </c>
      <c r="B17252" s="3" t="s">
        <v>17254</v>
      </c>
      <c r="C17252" s="3" t="s">
        <v>9</v>
      </c>
      <c r="D17252" s="3" t="s">
        <v>10</v>
      </c>
      <c r="E17252" s="3">
        <v>0</v>
      </c>
      <c r="F17252" s="3">
        <v>0</v>
      </c>
      <c r="G17252" s="3">
        <v>1</v>
      </c>
      <c r="H17252" s="3">
        <v>0</v>
      </c>
      <c r="I17252" s="3">
        <v>0</v>
      </c>
      <c r="J17252" s="3">
        <v>0</v>
      </c>
      <c r="K17252" s="3">
        <v>0</v>
      </c>
      <c r="L17252" s="3">
        <v>1</v>
      </c>
      <c r="M17252" s="3">
        <v>0</v>
      </c>
      <c r="N17252" s="3">
        <v>0</v>
      </c>
      <c r="O17252" s="3" t="s">
        <v>10</v>
      </c>
      <c r="P17252" s="3" t="s">
        <v>9</v>
      </c>
      <c r="Q17252" s="3"/>
    </row>
    <row r="17253" spans="1:17" ht="15" x14ac:dyDescent="0.25">
      <c r="A17253" s="3">
        <f>17246</f>
        <v>17246</v>
      </c>
      <c r="B17253" s="3" t="s">
        <v>17255</v>
      </c>
      <c r="C17253" s="3" t="s">
        <v>9</v>
      </c>
      <c r="D17253" s="3" t="s">
        <v>10</v>
      </c>
      <c r="E17253" s="3">
        <v>0</v>
      </c>
      <c r="F17253" s="3">
        <v>0</v>
      </c>
      <c r="G17253" s="3">
        <v>1</v>
      </c>
      <c r="H17253" s="3">
        <v>0</v>
      </c>
      <c r="I17253" s="3">
        <v>0</v>
      </c>
      <c r="J17253" s="3">
        <v>0</v>
      </c>
      <c r="K17253" s="3">
        <v>0</v>
      </c>
      <c r="L17253" s="3">
        <v>1</v>
      </c>
      <c r="M17253" s="3">
        <v>0</v>
      </c>
      <c r="N17253" s="3">
        <v>0</v>
      </c>
      <c r="O17253" s="3" t="s">
        <v>10</v>
      </c>
      <c r="P17253" s="3" t="s">
        <v>9</v>
      </c>
      <c r="Q17253" s="3"/>
    </row>
    <row r="17254" spans="1:17" ht="15" x14ac:dyDescent="0.25">
      <c r="A17254" s="3">
        <f>17247</f>
        <v>17247</v>
      </c>
      <c r="B17254" s="3" t="s">
        <v>17256</v>
      </c>
      <c r="C17254" s="3" t="s">
        <v>9</v>
      </c>
      <c r="D17254" s="3" t="s">
        <v>10</v>
      </c>
      <c r="E17254" s="3">
        <v>0</v>
      </c>
      <c r="F17254" s="3">
        <v>0</v>
      </c>
      <c r="G17254" s="3">
        <v>1</v>
      </c>
      <c r="H17254" s="3">
        <v>0</v>
      </c>
      <c r="I17254" s="3">
        <v>0</v>
      </c>
      <c r="J17254" s="3">
        <v>0</v>
      </c>
      <c r="K17254" s="3">
        <v>0</v>
      </c>
      <c r="L17254" s="3">
        <v>1</v>
      </c>
      <c r="M17254" s="3">
        <v>0</v>
      </c>
      <c r="N17254" s="3">
        <v>0</v>
      </c>
      <c r="O17254" s="3" t="s">
        <v>10</v>
      </c>
      <c r="P17254" s="3" t="s">
        <v>9</v>
      </c>
      <c r="Q17254" s="3"/>
    </row>
    <row r="17255" spans="1:17" ht="15" x14ac:dyDescent="0.25">
      <c r="A17255" s="3">
        <f>17248</f>
        <v>17248</v>
      </c>
      <c r="B17255" s="3" t="s">
        <v>17257</v>
      </c>
      <c r="C17255" s="3" t="s">
        <v>9</v>
      </c>
      <c r="D17255" s="3" t="s">
        <v>10</v>
      </c>
      <c r="E17255" s="3">
        <v>0</v>
      </c>
      <c r="F17255" s="3">
        <v>0</v>
      </c>
      <c r="G17255" s="3">
        <v>1</v>
      </c>
      <c r="H17255" s="3">
        <v>0</v>
      </c>
      <c r="I17255" s="3">
        <v>0</v>
      </c>
      <c r="J17255" s="3">
        <v>0</v>
      </c>
      <c r="K17255" s="3">
        <v>0</v>
      </c>
      <c r="L17255" s="3">
        <v>1</v>
      </c>
      <c r="M17255" s="3">
        <v>0</v>
      </c>
      <c r="N17255" s="3">
        <v>0</v>
      </c>
      <c r="O17255" s="3" t="s">
        <v>10</v>
      </c>
      <c r="P17255" s="3" t="s">
        <v>9</v>
      </c>
      <c r="Q17255" s="3"/>
    </row>
    <row r="17256" spans="1:17" ht="15" x14ac:dyDescent="0.25">
      <c r="A17256" s="3">
        <f>17249</f>
        <v>17249</v>
      </c>
      <c r="B17256" s="3" t="s">
        <v>17258</v>
      </c>
      <c r="C17256" s="3" t="s">
        <v>9</v>
      </c>
      <c r="D17256" s="3" t="s">
        <v>10</v>
      </c>
      <c r="E17256" s="3">
        <v>0</v>
      </c>
      <c r="F17256" s="3">
        <v>0</v>
      </c>
      <c r="G17256" s="3">
        <v>1</v>
      </c>
      <c r="H17256" s="3">
        <v>0</v>
      </c>
      <c r="I17256" s="3">
        <v>0</v>
      </c>
      <c r="J17256" s="3">
        <v>0</v>
      </c>
      <c r="K17256" s="3">
        <v>0</v>
      </c>
      <c r="L17256" s="3">
        <v>1</v>
      </c>
      <c r="M17256" s="3">
        <v>0</v>
      </c>
      <c r="N17256" s="3">
        <v>0</v>
      </c>
      <c r="O17256" s="3" t="s">
        <v>10</v>
      </c>
      <c r="P17256" s="3" t="s">
        <v>9</v>
      </c>
      <c r="Q17256" s="3"/>
    </row>
    <row r="17257" spans="1:17" ht="15" x14ac:dyDescent="0.25">
      <c r="A17257" s="3">
        <f>17250</f>
        <v>17250</v>
      </c>
      <c r="B17257" s="3" t="s">
        <v>17259</v>
      </c>
      <c r="C17257" s="3" t="s">
        <v>9</v>
      </c>
      <c r="D17257" s="3" t="s">
        <v>10</v>
      </c>
      <c r="E17257" s="3">
        <v>0</v>
      </c>
      <c r="F17257" s="3">
        <v>0</v>
      </c>
      <c r="G17257" s="3">
        <v>1</v>
      </c>
      <c r="H17257" s="3">
        <v>0</v>
      </c>
      <c r="I17257" s="3">
        <v>0</v>
      </c>
      <c r="J17257" s="3">
        <v>0</v>
      </c>
      <c r="K17257" s="3">
        <v>0</v>
      </c>
      <c r="L17257" s="3">
        <v>1</v>
      </c>
      <c r="M17257" s="3">
        <v>0</v>
      </c>
      <c r="N17257" s="3">
        <v>0</v>
      </c>
      <c r="O17257" s="3" t="s">
        <v>10</v>
      </c>
      <c r="P17257" s="3" t="s">
        <v>9</v>
      </c>
      <c r="Q17257" s="3"/>
    </row>
    <row r="17258" spans="1:17" ht="15" x14ac:dyDescent="0.25">
      <c r="A17258" s="3">
        <f>17251</f>
        <v>17251</v>
      </c>
      <c r="B17258" s="3" t="s">
        <v>17260</v>
      </c>
      <c r="C17258" s="3" t="s">
        <v>9</v>
      </c>
      <c r="D17258" s="3" t="s">
        <v>10</v>
      </c>
      <c r="E17258" s="3">
        <v>0</v>
      </c>
      <c r="F17258" s="3">
        <v>0</v>
      </c>
      <c r="G17258" s="3">
        <v>1</v>
      </c>
      <c r="H17258" s="3">
        <v>0</v>
      </c>
      <c r="I17258" s="3">
        <v>0</v>
      </c>
      <c r="J17258" s="3">
        <v>0</v>
      </c>
      <c r="K17258" s="3">
        <v>0</v>
      </c>
      <c r="L17258" s="3">
        <v>1</v>
      </c>
      <c r="M17258" s="3">
        <v>0</v>
      </c>
      <c r="N17258" s="3">
        <v>0</v>
      </c>
      <c r="O17258" s="3" t="s">
        <v>10</v>
      </c>
      <c r="P17258" s="3" t="s">
        <v>9</v>
      </c>
      <c r="Q17258" s="3"/>
    </row>
    <row r="17259" spans="1:17" ht="15" x14ac:dyDescent="0.25">
      <c r="A17259" s="3">
        <f>17252</f>
        <v>17252</v>
      </c>
      <c r="B17259" s="3" t="s">
        <v>17261</v>
      </c>
      <c r="C17259" s="3" t="s">
        <v>9</v>
      </c>
      <c r="D17259" s="3" t="s">
        <v>10</v>
      </c>
      <c r="E17259" s="3">
        <v>0</v>
      </c>
      <c r="F17259" s="3">
        <v>0</v>
      </c>
      <c r="G17259" s="3">
        <v>1</v>
      </c>
      <c r="H17259" s="3">
        <v>0</v>
      </c>
      <c r="I17259" s="3">
        <v>0</v>
      </c>
      <c r="J17259" s="3">
        <v>0</v>
      </c>
      <c r="K17259" s="3">
        <v>0</v>
      </c>
      <c r="L17259" s="3">
        <v>1</v>
      </c>
      <c r="M17259" s="3">
        <v>0</v>
      </c>
      <c r="N17259" s="3">
        <v>0</v>
      </c>
      <c r="O17259" s="3" t="s">
        <v>10</v>
      </c>
      <c r="P17259" s="3" t="s">
        <v>9</v>
      </c>
      <c r="Q17259" s="3"/>
    </row>
    <row r="17260" spans="1:17" ht="15" x14ac:dyDescent="0.25">
      <c r="A17260" s="3">
        <f>17253</f>
        <v>17253</v>
      </c>
      <c r="B17260" s="3" t="s">
        <v>17262</v>
      </c>
      <c r="C17260" s="3" t="s">
        <v>9</v>
      </c>
      <c r="D17260" s="3" t="s">
        <v>10</v>
      </c>
      <c r="E17260" s="3">
        <v>0</v>
      </c>
      <c r="F17260" s="3">
        <v>0</v>
      </c>
      <c r="G17260" s="3">
        <v>1</v>
      </c>
      <c r="H17260" s="3">
        <v>0</v>
      </c>
      <c r="I17260" s="3">
        <v>0</v>
      </c>
      <c r="J17260" s="3">
        <v>0</v>
      </c>
      <c r="K17260" s="3">
        <v>0</v>
      </c>
      <c r="L17260" s="3">
        <v>1</v>
      </c>
      <c r="M17260" s="3">
        <v>0</v>
      </c>
      <c r="N17260" s="3">
        <v>0</v>
      </c>
      <c r="O17260" s="3" t="s">
        <v>10</v>
      </c>
      <c r="P17260" s="3" t="s">
        <v>9</v>
      </c>
      <c r="Q17260" s="3"/>
    </row>
    <row r="17261" spans="1:17" ht="15" x14ac:dyDescent="0.25">
      <c r="A17261" s="3">
        <f>17254</f>
        <v>17254</v>
      </c>
      <c r="B17261" s="3" t="s">
        <v>17263</v>
      </c>
      <c r="C17261" s="3" t="s">
        <v>9</v>
      </c>
      <c r="D17261" s="3" t="s">
        <v>10</v>
      </c>
      <c r="E17261" s="3">
        <v>0</v>
      </c>
      <c r="F17261" s="3">
        <v>0</v>
      </c>
      <c r="G17261" s="3">
        <v>1</v>
      </c>
      <c r="H17261" s="3">
        <v>0</v>
      </c>
      <c r="I17261" s="3">
        <v>0</v>
      </c>
      <c r="J17261" s="3">
        <v>0</v>
      </c>
      <c r="K17261" s="3">
        <v>0</v>
      </c>
      <c r="L17261" s="3">
        <v>1</v>
      </c>
      <c r="M17261" s="3">
        <v>0</v>
      </c>
      <c r="N17261" s="3">
        <v>0</v>
      </c>
      <c r="O17261" s="3" t="s">
        <v>10</v>
      </c>
      <c r="P17261" s="3" t="s">
        <v>9</v>
      </c>
      <c r="Q17261" s="3"/>
    </row>
    <row r="17262" spans="1:17" ht="15" x14ac:dyDescent="0.25">
      <c r="A17262" s="3">
        <f>17255</f>
        <v>17255</v>
      </c>
      <c r="B17262" s="3" t="s">
        <v>17264</v>
      </c>
      <c r="C17262" s="3" t="s">
        <v>9</v>
      </c>
      <c r="D17262" s="3" t="s">
        <v>10</v>
      </c>
      <c r="E17262" s="3">
        <v>0</v>
      </c>
      <c r="F17262" s="3">
        <v>0</v>
      </c>
      <c r="G17262" s="3">
        <v>1</v>
      </c>
      <c r="H17262" s="3">
        <v>0</v>
      </c>
      <c r="I17262" s="3">
        <v>0</v>
      </c>
      <c r="J17262" s="3">
        <v>0</v>
      </c>
      <c r="K17262" s="3">
        <v>0</v>
      </c>
      <c r="L17262" s="3">
        <v>1</v>
      </c>
      <c r="M17262" s="3">
        <v>0</v>
      </c>
      <c r="N17262" s="3">
        <v>0</v>
      </c>
      <c r="O17262" s="3" t="s">
        <v>10</v>
      </c>
      <c r="P17262" s="3" t="s">
        <v>9</v>
      </c>
      <c r="Q17262" s="3"/>
    </row>
    <row r="17263" spans="1:17" ht="15" x14ac:dyDescent="0.25">
      <c r="A17263" s="3">
        <f>17256</f>
        <v>17256</v>
      </c>
      <c r="B17263" s="3" t="s">
        <v>17265</v>
      </c>
      <c r="C17263" s="3" t="s">
        <v>9</v>
      </c>
      <c r="D17263" s="3" t="s">
        <v>10</v>
      </c>
      <c r="E17263" s="3">
        <v>0</v>
      </c>
      <c r="F17263" s="3">
        <v>0</v>
      </c>
      <c r="G17263" s="3">
        <v>1</v>
      </c>
      <c r="H17263" s="3">
        <v>0</v>
      </c>
      <c r="I17263" s="3">
        <v>0</v>
      </c>
      <c r="J17263" s="3">
        <v>0</v>
      </c>
      <c r="K17263" s="3">
        <v>0</v>
      </c>
      <c r="L17263" s="3">
        <v>1</v>
      </c>
      <c r="M17263" s="3">
        <v>0</v>
      </c>
      <c r="N17263" s="3">
        <v>0</v>
      </c>
      <c r="O17263" s="3" t="s">
        <v>10</v>
      </c>
      <c r="P17263" s="3" t="s">
        <v>9</v>
      </c>
      <c r="Q17263" s="3"/>
    </row>
    <row r="17264" spans="1:17" ht="15" x14ac:dyDescent="0.25">
      <c r="A17264" s="3">
        <f>17257</f>
        <v>17257</v>
      </c>
      <c r="B17264" s="3" t="s">
        <v>17266</v>
      </c>
      <c r="C17264" s="3" t="s">
        <v>9</v>
      </c>
      <c r="D17264" s="3" t="s">
        <v>10</v>
      </c>
      <c r="E17264" s="3">
        <v>0</v>
      </c>
      <c r="F17264" s="3">
        <v>0</v>
      </c>
      <c r="G17264" s="3">
        <v>1</v>
      </c>
      <c r="H17264" s="3">
        <v>0</v>
      </c>
      <c r="I17264" s="3">
        <v>0</v>
      </c>
      <c r="J17264" s="3">
        <v>0</v>
      </c>
      <c r="K17264" s="3">
        <v>0</v>
      </c>
      <c r="L17264" s="3">
        <v>1</v>
      </c>
      <c r="M17264" s="3">
        <v>0</v>
      </c>
      <c r="N17264" s="3">
        <v>0</v>
      </c>
      <c r="O17264" s="3" t="s">
        <v>10</v>
      </c>
      <c r="P17264" s="3" t="s">
        <v>9</v>
      </c>
      <c r="Q17264" s="3"/>
    </row>
    <row r="17265" spans="1:17" ht="15" x14ac:dyDescent="0.25">
      <c r="A17265" s="3">
        <f>17258</f>
        <v>17258</v>
      </c>
      <c r="B17265" s="3" t="s">
        <v>17267</v>
      </c>
      <c r="C17265" s="3" t="s">
        <v>9</v>
      </c>
      <c r="D17265" s="3" t="s">
        <v>10</v>
      </c>
      <c r="E17265" s="3">
        <v>0</v>
      </c>
      <c r="F17265" s="3">
        <v>0</v>
      </c>
      <c r="G17265" s="3">
        <v>1</v>
      </c>
      <c r="H17265" s="3">
        <v>0</v>
      </c>
      <c r="I17265" s="3">
        <v>0</v>
      </c>
      <c r="J17265" s="3">
        <v>0</v>
      </c>
      <c r="K17265" s="3">
        <v>0</v>
      </c>
      <c r="L17265" s="3">
        <v>1</v>
      </c>
      <c r="M17265" s="3">
        <v>0</v>
      </c>
      <c r="N17265" s="3">
        <v>0</v>
      </c>
      <c r="O17265" s="3" t="s">
        <v>9</v>
      </c>
      <c r="P17265" s="3" t="s">
        <v>9</v>
      </c>
      <c r="Q17265" s="3"/>
    </row>
    <row r="17266" spans="1:17" ht="15" x14ac:dyDescent="0.25">
      <c r="A17266" s="3">
        <f>17259</f>
        <v>17259</v>
      </c>
      <c r="B17266" s="3" t="s">
        <v>17268</v>
      </c>
      <c r="C17266" s="3" t="s">
        <v>9</v>
      </c>
      <c r="D17266" s="3" t="s">
        <v>10</v>
      </c>
      <c r="E17266" s="3">
        <v>0</v>
      </c>
      <c r="F17266" s="3">
        <v>0</v>
      </c>
      <c r="G17266" s="3">
        <v>1</v>
      </c>
      <c r="H17266" s="3">
        <v>0</v>
      </c>
      <c r="I17266" s="3">
        <v>0</v>
      </c>
      <c r="J17266" s="3">
        <v>0</v>
      </c>
      <c r="K17266" s="3">
        <v>0</v>
      </c>
      <c r="L17266" s="3">
        <v>1</v>
      </c>
      <c r="M17266" s="3">
        <v>0</v>
      </c>
      <c r="N17266" s="3">
        <v>0</v>
      </c>
      <c r="O17266" s="3" t="s">
        <v>10</v>
      </c>
      <c r="P17266" s="3" t="s">
        <v>9</v>
      </c>
      <c r="Q17266" s="3"/>
    </row>
    <row r="17267" spans="1:17" ht="15" x14ac:dyDescent="0.25">
      <c r="A17267" s="3">
        <f>17260</f>
        <v>17260</v>
      </c>
      <c r="B17267" s="3" t="s">
        <v>17269</v>
      </c>
      <c r="C17267" s="3" t="s">
        <v>9</v>
      </c>
      <c r="D17267" s="3" t="s">
        <v>10</v>
      </c>
      <c r="E17267" s="3">
        <v>0</v>
      </c>
      <c r="F17267" s="3">
        <v>0</v>
      </c>
      <c r="G17267" s="3">
        <v>1</v>
      </c>
      <c r="H17267" s="3">
        <v>0</v>
      </c>
      <c r="I17267" s="3">
        <v>0</v>
      </c>
      <c r="J17267" s="3">
        <v>0</v>
      </c>
      <c r="K17267" s="3">
        <v>0</v>
      </c>
      <c r="L17267" s="3">
        <v>1</v>
      </c>
      <c r="M17267" s="3">
        <v>0</v>
      </c>
      <c r="N17267" s="3">
        <v>0</v>
      </c>
      <c r="O17267" s="3" t="s">
        <v>10</v>
      </c>
      <c r="P17267" s="3" t="s">
        <v>9</v>
      </c>
      <c r="Q17267" s="3"/>
    </row>
    <row r="17268" spans="1:17" ht="15" x14ac:dyDescent="0.25">
      <c r="A17268" s="3">
        <f>17261</f>
        <v>17261</v>
      </c>
      <c r="B17268" s="3" t="s">
        <v>17270</v>
      </c>
      <c r="C17268" s="3" t="s">
        <v>9</v>
      </c>
      <c r="D17268" s="3" t="s">
        <v>10</v>
      </c>
      <c r="E17268" s="3">
        <v>0</v>
      </c>
      <c r="F17268" s="3">
        <v>0</v>
      </c>
      <c r="G17268" s="3">
        <v>1</v>
      </c>
      <c r="H17268" s="3">
        <v>0</v>
      </c>
      <c r="I17268" s="3">
        <v>0</v>
      </c>
      <c r="J17268" s="3">
        <v>0</v>
      </c>
      <c r="K17268" s="3">
        <v>0</v>
      </c>
      <c r="L17268" s="3">
        <v>1</v>
      </c>
      <c r="M17268" s="3">
        <v>0</v>
      </c>
      <c r="N17268" s="3">
        <v>0</v>
      </c>
      <c r="O17268" s="3" t="s">
        <v>9</v>
      </c>
      <c r="P17268" s="3" t="s">
        <v>9</v>
      </c>
      <c r="Q17268" s="3"/>
    </row>
    <row r="17269" spans="1:17" ht="15" x14ac:dyDescent="0.25">
      <c r="A17269" s="3">
        <f>17262</f>
        <v>17262</v>
      </c>
      <c r="B17269" s="3" t="s">
        <v>17271</v>
      </c>
      <c r="C17269" s="3" t="s">
        <v>9</v>
      </c>
      <c r="D17269" s="3" t="s">
        <v>10</v>
      </c>
      <c r="E17269" s="3">
        <v>0</v>
      </c>
      <c r="F17269" s="3">
        <v>0</v>
      </c>
      <c r="G17269" s="3">
        <v>1</v>
      </c>
      <c r="H17269" s="3">
        <v>0</v>
      </c>
      <c r="I17269" s="3">
        <v>0</v>
      </c>
      <c r="J17269" s="3">
        <v>0</v>
      </c>
      <c r="K17269" s="3">
        <v>0</v>
      </c>
      <c r="L17269" s="3">
        <v>1</v>
      </c>
      <c r="M17269" s="3">
        <v>0</v>
      </c>
      <c r="N17269" s="3">
        <v>0</v>
      </c>
      <c r="O17269" s="3" t="s">
        <v>9</v>
      </c>
      <c r="P17269" s="3" t="s">
        <v>9</v>
      </c>
      <c r="Q17269" s="3"/>
    </row>
    <row r="17270" spans="1:17" ht="15" x14ac:dyDescent="0.25">
      <c r="A17270" s="3">
        <f>17263</f>
        <v>17263</v>
      </c>
      <c r="B17270" s="3" t="s">
        <v>17272</v>
      </c>
      <c r="C17270" s="3" t="s">
        <v>9</v>
      </c>
      <c r="D17270" s="3" t="s">
        <v>10</v>
      </c>
      <c r="E17270" s="3">
        <v>0</v>
      </c>
      <c r="F17270" s="3">
        <v>0</v>
      </c>
      <c r="G17270" s="3">
        <v>1</v>
      </c>
      <c r="H17270" s="3">
        <v>0</v>
      </c>
      <c r="I17270" s="3">
        <v>0</v>
      </c>
      <c r="J17270" s="3">
        <v>0</v>
      </c>
      <c r="K17270" s="3">
        <v>0</v>
      </c>
      <c r="L17270" s="3">
        <v>1</v>
      </c>
      <c r="M17270" s="3">
        <v>0</v>
      </c>
      <c r="N17270" s="3">
        <v>0</v>
      </c>
      <c r="O17270" s="3" t="s">
        <v>10</v>
      </c>
      <c r="P17270" s="3" t="s">
        <v>9</v>
      </c>
      <c r="Q17270" s="3"/>
    </row>
    <row r="17271" spans="1:17" ht="15" x14ac:dyDescent="0.25">
      <c r="A17271" s="3">
        <f>17264</f>
        <v>17264</v>
      </c>
      <c r="B17271" s="3" t="s">
        <v>17273</v>
      </c>
      <c r="C17271" s="3" t="s">
        <v>9</v>
      </c>
      <c r="D17271" s="3" t="s">
        <v>10</v>
      </c>
      <c r="E17271" s="3">
        <v>0</v>
      </c>
      <c r="F17271" s="3">
        <v>0</v>
      </c>
      <c r="G17271" s="3">
        <v>1</v>
      </c>
      <c r="H17271" s="3">
        <v>0</v>
      </c>
      <c r="I17271" s="3">
        <v>0</v>
      </c>
      <c r="J17271" s="3">
        <v>0</v>
      </c>
      <c r="K17271" s="3">
        <v>0</v>
      </c>
      <c r="L17271" s="3">
        <v>1</v>
      </c>
      <c r="M17271" s="3">
        <v>0</v>
      </c>
      <c r="N17271" s="3">
        <v>0</v>
      </c>
      <c r="O17271" s="3" t="s">
        <v>10</v>
      </c>
      <c r="P17271" s="3" t="s">
        <v>9</v>
      </c>
      <c r="Q17271" s="3"/>
    </row>
    <row r="17272" spans="1:17" ht="15" x14ac:dyDescent="0.25">
      <c r="A17272" s="3">
        <f>17265</f>
        <v>17265</v>
      </c>
      <c r="B17272" s="3" t="s">
        <v>17274</v>
      </c>
      <c r="C17272" s="3" t="s">
        <v>9</v>
      </c>
      <c r="D17272" s="3" t="s">
        <v>10</v>
      </c>
      <c r="E17272" s="3">
        <v>0</v>
      </c>
      <c r="F17272" s="3">
        <v>0</v>
      </c>
      <c r="G17272" s="3">
        <v>1</v>
      </c>
      <c r="H17272" s="3">
        <v>0</v>
      </c>
      <c r="I17272" s="3">
        <v>0</v>
      </c>
      <c r="J17272" s="3">
        <v>0</v>
      </c>
      <c r="K17272" s="3">
        <v>0</v>
      </c>
      <c r="L17272" s="3">
        <v>1</v>
      </c>
      <c r="M17272" s="3">
        <v>0</v>
      </c>
      <c r="N17272" s="3">
        <v>0</v>
      </c>
      <c r="O17272" s="3" t="s">
        <v>10</v>
      </c>
      <c r="P17272" s="3" t="s">
        <v>9</v>
      </c>
      <c r="Q17272" s="3"/>
    </row>
    <row r="17273" spans="1:17" ht="15" x14ac:dyDescent="0.25">
      <c r="A17273" s="3">
        <f>17266</f>
        <v>17266</v>
      </c>
      <c r="B17273" s="3" t="s">
        <v>17275</v>
      </c>
      <c r="C17273" s="3" t="s">
        <v>9</v>
      </c>
      <c r="D17273" s="3" t="s">
        <v>10</v>
      </c>
      <c r="E17273" s="3">
        <v>0</v>
      </c>
      <c r="F17273" s="3">
        <v>0</v>
      </c>
      <c r="G17273" s="3">
        <v>1</v>
      </c>
      <c r="H17273" s="3">
        <v>0</v>
      </c>
      <c r="I17273" s="3">
        <v>0</v>
      </c>
      <c r="J17273" s="3">
        <v>0</v>
      </c>
      <c r="K17273" s="3">
        <v>0</v>
      </c>
      <c r="L17273" s="3">
        <v>1</v>
      </c>
      <c r="M17273" s="3">
        <v>0</v>
      </c>
      <c r="N17273" s="3">
        <v>0</v>
      </c>
      <c r="O17273" s="3" t="s">
        <v>10</v>
      </c>
      <c r="P17273" s="3" t="s">
        <v>9</v>
      </c>
      <c r="Q17273" s="3"/>
    </row>
    <row r="17274" spans="1:17" ht="15" x14ac:dyDescent="0.25">
      <c r="A17274" s="3">
        <f>17267</f>
        <v>17267</v>
      </c>
      <c r="B17274" s="3" t="s">
        <v>17276</v>
      </c>
      <c r="C17274" s="3" t="s">
        <v>9</v>
      </c>
      <c r="D17274" s="3" t="s">
        <v>10</v>
      </c>
      <c r="E17274" s="3">
        <v>0</v>
      </c>
      <c r="F17274" s="3">
        <v>0</v>
      </c>
      <c r="G17274" s="3">
        <v>1</v>
      </c>
      <c r="H17274" s="3">
        <v>0</v>
      </c>
      <c r="I17274" s="3">
        <v>0</v>
      </c>
      <c r="J17274" s="3">
        <v>0</v>
      </c>
      <c r="K17274" s="3">
        <v>0</v>
      </c>
      <c r="L17274" s="3">
        <v>1</v>
      </c>
      <c r="M17274" s="3">
        <v>0</v>
      </c>
      <c r="N17274" s="3">
        <v>0</v>
      </c>
      <c r="O17274" s="3" t="s">
        <v>10</v>
      </c>
      <c r="P17274" s="3" t="s">
        <v>9</v>
      </c>
      <c r="Q17274" s="3"/>
    </row>
    <row r="17275" spans="1:17" ht="15" x14ac:dyDescent="0.25">
      <c r="A17275" s="3">
        <f>17268</f>
        <v>17268</v>
      </c>
      <c r="B17275" s="3" t="s">
        <v>17277</v>
      </c>
      <c r="C17275" s="3" t="s">
        <v>9</v>
      </c>
      <c r="D17275" s="3" t="s">
        <v>10</v>
      </c>
      <c r="E17275" s="3">
        <v>0</v>
      </c>
      <c r="F17275" s="3">
        <v>0</v>
      </c>
      <c r="G17275" s="3">
        <v>1</v>
      </c>
      <c r="H17275" s="3">
        <v>0</v>
      </c>
      <c r="I17275" s="3">
        <v>0</v>
      </c>
      <c r="J17275" s="3">
        <v>0</v>
      </c>
      <c r="K17275" s="3">
        <v>0</v>
      </c>
      <c r="L17275" s="3">
        <v>1</v>
      </c>
      <c r="M17275" s="3">
        <v>0</v>
      </c>
      <c r="N17275" s="3">
        <v>0</v>
      </c>
      <c r="O17275" s="3" t="s">
        <v>10</v>
      </c>
      <c r="P17275" s="3" t="s">
        <v>9</v>
      </c>
      <c r="Q17275" s="3"/>
    </row>
    <row r="17276" spans="1:17" ht="15" x14ac:dyDescent="0.25">
      <c r="A17276" s="3">
        <f>17269</f>
        <v>17269</v>
      </c>
      <c r="B17276" s="3" t="s">
        <v>17278</v>
      </c>
      <c r="C17276" s="3" t="s">
        <v>9</v>
      </c>
      <c r="D17276" s="3" t="s">
        <v>10</v>
      </c>
      <c r="E17276" s="3">
        <v>0</v>
      </c>
      <c r="F17276" s="3">
        <v>0</v>
      </c>
      <c r="G17276" s="3">
        <v>1</v>
      </c>
      <c r="H17276" s="3">
        <v>0</v>
      </c>
      <c r="I17276" s="3">
        <v>0</v>
      </c>
      <c r="J17276" s="3">
        <v>0</v>
      </c>
      <c r="K17276" s="3">
        <v>0</v>
      </c>
      <c r="L17276" s="3">
        <v>1</v>
      </c>
      <c r="M17276" s="3">
        <v>0</v>
      </c>
      <c r="N17276" s="3">
        <v>0</v>
      </c>
      <c r="O17276" s="3" t="s">
        <v>10</v>
      </c>
      <c r="P17276" s="3" t="s">
        <v>9</v>
      </c>
      <c r="Q17276" s="3"/>
    </row>
    <row r="17277" spans="1:17" ht="15" x14ac:dyDescent="0.25">
      <c r="A17277" s="3">
        <f>17270</f>
        <v>17270</v>
      </c>
      <c r="B17277" s="3" t="s">
        <v>17279</v>
      </c>
      <c r="C17277" s="3" t="s">
        <v>9</v>
      </c>
      <c r="D17277" s="3" t="s">
        <v>10</v>
      </c>
      <c r="E17277" s="3">
        <v>0</v>
      </c>
      <c r="F17277" s="3">
        <v>0</v>
      </c>
      <c r="G17277" s="3">
        <v>1</v>
      </c>
      <c r="H17277" s="3">
        <v>0</v>
      </c>
      <c r="I17277" s="3">
        <v>0</v>
      </c>
      <c r="J17277" s="3">
        <v>0</v>
      </c>
      <c r="K17277" s="3">
        <v>0</v>
      </c>
      <c r="L17277" s="3">
        <v>1</v>
      </c>
      <c r="M17277" s="3">
        <v>0</v>
      </c>
      <c r="N17277" s="3">
        <v>0</v>
      </c>
      <c r="O17277" s="3" t="s">
        <v>10</v>
      </c>
      <c r="P17277" s="3" t="s">
        <v>9</v>
      </c>
      <c r="Q17277" s="3"/>
    </row>
    <row r="17278" spans="1:17" ht="15" x14ac:dyDescent="0.25">
      <c r="A17278" s="3">
        <f>17271</f>
        <v>17271</v>
      </c>
      <c r="B17278" s="3" t="s">
        <v>17280</v>
      </c>
      <c r="C17278" s="3" t="s">
        <v>9</v>
      </c>
      <c r="D17278" s="3" t="s">
        <v>10</v>
      </c>
      <c r="E17278" s="3">
        <v>0</v>
      </c>
      <c r="F17278" s="3">
        <v>0</v>
      </c>
      <c r="G17278" s="3">
        <v>1</v>
      </c>
      <c r="H17278" s="3">
        <v>0</v>
      </c>
      <c r="I17278" s="3">
        <v>0</v>
      </c>
      <c r="J17278" s="3">
        <v>0</v>
      </c>
      <c r="K17278" s="3">
        <v>0</v>
      </c>
      <c r="L17278" s="3">
        <v>1</v>
      </c>
      <c r="M17278" s="3">
        <v>0</v>
      </c>
      <c r="N17278" s="3">
        <v>0</v>
      </c>
      <c r="O17278" s="3" t="s">
        <v>10</v>
      </c>
      <c r="P17278" s="3" t="s">
        <v>9</v>
      </c>
      <c r="Q17278" s="3"/>
    </row>
    <row r="17279" spans="1:17" ht="15" x14ac:dyDescent="0.25">
      <c r="A17279" s="3">
        <f>17272</f>
        <v>17272</v>
      </c>
      <c r="B17279" s="3" t="s">
        <v>17281</v>
      </c>
      <c r="C17279" s="3" t="s">
        <v>9</v>
      </c>
      <c r="D17279" s="3" t="s">
        <v>10</v>
      </c>
      <c r="E17279" s="3">
        <v>0</v>
      </c>
      <c r="F17279" s="3">
        <v>0</v>
      </c>
      <c r="G17279" s="3">
        <v>1</v>
      </c>
      <c r="H17279" s="3">
        <v>0</v>
      </c>
      <c r="I17279" s="3">
        <v>0</v>
      </c>
      <c r="J17279" s="3">
        <v>0</v>
      </c>
      <c r="K17279" s="3">
        <v>0</v>
      </c>
      <c r="L17279" s="3">
        <v>1</v>
      </c>
      <c r="M17279" s="3">
        <v>0</v>
      </c>
      <c r="N17279" s="3">
        <v>0</v>
      </c>
      <c r="O17279" s="3" t="s">
        <v>10</v>
      </c>
      <c r="P17279" s="3" t="s">
        <v>9</v>
      </c>
      <c r="Q17279" s="3"/>
    </row>
    <row r="17280" spans="1:17" ht="15" x14ac:dyDescent="0.25">
      <c r="A17280" s="3">
        <f>17273</f>
        <v>17273</v>
      </c>
      <c r="B17280" s="3" t="s">
        <v>17282</v>
      </c>
      <c r="C17280" s="3" t="s">
        <v>9</v>
      </c>
      <c r="D17280" s="3" t="s">
        <v>10</v>
      </c>
      <c r="E17280" s="3">
        <v>0</v>
      </c>
      <c r="F17280" s="3">
        <v>0</v>
      </c>
      <c r="G17280" s="3">
        <v>1</v>
      </c>
      <c r="H17280" s="3">
        <v>0</v>
      </c>
      <c r="I17280" s="3">
        <v>0</v>
      </c>
      <c r="J17280" s="3">
        <v>0</v>
      </c>
      <c r="K17280" s="3">
        <v>0</v>
      </c>
      <c r="L17280" s="3">
        <v>1</v>
      </c>
      <c r="M17280" s="3">
        <v>0</v>
      </c>
      <c r="N17280" s="3">
        <v>0</v>
      </c>
      <c r="O17280" s="3" t="s">
        <v>10</v>
      </c>
      <c r="P17280" s="3" t="s">
        <v>9</v>
      </c>
      <c r="Q17280" s="3"/>
    </row>
    <row r="17281" spans="1:17" ht="15" x14ac:dyDescent="0.25">
      <c r="A17281" s="3">
        <f>17274</f>
        <v>17274</v>
      </c>
      <c r="B17281" s="3" t="s">
        <v>17283</v>
      </c>
      <c r="C17281" s="3" t="s">
        <v>9</v>
      </c>
      <c r="D17281" s="3" t="s">
        <v>10</v>
      </c>
      <c r="E17281" s="3">
        <v>0</v>
      </c>
      <c r="F17281" s="3">
        <v>0</v>
      </c>
      <c r="G17281" s="3">
        <v>1</v>
      </c>
      <c r="H17281" s="3">
        <v>0</v>
      </c>
      <c r="I17281" s="3">
        <v>0</v>
      </c>
      <c r="J17281" s="3">
        <v>0</v>
      </c>
      <c r="K17281" s="3">
        <v>0</v>
      </c>
      <c r="L17281" s="3">
        <v>1</v>
      </c>
      <c r="M17281" s="3">
        <v>0</v>
      </c>
      <c r="N17281" s="3">
        <v>0</v>
      </c>
      <c r="O17281" s="3" t="s">
        <v>10</v>
      </c>
      <c r="P17281" s="3" t="s">
        <v>9</v>
      </c>
      <c r="Q17281" s="3"/>
    </row>
    <row r="17282" spans="1:17" ht="15" x14ac:dyDescent="0.25">
      <c r="A17282" s="3">
        <f>17275</f>
        <v>17275</v>
      </c>
      <c r="B17282" s="3" t="s">
        <v>17284</v>
      </c>
      <c r="C17282" s="3" t="s">
        <v>9</v>
      </c>
      <c r="D17282" s="3" t="s">
        <v>10</v>
      </c>
      <c r="E17282" s="3">
        <v>0</v>
      </c>
      <c r="F17282" s="3">
        <v>0</v>
      </c>
      <c r="G17282" s="3">
        <v>1</v>
      </c>
      <c r="H17282" s="3">
        <v>0</v>
      </c>
      <c r="I17282" s="3">
        <v>0</v>
      </c>
      <c r="J17282" s="3">
        <v>0</v>
      </c>
      <c r="K17282" s="3">
        <v>0</v>
      </c>
      <c r="L17282" s="3">
        <v>1</v>
      </c>
      <c r="M17282" s="3">
        <v>0</v>
      </c>
      <c r="N17282" s="3">
        <v>0</v>
      </c>
      <c r="O17282" s="3" t="s">
        <v>10</v>
      </c>
      <c r="P17282" s="3" t="s">
        <v>9</v>
      </c>
      <c r="Q17282" s="3"/>
    </row>
    <row r="17283" spans="1:17" ht="15" x14ac:dyDescent="0.25">
      <c r="A17283" s="3">
        <f>17276</f>
        <v>17276</v>
      </c>
      <c r="B17283" s="3" t="s">
        <v>17285</v>
      </c>
      <c r="C17283" s="3" t="s">
        <v>10</v>
      </c>
      <c r="D17283" s="3" t="s">
        <v>9</v>
      </c>
      <c r="E17283" s="3">
        <v>0</v>
      </c>
      <c r="F17283" s="3">
        <v>0</v>
      </c>
      <c r="G17283" s="3">
        <v>1</v>
      </c>
      <c r="H17283" s="3">
        <v>0</v>
      </c>
      <c r="I17283" s="3">
        <v>0</v>
      </c>
      <c r="J17283" s="3">
        <v>0</v>
      </c>
      <c r="K17283" s="3">
        <v>0</v>
      </c>
      <c r="L17283" s="3">
        <v>1</v>
      </c>
      <c r="M17283" s="3">
        <v>0</v>
      </c>
      <c r="N17283" s="3">
        <v>0</v>
      </c>
      <c r="O17283" s="3" t="s">
        <v>10</v>
      </c>
      <c r="P17283" s="3" t="s">
        <v>9</v>
      </c>
      <c r="Q17283" s="3"/>
    </row>
    <row r="17284" spans="1:17" ht="15" x14ac:dyDescent="0.25">
      <c r="A17284" s="3">
        <f>17277</f>
        <v>17277</v>
      </c>
      <c r="B17284" s="3" t="s">
        <v>17286</v>
      </c>
      <c r="C17284" s="3" t="s">
        <v>10</v>
      </c>
      <c r="D17284" s="3" t="s">
        <v>9</v>
      </c>
      <c r="E17284" s="3">
        <v>0</v>
      </c>
      <c r="F17284" s="3">
        <v>0</v>
      </c>
      <c r="G17284" s="3">
        <v>1</v>
      </c>
      <c r="H17284" s="3">
        <v>0</v>
      </c>
      <c r="I17284" s="3">
        <v>0</v>
      </c>
      <c r="J17284" s="3">
        <v>0</v>
      </c>
      <c r="K17284" s="3">
        <v>0</v>
      </c>
      <c r="L17284" s="3">
        <v>1</v>
      </c>
      <c r="M17284" s="3">
        <v>0</v>
      </c>
      <c r="N17284" s="3">
        <v>0</v>
      </c>
      <c r="O17284" s="3" t="s">
        <v>10</v>
      </c>
      <c r="P17284" s="3" t="s">
        <v>9</v>
      </c>
      <c r="Q17284" s="3"/>
    </row>
    <row r="17285" spans="1:17" ht="15" x14ac:dyDescent="0.25">
      <c r="A17285" s="3">
        <f>17278</f>
        <v>17278</v>
      </c>
      <c r="B17285" s="3" t="s">
        <v>17287</v>
      </c>
      <c r="C17285" s="3" t="s">
        <v>10</v>
      </c>
      <c r="D17285" s="3" t="s">
        <v>9</v>
      </c>
      <c r="E17285" s="3">
        <v>0</v>
      </c>
      <c r="F17285" s="3">
        <v>0</v>
      </c>
      <c r="G17285" s="3">
        <v>1</v>
      </c>
      <c r="H17285" s="3">
        <v>0</v>
      </c>
      <c r="I17285" s="3">
        <v>0</v>
      </c>
      <c r="J17285" s="3">
        <v>0</v>
      </c>
      <c r="K17285" s="3">
        <v>0</v>
      </c>
      <c r="L17285" s="3">
        <v>1</v>
      </c>
      <c r="M17285" s="3">
        <v>0</v>
      </c>
      <c r="N17285" s="3">
        <v>0</v>
      </c>
      <c r="O17285" s="3" t="s">
        <v>10</v>
      </c>
      <c r="P17285" s="3" t="s">
        <v>9</v>
      </c>
      <c r="Q17285" s="3"/>
    </row>
    <row r="17286" spans="1:17" ht="15" x14ac:dyDescent="0.25">
      <c r="A17286" s="3">
        <f>17279</f>
        <v>17279</v>
      </c>
      <c r="B17286" s="3" t="s">
        <v>17288</v>
      </c>
      <c r="C17286" s="3" t="s">
        <v>10</v>
      </c>
      <c r="D17286" s="3" t="s">
        <v>9</v>
      </c>
      <c r="E17286" s="3">
        <v>0</v>
      </c>
      <c r="F17286" s="3">
        <v>0</v>
      </c>
      <c r="G17286" s="3">
        <v>1</v>
      </c>
      <c r="H17286" s="3">
        <v>0</v>
      </c>
      <c r="I17286" s="3">
        <v>0</v>
      </c>
      <c r="J17286" s="3">
        <v>0</v>
      </c>
      <c r="K17286" s="3">
        <v>0</v>
      </c>
      <c r="L17286" s="3">
        <v>1</v>
      </c>
      <c r="M17286" s="3">
        <v>0</v>
      </c>
      <c r="N17286" s="3">
        <v>0</v>
      </c>
      <c r="O17286" s="3" t="s">
        <v>10</v>
      </c>
      <c r="P17286" s="3" t="s">
        <v>9</v>
      </c>
      <c r="Q17286" s="3"/>
    </row>
    <row r="17287" spans="1:17" ht="15" x14ac:dyDescent="0.25">
      <c r="A17287" s="3">
        <f>17280</f>
        <v>17280</v>
      </c>
      <c r="B17287" s="3" t="s">
        <v>17289</v>
      </c>
      <c r="C17287" s="3" t="s">
        <v>10</v>
      </c>
      <c r="D17287" s="3" t="s">
        <v>9</v>
      </c>
      <c r="E17287" s="3">
        <v>0</v>
      </c>
      <c r="F17287" s="3">
        <v>0</v>
      </c>
      <c r="G17287" s="3">
        <v>1</v>
      </c>
      <c r="H17287" s="3">
        <v>0</v>
      </c>
      <c r="I17287" s="3">
        <v>0</v>
      </c>
      <c r="J17287" s="3">
        <v>0</v>
      </c>
      <c r="K17287" s="3">
        <v>0</v>
      </c>
      <c r="L17287" s="3">
        <v>1</v>
      </c>
      <c r="M17287" s="3">
        <v>0</v>
      </c>
      <c r="N17287" s="3">
        <v>0</v>
      </c>
      <c r="O17287" s="3" t="s">
        <v>10</v>
      </c>
      <c r="P17287" s="3" t="s">
        <v>9</v>
      </c>
      <c r="Q17287" s="3"/>
    </row>
    <row r="17288" spans="1:17" ht="15" x14ac:dyDescent="0.25">
      <c r="A17288" s="3">
        <f>17281</f>
        <v>17281</v>
      </c>
      <c r="B17288" s="3" t="s">
        <v>17290</v>
      </c>
      <c r="C17288" s="3" t="s">
        <v>10</v>
      </c>
      <c r="D17288" s="3" t="s">
        <v>9</v>
      </c>
      <c r="E17288" s="3">
        <v>0</v>
      </c>
      <c r="F17288" s="3">
        <v>0</v>
      </c>
      <c r="G17288" s="3">
        <v>1</v>
      </c>
      <c r="H17288" s="3">
        <v>0</v>
      </c>
      <c r="I17288" s="3">
        <v>0</v>
      </c>
      <c r="J17288" s="3">
        <v>0</v>
      </c>
      <c r="K17288" s="3">
        <v>0</v>
      </c>
      <c r="L17288" s="3">
        <v>1</v>
      </c>
      <c r="M17288" s="3">
        <v>0</v>
      </c>
      <c r="N17288" s="3">
        <v>0</v>
      </c>
      <c r="O17288" s="3" t="s">
        <v>10</v>
      </c>
      <c r="P17288" s="3" t="s">
        <v>9</v>
      </c>
      <c r="Q17288" s="3"/>
    </row>
    <row r="17289" spans="1:17" ht="15" x14ac:dyDescent="0.25">
      <c r="A17289" s="3">
        <f>17282</f>
        <v>17282</v>
      </c>
      <c r="B17289" s="3" t="s">
        <v>17291</v>
      </c>
      <c r="C17289" s="3" t="s">
        <v>10</v>
      </c>
      <c r="D17289" s="3" t="s">
        <v>9</v>
      </c>
      <c r="E17289" s="3">
        <v>0</v>
      </c>
      <c r="F17289" s="3">
        <v>0</v>
      </c>
      <c r="G17289" s="3">
        <v>1</v>
      </c>
      <c r="H17289" s="3">
        <v>0</v>
      </c>
      <c r="I17289" s="3">
        <v>0</v>
      </c>
      <c r="J17289" s="3">
        <v>0</v>
      </c>
      <c r="K17289" s="3">
        <v>0</v>
      </c>
      <c r="L17289" s="3">
        <v>1</v>
      </c>
      <c r="M17289" s="3">
        <v>0</v>
      </c>
      <c r="N17289" s="3">
        <v>0</v>
      </c>
      <c r="O17289" s="3" t="s">
        <v>10</v>
      </c>
      <c r="P17289" s="3" t="s">
        <v>9</v>
      </c>
      <c r="Q17289" s="3"/>
    </row>
    <row r="17290" spans="1:17" ht="15" x14ac:dyDescent="0.25">
      <c r="A17290" s="3">
        <f>17283</f>
        <v>17283</v>
      </c>
      <c r="B17290" s="3" t="s">
        <v>17292</v>
      </c>
      <c r="C17290" s="3" t="s">
        <v>10</v>
      </c>
      <c r="D17290" s="3" t="s">
        <v>9</v>
      </c>
      <c r="E17290" s="3">
        <v>0</v>
      </c>
      <c r="F17290" s="3">
        <v>0</v>
      </c>
      <c r="G17290" s="3">
        <v>1</v>
      </c>
      <c r="H17290" s="3">
        <v>0</v>
      </c>
      <c r="I17290" s="3">
        <v>0</v>
      </c>
      <c r="J17290" s="3">
        <v>0</v>
      </c>
      <c r="K17290" s="3">
        <v>0</v>
      </c>
      <c r="L17290" s="3">
        <v>1</v>
      </c>
      <c r="M17290" s="3">
        <v>0</v>
      </c>
      <c r="N17290" s="3">
        <v>0</v>
      </c>
      <c r="O17290" s="3" t="s">
        <v>10</v>
      </c>
      <c r="P17290" s="3" t="s">
        <v>9</v>
      </c>
      <c r="Q17290" s="3"/>
    </row>
    <row r="17291" spans="1:17" ht="15" x14ac:dyDescent="0.25">
      <c r="A17291" s="3">
        <f>17284</f>
        <v>17284</v>
      </c>
      <c r="B17291" s="3" t="s">
        <v>17293</v>
      </c>
      <c r="C17291" s="3" t="s">
        <v>10</v>
      </c>
      <c r="D17291" s="3" t="s">
        <v>9</v>
      </c>
      <c r="E17291" s="3">
        <v>0</v>
      </c>
      <c r="F17291" s="3">
        <v>0</v>
      </c>
      <c r="G17291" s="3">
        <v>1</v>
      </c>
      <c r="H17291" s="3">
        <v>0</v>
      </c>
      <c r="I17291" s="3">
        <v>0</v>
      </c>
      <c r="J17291" s="3">
        <v>0</v>
      </c>
      <c r="K17291" s="3">
        <v>0</v>
      </c>
      <c r="L17291" s="3">
        <v>1</v>
      </c>
      <c r="M17291" s="3">
        <v>0</v>
      </c>
      <c r="N17291" s="3">
        <v>0</v>
      </c>
      <c r="O17291" s="3" t="s">
        <v>10</v>
      </c>
      <c r="P17291" s="3" t="s">
        <v>9</v>
      </c>
      <c r="Q17291" s="3"/>
    </row>
    <row r="17292" spans="1:17" ht="15" x14ac:dyDescent="0.25">
      <c r="A17292" s="3">
        <f>17285</f>
        <v>17285</v>
      </c>
      <c r="B17292" s="3" t="s">
        <v>17294</v>
      </c>
      <c r="C17292" s="3" t="s">
        <v>10</v>
      </c>
      <c r="D17292" s="3" t="s">
        <v>9</v>
      </c>
      <c r="E17292" s="3">
        <v>0</v>
      </c>
      <c r="F17292" s="3">
        <v>0</v>
      </c>
      <c r="G17292" s="3">
        <v>1</v>
      </c>
      <c r="H17292" s="3">
        <v>0</v>
      </c>
      <c r="I17292" s="3">
        <v>0</v>
      </c>
      <c r="J17292" s="3">
        <v>0</v>
      </c>
      <c r="K17292" s="3">
        <v>0</v>
      </c>
      <c r="L17292" s="3">
        <v>1</v>
      </c>
      <c r="M17292" s="3">
        <v>0</v>
      </c>
      <c r="N17292" s="3">
        <v>0</v>
      </c>
      <c r="O17292" s="3" t="s">
        <v>10</v>
      </c>
      <c r="P17292" s="3" t="s">
        <v>9</v>
      </c>
      <c r="Q17292" s="3"/>
    </row>
    <row r="17293" spans="1:17" ht="15" x14ac:dyDescent="0.25">
      <c r="A17293" s="3">
        <f>17286</f>
        <v>17286</v>
      </c>
      <c r="B17293" s="3" t="s">
        <v>17295</v>
      </c>
      <c r="C17293" s="3" t="s">
        <v>10</v>
      </c>
      <c r="D17293" s="3" t="s">
        <v>9</v>
      </c>
      <c r="E17293" s="3">
        <v>0</v>
      </c>
      <c r="F17293" s="3">
        <v>0</v>
      </c>
      <c r="G17293" s="3">
        <v>1</v>
      </c>
      <c r="H17293" s="3">
        <v>0</v>
      </c>
      <c r="I17293" s="3">
        <v>0</v>
      </c>
      <c r="J17293" s="3">
        <v>0</v>
      </c>
      <c r="K17293" s="3">
        <v>0</v>
      </c>
      <c r="L17293" s="3">
        <v>1</v>
      </c>
      <c r="M17293" s="3">
        <v>0</v>
      </c>
      <c r="N17293" s="3">
        <v>0</v>
      </c>
      <c r="O17293" s="3" t="s">
        <v>10</v>
      </c>
      <c r="P17293" s="3" t="s">
        <v>9</v>
      </c>
      <c r="Q17293" s="3"/>
    </row>
    <row r="17294" spans="1:17" ht="15" x14ac:dyDescent="0.25">
      <c r="A17294" s="3">
        <f>17287</f>
        <v>17287</v>
      </c>
      <c r="B17294" s="3" t="s">
        <v>17296</v>
      </c>
      <c r="C17294" s="3" t="s">
        <v>10</v>
      </c>
      <c r="D17294" s="3" t="s">
        <v>9</v>
      </c>
      <c r="E17294" s="3">
        <v>0</v>
      </c>
      <c r="F17294" s="3">
        <v>0</v>
      </c>
      <c r="G17294" s="3">
        <v>1</v>
      </c>
      <c r="H17294" s="3">
        <v>0</v>
      </c>
      <c r="I17294" s="3">
        <v>0</v>
      </c>
      <c r="J17294" s="3">
        <v>0</v>
      </c>
      <c r="K17294" s="3">
        <v>0</v>
      </c>
      <c r="L17294" s="3">
        <v>1</v>
      </c>
      <c r="M17294" s="3">
        <v>0</v>
      </c>
      <c r="N17294" s="3">
        <v>0</v>
      </c>
      <c r="O17294" s="3" t="s">
        <v>10</v>
      </c>
      <c r="P17294" s="3" t="s">
        <v>9</v>
      </c>
      <c r="Q17294" s="3"/>
    </row>
    <row r="17295" spans="1:17" ht="15" x14ac:dyDescent="0.25">
      <c r="A17295" s="3">
        <f>17288</f>
        <v>17288</v>
      </c>
      <c r="B17295" s="3" t="s">
        <v>17297</v>
      </c>
      <c r="C17295" s="3" t="s">
        <v>9</v>
      </c>
      <c r="D17295" s="3" t="s">
        <v>10</v>
      </c>
      <c r="E17295" s="3">
        <v>0</v>
      </c>
      <c r="F17295" s="3">
        <v>0</v>
      </c>
      <c r="G17295" s="3">
        <v>1</v>
      </c>
      <c r="H17295" s="3">
        <v>0</v>
      </c>
      <c r="I17295" s="3">
        <v>0</v>
      </c>
      <c r="J17295" s="3">
        <v>0</v>
      </c>
      <c r="K17295" s="3">
        <v>0</v>
      </c>
      <c r="L17295" s="3">
        <v>1</v>
      </c>
      <c r="M17295" s="3">
        <v>0</v>
      </c>
      <c r="N17295" s="3">
        <v>0</v>
      </c>
      <c r="O17295" s="3" t="s">
        <v>10</v>
      </c>
      <c r="P17295" s="3" t="s">
        <v>9</v>
      </c>
      <c r="Q17295" s="3"/>
    </row>
    <row r="17296" spans="1:17" ht="15" x14ac:dyDescent="0.25">
      <c r="A17296" s="3">
        <f>17289</f>
        <v>17289</v>
      </c>
      <c r="B17296" s="3" t="s">
        <v>17298</v>
      </c>
      <c r="C17296" s="3" t="s">
        <v>9</v>
      </c>
      <c r="D17296" s="3" t="s">
        <v>10</v>
      </c>
      <c r="E17296" s="3">
        <v>0</v>
      </c>
      <c r="F17296" s="3">
        <v>0</v>
      </c>
      <c r="G17296" s="3">
        <v>1</v>
      </c>
      <c r="H17296" s="3">
        <v>0</v>
      </c>
      <c r="I17296" s="3">
        <v>0</v>
      </c>
      <c r="J17296" s="3">
        <v>0</v>
      </c>
      <c r="K17296" s="3">
        <v>0</v>
      </c>
      <c r="L17296" s="3">
        <v>1</v>
      </c>
      <c r="M17296" s="3">
        <v>0</v>
      </c>
      <c r="N17296" s="3">
        <v>0</v>
      </c>
      <c r="O17296" s="3" t="s">
        <v>10</v>
      </c>
      <c r="P17296" s="3" t="s">
        <v>9</v>
      </c>
      <c r="Q17296" s="3"/>
    </row>
    <row r="17297" spans="1:17" ht="15" x14ac:dyDescent="0.25">
      <c r="A17297" s="3">
        <f>17290</f>
        <v>17290</v>
      </c>
      <c r="B17297" s="3" t="s">
        <v>17299</v>
      </c>
      <c r="C17297" s="3" t="s">
        <v>9</v>
      </c>
      <c r="D17297" s="3" t="s">
        <v>10</v>
      </c>
      <c r="E17297" s="3">
        <v>0</v>
      </c>
      <c r="F17297" s="3">
        <v>0</v>
      </c>
      <c r="G17297" s="3">
        <v>1</v>
      </c>
      <c r="H17297" s="3">
        <v>0</v>
      </c>
      <c r="I17297" s="3">
        <v>0</v>
      </c>
      <c r="J17297" s="3">
        <v>0</v>
      </c>
      <c r="K17297" s="3">
        <v>0</v>
      </c>
      <c r="L17297" s="3">
        <v>1</v>
      </c>
      <c r="M17297" s="3">
        <v>0</v>
      </c>
      <c r="N17297" s="3">
        <v>0</v>
      </c>
      <c r="O17297" s="3" t="s">
        <v>10</v>
      </c>
      <c r="P17297" s="3" t="s">
        <v>9</v>
      </c>
      <c r="Q17297" s="3"/>
    </row>
    <row r="17298" spans="1:17" ht="15" x14ac:dyDescent="0.25">
      <c r="A17298" s="3">
        <f>17291</f>
        <v>17291</v>
      </c>
      <c r="B17298" s="3" t="s">
        <v>17300</v>
      </c>
      <c r="C17298" s="3" t="s">
        <v>9</v>
      </c>
      <c r="D17298" s="3" t="s">
        <v>10</v>
      </c>
      <c r="E17298" s="3">
        <v>0</v>
      </c>
      <c r="F17298" s="3">
        <v>0</v>
      </c>
      <c r="G17298" s="3">
        <v>1</v>
      </c>
      <c r="H17298" s="3">
        <v>0</v>
      </c>
      <c r="I17298" s="3">
        <v>0</v>
      </c>
      <c r="J17298" s="3">
        <v>0</v>
      </c>
      <c r="K17298" s="3">
        <v>0</v>
      </c>
      <c r="L17298" s="3">
        <v>1</v>
      </c>
      <c r="M17298" s="3">
        <v>0</v>
      </c>
      <c r="N17298" s="3">
        <v>0</v>
      </c>
      <c r="O17298" s="3" t="s">
        <v>10</v>
      </c>
      <c r="P17298" s="3" t="s">
        <v>9</v>
      </c>
      <c r="Q17298" s="3"/>
    </row>
    <row r="17299" spans="1:17" ht="15" x14ac:dyDescent="0.25">
      <c r="A17299" s="3">
        <f>17292</f>
        <v>17292</v>
      </c>
      <c r="B17299" s="3" t="s">
        <v>17301</v>
      </c>
      <c r="C17299" s="3" t="s">
        <v>9</v>
      </c>
      <c r="D17299" s="3" t="s">
        <v>10</v>
      </c>
      <c r="E17299" s="3">
        <v>0</v>
      </c>
      <c r="F17299" s="3">
        <v>0</v>
      </c>
      <c r="G17299" s="3">
        <v>1</v>
      </c>
      <c r="H17299" s="3">
        <v>0</v>
      </c>
      <c r="I17299" s="3">
        <v>0</v>
      </c>
      <c r="J17299" s="3">
        <v>0</v>
      </c>
      <c r="K17299" s="3">
        <v>0</v>
      </c>
      <c r="L17299" s="3">
        <v>1</v>
      </c>
      <c r="M17299" s="3">
        <v>0</v>
      </c>
      <c r="N17299" s="3">
        <v>0</v>
      </c>
      <c r="O17299" s="3" t="s">
        <v>10</v>
      </c>
      <c r="P17299" s="3" t="s">
        <v>9</v>
      </c>
      <c r="Q17299" s="3"/>
    </row>
    <row r="17300" spans="1:17" ht="15" x14ac:dyDescent="0.25">
      <c r="A17300" s="3">
        <f>17293</f>
        <v>17293</v>
      </c>
      <c r="B17300" s="3" t="s">
        <v>17302</v>
      </c>
      <c r="C17300" s="3" t="s">
        <v>9</v>
      </c>
      <c r="D17300" s="3" t="s">
        <v>10</v>
      </c>
      <c r="E17300" s="3">
        <v>0</v>
      </c>
      <c r="F17300" s="3">
        <v>0</v>
      </c>
      <c r="G17300" s="3">
        <v>1</v>
      </c>
      <c r="H17300" s="3">
        <v>0</v>
      </c>
      <c r="I17300" s="3">
        <v>0</v>
      </c>
      <c r="J17300" s="3">
        <v>0</v>
      </c>
      <c r="K17300" s="3">
        <v>0</v>
      </c>
      <c r="L17300" s="3">
        <v>1</v>
      </c>
      <c r="M17300" s="3">
        <v>0</v>
      </c>
      <c r="N17300" s="3">
        <v>0</v>
      </c>
      <c r="O17300" s="3" t="s">
        <v>10</v>
      </c>
      <c r="P17300" s="3" t="s">
        <v>9</v>
      </c>
      <c r="Q17300" s="3"/>
    </row>
    <row r="17301" spans="1:17" ht="15" x14ac:dyDescent="0.25">
      <c r="A17301" s="3">
        <f>17294</f>
        <v>17294</v>
      </c>
      <c r="B17301" s="3" t="s">
        <v>17303</v>
      </c>
      <c r="C17301" s="3" t="s">
        <v>9</v>
      </c>
      <c r="D17301" s="3" t="s">
        <v>10</v>
      </c>
      <c r="E17301" s="3">
        <v>0</v>
      </c>
      <c r="F17301" s="3">
        <v>0</v>
      </c>
      <c r="G17301" s="3">
        <v>1</v>
      </c>
      <c r="H17301" s="3">
        <v>0</v>
      </c>
      <c r="I17301" s="3">
        <v>0</v>
      </c>
      <c r="J17301" s="3">
        <v>0</v>
      </c>
      <c r="K17301" s="3">
        <v>0</v>
      </c>
      <c r="L17301" s="3">
        <v>1</v>
      </c>
      <c r="M17301" s="3">
        <v>0</v>
      </c>
      <c r="N17301" s="3">
        <v>0</v>
      </c>
      <c r="O17301" s="3" t="s">
        <v>10</v>
      </c>
      <c r="P17301" s="3" t="s">
        <v>9</v>
      </c>
      <c r="Q17301" s="3"/>
    </row>
    <row r="17302" spans="1:17" ht="15" x14ac:dyDescent="0.25">
      <c r="A17302" s="3">
        <f>17295</f>
        <v>17295</v>
      </c>
      <c r="B17302" s="3" t="s">
        <v>17304</v>
      </c>
      <c r="C17302" s="3" t="s">
        <v>9</v>
      </c>
      <c r="D17302" s="3" t="s">
        <v>10</v>
      </c>
      <c r="E17302" s="3">
        <v>0</v>
      </c>
      <c r="F17302" s="3">
        <v>0</v>
      </c>
      <c r="G17302" s="3">
        <v>1</v>
      </c>
      <c r="H17302" s="3">
        <v>0</v>
      </c>
      <c r="I17302" s="3">
        <v>0</v>
      </c>
      <c r="J17302" s="3">
        <v>0</v>
      </c>
      <c r="K17302" s="3">
        <v>0</v>
      </c>
      <c r="L17302" s="3">
        <v>1</v>
      </c>
      <c r="M17302" s="3">
        <v>0</v>
      </c>
      <c r="N17302" s="3">
        <v>0</v>
      </c>
      <c r="O17302" s="3" t="s">
        <v>10</v>
      </c>
      <c r="P17302" s="3" t="s">
        <v>9</v>
      </c>
      <c r="Q17302" s="3"/>
    </row>
    <row r="17303" spans="1:17" ht="15" x14ac:dyDescent="0.25">
      <c r="A17303" s="3">
        <f>17296</f>
        <v>17296</v>
      </c>
      <c r="B17303" s="3" t="s">
        <v>17305</v>
      </c>
      <c r="C17303" s="3" t="s">
        <v>9</v>
      </c>
      <c r="D17303" s="3" t="s">
        <v>10</v>
      </c>
      <c r="E17303" s="3">
        <v>0</v>
      </c>
      <c r="F17303" s="3">
        <v>0</v>
      </c>
      <c r="G17303" s="3">
        <v>1</v>
      </c>
      <c r="H17303" s="3">
        <v>0</v>
      </c>
      <c r="I17303" s="3">
        <v>0</v>
      </c>
      <c r="J17303" s="3">
        <v>0</v>
      </c>
      <c r="K17303" s="3">
        <v>0</v>
      </c>
      <c r="L17303" s="3">
        <v>1</v>
      </c>
      <c r="M17303" s="3">
        <v>0</v>
      </c>
      <c r="N17303" s="3">
        <v>0</v>
      </c>
      <c r="O17303" s="3" t="s">
        <v>10</v>
      </c>
      <c r="P17303" s="3" t="s">
        <v>9</v>
      </c>
      <c r="Q17303" s="3"/>
    </row>
    <row r="17304" spans="1:17" ht="15" x14ac:dyDescent="0.25">
      <c r="A17304" s="3">
        <f>17297</f>
        <v>17297</v>
      </c>
      <c r="B17304" s="3" t="s">
        <v>17306</v>
      </c>
      <c r="C17304" s="3" t="s">
        <v>9</v>
      </c>
      <c r="D17304" s="3" t="s">
        <v>10</v>
      </c>
      <c r="E17304" s="3">
        <v>0</v>
      </c>
      <c r="F17304" s="3">
        <v>0</v>
      </c>
      <c r="G17304" s="3">
        <v>1</v>
      </c>
      <c r="H17304" s="3">
        <v>0</v>
      </c>
      <c r="I17304" s="3">
        <v>0</v>
      </c>
      <c r="J17304" s="3">
        <v>0</v>
      </c>
      <c r="K17304" s="3">
        <v>0</v>
      </c>
      <c r="L17304" s="3">
        <v>1</v>
      </c>
      <c r="M17304" s="3">
        <v>0</v>
      </c>
      <c r="N17304" s="3">
        <v>0</v>
      </c>
      <c r="O17304" s="3" t="s">
        <v>10</v>
      </c>
      <c r="P17304" s="3" t="s">
        <v>9</v>
      </c>
      <c r="Q17304" s="3"/>
    </row>
    <row r="17305" spans="1:17" ht="15" x14ac:dyDescent="0.25">
      <c r="A17305" s="3">
        <f>17298</f>
        <v>17298</v>
      </c>
      <c r="B17305" s="3" t="s">
        <v>17307</v>
      </c>
      <c r="C17305" s="3" t="s">
        <v>9</v>
      </c>
      <c r="D17305" s="3" t="s">
        <v>10</v>
      </c>
      <c r="E17305" s="3">
        <v>0</v>
      </c>
      <c r="F17305" s="3">
        <v>0</v>
      </c>
      <c r="G17305" s="3">
        <v>1</v>
      </c>
      <c r="H17305" s="3">
        <v>0</v>
      </c>
      <c r="I17305" s="3">
        <v>0</v>
      </c>
      <c r="J17305" s="3">
        <v>0</v>
      </c>
      <c r="K17305" s="3">
        <v>0</v>
      </c>
      <c r="L17305" s="3">
        <v>1</v>
      </c>
      <c r="M17305" s="3">
        <v>0</v>
      </c>
      <c r="N17305" s="3">
        <v>0</v>
      </c>
      <c r="O17305" s="3" t="s">
        <v>10</v>
      </c>
      <c r="P17305" s="3" t="s">
        <v>9</v>
      </c>
      <c r="Q17305" s="3"/>
    </row>
    <row r="17306" spans="1:17" ht="15" x14ac:dyDescent="0.25">
      <c r="A17306" s="3">
        <f>17299</f>
        <v>17299</v>
      </c>
      <c r="B17306" s="3" t="s">
        <v>17308</v>
      </c>
      <c r="C17306" s="3" t="s">
        <v>9</v>
      </c>
      <c r="D17306" s="3" t="s">
        <v>10</v>
      </c>
      <c r="E17306" s="3">
        <v>0</v>
      </c>
      <c r="F17306" s="3">
        <v>0</v>
      </c>
      <c r="G17306" s="3">
        <v>1</v>
      </c>
      <c r="H17306" s="3">
        <v>0</v>
      </c>
      <c r="I17306" s="3">
        <v>0</v>
      </c>
      <c r="J17306" s="3">
        <v>0</v>
      </c>
      <c r="K17306" s="3">
        <v>0</v>
      </c>
      <c r="L17306" s="3">
        <v>1</v>
      </c>
      <c r="M17306" s="3">
        <v>0</v>
      </c>
      <c r="N17306" s="3">
        <v>0</v>
      </c>
      <c r="O17306" s="3" t="s">
        <v>10</v>
      </c>
      <c r="P17306" s="3" t="s">
        <v>9</v>
      </c>
      <c r="Q17306" s="3"/>
    </row>
    <row r="17307" spans="1:17" ht="15" x14ac:dyDescent="0.25">
      <c r="A17307" s="3">
        <f>17300</f>
        <v>17300</v>
      </c>
      <c r="B17307" s="3" t="s">
        <v>17309</v>
      </c>
      <c r="C17307" s="3" t="s">
        <v>9</v>
      </c>
      <c r="D17307" s="3" t="s">
        <v>10</v>
      </c>
      <c r="E17307" s="3">
        <v>0</v>
      </c>
      <c r="F17307" s="3">
        <v>0</v>
      </c>
      <c r="G17307" s="3">
        <v>1</v>
      </c>
      <c r="H17307" s="3">
        <v>0</v>
      </c>
      <c r="I17307" s="3">
        <v>0</v>
      </c>
      <c r="J17307" s="3">
        <v>0</v>
      </c>
      <c r="K17307" s="3">
        <v>0</v>
      </c>
      <c r="L17307" s="3">
        <v>1</v>
      </c>
      <c r="M17307" s="3">
        <v>0</v>
      </c>
      <c r="N17307" s="3">
        <v>0</v>
      </c>
      <c r="O17307" s="3" t="s">
        <v>10</v>
      </c>
      <c r="P17307" s="3" t="s">
        <v>9</v>
      </c>
      <c r="Q17307" s="3"/>
    </row>
    <row r="17308" spans="1:17" ht="15" x14ac:dyDescent="0.25">
      <c r="A17308" s="3">
        <f>17301</f>
        <v>17301</v>
      </c>
      <c r="B17308" s="3" t="s">
        <v>17310</v>
      </c>
      <c r="C17308" s="3" t="s">
        <v>9</v>
      </c>
      <c r="D17308" s="3" t="s">
        <v>10</v>
      </c>
      <c r="E17308" s="3">
        <v>0</v>
      </c>
      <c r="F17308" s="3">
        <v>0</v>
      </c>
      <c r="G17308" s="3">
        <v>1</v>
      </c>
      <c r="H17308" s="3">
        <v>0</v>
      </c>
      <c r="I17308" s="3">
        <v>0</v>
      </c>
      <c r="J17308" s="3">
        <v>0</v>
      </c>
      <c r="K17308" s="3">
        <v>0</v>
      </c>
      <c r="L17308" s="3">
        <v>1</v>
      </c>
      <c r="M17308" s="3">
        <v>0</v>
      </c>
      <c r="N17308" s="3">
        <v>0</v>
      </c>
      <c r="O17308" s="3" t="s">
        <v>10</v>
      </c>
      <c r="P17308" s="3" t="s">
        <v>9</v>
      </c>
      <c r="Q17308" s="3"/>
    </row>
    <row r="17309" spans="1:17" ht="15" x14ac:dyDescent="0.25">
      <c r="A17309" s="3">
        <f>17302</f>
        <v>17302</v>
      </c>
      <c r="B17309" s="3" t="s">
        <v>17311</v>
      </c>
      <c r="C17309" s="3" t="s">
        <v>9</v>
      </c>
      <c r="D17309" s="3" t="s">
        <v>10</v>
      </c>
      <c r="E17309" s="3">
        <v>0</v>
      </c>
      <c r="F17309" s="3">
        <v>0</v>
      </c>
      <c r="G17309" s="3">
        <v>1</v>
      </c>
      <c r="H17309" s="3">
        <v>0</v>
      </c>
      <c r="I17309" s="3">
        <v>0</v>
      </c>
      <c r="J17309" s="3">
        <v>0</v>
      </c>
      <c r="K17309" s="3">
        <v>0</v>
      </c>
      <c r="L17309" s="3">
        <v>1</v>
      </c>
      <c r="M17309" s="3">
        <v>0</v>
      </c>
      <c r="N17309" s="3">
        <v>0</v>
      </c>
      <c r="O17309" s="3" t="s">
        <v>10</v>
      </c>
      <c r="P17309" s="3" t="s">
        <v>9</v>
      </c>
      <c r="Q17309" s="3"/>
    </row>
    <row r="17310" spans="1:17" ht="15" x14ac:dyDescent="0.25">
      <c r="A17310" s="3">
        <f>17303</f>
        <v>17303</v>
      </c>
      <c r="B17310" s="3" t="s">
        <v>17312</v>
      </c>
      <c r="C17310" s="3" t="s">
        <v>9</v>
      </c>
      <c r="D17310" s="3" t="s">
        <v>10</v>
      </c>
      <c r="E17310" s="3">
        <v>0</v>
      </c>
      <c r="F17310" s="3">
        <v>0</v>
      </c>
      <c r="G17310" s="3">
        <v>1</v>
      </c>
      <c r="H17310" s="3">
        <v>0</v>
      </c>
      <c r="I17310" s="3">
        <v>0</v>
      </c>
      <c r="J17310" s="3">
        <v>0</v>
      </c>
      <c r="K17310" s="3">
        <v>0</v>
      </c>
      <c r="L17310" s="3">
        <v>1</v>
      </c>
      <c r="M17310" s="3">
        <v>0</v>
      </c>
      <c r="N17310" s="3">
        <v>0</v>
      </c>
      <c r="O17310" s="3" t="s">
        <v>10</v>
      </c>
      <c r="P17310" s="3" t="s">
        <v>9</v>
      </c>
      <c r="Q17310" s="3"/>
    </row>
    <row r="17311" spans="1:17" ht="15" x14ac:dyDescent="0.25">
      <c r="A17311" s="3">
        <f>17304</f>
        <v>17304</v>
      </c>
      <c r="B17311" s="3" t="s">
        <v>17313</v>
      </c>
      <c r="C17311" s="3" t="s">
        <v>9</v>
      </c>
      <c r="D17311" s="3" t="s">
        <v>10</v>
      </c>
      <c r="E17311" s="3">
        <v>0</v>
      </c>
      <c r="F17311" s="3">
        <v>0</v>
      </c>
      <c r="G17311" s="3">
        <v>1</v>
      </c>
      <c r="H17311" s="3">
        <v>0</v>
      </c>
      <c r="I17311" s="3">
        <v>0</v>
      </c>
      <c r="J17311" s="3">
        <v>0</v>
      </c>
      <c r="K17311" s="3">
        <v>0</v>
      </c>
      <c r="L17311" s="3">
        <v>1</v>
      </c>
      <c r="M17311" s="3">
        <v>0</v>
      </c>
      <c r="N17311" s="3">
        <v>0</v>
      </c>
      <c r="O17311" s="3" t="s">
        <v>10</v>
      </c>
      <c r="P17311" s="3" t="s">
        <v>9</v>
      </c>
      <c r="Q17311" s="3"/>
    </row>
    <row r="17312" spans="1:17" ht="15" x14ac:dyDescent="0.25">
      <c r="A17312" s="3">
        <f>17305</f>
        <v>17305</v>
      </c>
      <c r="B17312" s="3" t="s">
        <v>17314</v>
      </c>
      <c r="C17312" s="3" t="s">
        <v>10</v>
      </c>
      <c r="D17312" s="3" t="s">
        <v>9</v>
      </c>
      <c r="E17312" s="3">
        <v>0</v>
      </c>
      <c r="F17312" s="3">
        <v>0</v>
      </c>
      <c r="G17312" s="3">
        <v>1</v>
      </c>
      <c r="H17312" s="3">
        <v>0</v>
      </c>
      <c r="I17312" s="3">
        <v>0</v>
      </c>
      <c r="J17312" s="3">
        <v>0</v>
      </c>
      <c r="K17312" s="3">
        <v>0</v>
      </c>
      <c r="L17312" s="3">
        <v>1</v>
      </c>
      <c r="M17312" s="3">
        <v>0</v>
      </c>
      <c r="N17312" s="3">
        <v>0</v>
      </c>
      <c r="O17312" s="3" t="s">
        <v>10</v>
      </c>
      <c r="P17312" s="3" t="s">
        <v>9</v>
      </c>
      <c r="Q17312" s="3"/>
    </row>
    <row r="17313" spans="1:17" ht="15" x14ac:dyDescent="0.25">
      <c r="A17313" s="3">
        <f>17306</f>
        <v>17306</v>
      </c>
      <c r="B17313" s="3" t="s">
        <v>17315</v>
      </c>
      <c r="C17313" s="3" t="s">
        <v>10</v>
      </c>
      <c r="D17313" s="3" t="s">
        <v>9</v>
      </c>
      <c r="E17313" s="3">
        <v>0</v>
      </c>
      <c r="F17313" s="3">
        <v>0</v>
      </c>
      <c r="G17313" s="3">
        <v>1</v>
      </c>
      <c r="H17313" s="3">
        <v>0</v>
      </c>
      <c r="I17313" s="3">
        <v>0</v>
      </c>
      <c r="J17313" s="3">
        <v>0</v>
      </c>
      <c r="K17313" s="3">
        <v>0</v>
      </c>
      <c r="L17313" s="3">
        <v>1</v>
      </c>
      <c r="M17313" s="3">
        <v>0</v>
      </c>
      <c r="N17313" s="3">
        <v>0</v>
      </c>
      <c r="O17313" s="3" t="s">
        <v>10</v>
      </c>
      <c r="P17313" s="3" t="s">
        <v>9</v>
      </c>
      <c r="Q17313" s="3"/>
    </row>
    <row r="17314" spans="1:17" ht="15" x14ac:dyDescent="0.25">
      <c r="A17314" s="3">
        <f>17307</f>
        <v>17307</v>
      </c>
      <c r="B17314" s="3" t="s">
        <v>17316</v>
      </c>
      <c r="C17314" s="3" t="s">
        <v>10</v>
      </c>
      <c r="D17314" s="3" t="s">
        <v>9</v>
      </c>
      <c r="E17314" s="3">
        <v>0</v>
      </c>
      <c r="F17314" s="3">
        <v>0</v>
      </c>
      <c r="G17314" s="3">
        <v>1</v>
      </c>
      <c r="H17314" s="3">
        <v>0</v>
      </c>
      <c r="I17314" s="3">
        <v>0</v>
      </c>
      <c r="J17314" s="3">
        <v>0</v>
      </c>
      <c r="K17314" s="3">
        <v>0</v>
      </c>
      <c r="L17314" s="3">
        <v>1</v>
      </c>
      <c r="M17314" s="3">
        <v>0</v>
      </c>
      <c r="N17314" s="3">
        <v>0</v>
      </c>
      <c r="O17314" s="3" t="s">
        <v>10</v>
      </c>
      <c r="P17314" s="3" t="s">
        <v>9</v>
      </c>
      <c r="Q17314" s="3"/>
    </row>
    <row r="17315" spans="1:17" ht="15" x14ac:dyDescent="0.25">
      <c r="A17315" s="3">
        <f>17308</f>
        <v>17308</v>
      </c>
      <c r="B17315" s="3" t="s">
        <v>17317</v>
      </c>
      <c r="C17315" s="3" t="s">
        <v>10</v>
      </c>
      <c r="D17315" s="3" t="s">
        <v>9</v>
      </c>
      <c r="E17315" s="3">
        <v>0</v>
      </c>
      <c r="F17315" s="3">
        <v>0</v>
      </c>
      <c r="G17315" s="3">
        <v>1</v>
      </c>
      <c r="H17315" s="3">
        <v>0</v>
      </c>
      <c r="I17315" s="3">
        <v>0</v>
      </c>
      <c r="J17315" s="3">
        <v>0</v>
      </c>
      <c r="K17315" s="3">
        <v>0</v>
      </c>
      <c r="L17315" s="3">
        <v>1</v>
      </c>
      <c r="M17315" s="3">
        <v>0</v>
      </c>
      <c r="N17315" s="3">
        <v>0</v>
      </c>
      <c r="O17315" s="3" t="s">
        <v>10</v>
      </c>
      <c r="P17315" s="3" t="s">
        <v>9</v>
      </c>
      <c r="Q17315" s="3"/>
    </row>
    <row r="17316" spans="1:17" ht="15" x14ac:dyDescent="0.25">
      <c r="A17316" s="3">
        <f>17309</f>
        <v>17309</v>
      </c>
      <c r="B17316" s="3" t="s">
        <v>17318</v>
      </c>
      <c r="C17316" s="3" t="s">
        <v>10</v>
      </c>
      <c r="D17316" s="3" t="s">
        <v>9</v>
      </c>
      <c r="E17316" s="3">
        <v>0</v>
      </c>
      <c r="F17316" s="3">
        <v>0</v>
      </c>
      <c r="G17316" s="3">
        <v>1</v>
      </c>
      <c r="H17316" s="3">
        <v>0</v>
      </c>
      <c r="I17316" s="3">
        <v>0</v>
      </c>
      <c r="J17316" s="3">
        <v>0</v>
      </c>
      <c r="K17316" s="3">
        <v>0</v>
      </c>
      <c r="L17316" s="3">
        <v>1</v>
      </c>
      <c r="M17316" s="3">
        <v>0</v>
      </c>
      <c r="N17316" s="3">
        <v>0</v>
      </c>
      <c r="O17316" s="3" t="s">
        <v>10</v>
      </c>
      <c r="P17316" s="3" t="s">
        <v>9</v>
      </c>
      <c r="Q17316" s="3"/>
    </row>
    <row r="17317" spans="1:17" ht="15" x14ac:dyDescent="0.25">
      <c r="A17317" s="3">
        <f>17310</f>
        <v>17310</v>
      </c>
      <c r="B17317" s="3" t="s">
        <v>17319</v>
      </c>
      <c r="C17317" s="3" t="s">
        <v>10</v>
      </c>
      <c r="D17317" s="3" t="s">
        <v>9</v>
      </c>
      <c r="E17317" s="3">
        <v>0</v>
      </c>
      <c r="F17317" s="3">
        <v>0</v>
      </c>
      <c r="G17317" s="3">
        <v>1</v>
      </c>
      <c r="H17317" s="3">
        <v>0</v>
      </c>
      <c r="I17317" s="3">
        <v>0</v>
      </c>
      <c r="J17317" s="3">
        <v>0</v>
      </c>
      <c r="K17317" s="3">
        <v>0</v>
      </c>
      <c r="L17317" s="3">
        <v>1</v>
      </c>
      <c r="M17317" s="3">
        <v>0</v>
      </c>
      <c r="N17317" s="3">
        <v>0</v>
      </c>
      <c r="O17317" s="3" t="s">
        <v>10</v>
      </c>
      <c r="P17317" s="3" t="s">
        <v>9</v>
      </c>
      <c r="Q17317" s="3"/>
    </row>
    <row r="17318" spans="1:17" ht="15" x14ac:dyDescent="0.25">
      <c r="A17318" s="3">
        <f>17311</f>
        <v>17311</v>
      </c>
      <c r="B17318" s="3" t="s">
        <v>17320</v>
      </c>
      <c r="C17318" s="3" t="s">
        <v>10</v>
      </c>
      <c r="D17318" s="3" t="s">
        <v>9</v>
      </c>
      <c r="E17318" s="3">
        <v>0</v>
      </c>
      <c r="F17318" s="3">
        <v>0</v>
      </c>
      <c r="G17318" s="3">
        <v>1</v>
      </c>
      <c r="H17318" s="3">
        <v>0</v>
      </c>
      <c r="I17318" s="3">
        <v>0</v>
      </c>
      <c r="J17318" s="3">
        <v>0</v>
      </c>
      <c r="K17318" s="3">
        <v>0</v>
      </c>
      <c r="L17318" s="3">
        <v>1</v>
      </c>
      <c r="M17318" s="3">
        <v>0</v>
      </c>
      <c r="N17318" s="3">
        <v>0</v>
      </c>
      <c r="O17318" s="3" t="s">
        <v>10</v>
      </c>
      <c r="P17318" s="3" t="s">
        <v>9</v>
      </c>
      <c r="Q17318" s="3"/>
    </row>
    <row r="17319" spans="1:17" ht="15" x14ac:dyDescent="0.25">
      <c r="A17319" s="3">
        <f>17312</f>
        <v>17312</v>
      </c>
      <c r="B17319" s="3" t="s">
        <v>17321</v>
      </c>
      <c r="C17319" s="3" t="s">
        <v>10</v>
      </c>
      <c r="D17319" s="3" t="s">
        <v>9</v>
      </c>
      <c r="E17319" s="3">
        <v>0</v>
      </c>
      <c r="F17319" s="3">
        <v>0</v>
      </c>
      <c r="G17319" s="3">
        <v>1</v>
      </c>
      <c r="H17319" s="3">
        <v>0</v>
      </c>
      <c r="I17319" s="3">
        <v>0</v>
      </c>
      <c r="J17319" s="3">
        <v>0</v>
      </c>
      <c r="K17319" s="3">
        <v>0</v>
      </c>
      <c r="L17319" s="3">
        <v>1</v>
      </c>
      <c r="M17319" s="3">
        <v>0</v>
      </c>
      <c r="N17319" s="3">
        <v>0</v>
      </c>
      <c r="O17319" s="3" t="s">
        <v>10</v>
      </c>
      <c r="P17319" s="3" t="s">
        <v>9</v>
      </c>
      <c r="Q17319" s="3"/>
    </row>
    <row r="17320" spans="1:17" ht="15" x14ac:dyDescent="0.25">
      <c r="A17320" s="3">
        <f>17313</f>
        <v>17313</v>
      </c>
      <c r="B17320" s="3" t="s">
        <v>17322</v>
      </c>
      <c r="C17320" s="3" t="s">
        <v>10</v>
      </c>
      <c r="D17320" s="3" t="s">
        <v>9</v>
      </c>
      <c r="E17320" s="3">
        <v>0</v>
      </c>
      <c r="F17320" s="3">
        <v>0</v>
      </c>
      <c r="G17320" s="3">
        <v>1</v>
      </c>
      <c r="H17320" s="3">
        <v>0</v>
      </c>
      <c r="I17320" s="3">
        <v>0</v>
      </c>
      <c r="J17320" s="3">
        <v>0</v>
      </c>
      <c r="K17320" s="3">
        <v>0</v>
      </c>
      <c r="L17320" s="3">
        <v>1</v>
      </c>
      <c r="M17320" s="3">
        <v>0</v>
      </c>
      <c r="N17320" s="3">
        <v>0</v>
      </c>
      <c r="O17320" s="3" t="s">
        <v>10</v>
      </c>
      <c r="P17320" s="3" t="s">
        <v>9</v>
      </c>
      <c r="Q17320" s="3"/>
    </row>
    <row r="17321" spans="1:17" ht="15" x14ac:dyDescent="0.25">
      <c r="A17321" s="3">
        <f>17314</f>
        <v>17314</v>
      </c>
      <c r="B17321" s="3" t="s">
        <v>17323</v>
      </c>
      <c r="C17321" s="3" t="s">
        <v>9</v>
      </c>
      <c r="D17321" s="3" t="s">
        <v>10</v>
      </c>
      <c r="E17321" s="3">
        <v>0</v>
      </c>
      <c r="F17321" s="3">
        <v>0</v>
      </c>
      <c r="G17321" s="3">
        <v>1</v>
      </c>
      <c r="H17321" s="3">
        <v>0</v>
      </c>
      <c r="I17321" s="3">
        <v>0</v>
      </c>
      <c r="J17321" s="3">
        <v>0</v>
      </c>
      <c r="K17321" s="3">
        <v>0</v>
      </c>
      <c r="L17321" s="3">
        <v>1</v>
      </c>
      <c r="M17321" s="3">
        <v>0</v>
      </c>
      <c r="N17321" s="3">
        <v>0</v>
      </c>
      <c r="O17321" s="3" t="s">
        <v>10</v>
      </c>
      <c r="P17321" s="3" t="s">
        <v>9</v>
      </c>
      <c r="Q17321" s="3"/>
    </row>
    <row r="17322" spans="1:17" ht="15" x14ac:dyDescent="0.25">
      <c r="A17322" s="3">
        <f>17315</f>
        <v>17315</v>
      </c>
      <c r="B17322" s="3" t="s">
        <v>17324</v>
      </c>
      <c r="C17322" s="3" t="s">
        <v>9</v>
      </c>
      <c r="D17322" s="3" t="s">
        <v>10</v>
      </c>
      <c r="E17322" s="3">
        <v>0</v>
      </c>
      <c r="F17322" s="3">
        <v>0</v>
      </c>
      <c r="G17322" s="3">
        <v>1</v>
      </c>
      <c r="H17322" s="3">
        <v>0</v>
      </c>
      <c r="I17322" s="3">
        <v>0</v>
      </c>
      <c r="J17322" s="3">
        <v>0</v>
      </c>
      <c r="K17322" s="3">
        <v>0</v>
      </c>
      <c r="L17322" s="3">
        <v>1</v>
      </c>
      <c r="M17322" s="3">
        <v>0</v>
      </c>
      <c r="N17322" s="3">
        <v>0</v>
      </c>
      <c r="O17322" s="3" t="s">
        <v>10</v>
      </c>
      <c r="P17322" s="3" t="s">
        <v>9</v>
      </c>
      <c r="Q17322" s="3"/>
    </row>
    <row r="17323" spans="1:17" ht="15" x14ac:dyDescent="0.25">
      <c r="A17323" s="3">
        <f>17316</f>
        <v>17316</v>
      </c>
      <c r="B17323" s="3" t="s">
        <v>17325</v>
      </c>
      <c r="C17323" s="3" t="s">
        <v>9</v>
      </c>
      <c r="D17323" s="3" t="s">
        <v>10</v>
      </c>
      <c r="E17323" s="3">
        <v>0</v>
      </c>
      <c r="F17323" s="3">
        <v>0</v>
      </c>
      <c r="G17323" s="3">
        <v>1</v>
      </c>
      <c r="H17323" s="3">
        <v>0</v>
      </c>
      <c r="I17323" s="3">
        <v>0</v>
      </c>
      <c r="J17323" s="3">
        <v>0</v>
      </c>
      <c r="K17323" s="3">
        <v>0</v>
      </c>
      <c r="L17323" s="3">
        <v>1</v>
      </c>
      <c r="M17323" s="3">
        <v>0</v>
      </c>
      <c r="N17323" s="3">
        <v>0</v>
      </c>
      <c r="O17323" s="3" t="s">
        <v>10</v>
      </c>
      <c r="P17323" s="3" t="s">
        <v>9</v>
      </c>
      <c r="Q17323" s="3"/>
    </row>
    <row r="17324" spans="1:17" ht="15" x14ac:dyDescent="0.25">
      <c r="A17324" s="3">
        <f>17317</f>
        <v>17317</v>
      </c>
      <c r="B17324" s="3" t="s">
        <v>17326</v>
      </c>
      <c r="C17324" s="3" t="s">
        <v>9</v>
      </c>
      <c r="D17324" s="3" t="s">
        <v>10</v>
      </c>
      <c r="E17324" s="3">
        <v>0</v>
      </c>
      <c r="F17324" s="3">
        <v>0</v>
      </c>
      <c r="G17324" s="3">
        <v>1</v>
      </c>
      <c r="H17324" s="3">
        <v>0</v>
      </c>
      <c r="I17324" s="3">
        <v>0</v>
      </c>
      <c r="J17324" s="3">
        <v>0</v>
      </c>
      <c r="K17324" s="3">
        <v>0</v>
      </c>
      <c r="L17324" s="3">
        <v>1</v>
      </c>
      <c r="M17324" s="3">
        <v>0</v>
      </c>
      <c r="N17324" s="3">
        <v>0</v>
      </c>
      <c r="O17324" s="3" t="s">
        <v>10</v>
      </c>
      <c r="P17324" s="3" t="s">
        <v>9</v>
      </c>
      <c r="Q17324" s="3"/>
    </row>
    <row r="17325" spans="1:17" ht="15" x14ac:dyDescent="0.25">
      <c r="A17325" s="3">
        <f>17318</f>
        <v>17318</v>
      </c>
      <c r="B17325" s="3" t="s">
        <v>17327</v>
      </c>
      <c r="C17325" s="3" t="s">
        <v>9</v>
      </c>
      <c r="D17325" s="3" t="s">
        <v>10</v>
      </c>
      <c r="E17325" s="3">
        <v>0</v>
      </c>
      <c r="F17325" s="3">
        <v>0</v>
      </c>
      <c r="G17325" s="3">
        <v>1</v>
      </c>
      <c r="H17325" s="3">
        <v>0</v>
      </c>
      <c r="I17325" s="3">
        <v>0</v>
      </c>
      <c r="J17325" s="3">
        <v>0</v>
      </c>
      <c r="K17325" s="3">
        <v>0</v>
      </c>
      <c r="L17325" s="3">
        <v>1</v>
      </c>
      <c r="M17325" s="3">
        <v>0</v>
      </c>
      <c r="N17325" s="3">
        <v>0</v>
      </c>
      <c r="O17325" s="3" t="s">
        <v>10</v>
      </c>
      <c r="P17325" s="3" t="s">
        <v>9</v>
      </c>
      <c r="Q17325" s="3"/>
    </row>
    <row r="17326" spans="1:17" ht="15" x14ac:dyDescent="0.25">
      <c r="A17326" s="3">
        <f>17319</f>
        <v>17319</v>
      </c>
      <c r="B17326" s="3" t="s">
        <v>17328</v>
      </c>
      <c r="C17326" s="3" t="s">
        <v>9</v>
      </c>
      <c r="D17326" s="3" t="s">
        <v>10</v>
      </c>
      <c r="E17326" s="3">
        <v>0</v>
      </c>
      <c r="F17326" s="3">
        <v>0</v>
      </c>
      <c r="G17326" s="3">
        <v>1</v>
      </c>
      <c r="H17326" s="3">
        <v>0</v>
      </c>
      <c r="I17326" s="3">
        <v>0</v>
      </c>
      <c r="J17326" s="3">
        <v>0</v>
      </c>
      <c r="K17326" s="3">
        <v>0</v>
      </c>
      <c r="L17326" s="3">
        <v>1</v>
      </c>
      <c r="M17326" s="3">
        <v>0</v>
      </c>
      <c r="N17326" s="3">
        <v>0</v>
      </c>
      <c r="O17326" s="3" t="s">
        <v>10</v>
      </c>
      <c r="P17326" s="3" t="s">
        <v>9</v>
      </c>
      <c r="Q17326" s="3"/>
    </row>
    <row r="17327" spans="1:17" ht="15" x14ac:dyDescent="0.25">
      <c r="A17327" s="3">
        <f>17320</f>
        <v>17320</v>
      </c>
      <c r="B17327" s="3" t="s">
        <v>17329</v>
      </c>
      <c r="C17327" s="3" t="s">
        <v>9</v>
      </c>
      <c r="D17327" s="3" t="s">
        <v>10</v>
      </c>
      <c r="E17327" s="3">
        <v>0</v>
      </c>
      <c r="F17327" s="3">
        <v>0</v>
      </c>
      <c r="G17327" s="3">
        <v>1</v>
      </c>
      <c r="H17327" s="3">
        <v>0</v>
      </c>
      <c r="I17327" s="3">
        <v>0</v>
      </c>
      <c r="J17327" s="3">
        <v>0</v>
      </c>
      <c r="K17327" s="3">
        <v>0</v>
      </c>
      <c r="L17327" s="3">
        <v>1</v>
      </c>
      <c r="M17327" s="3">
        <v>0</v>
      </c>
      <c r="N17327" s="3">
        <v>0</v>
      </c>
      <c r="O17327" s="3" t="s">
        <v>10</v>
      </c>
      <c r="P17327" s="3" t="s">
        <v>9</v>
      </c>
      <c r="Q17327" s="3"/>
    </row>
    <row r="17328" spans="1:17" ht="15" x14ac:dyDescent="0.25">
      <c r="A17328" s="3">
        <f>17321</f>
        <v>17321</v>
      </c>
      <c r="B17328" s="3" t="s">
        <v>17330</v>
      </c>
      <c r="C17328" s="3" t="s">
        <v>9</v>
      </c>
      <c r="D17328" s="3" t="s">
        <v>10</v>
      </c>
      <c r="E17328" s="3">
        <v>0</v>
      </c>
      <c r="F17328" s="3">
        <v>0</v>
      </c>
      <c r="G17328" s="3">
        <v>1</v>
      </c>
      <c r="H17328" s="3">
        <v>0</v>
      </c>
      <c r="I17328" s="3">
        <v>0</v>
      </c>
      <c r="J17328" s="3">
        <v>0</v>
      </c>
      <c r="K17328" s="3">
        <v>0</v>
      </c>
      <c r="L17328" s="3">
        <v>1</v>
      </c>
      <c r="M17328" s="3">
        <v>0</v>
      </c>
      <c r="N17328" s="3">
        <v>0</v>
      </c>
      <c r="O17328" s="3" t="s">
        <v>10</v>
      </c>
      <c r="P17328" s="3" t="s">
        <v>9</v>
      </c>
      <c r="Q17328" s="3"/>
    </row>
    <row r="17329" spans="1:17" ht="15" x14ac:dyDescent="0.25">
      <c r="A17329" s="3">
        <f>17322</f>
        <v>17322</v>
      </c>
      <c r="B17329" s="3" t="s">
        <v>17331</v>
      </c>
      <c r="C17329" s="3" t="s">
        <v>9</v>
      </c>
      <c r="D17329" s="3" t="s">
        <v>10</v>
      </c>
      <c r="E17329" s="3">
        <v>0</v>
      </c>
      <c r="F17329" s="3">
        <v>0</v>
      </c>
      <c r="G17329" s="3">
        <v>1</v>
      </c>
      <c r="H17329" s="3">
        <v>0</v>
      </c>
      <c r="I17329" s="3">
        <v>0</v>
      </c>
      <c r="J17329" s="3">
        <v>0</v>
      </c>
      <c r="K17329" s="3">
        <v>0</v>
      </c>
      <c r="L17329" s="3">
        <v>1</v>
      </c>
      <c r="M17329" s="3">
        <v>0</v>
      </c>
      <c r="N17329" s="3">
        <v>0</v>
      </c>
      <c r="O17329" s="3" t="s">
        <v>10</v>
      </c>
      <c r="P17329" s="3" t="s">
        <v>9</v>
      </c>
      <c r="Q17329" s="3"/>
    </row>
    <row r="17330" spans="1:17" ht="15" x14ac:dyDescent="0.25">
      <c r="A17330" s="3">
        <f>17323</f>
        <v>17323</v>
      </c>
      <c r="B17330" s="3" t="s">
        <v>17332</v>
      </c>
      <c r="C17330" s="3" t="s">
        <v>9</v>
      </c>
      <c r="D17330" s="3" t="s">
        <v>10</v>
      </c>
      <c r="E17330" s="3">
        <v>0</v>
      </c>
      <c r="F17330" s="3">
        <v>0</v>
      </c>
      <c r="G17330" s="3">
        <v>1</v>
      </c>
      <c r="H17330" s="3">
        <v>0</v>
      </c>
      <c r="I17330" s="3">
        <v>0</v>
      </c>
      <c r="J17330" s="3">
        <v>0</v>
      </c>
      <c r="K17330" s="3">
        <v>0</v>
      </c>
      <c r="L17330" s="3">
        <v>1</v>
      </c>
      <c r="M17330" s="3">
        <v>0</v>
      </c>
      <c r="N17330" s="3">
        <v>0</v>
      </c>
      <c r="O17330" s="3" t="s">
        <v>10</v>
      </c>
      <c r="P17330" s="3" t="s">
        <v>9</v>
      </c>
      <c r="Q17330" s="3"/>
    </row>
    <row r="17331" spans="1:17" ht="15" x14ac:dyDescent="0.25">
      <c r="A17331" s="3">
        <f>17324</f>
        <v>17324</v>
      </c>
      <c r="B17331" s="3" t="s">
        <v>17333</v>
      </c>
      <c r="C17331" s="3" t="s">
        <v>9</v>
      </c>
      <c r="D17331" s="3" t="s">
        <v>10</v>
      </c>
      <c r="E17331" s="3">
        <v>0</v>
      </c>
      <c r="F17331" s="3">
        <v>0</v>
      </c>
      <c r="G17331" s="3">
        <v>1</v>
      </c>
      <c r="H17331" s="3">
        <v>0</v>
      </c>
      <c r="I17331" s="3">
        <v>0</v>
      </c>
      <c r="J17331" s="3">
        <v>0</v>
      </c>
      <c r="K17331" s="3">
        <v>0</v>
      </c>
      <c r="L17331" s="3">
        <v>1</v>
      </c>
      <c r="M17331" s="3">
        <v>0</v>
      </c>
      <c r="N17331" s="3">
        <v>0</v>
      </c>
      <c r="O17331" s="3" t="s">
        <v>10</v>
      </c>
      <c r="P17331" s="3" t="s">
        <v>9</v>
      </c>
      <c r="Q17331" s="3"/>
    </row>
    <row r="17332" spans="1:17" ht="15" x14ac:dyDescent="0.25">
      <c r="A17332" s="3">
        <f>17325</f>
        <v>17325</v>
      </c>
      <c r="B17332" s="3" t="s">
        <v>17334</v>
      </c>
      <c r="C17332" s="3" t="s">
        <v>9</v>
      </c>
      <c r="D17332" s="3" t="s">
        <v>10</v>
      </c>
      <c r="E17332" s="3">
        <v>0</v>
      </c>
      <c r="F17332" s="3">
        <v>0</v>
      </c>
      <c r="G17332" s="3">
        <v>1</v>
      </c>
      <c r="H17332" s="3">
        <v>0</v>
      </c>
      <c r="I17332" s="3">
        <v>0</v>
      </c>
      <c r="J17332" s="3">
        <v>0</v>
      </c>
      <c r="K17332" s="3">
        <v>0</v>
      </c>
      <c r="L17332" s="3">
        <v>1</v>
      </c>
      <c r="M17332" s="3">
        <v>0</v>
      </c>
      <c r="N17332" s="3">
        <v>0</v>
      </c>
      <c r="O17332" s="3" t="s">
        <v>10</v>
      </c>
      <c r="P17332" s="3" t="s">
        <v>9</v>
      </c>
      <c r="Q17332" s="3"/>
    </row>
    <row r="17333" spans="1:17" ht="15" x14ac:dyDescent="0.25">
      <c r="A17333" s="3">
        <f>17326</f>
        <v>17326</v>
      </c>
      <c r="B17333" s="3" t="s">
        <v>17335</v>
      </c>
      <c r="C17333" s="3" t="s">
        <v>9</v>
      </c>
      <c r="D17333" s="3" t="s">
        <v>10</v>
      </c>
      <c r="E17333" s="3">
        <v>0</v>
      </c>
      <c r="F17333" s="3">
        <v>0</v>
      </c>
      <c r="G17333" s="3">
        <v>1</v>
      </c>
      <c r="H17333" s="3">
        <v>0</v>
      </c>
      <c r="I17333" s="3">
        <v>0</v>
      </c>
      <c r="J17333" s="3">
        <v>0</v>
      </c>
      <c r="K17333" s="3">
        <v>0</v>
      </c>
      <c r="L17333" s="3">
        <v>1</v>
      </c>
      <c r="M17333" s="3">
        <v>0</v>
      </c>
      <c r="N17333" s="3">
        <v>0</v>
      </c>
      <c r="O17333" s="3" t="s">
        <v>10</v>
      </c>
      <c r="P17333" s="3" t="s">
        <v>9</v>
      </c>
      <c r="Q17333" s="3"/>
    </row>
    <row r="17334" spans="1:17" ht="15" x14ac:dyDescent="0.25">
      <c r="A17334" s="3">
        <f>17327</f>
        <v>17327</v>
      </c>
      <c r="B17334" s="3" t="s">
        <v>17336</v>
      </c>
      <c r="C17334" s="3" t="s">
        <v>9</v>
      </c>
      <c r="D17334" s="3" t="s">
        <v>10</v>
      </c>
      <c r="E17334" s="3">
        <v>0</v>
      </c>
      <c r="F17334" s="3">
        <v>0</v>
      </c>
      <c r="G17334" s="3">
        <v>1</v>
      </c>
      <c r="H17334" s="3">
        <v>0</v>
      </c>
      <c r="I17334" s="3">
        <v>0</v>
      </c>
      <c r="J17334" s="3">
        <v>0</v>
      </c>
      <c r="K17334" s="3">
        <v>0</v>
      </c>
      <c r="L17334" s="3">
        <v>1</v>
      </c>
      <c r="M17334" s="3">
        <v>0</v>
      </c>
      <c r="N17334" s="3">
        <v>0</v>
      </c>
      <c r="O17334" s="3" t="s">
        <v>10</v>
      </c>
      <c r="P17334" s="3" t="s">
        <v>9</v>
      </c>
      <c r="Q17334" s="3"/>
    </row>
    <row r="17335" spans="1:17" ht="15" x14ac:dyDescent="0.25">
      <c r="A17335" s="3">
        <f>17328</f>
        <v>17328</v>
      </c>
      <c r="B17335" s="3" t="s">
        <v>17337</v>
      </c>
      <c r="C17335" s="3" t="s">
        <v>9</v>
      </c>
      <c r="D17335" s="3" t="s">
        <v>10</v>
      </c>
      <c r="E17335" s="3">
        <v>0</v>
      </c>
      <c r="F17335" s="3">
        <v>0</v>
      </c>
      <c r="G17335" s="3">
        <v>1</v>
      </c>
      <c r="H17335" s="3">
        <v>0</v>
      </c>
      <c r="I17335" s="3">
        <v>0</v>
      </c>
      <c r="J17335" s="3">
        <v>0</v>
      </c>
      <c r="K17335" s="3">
        <v>0</v>
      </c>
      <c r="L17335" s="3">
        <v>1</v>
      </c>
      <c r="M17335" s="3">
        <v>0</v>
      </c>
      <c r="N17335" s="3">
        <v>0</v>
      </c>
      <c r="O17335" s="3" t="s">
        <v>10</v>
      </c>
      <c r="P17335" s="3" t="s">
        <v>9</v>
      </c>
      <c r="Q17335" s="3"/>
    </row>
    <row r="17336" spans="1:17" ht="15" x14ac:dyDescent="0.25">
      <c r="A17336" s="3">
        <f>17329</f>
        <v>17329</v>
      </c>
      <c r="B17336" s="3" t="s">
        <v>17338</v>
      </c>
      <c r="C17336" s="3" t="s">
        <v>9</v>
      </c>
      <c r="D17336" s="3" t="s">
        <v>10</v>
      </c>
      <c r="E17336" s="3">
        <v>0</v>
      </c>
      <c r="F17336" s="3">
        <v>0</v>
      </c>
      <c r="G17336" s="3">
        <v>1</v>
      </c>
      <c r="H17336" s="3">
        <v>0</v>
      </c>
      <c r="I17336" s="3">
        <v>0</v>
      </c>
      <c r="J17336" s="3">
        <v>0</v>
      </c>
      <c r="K17336" s="3">
        <v>0</v>
      </c>
      <c r="L17336" s="3">
        <v>1</v>
      </c>
      <c r="M17336" s="3">
        <v>0</v>
      </c>
      <c r="N17336" s="3">
        <v>0</v>
      </c>
      <c r="O17336" s="3" t="s">
        <v>10</v>
      </c>
      <c r="P17336" s="3" t="s">
        <v>9</v>
      </c>
      <c r="Q17336" s="3"/>
    </row>
    <row r="17337" spans="1:17" ht="15" x14ac:dyDescent="0.25">
      <c r="A17337" s="3">
        <f>17330</f>
        <v>17330</v>
      </c>
      <c r="B17337" s="3" t="s">
        <v>17339</v>
      </c>
      <c r="C17337" s="3" t="s">
        <v>9</v>
      </c>
      <c r="D17337" s="3" t="s">
        <v>10</v>
      </c>
      <c r="E17337" s="3">
        <v>0</v>
      </c>
      <c r="F17337" s="3">
        <v>0</v>
      </c>
      <c r="G17337" s="3">
        <v>1</v>
      </c>
      <c r="H17337" s="3">
        <v>0</v>
      </c>
      <c r="I17337" s="3">
        <v>0</v>
      </c>
      <c r="J17337" s="3">
        <v>0</v>
      </c>
      <c r="K17337" s="3">
        <v>0</v>
      </c>
      <c r="L17337" s="3">
        <v>1</v>
      </c>
      <c r="M17337" s="3">
        <v>0</v>
      </c>
      <c r="N17337" s="3">
        <v>0</v>
      </c>
      <c r="O17337" s="3" t="s">
        <v>10</v>
      </c>
      <c r="P17337" s="3" t="s">
        <v>9</v>
      </c>
      <c r="Q17337" s="3"/>
    </row>
    <row r="17338" spans="1:17" ht="15" x14ac:dyDescent="0.25">
      <c r="A17338" s="3">
        <f>17331</f>
        <v>17331</v>
      </c>
      <c r="B17338" s="3" t="s">
        <v>17340</v>
      </c>
      <c r="C17338" s="3" t="s">
        <v>9</v>
      </c>
      <c r="D17338" s="3" t="s">
        <v>10</v>
      </c>
      <c r="E17338" s="3">
        <v>0</v>
      </c>
      <c r="F17338" s="3">
        <v>0</v>
      </c>
      <c r="G17338" s="3">
        <v>1</v>
      </c>
      <c r="H17338" s="3">
        <v>0</v>
      </c>
      <c r="I17338" s="3">
        <v>0</v>
      </c>
      <c r="J17338" s="3">
        <v>0</v>
      </c>
      <c r="K17338" s="3">
        <v>0</v>
      </c>
      <c r="L17338" s="3">
        <v>1</v>
      </c>
      <c r="M17338" s="3">
        <v>0</v>
      </c>
      <c r="N17338" s="3">
        <v>0</v>
      </c>
      <c r="O17338" s="3" t="s">
        <v>10</v>
      </c>
      <c r="P17338" s="3" t="s">
        <v>9</v>
      </c>
      <c r="Q17338" s="3"/>
    </row>
    <row r="17339" spans="1:17" ht="15" x14ac:dyDescent="0.25">
      <c r="A17339" s="3">
        <f>17332</f>
        <v>17332</v>
      </c>
      <c r="B17339" s="3" t="s">
        <v>17341</v>
      </c>
      <c r="C17339" s="3" t="s">
        <v>9</v>
      </c>
      <c r="D17339" s="3" t="s">
        <v>10</v>
      </c>
      <c r="E17339" s="3">
        <v>0</v>
      </c>
      <c r="F17339" s="3">
        <v>0</v>
      </c>
      <c r="G17339" s="3">
        <v>1</v>
      </c>
      <c r="H17339" s="3">
        <v>0</v>
      </c>
      <c r="I17339" s="3">
        <v>0</v>
      </c>
      <c r="J17339" s="3">
        <v>0</v>
      </c>
      <c r="K17339" s="3">
        <v>0</v>
      </c>
      <c r="L17339" s="3">
        <v>1</v>
      </c>
      <c r="M17339" s="3">
        <v>0</v>
      </c>
      <c r="N17339" s="3">
        <v>0</v>
      </c>
      <c r="O17339" s="3" t="s">
        <v>10</v>
      </c>
      <c r="P17339" s="3" t="s">
        <v>9</v>
      </c>
      <c r="Q17339" s="3"/>
    </row>
    <row r="17340" spans="1:17" ht="15" x14ac:dyDescent="0.25">
      <c r="A17340" s="3">
        <f>17333</f>
        <v>17333</v>
      </c>
      <c r="B17340" s="3" t="s">
        <v>17342</v>
      </c>
      <c r="C17340" s="3" t="s">
        <v>9</v>
      </c>
      <c r="D17340" s="3" t="s">
        <v>10</v>
      </c>
      <c r="E17340" s="3">
        <v>0</v>
      </c>
      <c r="F17340" s="3">
        <v>0</v>
      </c>
      <c r="G17340" s="3">
        <v>1</v>
      </c>
      <c r="H17340" s="3">
        <v>0</v>
      </c>
      <c r="I17340" s="3">
        <v>0</v>
      </c>
      <c r="J17340" s="3">
        <v>0</v>
      </c>
      <c r="K17340" s="3">
        <v>0</v>
      </c>
      <c r="L17340" s="3">
        <v>1</v>
      </c>
      <c r="M17340" s="3">
        <v>0</v>
      </c>
      <c r="N17340" s="3">
        <v>0</v>
      </c>
      <c r="O17340" s="3" t="s">
        <v>10</v>
      </c>
      <c r="P17340" s="3" t="s">
        <v>9</v>
      </c>
      <c r="Q17340" s="3"/>
    </row>
    <row r="17341" spans="1:17" ht="15" x14ac:dyDescent="0.25">
      <c r="A17341" s="3">
        <f>17334</f>
        <v>17334</v>
      </c>
      <c r="B17341" s="3" t="s">
        <v>17343</v>
      </c>
      <c r="C17341" s="3" t="s">
        <v>9</v>
      </c>
      <c r="D17341" s="3" t="s">
        <v>10</v>
      </c>
      <c r="E17341" s="3">
        <v>0</v>
      </c>
      <c r="F17341" s="3">
        <v>0</v>
      </c>
      <c r="G17341" s="3">
        <v>1</v>
      </c>
      <c r="H17341" s="3">
        <v>0</v>
      </c>
      <c r="I17341" s="3">
        <v>0</v>
      </c>
      <c r="J17341" s="3">
        <v>0</v>
      </c>
      <c r="K17341" s="3">
        <v>0</v>
      </c>
      <c r="L17341" s="3">
        <v>1</v>
      </c>
      <c r="M17341" s="3">
        <v>0</v>
      </c>
      <c r="N17341" s="3">
        <v>0</v>
      </c>
      <c r="O17341" s="3" t="s">
        <v>10</v>
      </c>
      <c r="P17341" s="3" t="s">
        <v>9</v>
      </c>
      <c r="Q17341" s="3"/>
    </row>
    <row r="17342" spans="1:17" ht="15" x14ac:dyDescent="0.25">
      <c r="A17342" s="3">
        <f>17335</f>
        <v>17335</v>
      </c>
      <c r="B17342" s="3" t="s">
        <v>17344</v>
      </c>
      <c r="C17342" s="3" t="s">
        <v>9</v>
      </c>
      <c r="D17342" s="3" t="s">
        <v>10</v>
      </c>
      <c r="E17342" s="3">
        <v>0</v>
      </c>
      <c r="F17342" s="3">
        <v>0</v>
      </c>
      <c r="G17342" s="3">
        <v>1</v>
      </c>
      <c r="H17342" s="3">
        <v>0</v>
      </c>
      <c r="I17342" s="3">
        <v>0</v>
      </c>
      <c r="J17342" s="3">
        <v>0</v>
      </c>
      <c r="K17342" s="3">
        <v>0</v>
      </c>
      <c r="L17342" s="3">
        <v>1</v>
      </c>
      <c r="M17342" s="3">
        <v>0</v>
      </c>
      <c r="N17342" s="3">
        <v>0</v>
      </c>
      <c r="O17342" s="3" t="s">
        <v>10</v>
      </c>
      <c r="P17342" s="3" t="s">
        <v>9</v>
      </c>
      <c r="Q17342" s="3"/>
    </row>
    <row r="17343" spans="1:17" ht="15" x14ac:dyDescent="0.25">
      <c r="A17343" s="3">
        <f>17336</f>
        <v>17336</v>
      </c>
      <c r="B17343" s="3" t="s">
        <v>17345</v>
      </c>
      <c r="C17343" s="3" t="s">
        <v>9</v>
      </c>
      <c r="D17343" s="3" t="s">
        <v>10</v>
      </c>
      <c r="E17343" s="3">
        <v>0</v>
      </c>
      <c r="F17343" s="3">
        <v>0</v>
      </c>
      <c r="G17343" s="3">
        <v>1</v>
      </c>
      <c r="H17343" s="3">
        <v>0</v>
      </c>
      <c r="I17343" s="3">
        <v>0</v>
      </c>
      <c r="J17343" s="3">
        <v>0</v>
      </c>
      <c r="K17343" s="3">
        <v>0</v>
      </c>
      <c r="L17343" s="3">
        <v>1</v>
      </c>
      <c r="M17343" s="3">
        <v>0</v>
      </c>
      <c r="N17343" s="3">
        <v>0</v>
      </c>
      <c r="O17343" s="3" t="s">
        <v>10</v>
      </c>
      <c r="P17343" s="3" t="s">
        <v>9</v>
      </c>
      <c r="Q17343" s="3"/>
    </row>
    <row r="17344" spans="1:17" ht="15" x14ac:dyDescent="0.25">
      <c r="A17344" s="3">
        <f>17337</f>
        <v>17337</v>
      </c>
      <c r="B17344" s="3" t="s">
        <v>17346</v>
      </c>
      <c r="C17344" s="3" t="s">
        <v>9</v>
      </c>
      <c r="D17344" s="3" t="s">
        <v>10</v>
      </c>
      <c r="E17344" s="3">
        <v>0</v>
      </c>
      <c r="F17344" s="3">
        <v>0</v>
      </c>
      <c r="G17344" s="3">
        <v>1</v>
      </c>
      <c r="H17344" s="3">
        <v>0</v>
      </c>
      <c r="I17344" s="3">
        <v>0</v>
      </c>
      <c r="J17344" s="3">
        <v>0</v>
      </c>
      <c r="K17344" s="3">
        <v>0</v>
      </c>
      <c r="L17344" s="3">
        <v>1</v>
      </c>
      <c r="M17344" s="3">
        <v>0</v>
      </c>
      <c r="N17344" s="3">
        <v>0</v>
      </c>
      <c r="O17344" s="3" t="s">
        <v>10</v>
      </c>
      <c r="P17344" s="3" t="s">
        <v>9</v>
      </c>
      <c r="Q17344" s="3"/>
    </row>
    <row r="17345" spans="1:17" ht="15" x14ac:dyDescent="0.25">
      <c r="A17345" s="3">
        <f>17338</f>
        <v>17338</v>
      </c>
      <c r="B17345" s="3" t="s">
        <v>17347</v>
      </c>
      <c r="C17345" s="3" t="s">
        <v>9</v>
      </c>
      <c r="D17345" s="3" t="s">
        <v>10</v>
      </c>
      <c r="E17345" s="3">
        <v>0</v>
      </c>
      <c r="F17345" s="3">
        <v>0</v>
      </c>
      <c r="G17345" s="3">
        <v>1</v>
      </c>
      <c r="H17345" s="3">
        <v>0</v>
      </c>
      <c r="I17345" s="3">
        <v>0</v>
      </c>
      <c r="J17345" s="3">
        <v>0</v>
      </c>
      <c r="K17345" s="3">
        <v>0</v>
      </c>
      <c r="L17345" s="3">
        <v>1</v>
      </c>
      <c r="M17345" s="3">
        <v>0</v>
      </c>
      <c r="N17345" s="3">
        <v>0</v>
      </c>
      <c r="O17345" s="3" t="s">
        <v>10</v>
      </c>
      <c r="P17345" s="3" t="s">
        <v>9</v>
      </c>
      <c r="Q17345" s="3"/>
    </row>
    <row r="17346" spans="1:17" ht="15" x14ac:dyDescent="0.25">
      <c r="A17346" s="3">
        <f>17339</f>
        <v>17339</v>
      </c>
      <c r="B17346" s="3" t="s">
        <v>17348</v>
      </c>
      <c r="C17346" s="3" t="s">
        <v>9</v>
      </c>
      <c r="D17346" s="3" t="s">
        <v>10</v>
      </c>
      <c r="E17346" s="3">
        <v>0</v>
      </c>
      <c r="F17346" s="3">
        <v>0</v>
      </c>
      <c r="G17346" s="3">
        <v>1</v>
      </c>
      <c r="H17346" s="3">
        <v>0</v>
      </c>
      <c r="I17346" s="3">
        <v>0</v>
      </c>
      <c r="J17346" s="3">
        <v>0</v>
      </c>
      <c r="K17346" s="3">
        <v>0</v>
      </c>
      <c r="L17346" s="3">
        <v>1</v>
      </c>
      <c r="M17346" s="3">
        <v>0</v>
      </c>
      <c r="N17346" s="3">
        <v>0</v>
      </c>
      <c r="O17346" s="3" t="s">
        <v>10</v>
      </c>
      <c r="P17346" s="3" t="s">
        <v>9</v>
      </c>
      <c r="Q17346" s="3"/>
    </row>
    <row r="17347" spans="1:17" ht="15" x14ac:dyDescent="0.25">
      <c r="A17347" s="3">
        <f>17340</f>
        <v>17340</v>
      </c>
      <c r="B17347" s="3" t="s">
        <v>17349</v>
      </c>
      <c r="C17347" s="3" t="s">
        <v>9</v>
      </c>
      <c r="D17347" s="3" t="s">
        <v>10</v>
      </c>
      <c r="E17347" s="3">
        <v>0</v>
      </c>
      <c r="F17347" s="3">
        <v>0</v>
      </c>
      <c r="G17347" s="3">
        <v>1</v>
      </c>
      <c r="H17347" s="3">
        <v>0</v>
      </c>
      <c r="I17347" s="3">
        <v>0</v>
      </c>
      <c r="J17347" s="3">
        <v>0</v>
      </c>
      <c r="K17347" s="3">
        <v>0</v>
      </c>
      <c r="L17347" s="3">
        <v>1</v>
      </c>
      <c r="M17347" s="3">
        <v>0</v>
      </c>
      <c r="N17347" s="3">
        <v>0</v>
      </c>
      <c r="O17347" s="3" t="s">
        <v>10</v>
      </c>
      <c r="P17347" s="3" t="s">
        <v>9</v>
      </c>
      <c r="Q17347" s="3"/>
    </row>
    <row r="17348" spans="1:17" ht="15" x14ac:dyDescent="0.25">
      <c r="A17348" s="3">
        <f>17341</f>
        <v>17341</v>
      </c>
      <c r="B17348" s="3" t="s">
        <v>17350</v>
      </c>
      <c r="C17348" s="3" t="s">
        <v>9</v>
      </c>
      <c r="D17348" s="3" t="s">
        <v>10</v>
      </c>
      <c r="E17348" s="3">
        <v>0</v>
      </c>
      <c r="F17348" s="3">
        <v>0</v>
      </c>
      <c r="G17348" s="3">
        <v>1</v>
      </c>
      <c r="H17348" s="3">
        <v>0</v>
      </c>
      <c r="I17348" s="3">
        <v>0</v>
      </c>
      <c r="J17348" s="3">
        <v>0</v>
      </c>
      <c r="K17348" s="3">
        <v>0</v>
      </c>
      <c r="L17348" s="3">
        <v>1</v>
      </c>
      <c r="M17348" s="3">
        <v>0</v>
      </c>
      <c r="N17348" s="3">
        <v>0</v>
      </c>
      <c r="O17348" s="3" t="s">
        <v>10</v>
      </c>
      <c r="P17348" s="3" t="s">
        <v>9</v>
      </c>
      <c r="Q17348" s="3"/>
    </row>
    <row r="17349" spans="1:17" ht="15" x14ac:dyDescent="0.25">
      <c r="A17349" s="3">
        <f>17342</f>
        <v>17342</v>
      </c>
      <c r="B17349" s="3" t="s">
        <v>17351</v>
      </c>
      <c r="C17349" s="3" t="s">
        <v>9</v>
      </c>
      <c r="D17349" s="3" t="s">
        <v>10</v>
      </c>
      <c r="E17349" s="3">
        <v>0</v>
      </c>
      <c r="F17349" s="3">
        <v>0</v>
      </c>
      <c r="G17349" s="3">
        <v>1</v>
      </c>
      <c r="H17349" s="3">
        <v>0</v>
      </c>
      <c r="I17349" s="3">
        <v>0</v>
      </c>
      <c r="J17349" s="3">
        <v>0</v>
      </c>
      <c r="K17349" s="3">
        <v>0</v>
      </c>
      <c r="L17349" s="3">
        <v>1</v>
      </c>
      <c r="M17349" s="3">
        <v>0</v>
      </c>
      <c r="N17349" s="3">
        <v>0</v>
      </c>
      <c r="O17349" s="3" t="s">
        <v>10</v>
      </c>
      <c r="P17349" s="3" t="s">
        <v>9</v>
      </c>
      <c r="Q17349" s="3"/>
    </row>
    <row r="17350" spans="1:17" ht="15" x14ac:dyDescent="0.25">
      <c r="A17350" s="3">
        <f>17343</f>
        <v>17343</v>
      </c>
      <c r="B17350" s="3" t="s">
        <v>17352</v>
      </c>
      <c r="C17350" s="3" t="s">
        <v>9</v>
      </c>
      <c r="D17350" s="3" t="s">
        <v>10</v>
      </c>
      <c r="E17350" s="3">
        <v>0</v>
      </c>
      <c r="F17350" s="3">
        <v>0</v>
      </c>
      <c r="G17350" s="3">
        <v>1</v>
      </c>
      <c r="H17350" s="3">
        <v>0</v>
      </c>
      <c r="I17350" s="3">
        <v>0</v>
      </c>
      <c r="J17350" s="3">
        <v>0</v>
      </c>
      <c r="K17350" s="3">
        <v>0</v>
      </c>
      <c r="L17350" s="3">
        <v>1</v>
      </c>
      <c r="M17350" s="3">
        <v>0</v>
      </c>
      <c r="N17350" s="3">
        <v>0</v>
      </c>
      <c r="O17350" s="3" t="s">
        <v>10</v>
      </c>
      <c r="P17350" s="3" t="s">
        <v>9</v>
      </c>
      <c r="Q17350" s="3"/>
    </row>
    <row r="17351" spans="1:17" ht="15" x14ac:dyDescent="0.25">
      <c r="A17351" s="3">
        <f>17344</f>
        <v>17344</v>
      </c>
      <c r="B17351" s="3" t="s">
        <v>17353</v>
      </c>
      <c r="C17351" s="3" t="s">
        <v>9</v>
      </c>
      <c r="D17351" s="3" t="s">
        <v>10</v>
      </c>
      <c r="E17351" s="3">
        <v>0</v>
      </c>
      <c r="F17351" s="3">
        <v>0</v>
      </c>
      <c r="G17351" s="3">
        <v>1</v>
      </c>
      <c r="H17351" s="3">
        <v>0</v>
      </c>
      <c r="I17351" s="3">
        <v>0</v>
      </c>
      <c r="J17351" s="3">
        <v>0</v>
      </c>
      <c r="K17351" s="3">
        <v>0</v>
      </c>
      <c r="L17351" s="3">
        <v>1</v>
      </c>
      <c r="M17351" s="3">
        <v>0</v>
      </c>
      <c r="N17351" s="3">
        <v>0</v>
      </c>
      <c r="O17351" s="3" t="s">
        <v>10</v>
      </c>
      <c r="P17351" s="3" t="s">
        <v>9</v>
      </c>
      <c r="Q17351" s="3"/>
    </row>
    <row r="17352" spans="1:17" ht="15" x14ac:dyDescent="0.25">
      <c r="A17352" s="3">
        <f>17345</f>
        <v>17345</v>
      </c>
      <c r="B17352" s="3" t="s">
        <v>17354</v>
      </c>
      <c r="C17352" s="3" t="s">
        <v>9</v>
      </c>
      <c r="D17352" s="3" t="s">
        <v>10</v>
      </c>
      <c r="E17352" s="3">
        <v>0</v>
      </c>
      <c r="F17352" s="3">
        <v>0</v>
      </c>
      <c r="G17352" s="3">
        <v>1</v>
      </c>
      <c r="H17352" s="3">
        <v>0</v>
      </c>
      <c r="I17352" s="3">
        <v>0</v>
      </c>
      <c r="J17352" s="3">
        <v>0</v>
      </c>
      <c r="K17352" s="3">
        <v>0</v>
      </c>
      <c r="L17352" s="3">
        <v>1</v>
      </c>
      <c r="M17352" s="3">
        <v>0</v>
      </c>
      <c r="N17352" s="3">
        <v>0</v>
      </c>
      <c r="O17352" s="3" t="s">
        <v>10</v>
      </c>
      <c r="P17352" s="3" t="s">
        <v>9</v>
      </c>
      <c r="Q17352" s="3"/>
    </row>
    <row r="17353" spans="1:17" ht="15" x14ac:dyDescent="0.25">
      <c r="A17353" s="3">
        <f>17346</f>
        <v>17346</v>
      </c>
      <c r="B17353" s="3" t="s">
        <v>17355</v>
      </c>
      <c r="C17353" s="3" t="s">
        <v>9</v>
      </c>
      <c r="D17353" s="3" t="s">
        <v>10</v>
      </c>
      <c r="E17353" s="3">
        <v>0</v>
      </c>
      <c r="F17353" s="3">
        <v>0</v>
      </c>
      <c r="G17353" s="3">
        <v>1</v>
      </c>
      <c r="H17353" s="3">
        <v>0</v>
      </c>
      <c r="I17353" s="3">
        <v>0</v>
      </c>
      <c r="J17353" s="3">
        <v>0</v>
      </c>
      <c r="K17353" s="3">
        <v>0</v>
      </c>
      <c r="L17353" s="3">
        <v>1</v>
      </c>
      <c r="M17353" s="3">
        <v>0</v>
      </c>
      <c r="N17353" s="3">
        <v>0</v>
      </c>
      <c r="O17353" s="3" t="s">
        <v>10</v>
      </c>
      <c r="P17353" s="3" t="s">
        <v>9</v>
      </c>
      <c r="Q17353" s="3"/>
    </row>
    <row r="17354" spans="1:17" ht="15" x14ac:dyDescent="0.25">
      <c r="A17354" s="3">
        <f>17347</f>
        <v>17347</v>
      </c>
      <c r="B17354" s="3" t="s">
        <v>17356</v>
      </c>
      <c r="C17354" s="3" t="s">
        <v>9</v>
      </c>
      <c r="D17354" s="3" t="s">
        <v>10</v>
      </c>
      <c r="E17354" s="3">
        <v>0</v>
      </c>
      <c r="F17354" s="3">
        <v>0</v>
      </c>
      <c r="G17354" s="3">
        <v>1</v>
      </c>
      <c r="H17354" s="3">
        <v>0</v>
      </c>
      <c r="I17354" s="3">
        <v>0</v>
      </c>
      <c r="J17354" s="3">
        <v>0</v>
      </c>
      <c r="K17354" s="3">
        <v>0</v>
      </c>
      <c r="L17354" s="3">
        <v>1</v>
      </c>
      <c r="M17354" s="3">
        <v>0</v>
      </c>
      <c r="N17354" s="3">
        <v>0</v>
      </c>
      <c r="O17354" s="3" t="s">
        <v>10</v>
      </c>
      <c r="P17354" s="3" t="s">
        <v>9</v>
      </c>
      <c r="Q17354" s="3"/>
    </row>
    <row r="17355" spans="1:17" ht="15" x14ac:dyDescent="0.25">
      <c r="A17355" s="3">
        <f>17348</f>
        <v>17348</v>
      </c>
      <c r="B17355" s="3" t="s">
        <v>17357</v>
      </c>
      <c r="C17355" s="3" t="s">
        <v>9</v>
      </c>
      <c r="D17355" s="3" t="s">
        <v>10</v>
      </c>
      <c r="E17355" s="3">
        <v>0</v>
      </c>
      <c r="F17355" s="3">
        <v>0</v>
      </c>
      <c r="G17355" s="3">
        <v>1</v>
      </c>
      <c r="H17355" s="3">
        <v>0</v>
      </c>
      <c r="I17355" s="3">
        <v>0</v>
      </c>
      <c r="J17355" s="3">
        <v>0</v>
      </c>
      <c r="K17355" s="3">
        <v>0</v>
      </c>
      <c r="L17355" s="3">
        <v>1</v>
      </c>
      <c r="M17355" s="3">
        <v>0</v>
      </c>
      <c r="N17355" s="3">
        <v>0</v>
      </c>
      <c r="O17355" s="3" t="s">
        <v>10</v>
      </c>
      <c r="P17355" s="3" t="s">
        <v>9</v>
      </c>
      <c r="Q17355" s="3"/>
    </row>
    <row r="17356" spans="1:17" ht="15" x14ac:dyDescent="0.25">
      <c r="A17356" s="3">
        <f>17349</f>
        <v>17349</v>
      </c>
      <c r="B17356" s="3" t="s">
        <v>17358</v>
      </c>
      <c r="C17356" s="3" t="s">
        <v>9</v>
      </c>
      <c r="D17356" s="3" t="s">
        <v>10</v>
      </c>
      <c r="E17356" s="3">
        <v>0</v>
      </c>
      <c r="F17356" s="3">
        <v>0</v>
      </c>
      <c r="G17356" s="3">
        <v>1</v>
      </c>
      <c r="H17356" s="3">
        <v>0</v>
      </c>
      <c r="I17356" s="3">
        <v>0</v>
      </c>
      <c r="J17356" s="3">
        <v>0</v>
      </c>
      <c r="K17356" s="3">
        <v>0</v>
      </c>
      <c r="L17356" s="3">
        <v>1</v>
      </c>
      <c r="M17356" s="3">
        <v>0</v>
      </c>
      <c r="N17356" s="3">
        <v>0</v>
      </c>
      <c r="O17356" s="3" t="s">
        <v>10</v>
      </c>
      <c r="P17356" s="3" t="s">
        <v>9</v>
      </c>
      <c r="Q17356" s="3"/>
    </row>
    <row r="17357" spans="1:17" ht="15" x14ac:dyDescent="0.25">
      <c r="A17357" s="3">
        <f>17350</f>
        <v>17350</v>
      </c>
      <c r="B17357" s="3" t="s">
        <v>17359</v>
      </c>
      <c r="C17357" s="3" t="s">
        <v>9</v>
      </c>
      <c r="D17357" s="3" t="s">
        <v>10</v>
      </c>
      <c r="E17357" s="3">
        <v>0</v>
      </c>
      <c r="F17357" s="3">
        <v>0</v>
      </c>
      <c r="G17357" s="3">
        <v>1</v>
      </c>
      <c r="H17357" s="3">
        <v>0</v>
      </c>
      <c r="I17357" s="3">
        <v>0</v>
      </c>
      <c r="J17357" s="3">
        <v>0</v>
      </c>
      <c r="K17357" s="3">
        <v>0</v>
      </c>
      <c r="L17357" s="3">
        <v>1</v>
      </c>
      <c r="M17357" s="3">
        <v>0</v>
      </c>
      <c r="N17357" s="3">
        <v>0</v>
      </c>
      <c r="O17357" s="3" t="s">
        <v>10</v>
      </c>
      <c r="P17357" s="3" t="s">
        <v>9</v>
      </c>
      <c r="Q17357" s="3"/>
    </row>
    <row r="17358" spans="1:17" ht="15" x14ac:dyDescent="0.25">
      <c r="A17358" s="3">
        <f>17351</f>
        <v>17351</v>
      </c>
      <c r="B17358" s="3" t="s">
        <v>17360</v>
      </c>
      <c r="C17358" s="3" t="s">
        <v>9</v>
      </c>
      <c r="D17358" s="3" t="s">
        <v>10</v>
      </c>
      <c r="E17358" s="3">
        <v>0</v>
      </c>
      <c r="F17358" s="3">
        <v>0</v>
      </c>
      <c r="G17358" s="3">
        <v>1</v>
      </c>
      <c r="H17358" s="3">
        <v>0</v>
      </c>
      <c r="I17358" s="3">
        <v>0</v>
      </c>
      <c r="J17358" s="3">
        <v>0</v>
      </c>
      <c r="K17358" s="3">
        <v>0</v>
      </c>
      <c r="L17358" s="3">
        <v>1</v>
      </c>
      <c r="M17358" s="3">
        <v>0</v>
      </c>
      <c r="N17358" s="3">
        <v>0</v>
      </c>
      <c r="O17358" s="3" t="s">
        <v>10</v>
      </c>
      <c r="P17358" s="3" t="s">
        <v>9</v>
      </c>
      <c r="Q17358" s="3"/>
    </row>
    <row r="17359" spans="1:17" ht="15" x14ac:dyDescent="0.25">
      <c r="A17359" s="3">
        <f>17352</f>
        <v>17352</v>
      </c>
      <c r="B17359" s="3" t="s">
        <v>17361</v>
      </c>
      <c r="C17359" s="3" t="s">
        <v>10</v>
      </c>
      <c r="D17359" s="3" t="s">
        <v>9</v>
      </c>
      <c r="E17359" s="3">
        <v>0</v>
      </c>
      <c r="F17359" s="3">
        <v>0</v>
      </c>
      <c r="G17359" s="3">
        <v>1</v>
      </c>
      <c r="H17359" s="3">
        <v>0</v>
      </c>
      <c r="I17359" s="3">
        <v>0</v>
      </c>
      <c r="J17359" s="3">
        <v>0</v>
      </c>
      <c r="K17359" s="3">
        <v>0</v>
      </c>
      <c r="L17359" s="3">
        <v>1</v>
      </c>
      <c r="M17359" s="3">
        <v>0</v>
      </c>
      <c r="N17359" s="3">
        <v>0</v>
      </c>
      <c r="O17359" s="3" t="s">
        <v>10</v>
      </c>
      <c r="P17359" s="3" t="s">
        <v>9</v>
      </c>
      <c r="Q17359" s="3"/>
    </row>
    <row r="17360" spans="1:17" ht="15" x14ac:dyDescent="0.25">
      <c r="A17360" s="3">
        <f>17353</f>
        <v>17353</v>
      </c>
      <c r="B17360" s="3" t="s">
        <v>17362</v>
      </c>
      <c r="C17360" s="3" t="s">
        <v>10</v>
      </c>
      <c r="D17360" s="3" t="s">
        <v>9</v>
      </c>
      <c r="E17360" s="3">
        <v>0</v>
      </c>
      <c r="F17360" s="3">
        <v>0</v>
      </c>
      <c r="G17360" s="3">
        <v>1</v>
      </c>
      <c r="H17360" s="3">
        <v>0</v>
      </c>
      <c r="I17360" s="3">
        <v>0</v>
      </c>
      <c r="J17360" s="3">
        <v>0</v>
      </c>
      <c r="K17360" s="3">
        <v>0</v>
      </c>
      <c r="L17360" s="3">
        <v>1</v>
      </c>
      <c r="M17360" s="3">
        <v>0</v>
      </c>
      <c r="N17360" s="3">
        <v>0</v>
      </c>
      <c r="O17360" s="3" t="s">
        <v>10</v>
      </c>
      <c r="P17360" s="3" t="s">
        <v>9</v>
      </c>
      <c r="Q17360" s="3"/>
    </row>
    <row r="17361" spans="1:17" ht="15" x14ac:dyDescent="0.25">
      <c r="A17361" s="3">
        <f>17354</f>
        <v>17354</v>
      </c>
      <c r="B17361" s="3" t="s">
        <v>17363</v>
      </c>
      <c r="C17361" s="3" t="s">
        <v>10</v>
      </c>
      <c r="D17361" s="3" t="s">
        <v>9</v>
      </c>
      <c r="E17361" s="3">
        <v>0</v>
      </c>
      <c r="F17361" s="3">
        <v>0</v>
      </c>
      <c r="G17361" s="3">
        <v>1</v>
      </c>
      <c r="H17361" s="3">
        <v>0</v>
      </c>
      <c r="I17361" s="3">
        <v>0</v>
      </c>
      <c r="J17361" s="3">
        <v>0</v>
      </c>
      <c r="K17361" s="3">
        <v>0</v>
      </c>
      <c r="L17361" s="3">
        <v>1</v>
      </c>
      <c r="M17361" s="3">
        <v>0</v>
      </c>
      <c r="N17361" s="3">
        <v>0</v>
      </c>
      <c r="O17361" s="3" t="s">
        <v>10</v>
      </c>
      <c r="P17361" s="3" t="s">
        <v>9</v>
      </c>
      <c r="Q17361" s="3"/>
    </row>
    <row r="17362" spans="1:17" ht="15" x14ac:dyDescent="0.25">
      <c r="A17362" s="3">
        <f>17355</f>
        <v>17355</v>
      </c>
      <c r="B17362" s="3" t="s">
        <v>17364</v>
      </c>
      <c r="C17362" s="3" t="s">
        <v>10</v>
      </c>
      <c r="D17362" s="3" t="s">
        <v>9</v>
      </c>
      <c r="E17362" s="3">
        <v>0</v>
      </c>
      <c r="F17362" s="3">
        <v>0</v>
      </c>
      <c r="G17362" s="3">
        <v>1</v>
      </c>
      <c r="H17362" s="3">
        <v>0</v>
      </c>
      <c r="I17362" s="3">
        <v>0</v>
      </c>
      <c r="J17362" s="3">
        <v>0</v>
      </c>
      <c r="K17362" s="3">
        <v>0</v>
      </c>
      <c r="L17362" s="3">
        <v>1</v>
      </c>
      <c r="M17362" s="3">
        <v>0</v>
      </c>
      <c r="N17362" s="3">
        <v>0</v>
      </c>
      <c r="O17362" s="3" t="s">
        <v>10</v>
      </c>
      <c r="P17362" s="3" t="s">
        <v>9</v>
      </c>
      <c r="Q17362" s="3"/>
    </row>
    <row r="17363" spans="1:17" ht="15" x14ac:dyDescent="0.25">
      <c r="A17363" s="3">
        <f>17356</f>
        <v>17356</v>
      </c>
      <c r="B17363" s="3" t="s">
        <v>17365</v>
      </c>
      <c r="C17363" s="3" t="s">
        <v>10</v>
      </c>
      <c r="D17363" s="3" t="s">
        <v>9</v>
      </c>
      <c r="E17363" s="3">
        <v>0</v>
      </c>
      <c r="F17363" s="3">
        <v>0</v>
      </c>
      <c r="G17363" s="3">
        <v>1</v>
      </c>
      <c r="H17363" s="3">
        <v>0</v>
      </c>
      <c r="I17363" s="3">
        <v>0</v>
      </c>
      <c r="J17363" s="3">
        <v>0</v>
      </c>
      <c r="K17363" s="3">
        <v>0</v>
      </c>
      <c r="L17363" s="3">
        <v>1</v>
      </c>
      <c r="M17363" s="3">
        <v>0</v>
      </c>
      <c r="N17363" s="3">
        <v>0</v>
      </c>
      <c r="O17363" s="3" t="s">
        <v>10</v>
      </c>
      <c r="P17363" s="3" t="s">
        <v>9</v>
      </c>
      <c r="Q17363" s="3"/>
    </row>
    <row r="17364" spans="1:17" ht="15" x14ac:dyDescent="0.25">
      <c r="A17364" s="3">
        <f>17357</f>
        <v>17357</v>
      </c>
      <c r="B17364" s="3" t="s">
        <v>17366</v>
      </c>
      <c r="C17364" s="3" t="s">
        <v>10</v>
      </c>
      <c r="D17364" s="3" t="s">
        <v>9</v>
      </c>
      <c r="E17364" s="3">
        <v>0</v>
      </c>
      <c r="F17364" s="3">
        <v>0</v>
      </c>
      <c r="G17364" s="3">
        <v>1</v>
      </c>
      <c r="H17364" s="3">
        <v>0</v>
      </c>
      <c r="I17364" s="3">
        <v>0</v>
      </c>
      <c r="J17364" s="3">
        <v>0</v>
      </c>
      <c r="K17364" s="3">
        <v>0</v>
      </c>
      <c r="L17364" s="3">
        <v>1</v>
      </c>
      <c r="M17364" s="3">
        <v>0</v>
      </c>
      <c r="N17364" s="3">
        <v>0</v>
      </c>
      <c r="O17364" s="3" t="s">
        <v>10</v>
      </c>
      <c r="P17364" s="3" t="s">
        <v>9</v>
      </c>
      <c r="Q17364" s="3"/>
    </row>
    <row r="17365" spans="1:17" ht="15" x14ac:dyDescent="0.25">
      <c r="A17365" s="3">
        <f>17358</f>
        <v>17358</v>
      </c>
      <c r="B17365" s="3" t="s">
        <v>17367</v>
      </c>
      <c r="C17365" s="3" t="s">
        <v>10</v>
      </c>
      <c r="D17365" s="3" t="s">
        <v>9</v>
      </c>
      <c r="E17365" s="3">
        <v>0</v>
      </c>
      <c r="F17365" s="3">
        <v>0</v>
      </c>
      <c r="G17365" s="3">
        <v>1</v>
      </c>
      <c r="H17365" s="3">
        <v>0</v>
      </c>
      <c r="I17365" s="3">
        <v>0</v>
      </c>
      <c r="J17365" s="3">
        <v>0</v>
      </c>
      <c r="K17365" s="3">
        <v>0</v>
      </c>
      <c r="L17365" s="3">
        <v>1</v>
      </c>
      <c r="M17365" s="3">
        <v>0</v>
      </c>
      <c r="N17365" s="3">
        <v>0</v>
      </c>
      <c r="O17365" s="3" t="s">
        <v>10</v>
      </c>
      <c r="P17365" s="3" t="s">
        <v>9</v>
      </c>
      <c r="Q17365" s="3"/>
    </row>
    <row r="17366" spans="1:17" ht="15" x14ac:dyDescent="0.25">
      <c r="A17366" s="3">
        <f>17359</f>
        <v>17359</v>
      </c>
      <c r="B17366" s="3" t="s">
        <v>17368</v>
      </c>
      <c r="C17366" s="3" t="s">
        <v>10</v>
      </c>
      <c r="D17366" s="3" t="s">
        <v>9</v>
      </c>
      <c r="E17366" s="3">
        <v>0</v>
      </c>
      <c r="F17366" s="3">
        <v>0</v>
      </c>
      <c r="G17366" s="3">
        <v>1</v>
      </c>
      <c r="H17366" s="3">
        <v>0</v>
      </c>
      <c r="I17366" s="3">
        <v>0</v>
      </c>
      <c r="J17366" s="3">
        <v>0</v>
      </c>
      <c r="K17366" s="3">
        <v>0</v>
      </c>
      <c r="L17366" s="3">
        <v>1</v>
      </c>
      <c r="M17366" s="3">
        <v>0</v>
      </c>
      <c r="N17366" s="3">
        <v>0</v>
      </c>
      <c r="O17366" s="3" t="s">
        <v>10</v>
      </c>
      <c r="P17366" s="3" t="s">
        <v>9</v>
      </c>
      <c r="Q17366" s="3"/>
    </row>
    <row r="17367" spans="1:17" ht="15" x14ac:dyDescent="0.25">
      <c r="A17367" s="3">
        <f>17360</f>
        <v>17360</v>
      </c>
      <c r="B17367" s="3" t="s">
        <v>17369</v>
      </c>
      <c r="C17367" s="3" t="s">
        <v>10</v>
      </c>
      <c r="D17367" s="3" t="s">
        <v>9</v>
      </c>
      <c r="E17367" s="3">
        <v>0</v>
      </c>
      <c r="F17367" s="3">
        <v>0</v>
      </c>
      <c r="G17367" s="3">
        <v>1</v>
      </c>
      <c r="H17367" s="3">
        <v>0</v>
      </c>
      <c r="I17367" s="3">
        <v>0</v>
      </c>
      <c r="J17367" s="3">
        <v>0</v>
      </c>
      <c r="K17367" s="3">
        <v>0</v>
      </c>
      <c r="L17367" s="3">
        <v>1</v>
      </c>
      <c r="M17367" s="3">
        <v>0</v>
      </c>
      <c r="N17367" s="3">
        <v>0</v>
      </c>
      <c r="O17367" s="3" t="s">
        <v>10</v>
      </c>
      <c r="P17367" s="3" t="s">
        <v>9</v>
      </c>
      <c r="Q17367" s="3"/>
    </row>
    <row r="17368" spans="1:17" ht="15" x14ac:dyDescent="0.25">
      <c r="A17368" s="3">
        <f>17361</f>
        <v>17361</v>
      </c>
      <c r="B17368" s="3" t="s">
        <v>17370</v>
      </c>
      <c r="C17368" s="3" t="s">
        <v>10</v>
      </c>
      <c r="D17368" s="3" t="s">
        <v>9</v>
      </c>
      <c r="E17368" s="3">
        <v>0</v>
      </c>
      <c r="F17368" s="3">
        <v>0</v>
      </c>
      <c r="G17368" s="3">
        <v>1</v>
      </c>
      <c r="H17368" s="3">
        <v>0</v>
      </c>
      <c r="I17368" s="3">
        <v>0</v>
      </c>
      <c r="J17368" s="3">
        <v>0</v>
      </c>
      <c r="K17368" s="3">
        <v>0</v>
      </c>
      <c r="L17368" s="3">
        <v>1</v>
      </c>
      <c r="M17368" s="3">
        <v>0</v>
      </c>
      <c r="N17368" s="3">
        <v>0</v>
      </c>
      <c r="O17368" s="3" t="s">
        <v>10</v>
      </c>
      <c r="P17368" s="3" t="s">
        <v>9</v>
      </c>
      <c r="Q17368" s="3"/>
    </row>
    <row r="17369" spans="1:17" ht="15" x14ac:dyDescent="0.25">
      <c r="A17369" s="3">
        <f>17362</f>
        <v>17362</v>
      </c>
      <c r="B17369" s="3" t="s">
        <v>17371</v>
      </c>
      <c r="C17369" s="3" t="s">
        <v>10</v>
      </c>
      <c r="D17369" s="3" t="s">
        <v>9</v>
      </c>
      <c r="E17369" s="3">
        <v>0</v>
      </c>
      <c r="F17369" s="3">
        <v>0</v>
      </c>
      <c r="G17369" s="3">
        <v>1</v>
      </c>
      <c r="H17369" s="3">
        <v>0</v>
      </c>
      <c r="I17369" s="3">
        <v>0</v>
      </c>
      <c r="J17369" s="3">
        <v>0</v>
      </c>
      <c r="K17369" s="3">
        <v>0</v>
      </c>
      <c r="L17369" s="3">
        <v>1</v>
      </c>
      <c r="M17369" s="3">
        <v>0</v>
      </c>
      <c r="N17369" s="3">
        <v>0</v>
      </c>
      <c r="O17369" s="3" t="s">
        <v>10</v>
      </c>
      <c r="P17369" s="3" t="s">
        <v>9</v>
      </c>
      <c r="Q17369" s="3"/>
    </row>
    <row r="17370" spans="1:17" ht="15" x14ac:dyDescent="0.25">
      <c r="A17370" s="3">
        <f>17363</f>
        <v>17363</v>
      </c>
      <c r="B17370" s="3" t="s">
        <v>17372</v>
      </c>
      <c r="C17370" s="3" t="s">
        <v>10</v>
      </c>
      <c r="D17370" s="3" t="s">
        <v>9</v>
      </c>
      <c r="E17370" s="3">
        <v>0</v>
      </c>
      <c r="F17370" s="3">
        <v>0</v>
      </c>
      <c r="G17370" s="3">
        <v>1</v>
      </c>
      <c r="H17370" s="3">
        <v>0</v>
      </c>
      <c r="I17370" s="3">
        <v>0</v>
      </c>
      <c r="J17370" s="3">
        <v>0</v>
      </c>
      <c r="K17370" s="3">
        <v>0</v>
      </c>
      <c r="L17370" s="3">
        <v>1</v>
      </c>
      <c r="M17370" s="3">
        <v>0</v>
      </c>
      <c r="N17370" s="3">
        <v>0</v>
      </c>
      <c r="O17370" s="3"/>
      <c r="P17370" s="3"/>
      <c r="Q17370" s="3"/>
    </row>
    <row r="17371" spans="1:17" ht="15" x14ac:dyDescent="0.25">
      <c r="A17371" s="3">
        <f>17364</f>
        <v>17364</v>
      </c>
      <c r="B17371" s="3" t="s">
        <v>17373</v>
      </c>
      <c r="C17371" s="3" t="s">
        <v>10</v>
      </c>
      <c r="D17371" s="3" t="s">
        <v>9</v>
      </c>
      <c r="E17371" s="3">
        <v>0</v>
      </c>
      <c r="F17371" s="3">
        <v>0</v>
      </c>
      <c r="G17371" s="3">
        <v>1</v>
      </c>
      <c r="H17371" s="3">
        <v>0</v>
      </c>
      <c r="I17371" s="3">
        <v>0</v>
      </c>
      <c r="J17371" s="3">
        <v>0</v>
      </c>
      <c r="K17371" s="3">
        <v>0</v>
      </c>
      <c r="L17371" s="3">
        <v>1</v>
      </c>
      <c r="M17371" s="3">
        <v>0</v>
      </c>
      <c r="N17371" s="3">
        <v>0</v>
      </c>
      <c r="O17371" s="3"/>
      <c r="P17371" s="3"/>
      <c r="Q17371" s="3"/>
    </row>
    <row r="17372" spans="1:17" ht="15" x14ac:dyDescent="0.25">
      <c r="A17372" s="3">
        <f>17365</f>
        <v>17365</v>
      </c>
      <c r="B17372" s="3" t="s">
        <v>17374</v>
      </c>
      <c r="C17372" s="3" t="s">
        <v>10</v>
      </c>
      <c r="D17372" s="3" t="s">
        <v>9</v>
      </c>
      <c r="E17372" s="3">
        <v>0</v>
      </c>
      <c r="F17372" s="3">
        <v>0</v>
      </c>
      <c r="G17372" s="3">
        <v>1</v>
      </c>
      <c r="H17372" s="3">
        <v>0</v>
      </c>
      <c r="I17372" s="3">
        <v>0</v>
      </c>
      <c r="J17372" s="3">
        <v>0</v>
      </c>
      <c r="K17372" s="3">
        <v>0</v>
      </c>
      <c r="L17372" s="3">
        <v>1</v>
      </c>
      <c r="M17372" s="3">
        <v>0</v>
      </c>
      <c r="N17372" s="3">
        <v>0</v>
      </c>
      <c r="O17372" s="3"/>
      <c r="P17372" s="3"/>
      <c r="Q17372" s="3"/>
    </row>
    <row r="17373" spans="1:17" ht="15" x14ac:dyDescent="0.25">
      <c r="A17373" s="3">
        <f>17366</f>
        <v>17366</v>
      </c>
      <c r="B17373" s="3" t="s">
        <v>17375</v>
      </c>
      <c r="C17373" s="3" t="s">
        <v>10</v>
      </c>
      <c r="D17373" s="3" t="s">
        <v>9</v>
      </c>
      <c r="E17373" s="3">
        <v>0</v>
      </c>
      <c r="F17373" s="3">
        <v>0</v>
      </c>
      <c r="G17373" s="3">
        <v>1</v>
      </c>
      <c r="H17373" s="3">
        <v>0</v>
      </c>
      <c r="I17373" s="3">
        <v>0</v>
      </c>
      <c r="J17373" s="3">
        <v>0</v>
      </c>
      <c r="K17373" s="3">
        <v>0</v>
      </c>
      <c r="L17373" s="3">
        <v>1</v>
      </c>
      <c r="M17373" s="3">
        <v>0</v>
      </c>
      <c r="N17373" s="3">
        <v>0</v>
      </c>
      <c r="O17373" s="3"/>
      <c r="P17373" s="3"/>
      <c r="Q17373" s="3"/>
    </row>
    <row r="17374" spans="1:17" ht="15" x14ac:dyDescent="0.25">
      <c r="A17374" s="3">
        <f>17367</f>
        <v>17367</v>
      </c>
      <c r="B17374" s="3" t="s">
        <v>17376</v>
      </c>
      <c r="C17374" s="3" t="s">
        <v>10</v>
      </c>
      <c r="D17374" s="3" t="s">
        <v>9</v>
      </c>
      <c r="E17374" s="3">
        <v>0</v>
      </c>
      <c r="F17374" s="3">
        <v>0</v>
      </c>
      <c r="G17374" s="3">
        <v>1</v>
      </c>
      <c r="H17374" s="3">
        <v>0</v>
      </c>
      <c r="I17374" s="3">
        <v>0</v>
      </c>
      <c r="J17374" s="3">
        <v>0</v>
      </c>
      <c r="K17374" s="3">
        <v>0</v>
      </c>
      <c r="L17374" s="3">
        <v>1</v>
      </c>
      <c r="M17374" s="3">
        <v>0</v>
      </c>
      <c r="N17374" s="3">
        <v>0</v>
      </c>
      <c r="O17374" s="3"/>
      <c r="P17374" s="3"/>
      <c r="Q17374" s="3"/>
    </row>
    <row r="17375" spans="1:17" ht="15" x14ac:dyDescent="0.25">
      <c r="A17375" s="3">
        <f>17368</f>
        <v>17368</v>
      </c>
      <c r="B17375" s="3" t="s">
        <v>17377</v>
      </c>
      <c r="C17375" s="3" t="s">
        <v>10</v>
      </c>
      <c r="D17375" s="3" t="s">
        <v>9</v>
      </c>
      <c r="E17375" s="3">
        <v>0</v>
      </c>
      <c r="F17375" s="3">
        <v>0</v>
      </c>
      <c r="G17375" s="3">
        <v>1</v>
      </c>
      <c r="H17375" s="3">
        <v>0</v>
      </c>
      <c r="I17375" s="3">
        <v>0</v>
      </c>
      <c r="J17375" s="3">
        <v>0</v>
      </c>
      <c r="K17375" s="3">
        <v>0</v>
      </c>
      <c r="L17375" s="3">
        <v>1</v>
      </c>
      <c r="M17375" s="3">
        <v>0</v>
      </c>
      <c r="N17375" s="3">
        <v>0</v>
      </c>
      <c r="O17375" s="3"/>
      <c r="P17375" s="3"/>
      <c r="Q17375" s="3"/>
    </row>
    <row r="17376" spans="1:17" ht="15" x14ac:dyDescent="0.25">
      <c r="A17376" s="3">
        <f>17369</f>
        <v>17369</v>
      </c>
      <c r="B17376" s="3" t="s">
        <v>17378</v>
      </c>
      <c r="C17376" s="3" t="s">
        <v>10</v>
      </c>
      <c r="D17376" s="3" t="s">
        <v>9</v>
      </c>
      <c r="E17376" s="3">
        <v>0</v>
      </c>
      <c r="F17376" s="3">
        <v>0</v>
      </c>
      <c r="G17376" s="3">
        <v>1</v>
      </c>
      <c r="H17376" s="3">
        <v>0</v>
      </c>
      <c r="I17376" s="3">
        <v>0</v>
      </c>
      <c r="J17376" s="3">
        <v>0</v>
      </c>
      <c r="K17376" s="3">
        <v>0</v>
      </c>
      <c r="L17376" s="3">
        <v>1</v>
      </c>
      <c r="M17376" s="3">
        <v>0</v>
      </c>
      <c r="N17376" s="3">
        <v>0</v>
      </c>
      <c r="O17376" s="3"/>
      <c r="P17376" s="3"/>
      <c r="Q17376" s="3"/>
    </row>
    <row r="17377" spans="1:17" ht="15" x14ac:dyDescent="0.25">
      <c r="A17377" s="3">
        <f>17370</f>
        <v>17370</v>
      </c>
      <c r="B17377" s="3" t="s">
        <v>17379</v>
      </c>
      <c r="C17377" s="3" t="s">
        <v>10</v>
      </c>
      <c r="D17377" s="3" t="s">
        <v>9</v>
      </c>
      <c r="E17377" s="3">
        <v>0</v>
      </c>
      <c r="F17377" s="3">
        <v>0</v>
      </c>
      <c r="G17377" s="3">
        <v>1</v>
      </c>
      <c r="H17377" s="3">
        <v>0</v>
      </c>
      <c r="I17377" s="3">
        <v>0</v>
      </c>
      <c r="J17377" s="3">
        <v>0</v>
      </c>
      <c r="K17377" s="3">
        <v>0</v>
      </c>
      <c r="L17377" s="3">
        <v>1</v>
      </c>
      <c r="M17377" s="3">
        <v>0</v>
      </c>
      <c r="N17377" s="3">
        <v>0</v>
      </c>
      <c r="O17377" s="3"/>
      <c r="P17377" s="3"/>
      <c r="Q17377" s="3"/>
    </row>
    <row r="17378" spans="1:17" ht="15" x14ac:dyDescent="0.25">
      <c r="A17378" s="3">
        <f>17371</f>
        <v>17371</v>
      </c>
      <c r="B17378" s="3" t="s">
        <v>17380</v>
      </c>
      <c r="C17378" s="3" t="s">
        <v>10</v>
      </c>
      <c r="D17378" s="3" t="s">
        <v>9</v>
      </c>
      <c r="E17378" s="3">
        <v>0</v>
      </c>
      <c r="F17378" s="3">
        <v>0</v>
      </c>
      <c r="G17378" s="3">
        <v>1</v>
      </c>
      <c r="H17378" s="3">
        <v>0</v>
      </c>
      <c r="I17378" s="3">
        <v>0</v>
      </c>
      <c r="J17378" s="3">
        <v>0</v>
      </c>
      <c r="K17378" s="3">
        <v>0</v>
      </c>
      <c r="L17378" s="3">
        <v>1</v>
      </c>
      <c r="M17378" s="3">
        <v>0</v>
      </c>
      <c r="N17378" s="3">
        <v>0</v>
      </c>
      <c r="O17378" s="3" t="s">
        <v>10</v>
      </c>
      <c r="P17378" s="3" t="s">
        <v>9</v>
      </c>
      <c r="Q17378" s="3"/>
    </row>
    <row r="17379" spans="1:17" ht="15" x14ac:dyDescent="0.25">
      <c r="A17379" s="3">
        <f>17372</f>
        <v>17372</v>
      </c>
      <c r="B17379" s="3" t="s">
        <v>17381</v>
      </c>
      <c r="C17379" s="3" t="s">
        <v>10</v>
      </c>
      <c r="D17379" s="3" t="s">
        <v>9</v>
      </c>
      <c r="E17379" s="3">
        <v>0</v>
      </c>
      <c r="F17379" s="3">
        <v>0</v>
      </c>
      <c r="G17379" s="3">
        <v>1</v>
      </c>
      <c r="H17379" s="3">
        <v>0</v>
      </c>
      <c r="I17379" s="3">
        <v>0</v>
      </c>
      <c r="J17379" s="3">
        <v>0</v>
      </c>
      <c r="K17379" s="3">
        <v>0</v>
      </c>
      <c r="L17379" s="3">
        <v>1</v>
      </c>
      <c r="M17379" s="3">
        <v>0</v>
      </c>
      <c r="N17379" s="3">
        <v>0</v>
      </c>
      <c r="O17379" s="3" t="s">
        <v>10</v>
      </c>
      <c r="P17379" s="3" t="s">
        <v>9</v>
      </c>
      <c r="Q17379" s="3"/>
    </row>
    <row r="17380" spans="1:17" ht="15" x14ac:dyDescent="0.25">
      <c r="A17380" s="3">
        <f>17373</f>
        <v>17373</v>
      </c>
      <c r="B17380" s="3" t="s">
        <v>17382</v>
      </c>
      <c r="C17380" s="3" t="s">
        <v>9</v>
      </c>
      <c r="D17380" s="3" t="s">
        <v>10</v>
      </c>
      <c r="E17380" s="3">
        <v>0</v>
      </c>
      <c r="F17380" s="3">
        <v>0</v>
      </c>
      <c r="G17380" s="3">
        <v>1</v>
      </c>
      <c r="H17380" s="3">
        <v>0</v>
      </c>
      <c r="I17380" s="3">
        <v>0</v>
      </c>
      <c r="J17380" s="3">
        <v>0</v>
      </c>
      <c r="K17380" s="3">
        <v>0</v>
      </c>
      <c r="L17380" s="3">
        <v>1</v>
      </c>
      <c r="M17380" s="3">
        <v>0</v>
      </c>
      <c r="N17380" s="3">
        <v>0</v>
      </c>
      <c r="O17380" s="3" t="s">
        <v>10</v>
      </c>
      <c r="P17380" s="3" t="s">
        <v>9</v>
      </c>
      <c r="Q17380" s="3"/>
    </row>
    <row r="17381" spans="1:17" ht="15" x14ac:dyDescent="0.25">
      <c r="A17381" s="3">
        <f>17374</f>
        <v>17374</v>
      </c>
      <c r="B17381" s="3" t="s">
        <v>17383</v>
      </c>
      <c r="C17381" s="3" t="s">
        <v>9</v>
      </c>
      <c r="D17381" s="3" t="s">
        <v>10</v>
      </c>
      <c r="E17381" s="3">
        <v>0</v>
      </c>
      <c r="F17381" s="3">
        <v>0</v>
      </c>
      <c r="G17381" s="3">
        <v>1</v>
      </c>
      <c r="H17381" s="3">
        <v>0</v>
      </c>
      <c r="I17381" s="3">
        <v>0</v>
      </c>
      <c r="J17381" s="3">
        <v>0</v>
      </c>
      <c r="K17381" s="3">
        <v>0</v>
      </c>
      <c r="L17381" s="3">
        <v>1</v>
      </c>
      <c r="M17381" s="3">
        <v>0</v>
      </c>
      <c r="N17381" s="3">
        <v>0</v>
      </c>
      <c r="O17381" s="3" t="s">
        <v>10</v>
      </c>
      <c r="P17381" s="3" t="s">
        <v>9</v>
      </c>
      <c r="Q17381" s="3"/>
    </row>
    <row r="17382" spans="1:17" ht="15" x14ac:dyDescent="0.25">
      <c r="A17382" s="3">
        <f>17375</f>
        <v>17375</v>
      </c>
      <c r="B17382" s="3" t="s">
        <v>17384</v>
      </c>
      <c r="C17382" s="3" t="s">
        <v>9</v>
      </c>
      <c r="D17382" s="3" t="s">
        <v>10</v>
      </c>
      <c r="E17382" s="3">
        <v>0</v>
      </c>
      <c r="F17382" s="3">
        <v>0</v>
      </c>
      <c r="G17382" s="3">
        <v>1</v>
      </c>
      <c r="H17382" s="3">
        <v>0</v>
      </c>
      <c r="I17382" s="3">
        <v>0</v>
      </c>
      <c r="J17382" s="3">
        <v>0</v>
      </c>
      <c r="K17382" s="3">
        <v>0</v>
      </c>
      <c r="L17382" s="3">
        <v>1</v>
      </c>
      <c r="M17382" s="3">
        <v>0</v>
      </c>
      <c r="N17382" s="3">
        <v>0</v>
      </c>
      <c r="O17382" s="3" t="s">
        <v>10</v>
      </c>
      <c r="P17382" s="3" t="s">
        <v>9</v>
      </c>
      <c r="Q17382" s="3"/>
    </row>
    <row r="17383" spans="1:17" ht="15" x14ac:dyDescent="0.25">
      <c r="A17383" s="3">
        <f>17376</f>
        <v>17376</v>
      </c>
      <c r="B17383" s="3" t="s">
        <v>17385</v>
      </c>
      <c r="C17383" s="3" t="s">
        <v>9</v>
      </c>
      <c r="D17383" s="3" t="s">
        <v>10</v>
      </c>
      <c r="E17383" s="3">
        <v>0</v>
      </c>
      <c r="F17383" s="3">
        <v>0</v>
      </c>
      <c r="G17383" s="3">
        <v>1</v>
      </c>
      <c r="H17383" s="3">
        <v>0</v>
      </c>
      <c r="I17383" s="3">
        <v>0</v>
      </c>
      <c r="J17383" s="3">
        <v>0</v>
      </c>
      <c r="K17383" s="3">
        <v>0</v>
      </c>
      <c r="L17383" s="3">
        <v>1</v>
      </c>
      <c r="M17383" s="3">
        <v>0</v>
      </c>
      <c r="N17383" s="3">
        <v>0</v>
      </c>
      <c r="O17383" s="3" t="s">
        <v>10</v>
      </c>
      <c r="P17383" s="3" t="s">
        <v>9</v>
      </c>
      <c r="Q17383" s="3"/>
    </row>
    <row r="17384" spans="1:17" ht="15" x14ac:dyDescent="0.25">
      <c r="A17384" s="3">
        <f>17377</f>
        <v>17377</v>
      </c>
      <c r="B17384" s="3" t="s">
        <v>17386</v>
      </c>
      <c r="C17384" s="3" t="s">
        <v>9</v>
      </c>
      <c r="D17384" s="3" t="s">
        <v>10</v>
      </c>
      <c r="E17384" s="3">
        <v>0</v>
      </c>
      <c r="F17384" s="3">
        <v>0</v>
      </c>
      <c r="G17384" s="3">
        <v>1</v>
      </c>
      <c r="H17384" s="3">
        <v>0</v>
      </c>
      <c r="I17384" s="3">
        <v>0</v>
      </c>
      <c r="J17384" s="3">
        <v>0</v>
      </c>
      <c r="K17384" s="3">
        <v>0</v>
      </c>
      <c r="L17384" s="3">
        <v>1</v>
      </c>
      <c r="M17384" s="3">
        <v>0</v>
      </c>
      <c r="N17384" s="3">
        <v>0</v>
      </c>
      <c r="O17384" s="3" t="s">
        <v>10</v>
      </c>
      <c r="P17384" s="3" t="s">
        <v>9</v>
      </c>
      <c r="Q17384" s="3"/>
    </row>
    <row r="17385" spans="1:17" ht="15" x14ac:dyDescent="0.25">
      <c r="A17385" s="3">
        <f>17378</f>
        <v>17378</v>
      </c>
      <c r="B17385" s="3" t="s">
        <v>17387</v>
      </c>
      <c r="C17385" s="3" t="s">
        <v>9</v>
      </c>
      <c r="D17385" s="3" t="s">
        <v>10</v>
      </c>
      <c r="E17385" s="3">
        <v>0</v>
      </c>
      <c r="F17385" s="3">
        <v>0</v>
      </c>
      <c r="G17385" s="3">
        <v>1</v>
      </c>
      <c r="H17385" s="3">
        <v>0</v>
      </c>
      <c r="I17385" s="3">
        <v>0</v>
      </c>
      <c r="J17385" s="3">
        <v>0</v>
      </c>
      <c r="K17385" s="3">
        <v>0</v>
      </c>
      <c r="L17385" s="3">
        <v>1</v>
      </c>
      <c r="M17385" s="3">
        <v>0</v>
      </c>
      <c r="N17385" s="3">
        <v>0</v>
      </c>
      <c r="O17385" s="3" t="s">
        <v>10</v>
      </c>
      <c r="P17385" s="3" t="s">
        <v>9</v>
      </c>
      <c r="Q17385" s="3"/>
    </row>
    <row r="17386" spans="1:17" ht="15" x14ac:dyDescent="0.25">
      <c r="A17386" s="3">
        <f>17379</f>
        <v>17379</v>
      </c>
      <c r="B17386" s="3" t="s">
        <v>17388</v>
      </c>
      <c r="C17386" s="3" t="s">
        <v>10</v>
      </c>
      <c r="D17386" s="3" t="s">
        <v>9</v>
      </c>
      <c r="E17386" s="3">
        <v>0</v>
      </c>
      <c r="F17386" s="3">
        <v>0</v>
      </c>
      <c r="G17386" s="3">
        <v>1</v>
      </c>
      <c r="H17386" s="3">
        <v>0</v>
      </c>
      <c r="I17386" s="3">
        <v>0</v>
      </c>
      <c r="J17386" s="3">
        <v>0</v>
      </c>
      <c r="K17386" s="3">
        <v>0</v>
      </c>
      <c r="L17386" s="3">
        <v>1</v>
      </c>
      <c r="M17386" s="3">
        <v>0</v>
      </c>
      <c r="N17386" s="3">
        <v>0</v>
      </c>
      <c r="O17386" s="3" t="s">
        <v>10</v>
      </c>
      <c r="P17386" s="3" t="s">
        <v>9</v>
      </c>
      <c r="Q17386" s="3"/>
    </row>
    <row r="17387" spans="1:17" ht="15" x14ac:dyDescent="0.25">
      <c r="A17387" s="3">
        <f>17380</f>
        <v>17380</v>
      </c>
      <c r="B17387" s="3" t="s">
        <v>17389</v>
      </c>
      <c r="C17387" s="3" t="s">
        <v>10</v>
      </c>
      <c r="D17387" s="3" t="s">
        <v>9</v>
      </c>
      <c r="E17387" s="3">
        <v>0</v>
      </c>
      <c r="F17387" s="3">
        <v>0</v>
      </c>
      <c r="G17387" s="3">
        <v>1</v>
      </c>
      <c r="H17387" s="3">
        <v>0</v>
      </c>
      <c r="I17387" s="3">
        <v>0</v>
      </c>
      <c r="J17387" s="3">
        <v>0</v>
      </c>
      <c r="K17387" s="3">
        <v>0</v>
      </c>
      <c r="L17387" s="3">
        <v>1</v>
      </c>
      <c r="M17387" s="3">
        <v>0</v>
      </c>
      <c r="N17387" s="3">
        <v>0</v>
      </c>
      <c r="O17387" s="3" t="s">
        <v>10</v>
      </c>
      <c r="P17387" s="3" t="s">
        <v>9</v>
      </c>
      <c r="Q17387" s="3"/>
    </row>
    <row r="17388" spans="1:17" ht="15" x14ac:dyDescent="0.25">
      <c r="A17388" s="3">
        <f>17381</f>
        <v>17381</v>
      </c>
      <c r="B17388" s="3" t="s">
        <v>17390</v>
      </c>
      <c r="C17388" s="3" t="s">
        <v>10</v>
      </c>
      <c r="D17388" s="3" t="s">
        <v>9</v>
      </c>
      <c r="E17388" s="3">
        <v>0</v>
      </c>
      <c r="F17388" s="3">
        <v>0</v>
      </c>
      <c r="G17388" s="3">
        <v>1</v>
      </c>
      <c r="H17388" s="3">
        <v>0</v>
      </c>
      <c r="I17388" s="3">
        <v>0</v>
      </c>
      <c r="J17388" s="3">
        <v>0</v>
      </c>
      <c r="K17388" s="3">
        <v>0</v>
      </c>
      <c r="L17388" s="3">
        <v>1</v>
      </c>
      <c r="M17388" s="3">
        <v>0</v>
      </c>
      <c r="N17388" s="3">
        <v>0</v>
      </c>
      <c r="O17388" s="3" t="s">
        <v>10</v>
      </c>
      <c r="P17388" s="3" t="s">
        <v>9</v>
      </c>
      <c r="Q17388" s="3"/>
    </row>
    <row r="17389" spans="1:17" ht="15" x14ac:dyDescent="0.25">
      <c r="A17389" s="3">
        <f>17382</f>
        <v>17382</v>
      </c>
      <c r="B17389" s="3" t="s">
        <v>17391</v>
      </c>
      <c r="C17389" s="3" t="s">
        <v>10</v>
      </c>
      <c r="D17389" s="3" t="s">
        <v>9</v>
      </c>
      <c r="E17389" s="3">
        <v>0</v>
      </c>
      <c r="F17389" s="3">
        <v>0</v>
      </c>
      <c r="G17389" s="3">
        <v>1</v>
      </c>
      <c r="H17389" s="3">
        <v>0</v>
      </c>
      <c r="I17389" s="3">
        <v>0</v>
      </c>
      <c r="J17389" s="3">
        <v>0</v>
      </c>
      <c r="K17389" s="3">
        <v>0</v>
      </c>
      <c r="L17389" s="3">
        <v>1</v>
      </c>
      <c r="M17389" s="3">
        <v>0</v>
      </c>
      <c r="N17389" s="3">
        <v>0</v>
      </c>
      <c r="O17389" s="3" t="s">
        <v>10</v>
      </c>
      <c r="P17389" s="3" t="s">
        <v>9</v>
      </c>
      <c r="Q17389" s="3"/>
    </row>
    <row r="17390" spans="1:17" ht="15" x14ac:dyDescent="0.25">
      <c r="A17390" s="3">
        <f>17383</f>
        <v>17383</v>
      </c>
      <c r="B17390" s="3" t="s">
        <v>17392</v>
      </c>
      <c r="C17390" s="3" t="s">
        <v>10</v>
      </c>
      <c r="D17390" s="3" t="s">
        <v>9</v>
      </c>
      <c r="E17390" s="3">
        <v>0</v>
      </c>
      <c r="F17390" s="3">
        <v>0</v>
      </c>
      <c r="G17390" s="3">
        <v>1</v>
      </c>
      <c r="H17390" s="3">
        <v>0</v>
      </c>
      <c r="I17390" s="3">
        <v>0</v>
      </c>
      <c r="J17390" s="3">
        <v>0</v>
      </c>
      <c r="K17390" s="3">
        <v>0</v>
      </c>
      <c r="L17390" s="3">
        <v>1</v>
      </c>
      <c r="M17390" s="3">
        <v>0</v>
      </c>
      <c r="N17390" s="3">
        <v>0</v>
      </c>
      <c r="O17390" s="3" t="s">
        <v>10</v>
      </c>
      <c r="P17390" s="3" t="s">
        <v>9</v>
      </c>
      <c r="Q17390" s="3"/>
    </row>
    <row r="17391" spans="1:17" ht="15" x14ac:dyDescent="0.25">
      <c r="A17391" s="3">
        <f>17384</f>
        <v>17384</v>
      </c>
      <c r="B17391" s="3" t="s">
        <v>17393</v>
      </c>
      <c r="C17391" s="3" t="s">
        <v>10</v>
      </c>
      <c r="D17391" s="3" t="s">
        <v>9</v>
      </c>
      <c r="E17391" s="3">
        <v>0</v>
      </c>
      <c r="F17391" s="3">
        <v>0</v>
      </c>
      <c r="G17391" s="3">
        <v>1</v>
      </c>
      <c r="H17391" s="3">
        <v>0</v>
      </c>
      <c r="I17391" s="3">
        <v>0</v>
      </c>
      <c r="J17391" s="3">
        <v>0</v>
      </c>
      <c r="K17391" s="3">
        <v>0</v>
      </c>
      <c r="L17391" s="3">
        <v>1</v>
      </c>
      <c r="M17391" s="3">
        <v>0</v>
      </c>
      <c r="N17391" s="3">
        <v>0</v>
      </c>
      <c r="O17391" s="3" t="s">
        <v>10</v>
      </c>
      <c r="P17391" s="3" t="s">
        <v>9</v>
      </c>
      <c r="Q17391" s="3"/>
    </row>
    <row r="17392" spans="1:17" ht="15" x14ac:dyDescent="0.25">
      <c r="A17392" s="3">
        <f>17385</f>
        <v>17385</v>
      </c>
      <c r="B17392" s="3" t="s">
        <v>17394</v>
      </c>
      <c r="C17392" s="3" t="s">
        <v>10</v>
      </c>
      <c r="D17392" s="3" t="s">
        <v>9</v>
      </c>
      <c r="E17392" s="3">
        <v>0</v>
      </c>
      <c r="F17392" s="3">
        <v>0</v>
      </c>
      <c r="G17392" s="3">
        <v>1</v>
      </c>
      <c r="H17392" s="3">
        <v>0</v>
      </c>
      <c r="I17392" s="3">
        <v>0</v>
      </c>
      <c r="J17392" s="3">
        <v>0</v>
      </c>
      <c r="K17392" s="3">
        <v>0</v>
      </c>
      <c r="L17392" s="3">
        <v>1</v>
      </c>
      <c r="M17392" s="3">
        <v>0</v>
      </c>
      <c r="N17392" s="3">
        <v>0</v>
      </c>
      <c r="O17392" s="3" t="s">
        <v>10</v>
      </c>
      <c r="P17392" s="3" t="s">
        <v>9</v>
      </c>
      <c r="Q17392" s="3"/>
    </row>
    <row r="17393" spans="1:17" ht="15" x14ac:dyDescent="0.25">
      <c r="A17393" s="3">
        <f>17386</f>
        <v>17386</v>
      </c>
      <c r="B17393" s="3" t="s">
        <v>17395</v>
      </c>
      <c r="C17393" s="3" t="s">
        <v>10</v>
      </c>
      <c r="D17393" s="3" t="s">
        <v>9</v>
      </c>
      <c r="E17393" s="3">
        <v>0</v>
      </c>
      <c r="F17393" s="3">
        <v>0</v>
      </c>
      <c r="G17393" s="3">
        <v>1</v>
      </c>
      <c r="H17393" s="3">
        <v>0</v>
      </c>
      <c r="I17393" s="3">
        <v>0</v>
      </c>
      <c r="J17393" s="3">
        <v>0</v>
      </c>
      <c r="K17393" s="3">
        <v>0</v>
      </c>
      <c r="L17393" s="3">
        <v>1</v>
      </c>
      <c r="M17393" s="3">
        <v>0</v>
      </c>
      <c r="N17393" s="3">
        <v>0</v>
      </c>
      <c r="O17393" s="3" t="s">
        <v>10</v>
      </c>
      <c r="P17393" s="3" t="s">
        <v>9</v>
      </c>
      <c r="Q17393" s="3"/>
    </row>
    <row r="17394" spans="1:17" ht="15" x14ac:dyDescent="0.25">
      <c r="A17394" s="3">
        <f>17387</f>
        <v>17387</v>
      </c>
      <c r="B17394" s="3" t="s">
        <v>17396</v>
      </c>
      <c r="C17394" s="3" t="s">
        <v>10</v>
      </c>
      <c r="D17394" s="3" t="s">
        <v>9</v>
      </c>
      <c r="E17394" s="3">
        <v>0</v>
      </c>
      <c r="F17394" s="3">
        <v>0</v>
      </c>
      <c r="G17394" s="3">
        <v>1</v>
      </c>
      <c r="H17394" s="3">
        <v>0</v>
      </c>
      <c r="I17394" s="3">
        <v>0</v>
      </c>
      <c r="J17394" s="3">
        <v>0</v>
      </c>
      <c r="K17394" s="3">
        <v>0</v>
      </c>
      <c r="L17394" s="3">
        <v>1</v>
      </c>
      <c r="M17394" s="3">
        <v>0</v>
      </c>
      <c r="N17394" s="3">
        <v>0</v>
      </c>
      <c r="O17394" s="3" t="s">
        <v>10</v>
      </c>
      <c r="P17394" s="3" t="s">
        <v>9</v>
      </c>
      <c r="Q17394" s="3"/>
    </row>
    <row r="17395" spans="1:17" ht="15" x14ac:dyDescent="0.25">
      <c r="A17395" s="3">
        <f>17388</f>
        <v>17388</v>
      </c>
      <c r="B17395" s="3" t="s">
        <v>17397</v>
      </c>
      <c r="C17395" s="3" t="s">
        <v>10</v>
      </c>
      <c r="D17395" s="3" t="s">
        <v>9</v>
      </c>
      <c r="E17395" s="3">
        <v>0</v>
      </c>
      <c r="F17395" s="3">
        <v>0</v>
      </c>
      <c r="G17395" s="3">
        <v>1</v>
      </c>
      <c r="H17395" s="3">
        <v>0</v>
      </c>
      <c r="I17395" s="3">
        <v>0</v>
      </c>
      <c r="J17395" s="3">
        <v>0</v>
      </c>
      <c r="K17395" s="3">
        <v>0</v>
      </c>
      <c r="L17395" s="3">
        <v>1</v>
      </c>
      <c r="M17395" s="3">
        <v>0</v>
      </c>
      <c r="N17395" s="3">
        <v>0</v>
      </c>
      <c r="O17395" s="3" t="s">
        <v>10</v>
      </c>
      <c r="P17395" s="3" t="s">
        <v>9</v>
      </c>
      <c r="Q17395" s="3"/>
    </row>
    <row r="17396" spans="1:17" ht="15" x14ac:dyDescent="0.25">
      <c r="A17396" s="3">
        <f>17389</f>
        <v>17389</v>
      </c>
      <c r="B17396" s="3" t="s">
        <v>17398</v>
      </c>
      <c r="C17396" s="3" t="s">
        <v>10</v>
      </c>
      <c r="D17396" s="3" t="s">
        <v>9</v>
      </c>
      <c r="E17396" s="3">
        <v>0</v>
      </c>
      <c r="F17396" s="3">
        <v>0</v>
      </c>
      <c r="G17396" s="3">
        <v>1</v>
      </c>
      <c r="H17396" s="3">
        <v>0</v>
      </c>
      <c r="I17396" s="3">
        <v>0</v>
      </c>
      <c r="J17396" s="3">
        <v>0</v>
      </c>
      <c r="K17396" s="3">
        <v>0</v>
      </c>
      <c r="L17396" s="3">
        <v>1</v>
      </c>
      <c r="M17396" s="3">
        <v>0</v>
      </c>
      <c r="N17396" s="3">
        <v>0</v>
      </c>
      <c r="O17396" s="3" t="s">
        <v>10</v>
      </c>
      <c r="P17396" s="3" t="s">
        <v>9</v>
      </c>
      <c r="Q17396" s="3"/>
    </row>
    <row r="17397" spans="1:17" ht="15" x14ac:dyDescent="0.25">
      <c r="A17397" s="3">
        <f>17390</f>
        <v>17390</v>
      </c>
      <c r="B17397" s="3" t="s">
        <v>17399</v>
      </c>
      <c r="C17397" s="3" t="s">
        <v>10</v>
      </c>
      <c r="D17397" s="3" t="s">
        <v>9</v>
      </c>
      <c r="E17397" s="3">
        <v>0</v>
      </c>
      <c r="F17397" s="3">
        <v>0</v>
      </c>
      <c r="G17397" s="3">
        <v>1</v>
      </c>
      <c r="H17397" s="3">
        <v>0</v>
      </c>
      <c r="I17397" s="3">
        <v>0</v>
      </c>
      <c r="J17397" s="3">
        <v>0</v>
      </c>
      <c r="K17397" s="3">
        <v>0</v>
      </c>
      <c r="L17397" s="3">
        <v>1</v>
      </c>
      <c r="M17397" s="3">
        <v>0</v>
      </c>
      <c r="N17397" s="3">
        <v>0</v>
      </c>
      <c r="O17397" s="3" t="s">
        <v>10</v>
      </c>
      <c r="P17397" s="3" t="s">
        <v>9</v>
      </c>
      <c r="Q17397" s="3"/>
    </row>
    <row r="17398" spans="1:17" ht="15" x14ac:dyDescent="0.25">
      <c r="A17398" s="3">
        <f>17391</f>
        <v>17391</v>
      </c>
      <c r="B17398" s="3" t="s">
        <v>17400</v>
      </c>
      <c r="C17398" s="3" t="s">
        <v>10</v>
      </c>
      <c r="D17398" s="3" t="s">
        <v>9</v>
      </c>
      <c r="E17398" s="3">
        <v>0</v>
      </c>
      <c r="F17398" s="3">
        <v>0</v>
      </c>
      <c r="G17398" s="3">
        <v>1</v>
      </c>
      <c r="H17398" s="3">
        <v>0</v>
      </c>
      <c r="I17398" s="3">
        <v>0</v>
      </c>
      <c r="J17398" s="3">
        <v>0</v>
      </c>
      <c r="K17398" s="3">
        <v>0</v>
      </c>
      <c r="L17398" s="3">
        <v>1</v>
      </c>
      <c r="M17398" s="3">
        <v>0</v>
      </c>
      <c r="N17398" s="3">
        <v>0</v>
      </c>
      <c r="O17398" s="3" t="s">
        <v>10</v>
      </c>
      <c r="P17398" s="3" t="s">
        <v>9</v>
      </c>
      <c r="Q17398" s="3"/>
    </row>
    <row r="17399" spans="1:17" ht="15" x14ac:dyDescent="0.25">
      <c r="A17399" s="3">
        <f>17392</f>
        <v>17392</v>
      </c>
      <c r="B17399" s="3" t="s">
        <v>17401</v>
      </c>
      <c r="C17399" s="3" t="s">
        <v>10</v>
      </c>
      <c r="D17399" s="3" t="s">
        <v>9</v>
      </c>
      <c r="E17399" s="3">
        <v>0</v>
      </c>
      <c r="F17399" s="3">
        <v>0</v>
      </c>
      <c r="G17399" s="3">
        <v>1</v>
      </c>
      <c r="H17399" s="3">
        <v>0</v>
      </c>
      <c r="I17399" s="3">
        <v>0</v>
      </c>
      <c r="J17399" s="3">
        <v>0</v>
      </c>
      <c r="K17399" s="3">
        <v>0</v>
      </c>
      <c r="L17399" s="3">
        <v>1</v>
      </c>
      <c r="M17399" s="3">
        <v>0</v>
      </c>
      <c r="N17399" s="3">
        <v>0</v>
      </c>
      <c r="O17399" s="3" t="s">
        <v>10</v>
      </c>
      <c r="P17399" s="3" t="s">
        <v>9</v>
      </c>
      <c r="Q17399" s="3"/>
    </row>
    <row r="17400" spans="1:17" ht="15" x14ac:dyDescent="0.25">
      <c r="A17400" s="3">
        <f>17393</f>
        <v>17393</v>
      </c>
      <c r="B17400" s="3" t="s">
        <v>17402</v>
      </c>
      <c r="C17400" s="3" t="s">
        <v>10</v>
      </c>
      <c r="D17400" s="3" t="s">
        <v>9</v>
      </c>
      <c r="E17400" s="3">
        <v>0</v>
      </c>
      <c r="F17400" s="3">
        <v>0</v>
      </c>
      <c r="G17400" s="3">
        <v>1</v>
      </c>
      <c r="H17400" s="3">
        <v>0</v>
      </c>
      <c r="I17400" s="3">
        <v>0</v>
      </c>
      <c r="J17400" s="3">
        <v>0</v>
      </c>
      <c r="K17400" s="3">
        <v>0</v>
      </c>
      <c r="L17400" s="3">
        <v>1</v>
      </c>
      <c r="M17400" s="3">
        <v>0</v>
      </c>
      <c r="N17400" s="3">
        <v>0</v>
      </c>
      <c r="O17400" s="3" t="s">
        <v>10</v>
      </c>
      <c r="P17400" s="3" t="s">
        <v>9</v>
      </c>
      <c r="Q17400" s="3"/>
    </row>
    <row r="17401" spans="1:17" ht="15" x14ac:dyDescent="0.25">
      <c r="A17401" s="3">
        <f>17394</f>
        <v>17394</v>
      </c>
      <c r="B17401" s="3" t="s">
        <v>17403</v>
      </c>
      <c r="C17401" s="3" t="s">
        <v>10</v>
      </c>
      <c r="D17401" s="3" t="s">
        <v>9</v>
      </c>
      <c r="E17401" s="3">
        <v>0</v>
      </c>
      <c r="F17401" s="3">
        <v>0</v>
      </c>
      <c r="G17401" s="3">
        <v>1</v>
      </c>
      <c r="H17401" s="3">
        <v>0</v>
      </c>
      <c r="I17401" s="3">
        <v>0</v>
      </c>
      <c r="J17401" s="3">
        <v>0</v>
      </c>
      <c r="K17401" s="3">
        <v>0</v>
      </c>
      <c r="L17401" s="3">
        <v>1</v>
      </c>
      <c r="M17401" s="3">
        <v>0</v>
      </c>
      <c r="N17401" s="3">
        <v>0</v>
      </c>
      <c r="O17401" s="3" t="s">
        <v>10</v>
      </c>
      <c r="P17401" s="3" t="s">
        <v>9</v>
      </c>
      <c r="Q17401" s="3"/>
    </row>
    <row r="17402" spans="1:17" ht="15" x14ac:dyDescent="0.25">
      <c r="A17402" s="3">
        <f>17395</f>
        <v>17395</v>
      </c>
      <c r="B17402" s="3" t="s">
        <v>17404</v>
      </c>
      <c r="C17402" s="3" t="s">
        <v>10</v>
      </c>
      <c r="D17402" s="3" t="s">
        <v>9</v>
      </c>
      <c r="E17402" s="3">
        <v>0</v>
      </c>
      <c r="F17402" s="3">
        <v>0</v>
      </c>
      <c r="G17402" s="3">
        <v>1</v>
      </c>
      <c r="H17402" s="3">
        <v>0</v>
      </c>
      <c r="I17402" s="3">
        <v>0</v>
      </c>
      <c r="J17402" s="3">
        <v>0</v>
      </c>
      <c r="K17402" s="3">
        <v>0</v>
      </c>
      <c r="L17402" s="3">
        <v>1</v>
      </c>
      <c r="M17402" s="3">
        <v>0</v>
      </c>
      <c r="N17402" s="3">
        <v>0</v>
      </c>
      <c r="O17402" s="3" t="s">
        <v>9</v>
      </c>
      <c r="P17402" s="3" t="s">
        <v>9</v>
      </c>
      <c r="Q17402" s="3"/>
    </row>
    <row r="17403" spans="1:17" ht="15" x14ac:dyDescent="0.25">
      <c r="A17403" s="3">
        <f>17396</f>
        <v>17396</v>
      </c>
      <c r="B17403" s="3" t="s">
        <v>17405</v>
      </c>
      <c r="C17403" s="3" t="s">
        <v>10</v>
      </c>
      <c r="D17403" s="3" t="s">
        <v>9</v>
      </c>
      <c r="E17403" s="3">
        <v>0</v>
      </c>
      <c r="F17403" s="3">
        <v>0</v>
      </c>
      <c r="G17403" s="3">
        <v>1</v>
      </c>
      <c r="H17403" s="3">
        <v>0</v>
      </c>
      <c r="I17403" s="3">
        <v>0</v>
      </c>
      <c r="J17403" s="3">
        <v>0</v>
      </c>
      <c r="K17403" s="3">
        <v>0</v>
      </c>
      <c r="L17403" s="3">
        <v>1</v>
      </c>
      <c r="M17403" s="3">
        <v>0</v>
      </c>
      <c r="N17403" s="3">
        <v>0</v>
      </c>
      <c r="O17403" s="3" t="s">
        <v>9</v>
      </c>
      <c r="P17403" s="3" t="s">
        <v>9</v>
      </c>
      <c r="Q17403" s="3"/>
    </row>
    <row r="17404" spans="1:17" ht="15" x14ac:dyDescent="0.25">
      <c r="A17404" s="3">
        <f>17397</f>
        <v>17397</v>
      </c>
      <c r="B17404" s="3" t="s">
        <v>17406</v>
      </c>
      <c r="C17404" s="3" t="s">
        <v>10</v>
      </c>
      <c r="D17404" s="3" t="s">
        <v>9</v>
      </c>
      <c r="E17404" s="3">
        <v>0</v>
      </c>
      <c r="F17404" s="3">
        <v>0</v>
      </c>
      <c r="G17404" s="3">
        <v>1</v>
      </c>
      <c r="H17404" s="3">
        <v>0</v>
      </c>
      <c r="I17404" s="3">
        <v>0</v>
      </c>
      <c r="J17404" s="3">
        <v>0</v>
      </c>
      <c r="K17404" s="3">
        <v>0</v>
      </c>
      <c r="L17404" s="3">
        <v>1</v>
      </c>
      <c r="M17404" s="3">
        <v>0</v>
      </c>
      <c r="N17404" s="3">
        <v>0</v>
      </c>
      <c r="O17404" s="3" t="s">
        <v>9</v>
      </c>
      <c r="P17404" s="3" t="s">
        <v>9</v>
      </c>
      <c r="Q17404" s="3"/>
    </row>
    <row r="17405" spans="1:17" ht="15" x14ac:dyDescent="0.25">
      <c r="A17405" s="3">
        <f>17398</f>
        <v>17398</v>
      </c>
      <c r="B17405" s="3" t="s">
        <v>17407</v>
      </c>
      <c r="C17405" s="3" t="s">
        <v>10</v>
      </c>
      <c r="D17405" s="3" t="s">
        <v>9</v>
      </c>
      <c r="E17405" s="3">
        <v>0</v>
      </c>
      <c r="F17405" s="3">
        <v>0</v>
      </c>
      <c r="G17405" s="3">
        <v>1</v>
      </c>
      <c r="H17405" s="3">
        <v>0</v>
      </c>
      <c r="I17405" s="3">
        <v>0</v>
      </c>
      <c r="J17405" s="3">
        <v>0</v>
      </c>
      <c r="K17405" s="3">
        <v>0</v>
      </c>
      <c r="L17405" s="3">
        <v>1</v>
      </c>
      <c r="M17405" s="3">
        <v>0</v>
      </c>
      <c r="N17405" s="3">
        <v>0</v>
      </c>
      <c r="O17405" s="3" t="s">
        <v>10</v>
      </c>
      <c r="P17405" s="3" t="s">
        <v>9</v>
      </c>
      <c r="Q17405" s="3"/>
    </row>
    <row r="17406" spans="1:17" ht="15" x14ac:dyDescent="0.25">
      <c r="A17406" s="3">
        <f>17399</f>
        <v>17399</v>
      </c>
      <c r="B17406" s="3" t="s">
        <v>17408</v>
      </c>
      <c r="C17406" s="3" t="s">
        <v>10</v>
      </c>
      <c r="D17406" s="3" t="s">
        <v>9</v>
      </c>
      <c r="E17406" s="3">
        <v>0</v>
      </c>
      <c r="F17406" s="3">
        <v>0</v>
      </c>
      <c r="G17406" s="3">
        <v>1</v>
      </c>
      <c r="H17406" s="3">
        <v>0</v>
      </c>
      <c r="I17406" s="3">
        <v>0</v>
      </c>
      <c r="J17406" s="3">
        <v>0</v>
      </c>
      <c r="K17406" s="3">
        <v>0</v>
      </c>
      <c r="L17406" s="3">
        <v>1</v>
      </c>
      <c r="M17406" s="3">
        <v>0</v>
      </c>
      <c r="N17406" s="3">
        <v>0</v>
      </c>
      <c r="O17406" s="3" t="s">
        <v>10</v>
      </c>
      <c r="P17406" s="3" t="s">
        <v>9</v>
      </c>
      <c r="Q17406" s="3"/>
    </row>
    <row r="17407" spans="1:17" ht="15" x14ac:dyDescent="0.25">
      <c r="A17407" s="3">
        <f>17400</f>
        <v>17400</v>
      </c>
      <c r="B17407" s="3" t="s">
        <v>17409</v>
      </c>
      <c r="C17407" s="3" t="s">
        <v>10</v>
      </c>
      <c r="D17407" s="3" t="s">
        <v>9</v>
      </c>
      <c r="E17407" s="3">
        <v>0</v>
      </c>
      <c r="F17407" s="3">
        <v>0</v>
      </c>
      <c r="G17407" s="3">
        <v>1</v>
      </c>
      <c r="H17407" s="3">
        <v>0</v>
      </c>
      <c r="I17407" s="3">
        <v>0</v>
      </c>
      <c r="J17407" s="3">
        <v>0</v>
      </c>
      <c r="K17407" s="3">
        <v>0</v>
      </c>
      <c r="L17407" s="3">
        <v>1</v>
      </c>
      <c r="M17407" s="3">
        <v>0</v>
      </c>
      <c r="N17407" s="3">
        <v>0</v>
      </c>
      <c r="O17407" s="3" t="s">
        <v>10</v>
      </c>
      <c r="P17407" s="3" t="s">
        <v>9</v>
      </c>
      <c r="Q17407" s="3"/>
    </row>
    <row r="17408" spans="1:17" ht="15" x14ac:dyDescent="0.25">
      <c r="A17408" s="3">
        <f>17401</f>
        <v>17401</v>
      </c>
      <c r="B17408" s="3" t="s">
        <v>17410</v>
      </c>
      <c r="C17408" s="3" t="s">
        <v>10</v>
      </c>
      <c r="D17408" s="3" t="s">
        <v>9</v>
      </c>
      <c r="E17408" s="3">
        <v>0</v>
      </c>
      <c r="F17408" s="3">
        <v>0</v>
      </c>
      <c r="G17408" s="3">
        <v>1</v>
      </c>
      <c r="H17408" s="3">
        <v>0</v>
      </c>
      <c r="I17408" s="3">
        <v>0</v>
      </c>
      <c r="J17408" s="3">
        <v>0</v>
      </c>
      <c r="K17408" s="3">
        <v>0</v>
      </c>
      <c r="L17408" s="3">
        <v>1</v>
      </c>
      <c r="M17408" s="3">
        <v>0</v>
      </c>
      <c r="N17408" s="3">
        <v>0</v>
      </c>
      <c r="O17408" s="3" t="s">
        <v>10</v>
      </c>
      <c r="P17408" s="3" t="s">
        <v>9</v>
      </c>
      <c r="Q17408" s="3"/>
    </row>
    <row r="17409" spans="1:17" ht="15" x14ac:dyDescent="0.25">
      <c r="A17409" s="3">
        <f>17402</f>
        <v>17402</v>
      </c>
      <c r="B17409" s="3" t="s">
        <v>17411</v>
      </c>
      <c r="C17409" s="3" t="s">
        <v>10</v>
      </c>
      <c r="D17409" s="3" t="s">
        <v>9</v>
      </c>
      <c r="E17409" s="3">
        <v>0</v>
      </c>
      <c r="F17409" s="3">
        <v>0</v>
      </c>
      <c r="G17409" s="3">
        <v>1</v>
      </c>
      <c r="H17409" s="3">
        <v>0</v>
      </c>
      <c r="I17409" s="3">
        <v>0</v>
      </c>
      <c r="J17409" s="3">
        <v>0</v>
      </c>
      <c r="K17409" s="3">
        <v>0</v>
      </c>
      <c r="L17409" s="3">
        <v>1</v>
      </c>
      <c r="M17409" s="3">
        <v>0</v>
      </c>
      <c r="N17409" s="3">
        <v>0</v>
      </c>
      <c r="O17409" s="3" t="s">
        <v>10</v>
      </c>
      <c r="P17409" s="3" t="s">
        <v>9</v>
      </c>
      <c r="Q17409" s="3"/>
    </row>
    <row r="17410" spans="1:17" ht="15" x14ac:dyDescent="0.25">
      <c r="A17410" s="3">
        <f>17403</f>
        <v>17403</v>
      </c>
      <c r="B17410" s="3" t="s">
        <v>17412</v>
      </c>
      <c r="C17410" s="3" t="s">
        <v>10</v>
      </c>
      <c r="D17410" s="3" t="s">
        <v>9</v>
      </c>
      <c r="E17410" s="3">
        <v>0</v>
      </c>
      <c r="F17410" s="3">
        <v>0</v>
      </c>
      <c r="G17410" s="3">
        <v>1</v>
      </c>
      <c r="H17410" s="3">
        <v>0</v>
      </c>
      <c r="I17410" s="3">
        <v>0</v>
      </c>
      <c r="J17410" s="3">
        <v>0</v>
      </c>
      <c r="K17410" s="3">
        <v>0</v>
      </c>
      <c r="L17410" s="3">
        <v>1</v>
      </c>
      <c r="M17410" s="3">
        <v>0</v>
      </c>
      <c r="N17410" s="3">
        <v>0</v>
      </c>
      <c r="O17410" s="3" t="s">
        <v>10</v>
      </c>
      <c r="P17410" s="3" t="s">
        <v>9</v>
      </c>
      <c r="Q17410" s="3"/>
    </row>
    <row r="17411" spans="1:17" ht="15" x14ac:dyDescent="0.25">
      <c r="A17411" s="3">
        <f>17404</f>
        <v>17404</v>
      </c>
      <c r="B17411" s="3" t="s">
        <v>17413</v>
      </c>
      <c r="C17411" s="3" t="s">
        <v>10</v>
      </c>
      <c r="D17411" s="3" t="s">
        <v>9</v>
      </c>
      <c r="E17411" s="3">
        <v>0</v>
      </c>
      <c r="F17411" s="3">
        <v>0</v>
      </c>
      <c r="G17411" s="3">
        <v>1</v>
      </c>
      <c r="H17411" s="3">
        <v>0</v>
      </c>
      <c r="I17411" s="3">
        <v>0</v>
      </c>
      <c r="J17411" s="3">
        <v>0</v>
      </c>
      <c r="K17411" s="3">
        <v>0</v>
      </c>
      <c r="L17411" s="3">
        <v>1</v>
      </c>
      <c r="M17411" s="3">
        <v>0</v>
      </c>
      <c r="N17411" s="3">
        <v>0</v>
      </c>
      <c r="O17411" s="3" t="s">
        <v>10</v>
      </c>
      <c r="P17411" s="3" t="s">
        <v>9</v>
      </c>
      <c r="Q17411" s="3"/>
    </row>
    <row r="17412" spans="1:17" ht="15" x14ac:dyDescent="0.25">
      <c r="A17412" s="3">
        <f>17405</f>
        <v>17405</v>
      </c>
      <c r="B17412" s="3" t="s">
        <v>17414</v>
      </c>
      <c r="C17412" s="3" t="s">
        <v>10</v>
      </c>
      <c r="D17412" s="3" t="s">
        <v>9</v>
      </c>
      <c r="E17412" s="3">
        <v>0</v>
      </c>
      <c r="F17412" s="3">
        <v>0</v>
      </c>
      <c r="G17412" s="3">
        <v>1</v>
      </c>
      <c r="H17412" s="3">
        <v>0</v>
      </c>
      <c r="I17412" s="3">
        <v>0</v>
      </c>
      <c r="J17412" s="3">
        <v>0</v>
      </c>
      <c r="K17412" s="3">
        <v>0</v>
      </c>
      <c r="L17412" s="3">
        <v>1</v>
      </c>
      <c r="M17412" s="3">
        <v>0</v>
      </c>
      <c r="N17412" s="3">
        <v>0</v>
      </c>
      <c r="O17412" s="3" t="s">
        <v>10</v>
      </c>
      <c r="P17412" s="3" t="s">
        <v>9</v>
      </c>
      <c r="Q17412" s="3"/>
    </row>
    <row r="17413" spans="1:17" ht="15" x14ac:dyDescent="0.25">
      <c r="A17413" s="3">
        <f>17406</f>
        <v>17406</v>
      </c>
      <c r="B17413" s="3" t="s">
        <v>17415</v>
      </c>
      <c r="C17413" s="3" t="s">
        <v>10</v>
      </c>
      <c r="D17413" s="3" t="s">
        <v>9</v>
      </c>
      <c r="E17413" s="3">
        <v>0</v>
      </c>
      <c r="F17413" s="3">
        <v>0</v>
      </c>
      <c r="G17413" s="3">
        <v>1</v>
      </c>
      <c r="H17413" s="3">
        <v>0</v>
      </c>
      <c r="I17413" s="3">
        <v>0</v>
      </c>
      <c r="J17413" s="3">
        <v>0</v>
      </c>
      <c r="K17413" s="3">
        <v>0</v>
      </c>
      <c r="L17413" s="3">
        <v>1</v>
      </c>
      <c r="M17413" s="3">
        <v>0</v>
      </c>
      <c r="N17413" s="3">
        <v>0</v>
      </c>
      <c r="O17413" s="3" t="s">
        <v>10</v>
      </c>
      <c r="P17413" s="3" t="s">
        <v>9</v>
      </c>
      <c r="Q17413" s="3"/>
    </row>
    <row r="17414" spans="1:17" ht="15" x14ac:dyDescent="0.25">
      <c r="A17414" s="3">
        <f>17407</f>
        <v>17407</v>
      </c>
      <c r="B17414" s="3" t="s">
        <v>17416</v>
      </c>
      <c r="C17414" s="3" t="s">
        <v>10</v>
      </c>
      <c r="D17414" s="3" t="s">
        <v>9</v>
      </c>
      <c r="E17414" s="3">
        <v>0</v>
      </c>
      <c r="F17414" s="3">
        <v>0</v>
      </c>
      <c r="G17414" s="3">
        <v>1</v>
      </c>
      <c r="H17414" s="3">
        <v>0</v>
      </c>
      <c r="I17414" s="3">
        <v>0</v>
      </c>
      <c r="J17414" s="3">
        <v>0</v>
      </c>
      <c r="K17414" s="3">
        <v>0</v>
      </c>
      <c r="L17414" s="3">
        <v>1</v>
      </c>
      <c r="M17414" s="3">
        <v>0</v>
      </c>
      <c r="N17414" s="3">
        <v>0</v>
      </c>
      <c r="O17414" s="3" t="s">
        <v>10</v>
      </c>
      <c r="P17414" s="3" t="s">
        <v>9</v>
      </c>
      <c r="Q17414" s="3"/>
    </row>
    <row r="17415" spans="1:17" ht="15" x14ac:dyDescent="0.25">
      <c r="A17415" s="3">
        <f>17408</f>
        <v>17408</v>
      </c>
      <c r="B17415" s="3" t="s">
        <v>17417</v>
      </c>
      <c r="C17415" s="3" t="s">
        <v>10</v>
      </c>
      <c r="D17415" s="3" t="s">
        <v>9</v>
      </c>
      <c r="E17415" s="3">
        <v>0</v>
      </c>
      <c r="F17415" s="3">
        <v>0</v>
      </c>
      <c r="G17415" s="3">
        <v>1</v>
      </c>
      <c r="H17415" s="3">
        <v>0</v>
      </c>
      <c r="I17415" s="3">
        <v>0</v>
      </c>
      <c r="J17415" s="3">
        <v>0</v>
      </c>
      <c r="K17415" s="3">
        <v>0</v>
      </c>
      <c r="L17415" s="3">
        <v>1</v>
      </c>
      <c r="M17415" s="3">
        <v>0</v>
      </c>
      <c r="N17415" s="3">
        <v>0</v>
      </c>
      <c r="O17415" s="3" t="s">
        <v>10</v>
      </c>
      <c r="P17415" s="3" t="s">
        <v>9</v>
      </c>
      <c r="Q17415" s="3"/>
    </row>
    <row r="17416" spans="1:17" ht="15" x14ac:dyDescent="0.25">
      <c r="A17416" s="3">
        <f>17409</f>
        <v>17409</v>
      </c>
      <c r="B17416" s="3" t="s">
        <v>17418</v>
      </c>
      <c r="C17416" s="3" t="s">
        <v>10</v>
      </c>
      <c r="D17416" s="3" t="s">
        <v>9</v>
      </c>
      <c r="E17416" s="3">
        <v>0</v>
      </c>
      <c r="F17416" s="3">
        <v>0</v>
      </c>
      <c r="G17416" s="3">
        <v>1</v>
      </c>
      <c r="H17416" s="3">
        <v>0</v>
      </c>
      <c r="I17416" s="3">
        <v>0</v>
      </c>
      <c r="J17416" s="3">
        <v>0</v>
      </c>
      <c r="K17416" s="3">
        <v>0</v>
      </c>
      <c r="L17416" s="3">
        <v>1</v>
      </c>
      <c r="M17416" s="3">
        <v>0</v>
      </c>
      <c r="N17416" s="3">
        <v>0</v>
      </c>
      <c r="O17416" s="3" t="s">
        <v>10</v>
      </c>
      <c r="P17416" s="3" t="s">
        <v>9</v>
      </c>
      <c r="Q17416" s="3"/>
    </row>
    <row r="17417" spans="1:17" ht="15" x14ac:dyDescent="0.25">
      <c r="A17417" s="3">
        <f>17410</f>
        <v>17410</v>
      </c>
      <c r="B17417" s="3" t="s">
        <v>17419</v>
      </c>
      <c r="C17417" s="3" t="s">
        <v>10</v>
      </c>
      <c r="D17417" s="3" t="s">
        <v>9</v>
      </c>
      <c r="E17417" s="3">
        <v>0</v>
      </c>
      <c r="F17417" s="3">
        <v>0</v>
      </c>
      <c r="G17417" s="3">
        <v>1</v>
      </c>
      <c r="H17417" s="3">
        <v>0</v>
      </c>
      <c r="I17417" s="3">
        <v>0</v>
      </c>
      <c r="J17417" s="3">
        <v>0</v>
      </c>
      <c r="K17417" s="3">
        <v>0</v>
      </c>
      <c r="L17417" s="3">
        <v>1</v>
      </c>
      <c r="M17417" s="3">
        <v>0</v>
      </c>
      <c r="N17417" s="3">
        <v>0</v>
      </c>
      <c r="O17417" s="3" t="s">
        <v>10</v>
      </c>
      <c r="P17417" s="3" t="s">
        <v>9</v>
      </c>
      <c r="Q17417" s="3"/>
    </row>
    <row r="17418" spans="1:17" ht="15" x14ac:dyDescent="0.25">
      <c r="A17418" s="3">
        <f>17411</f>
        <v>17411</v>
      </c>
      <c r="B17418" s="3" t="s">
        <v>17420</v>
      </c>
      <c r="C17418" s="3" t="s">
        <v>10</v>
      </c>
      <c r="D17418" s="3" t="s">
        <v>9</v>
      </c>
      <c r="E17418" s="3">
        <v>0</v>
      </c>
      <c r="F17418" s="3">
        <v>0</v>
      </c>
      <c r="G17418" s="3">
        <v>1</v>
      </c>
      <c r="H17418" s="3">
        <v>0</v>
      </c>
      <c r="I17418" s="3">
        <v>0</v>
      </c>
      <c r="J17418" s="3">
        <v>0</v>
      </c>
      <c r="K17418" s="3">
        <v>0</v>
      </c>
      <c r="L17418" s="3">
        <v>1</v>
      </c>
      <c r="M17418" s="3">
        <v>0</v>
      </c>
      <c r="N17418" s="3">
        <v>0</v>
      </c>
      <c r="O17418" s="3" t="s">
        <v>10</v>
      </c>
      <c r="P17418" s="3" t="s">
        <v>9</v>
      </c>
      <c r="Q17418" s="3"/>
    </row>
    <row r="17419" spans="1:17" ht="15" x14ac:dyDescent="0.25">
      <c r="A17419" s="3">
        <f>17412</f>
        <v>17412</v>
      </c>
      <c r="B17419" s="3" t="s">
        <v>17421</v>
      </c>
      <c r="C17419" s="3" t="s">
        <v>10</v>
      </c>
      <c r="D17419" s="3" t="s">
        <v>9</v>
      </c>
      <c r="E17419" s="3">
        <v>0</v>
      </c>
      <c r="F17419" s="3">
        <v>0</v>
      </c>
      <c r="G17419" s="3">
        <v>1</v>
      </c>
      <c r="H17419" s="3">
        <v>0</v>
      </c>
      <c r="I17419" s="3">
        <v>0</v>
      </c>
      <c r="J17419" s="3">
        <v>0</v>
      </c>
      <c r="K17419" s="3">
        <v>0</v>
      </c>
      <c r="L17419" s="3">
        <v>1</v>
      </c>
      <c r="M17419" s="3">
        <v>0</v>
      </c>
      <c r="N17419" s="3">
        <v>0</v>
      </c>
      <c r="O17419" s="3" t="s">
        <v>10</v>
      </c>
      <c r="P17419" s="3" t="s">
        <v>9</v>
      </c>
      <c r="Q17419" s="3"/>
    </row>
    <row r="17420" spans="1:17" ht="15" x14ac:dyDescent="0.25">
      <c r="A17420" s="3">
        <f>17413</f>
        <v>17413</v>
      </c>
      <c r="B17420" s="3" t="s">
        <v>17422</v>
      </c>
      <c r="C17420" s="3" t="s">
        <v>10</v>
      </c>
      <c r="D17420" s="3" t="s">
        <v>9</v>
      </c>
      <c r="E17420" s="3">
        <v>0</v>
      </c>
      <c r="F17420" s="3">
        <v>0</v>
      </c>
      <c r="G17420" s="3">
        <v>1</v>
      </c>
      <c r="H17420" s="3">
        <v>0</v>
      </c>
      <c r="I17420" s="3">
        <v>0</v>
      </c>
      <c r="J17420" s="3">
        <v>0</v>
      </c>
      <c r="K17420" s="3">
        <v>0</v>
      </c>
      <c r="L17420" s="3">
        <v>1</v>
      </c>
      <c r="M17420" s="3">
        <v>0</v>
      </c>
      <c r="N17420" s="3">
        <v>0</v>
      </c>
      <c r="O17420" s="3" t="s">
        <v>10</v>
      </c>
      <c r="P17420" s="3" t="s">
        <v>9</v>
      </c>
      <c r="Q17420" s="3"/>
    </row>
    <row r="17421" spans="1:17" ht="15" x14ac:dyDescent="0.25">
      <c r="A17421" s="3">
        <f>17414</f>
        <v>17414</v>
      </c>
      <c r="B17421" s="3" t="s">
        <v>17423</v>
      </c>
      <c r="C17421" s="3" t="s">
        <v>10</v>
      </c>
      <c r="D17421" s="3" t="s">
        <v>9</v>
      </c>
      <c r="E17421" s="3">
        <v>0</v>
      </c>
      <c r="F17421" s="3">
        <v>0</v>
      </c>
      <c r="G17421" s="3">
        <v>1</v>
      </c>
      <c r="H17421" s="3">
        <v>0</v>
      </c>
      <c r="I17421" s="3">
        <v>0</v>
      </c>
      <c r="J17421" s="3">
        <v>0</v>
      </c>
      <c r="K17421" s="3">
        <v>0</v>
      </c>
      <c r="L17421" s="3">
        <v>1</v>
      </c>
      <c r="M17421" s="3">
        <v>0</v>
      </c>
      <c r="N17421" s="3">
        <v>0</v>
      </c>
      <c r="O17421" s="3" t="s">
        <v>10</v>
      </c>
      <c r="P17421" s="3" t="s">
        <v>9</v>
      </c>
      <c r="Q17421" s="3"/>
    </row>
    <row r="17422" spans="1:17" ht="15" x14ac:dyDescent="0.25">
      <c r="A17422" s="3">
        <f>17415</f>
        <v>17415</v>
      </c>
      <c r="B17422" s="3" t="s">
        <v>17424</v>
      </c>
      <c r="C17422" s="3" t="s">
        <v>10</v>
      </c>
      <c r="D17422" s="3" t="s">
        <v>9</v>
      </c>
      <c r="E17422" s="3">
        <v>0</v>
      </c>
      <c r="F17422" s="3">
        <v>0</v>
      </c>
      <c r="G17422" s="3">
        <v>1</v>
      </c>
      <c r="H17422" s="3">
        <v>0</v>
      </c>
      <c r="I17422" s="3">
        <v>0</v>
      </c>
      <c r="J17422" s="3">
        <v>0</v>
      </c>
      <c r="K17422" s="3">
        <v>0</v>
      </c>
      <c r="L17422" s="3">
        <v>1</v>
      </c>
      <c r="M17422" s="3">
        <v>0</v>
      </c>
      <c r="N17422" s="3">
        <v>0</v>
      </c>
      <c r="O17422" s="3" t="s">
        <v>10</v>
      </c>
      <c r="P17422" s="3" t="s">
        <v>9</v>
      </c>
      <c r="Q17422" s="3"/>
    </row>
    <row r="17423" spans="1:17" ht="15" x14ac:dyDescent="0.25">
      <c r="A17423" s="3">
        <f>17416</f>
        <v>17416</v>
      </c>
      <c r="B17423" s="3" t="s">
        <v>17425</v>
      </c>
      <c r="C17423" s="3" t="s">
        <v>10</v>
      </c>
      <c r="D17423" s="3" t="s">
        <v>9</v>
      </c>
      <c r="E17423" s="3">
        <v>0</v>
      </c>
      <c r="F17423" s="3">
        <v>0</v>
      </c>
      <c r="G17423" s="3">
        <v>1</v>
      </c>
      <c r="H17423" s="3">
        <v>0</v>
      </c>
      <c r="I17423" s="3">
        <v>0</v>
      </c>
      <c r="J17423" s="3">
        <v>0</v>
      </c>
      <c r="K17423" s="3">
        <v>0</v>
      </c>
      <c r="L17423" s="3">
        <v>1</v>
      </c>
      <c r="M17423" s="3">
        <v>0</v>
      </c>
      <c r="N17423" s="3">
        <v>0</v>
      </c>
      <c r="O17423" s="3" t="s">
        <v>10</v>
      </c>
      <c r="P17423" s="3" t="s">
        <v>9</v>
      </c>
      <c r="Q17423" s="3"/>
    </row>
    <row r="17424" spans="1:17" ht="15" x14ac:dyDescent="0.25">
      <c r="A17424" s="3">
        <f>17417</f>
        <v>17417</v>
      </c>
      <c r="B17424" s="3" t="s">
        <v>17426</v>
      </c>
      <c r="C17424" s="3" t="s">
        <v>10</v>
      </c>
      <c r="D17424" s="3" t="s">
        <v>9</v>
      </c>
      <c r="E17424" s="3">
        <v>0</v>
      </c>
      <c r="F17424" s="3">
        <v>0</v>
      </c>
      <c r="G17424" s="3">
        <v>1</v>
      </c>
      <c r="H17424" s="3">
        <v>0</v>
      </c>
      <c r="I17424" s="3">
        <v>0</v>
      </c>
      <c r="J17424" s="3">
        <v>0</v>
      </c>
      <c r="K17424" s="3">
        <v>0</v>
      </c>
      <c r="L17424" s="3">
        <v>1</v>
      </c>
      <c r="M17424" s="3">
        <v>0</v>
      </c>
      <c r="N17424" s="3">
        <v>0</v>
      </c>
      <c r="O17424" s="3" t="s">
        <v>10</v>
      </c>
      <c r="P17424" s="3" t="s">
        <v>9</v>
      </c>
      <c r="Q17424" s="3"/>
    </row>
    <row r="17425" spans="1:17" ht="15" x14ac:dyDescent="0.25">
      <c r="A17425" s="3">
        <f>17418</f>
        <v>17418</v>
      </c>
      <c r="B17425" s="3" t="s">
        <v>17427</v>
      </c>
      <c r="C17425" s="3" t="s">
        <v>10</v>
      </c>
      <c r="D17425" s="3" t="s">
        <v>9</v>
      </c>
      <c r="E17425" s="3">
        <v>0</v>
      </c>
      <c r="F17425" s="3">
        <v>0</v>
      </c>
      <c r="G17425" s="3">
        <v>1</v>
      </c>
      <c r="H17425" s="3">
        <v>0</v>
      </c>
      <c r="I17425" s="3">
        <v>0</v>
      </c>
      <c r="J17425" s="3">
        <v>0</v>
      </c>
      <c r="K17425" s="3">
        <v>0</v>
      </c>
      <c r="L17425" s="3">
        <v>1</v>
      </c>
      <c r="M17425" s="3">
        <v>0</v>
      </c>
      <c r="N17425" s="3">
        <v>0</v>
      </c>
      <c r="O17425" s="3" t="s">
        <v>10</v>
      </c>
      <c r="P17425" s="3" t="s">
        <v>9</v>
      </c>
      <c r="Q17425" s="3"/>
    </row>
    <row r="17426" spans="1:17" ht="15" x14ac:dyDescent="0.25">
      <c r="A17426" s="3">
        <f>17419</f>
        <v>17419</v>
      </c>
      <c r="B17426" s="3" t="s">
        <v>17428</v>
      </c>
      <c r="C17426" s="3" t="s">
        <v>10</v>
      </c>
      <c r="D17426" s="3" t="s">
        <v>9</v>
      </c>
      <c r="E17426" s="3">
        <v>0</v>
      </c>
      <c r="F17426" s="3">
        <v>0</v>
      </c>
      <c r="G17426" s="3">
        <v>1</v>
      </c>
      <c r="H17426" s="3">
        <v>0</v>
      </c>
      <c r="I17426" s="3">
        <v>0</v>
      </c>
      <c r="J17426" s="3">
        <v>0</v>
      </c>
      <c r="K17426" s="3">
        <v>0</v>
      </c>
      <c r="L17426" s="3">
        <v>1</v>
      </c>
      <c r="M17426" s="3">
        <v>0</v>
      </c>
      <c r="N17426" s="3">
        <v>0</v>
      </c>
      <c r="O17426" s="3" t="s">
        <v>10</v>
      </c>
      <c r="P17426" s="3" t="s">
        <v>9</v>
      </c>
      <c r="Q17426" s="3"/>
    </row>
    <row r="17427" spans="1:17" ht="15" x14ac:dyDescent="0.25">
      <c r="A17427" s="3">
        <f>17420</f>
        <v>17420</v>
      </c>
      <c r="B17427" s="3" t="s">
        <v>17429</v>
      </c>
      <c r="C17427" s="3" t="s">
        <v>10</v>
      </c>
      <c r="D17427" s="3" t="s">
        <v>9</v>
      </c>
      <c r="E17427" s="3">
        <v>0</v>
      </c>
      <c r="F17427" s="3">
        <v>0</v>
      </c>
      <c r="G17427" s="3">
        <v>1</v>
      </c>
      <c r="H17427" s="3">
        <v>0</v>
      </c>
      <c r="I17427" s="3">
        <v>0</v>
      </c>
      <c r="J17427" s="3">
        <v>0</v>
      </c>
      <c r="K17427" s="3">
        <v>0</v>
      </c>
      <c r="L17427" s="3">
        <v>1</v>
      </c>
      <c r="M17427" s="3">
        <v>0</v>
      </c>
      <c r="N17427" s="3">
        <v>0</v>
      </c>
      <c r="O17427" s="3" t="s">
        <v>10</v>
      </c>
      <c r="P17427" s="3" t="s">
        <v>9</v>
      </c>
      <c r="Q17427" s="3"/>
    </row>
    <row r="17428" spans="1:17" ht="15" x14ac:dyDescent="0.25">
      <c r="A17428" s="3">
        <f>17421</f>
        <v>17421</v>
      </c>
      <c r="B17428" s="3" t="s">
        <v>17430</v>
      </c>
      <c r="C17428" s="3" t="s">
        <v>10</v>
      </c>
      <c r="D17428" s="3" t="s">
        <v>9</v>
      </c>
      <c r="E17428" s="3">
        <v>0</v>
      </c>
      <c r="F17428" s="3">
        <v>0</v>
      </c>
      <c r="G17428" s="3">
        <v>1</v>
      </c>
      <c r="H17428" s="3">
        <v>0</v>
      </c>
      <c r="I17428" s="3">
        <v>0</v>
      </c>
      <c r="J17428" s="3">
        <v>0</v>
      </c>
      <c r="K17428" s="3">
        <v>0</v>
      </c>
      <c r="L17428" s="3">
        <v>1</v>
      </c>
      <c r="M17428" s="3">
        <v>0</v>
      </c>
      <c r="N17428" s="3">
        <v>0</v>
      </c>
      <c r="O17428" s="3" t="s">
        <v>10</v>
      </c>
      <c r="P17428" s="3" t="s">
        <v>9</v>
      </c>
      <c r="Q17428" s="3"/>
    </row>
    <row r="17429" spans="1:17" ht="15" x14ac:dyDescent="0.25">
      <c r="A17429" s="3">
        <f>17422</f>
        <v>17422</v>
      </c>
      <c r="B17429" s="3" t="s">
        <v>17431</v>
      </c>
      <c r="C17429" s="3" t="s">
        <v>10</v>
      </c>
      <c r="D17429" s="3" t="s">
        <v>9</v>
      </c>
      <c r="E17429" s="3">
        <v>0</v>
      </c>
      <c r="F17429" s="3">
        <v>0</v>
      </c>
      <c r="G17429" s="3">
        <v>1</v>
      </c>
      <c r="H17429" s="3">
        <v>0</v>
      </c>
      <c r="I17429" s="3">
        <v>0</v>
      </c>
      <c r="J17429" s="3">
        <v>0</v>
      </c>
      <c r="K17429" s="3">
        <v>0</v>
      </c>
      <c r="L17429" s="3">
        <v>1</v>
      </c>
      <c r="M17429" s="3">
        <v>0</v>
      </c>
      <c r="N17429" s="3">
        <v>0</v>
      </c>
      <c r="O17429" s="3" t="s">
        <v>10</v>
      </c>
      <c r="P17429" s="3" t="s">
        <v>9</v>
      </c>
      <c r="Q17429" s="3"/>
    </row>
    <row r="17430" spans="1:17" ht="15" x14ac:dyDescent="0.25">
      <c r="A17430" s="3">
        <f>17423</f>
        <v>17423</v>
      </c>
      <c r="B17430" s="3" t="s">
        <v>17432</v>
      </c>
      <c r="C17430" s="3" t="s">
        <v>10</v>
      </c>
      <c r="D17430" s="3" t="s">
        <v>9</v>
      </c>
      <c r="E17430" s="3">
        <v>0</v>
      </c>
      <c r="F17430" s="3">
        <v>0</v>
      </c>
      <c r="G17430" s="3">
        <v>1</v>
      </c>
      <c r="H17430" s="3">
        <v>0</v>
      </c>
      <c r="I17430" s="3">
        <v>0</v>
      </c>
      <c r="J17430" s="3">
        <v>0</v>
      </c>
      <c r="K17430" s="3">
        <v>0</v>
      </c>
      <c r="L17430" s="3">
        <v>1</v>
      </c>
      <c r="M17430" s="3">
        <v>0</v>
      </c>
      <c r="N17430" s="3">
        <v>0</v>
      </c>
      <c r="O17430" s="3" t="s">
        <v>10</v>
      </c>
      <c r="P17430" s="3" t="s">
        <v>9</v>
      </c>
      <c r="Q17430" s="3"/>
    </row>
    <row r="17431" spans="1:17" ht="15" x14ac:dyDescent="0.25">
      <c r="A17431" s="3">
        <f>17424</f>
        <v>17424</v>
      </c>
      <c r="B17431" s="3" t="s">
        <v>17433</v>
      </c>
      <c r="C17431" s="3" t="s">
        <v>10</v>
      </c>
      <c r="D17431" s="3" t="s">
        <v>9</v>
      </c>
      <c r="E17431" s="3">
        <v>0</v>
      </c>
      <c r="F17431" s="3">
        <v>0</v>
      </c>
      <c r="G17431" s="3">
        <v>1</v>
      </c>
      <c r="H17431" s="3">
        <v>0</v>
      </c>
      <c r="I17431" s="3">
        <v>0</v>
      </c>
      <c r="J17431" s="3">
        <v>0</v>
      </c>
      <c r="K17431" s="3">
        <v>0</v>
      </c>
      <c r="L17431" s="3">
        <v>1</v>
      </c>
      <c r="M17431" s="3">
        <v>0</v>
      </c>
      <c r="N17431" s="3">
        <v>0</v>
      </c>
      <c r="O17431" s="3" t="s">
        <v>10</v>
      </c>
      <c r="P17431" s="3" t="s">
        <v>9</v>
      </c>
      <c r="Q17431" s="3"/>
    </row>
    <row r="17432" spans="1:17" ht="15" x14ac:dyDescent="0.25">
      <c r="A17432" s="3">
        <f>17425</f>
        <v>17425</v>
      </c>
      <c r="B17432" s="3" t="s">
        <v>17434</v>
      </c>
      <c r="C17432" s="3" t="s">
        <v>10</v>
      </c>
      <c r="D17432" s="3" t="s">
        <v>9</v>
      </c>
      <c r="E17432" s="3">
        <v>0</v>
      </c>
      <c r="F17432" s="3">
        <v>0</v>
      </c>
      <c r="G17432" s="3">
        <v>1</v>
      </c>
      <c r="H17432" s="3">
        <v>0</v>
      </c>
      <c r="I17432" s="3">
        <v>0</v>
      </c>
      <c r="J17432" s="3">
        <v>0</v>
      </c>
      <c r="K17432" s="3">
        <v>0</v>
      </c>
      <c r="L17432" s="3">
        <v>1</v>
      </c>
      <c r="M17432" s="3">
        <v>0</v>
      </c>
      <c r="N17432" s="3">
        <v>0</v>
      </c>
      <c r="O17432" s="3" t="s">
        <v>10</v>
      </c>
      <c r="P17432" s="3" t="s">
        <v>9</v>
      </c>
      <c r="Q17432" s="3"/>
    </row>
    <row r="17433" spans="1:17" ht="15" x14ac:dyDescent="0.25">
      <c r="A17433" s="3">
        <f>17426</f>
        <v>17426</v>
      </c>
      <c r="B17433" s="3" t="s">
        <v>17435</v>
      </c>
      <c r="C17433" s="3" t="s">
        <v>10</v>
      </c>
      <c r="D17433" s="3" t="s">
        <v>9</v>
      </c>
      <c r="E17433" s="3">
        <v>0</v>
      </c>
      <c r="F17433" s="3">
        <v>0</v>
      </c>
      <c r="G17433" s="3">
        <v>1</v>
      </c>
      <c r="H17433" s="3">
        <v>0</v>
      </c>
      <c r="I17433" s="3">
        <v>0</v>
      </c>
      <c r="J17433" s="3">
        <v>0</v>
      </c>
      <c r="K17433" s="3">
        <v>0</v>
      </c>
      <c r="L17433" s="3">
        <v>1</v>
      </c>
      <c r="M17433" s="3">
        <v>0</v>
      </c>
      <c r="N17433" s="3">
        <v>0</v>
      </c>
      <c r="O17433" s="3" t="s">
        <v>10</v>
      </c>
      <c r="P17433" s="3" t="s">
        <v>9</v>
      </c>
      <c r="Q17433" s="3"/>
    </row>
    <row r="17434" spans="1:17" ht="15" x14ac:dyDescent="0.25">
      <c r="A17434" s="3">
        <f>17427</f>
        <v>17427</v>
      </c>
      <c r="B17434" s="3" t="s">
        <v>17436</v>
      </c>
      <c r="C17434" s="3" t="s">
        <v>10</v>
      </c>
      <c r="D17434" s="3" t="s">
        <v>9</v>
      </c>
      <c r="E17434" s="3">
        <v>0</v>
      </c>
      <c r="F17434" s="3">
        <v>0</v>
      </c>
      <c r="G17434" s="3">
        <v>1</v>
      </c>
      <c r="H17434" s="3">
        <v>0</v>
      </c>
      <c r="I17434" s="3">
        <v>0</v>
      </c>
      <c r="J17434" s="3">
        <v>0</v>
      </c>
      <c r="K17434" s="3">
        <v>0</v>
      </c>
      <c r="L17434" s="3">
        <v>1</v>
      </c>
      <c r="M17434" s="3">
        <v>0</v>
      </c>
      <c r="N17434" s="3">
        <v>0</v>
      </c>
      <c r="O17434" s="3" t="s">
        <v>10</v>
      </c>
      <c r="P17434" s="3" t="s">
        <v>9</v>
      </c>
      <c r="Q17434" s="3"/>
    </row>
    <row r="17435" spans="1:17" ht="15" x14ac:dyDescent="0.25">
      <c r="A17435" s="3">
        <f>17428</f>
        <v>17428</v>
      </c>
      <c r="B17435" s="3" t="s">
        <v>17437</v>
      </c>
      <c r="C17435" s="3" t="s">
        <v>10</v>
      </c>
      <c r="D17435" s="3" t="s">
        <v>9</v>
      </c>
      <c r="E17435" s="3">
        <v>0</v>
      </c>
      <c r="F17435" s="3">
        <v>0</v>
      </c>
      <c r="G17435" s="3">
        <v>1</v>
      </c>
      <c r="H17435" s="3">
        <v>0</v>
      </c>
      <c r="I17435" s="3">
        <v>0</v>
      </c>
      <c r="J17435" s="3">
        <v>0</v>
      </c>
      <c r="K17435" s="3">
        <v>0</v>
      </c>
      <c r="L17435" s="3">
        <v>1</v>
      </c>
      <c r="M17435" s="3">
        <v>0</v>
      </c>
      <c r="N17435" s="3">
        <v>0</v>
      </c>
      <c r="O17435" s="3" t="s">
        <v>10</v>
      </c>
      <c r="P17435" s="3" t="s">
        <v>9</v>
      </c>
      <c r="Q17435" s="3"/>
    </row>
    <row r="17436" spans="1:17" ht="15" x14ac:dyDescent="0.25">
      <c r="A17436" s="3">
        <f>17429</f>
        <v>17429</v>
      </c>
      <c r="B17436" s="3" t="s">
        <v>17438</v>
      </c>
      <c r="C17436" s="3" t="s">
        <v>10</v>
      </c>
      <c r="D17436" s="3" t="s">
        <v>9</v>
      </c>
      <c r="E17436" s="3">
        <v>0</v>
      </c>
      <c r="F17436" s="3">
        <v>0</v>
      </c>
      <c r="G17436" s="3">
        <v>1</v>
      </c>
      <c r="H17436" s="3">
        <v>0</v>
      </c>
      <c r="I17436" s="3">
        <v>0</v>
      </c>
      <c r="J17436" s="3">
        <v>0</v>
      </c>
      <c r="K17436" s="3">
        <v>0</v>
      </c>
      <c r="L17436" s="3">
        <v>1</v>
      </c>
      <c r="M17436" s="3">
        <v>0</v>
      </c>
      <c r="N17436" s="3">
        <v>0</v>
      </c>
      <c r="O17436" s="3" t="s">
        <v>10</v>
      </c>
      <c r="P17436" s="3" t="s">
        <v>9</v>
      </c>
      <c r="Q17436" s="3"/>
    </row>
    <row r="17437" spans="1:17" ht="15" x14ac:dyDescent="0.25">
      <c r="A17437" s="3">
        <f>17430</f>
        <v>17430</v>
      </c>
      <c r="B17437" s="3" t="s">
        <v>17439</v>
      </c>
      <c r="C17437" s="3" t="s">
        <v>10</v>
      </c>
      <c r="D17437" s="3" t="s">
        <v>9</v>
      </c>
      <c r="E17437" s="3">
        <v>0</v>
      </c>
      <c r="F17437" s="3">
        <v>0</v>
      </c>
      <c r="G17437" s="3">
        <v>1</v>
      </c>
      <c r="H17437" s="3">
        <v>0</v>
      </c>
      <c r="I17437" s="3">
        <v>0</v>
      </c>
      <c r="J17437" s="3">
        <v>0</v>
      </c>
      <c r="K17437" s="3">
        <v>0</v>
      </c>
      <c r="L17437" s="3">
        <v>1</v>
      </c>
      <c r="M17437" s="3">
        <v>0</v>
      </c>
      <c r="N17437" s="3">
        <v>0</v>
      </c>
      <c r="O17437" s="3" t="s">
        <v>10</v>
      </c>
      <c r="P17437" s="3" t="s">
        <v>9</v>
      </c>
      <c r="Q17437" s="3"/>
    </row>
    <row r="17438" spans="1:17" ht="15" x14ac:dyDescent="0.25">
      <c r="A17438" s="3">
        <f>17431</f>
        <v>17431</v>
      </c>
      <c r="B17438" s="3" t="s">
        <v>17440</v>
      </c>
      <c r="C17438" s="3" t="s">
        <v>10</v>
      </c>
      <c r="D17438" s="3" t="s">
        <v>9</v>
      </c>
      <c r="E17438" s="3">
        <v>0</v>
      </c>
      <c r="F17438" s="3">
        <v>0</v>
      </c>
      <c r="G17438" s="3">
        <v>1</v>
      </c>
      <c r="H17438" s="3">
        <v>0</v>
      </c>
      <c r="I17438" s="3">
        <v>0</v>
      </c>
      <c r="J17438" s="3">
        <v>0</v>
      </c>
      <c r="K17438" s="3">
        <v>0</v>
      </c>
      <c r="L17438" s="3">
        <v>1</v>
      </c>
      <c r="M17438" s="3">
        <v>0</v>
      </c>
      <c r="N17438" s="3">
        <v>0</v>
      </c>
      <c r="O17438" s="3" t="s">
        <v>10</v>
      </c>
      <c r="P17438" s="3" t="s">
        <v>9</v>
      </c>
      <c r="Q17438" s="3"/>
    </row>
    <row r="17439" spans="1:17" ht="15" x14ac:dyDescent="0.25">
      <c r="A17439" s="3">
        <f>17432</f>
        <v>17432</v>
      </c>
      <c r="B17439" s="3" t="s">
        <v>17441</v>
      </c>
      <c r="C17439" s="3" t="s">
        <v>10</v>
      </c>
      <c r="D17439" s="3" t="s">
        <v>9</v>
      </c>
      <c r="E17439" s="3">
        <v>0</v>
      </c>
      <c r="F17439" s="3">
        <v>0</v>
      </c>
      <c r="G17439" s="3">
        <v>1</v>
      </c>
      <c r="H17439" s="3">
        <v>0</v>
      </c>
      <c r="I17439" s="3">
        <v>0</v>
      </c>
      <c r="J17439" s="3">
        <v>0</v>
      </c>
      <c r="K17439" s="3">
        <v>0</v>
      </c>
      <c r="L17439" s="3">
        <v>1</v>
      </c>
      <c r="M17439" s="3">
        <v>0</v>
      </c>
      <c r="N17439" s="3">
        <v>0</v>
      </c>
      <c r="O17439" s="3" t="s">
        <v>10</v>
      </c>
      <c r="P17439" s="3" t="s">
        <v>9</v>
      </c>
      <c r="Q17439" s="3"/>
    </row>
    <row r="17440" spans="1:17" ht="15" x14ac:dyDescent="0.25">
      <c r="A17440" s="3">
        <f>17433</f>
        <v>17433</v>
      </c>
      <c r="B17440" s="3" t="s">
        <v>17442</v>
      </c>
      <c r="C17440" s="3" t="s">
        <v>10</v>
      </c>
      <c r="D17440" s="3" t="s">
        <v>9</v>
      </c>
      <c r="E17440" s="3">
        <v>0</v>
      </c>
      <c r="F17440" s="3">
        <v>0</v>
      </c>
      <c r="G17440" s="3">
        <v>1</v>
      </c>
      <c r="H17440" s="3">
        <v>0</v>
      </c>
      <c r="I17440" s="3">
        <v>0</v>
      </c>
      <c r="J17440" s="3">
        <v>0</v>
      </c>
      <c r="K17440" s="3">
        <v>0</v>
      </c>
      <c r="L17440" s="3">
        <v>1</v>
      </c>
      <c r="M17440" s="3">
        <v>0</v>
      </c>
      <c r="N17440" s="3">
        <v>0</v>
      </c>
      <c r="O17440" s="3" t="s">
        <v>10</v>
      </c>
      <c r="P17440" s="3" t="s">
        <v>9</v>
      </c>
      <c r="Q17440" s="3"/>
    </row>
    <row r="17441" spans="1:17" ht="15" x14ac:dyDescent="0.25">
      <c r="A17441" s="3">
        <f>17434</f>
        <v>17434</v>
      </c>
      <c r="B17441" s="3" t="s">
        <v>17443</v>
      </c>
      <c r="C17441" s="3" t="s">
        <v>10</v>
      </c>
      <c r="D17441" s="3" t="s">
        <v>9</v>
      </c>
      <c r="E17441" s="3">
        <v>0</v>
      </c>
      <c r="F17441" s="3">
        <v>0</v>
      </c>
      <c r="G17441" s="3">
        <v>1</v>
      </c>
      <c r="H17441" s="3">
        <v>0</v>
      </c>
      <c r="I17441" s="3">
        <v>0</v>
      </c>
      <c r="J17441" s="3">
        <v>0</v>
      </c>
      <c r="K17441" s="3">
        <v>0</v>
      </c>
      <c r="L17441" s="3">
        <v>1</v>
      </c>
      <c r="M17441" s="3">
        <v>0</v>
      </c>
      <c r="N17441" s="3">
        <v>0</v>
      </c>
      <c r="O17441" s="3" t="s">
        <v>10</v>
      </c>
      <c r="P17441" s="3" t="s">
        <v>9</v>
      </c>
      <c r="Q17441" s="3"/>
    </row>
    <row r="17442" spans="1:17" ht="15" x14ac:dyDescent="0.25">
      <c r="A17442" s="3">
        <f>17435</f>
        <v>17435</v>
      </c>
      <c r="B17442" s="3" t="s">
        <v>17444</v>
      </c>
      <c r="C17442" s="3" t="s">
        <v>10</v>
      </c>
      <c r="D17442" s="3" t="s">
        <v>9</v>
      </c>
      <c r="E17442" s="3">
        <v>0</v>
      </c>
      <c r="F17442" s="3">
        <v>0</v>
      </c>
      <c r="G17442" s="3">
        <v>1</v>
      </c>
      <c r="H17442" s="3">
        <v>0</v>
      </c>
      <c r="I17442" s="3">
        <v>0</v>
      </c>
      <c r="J17442" s="3">
        <v>0</v>
      </c>
      <c r="K17442" s="3">
        <v>0</v>
      </c>
      <c r="L17442" s="3">
        <v>1</v>
      </c>
      <c r="M17442" s="3">
        <v>0</v>
      </c>
      <c r="N17442" s="3">
        <v>0</v>
      </c>
      <c r="O17442" s="3" t="s">
        <v>10</v>
      </c>
      <c r="P17442" s="3" t="s">
        <v>9</v>
      </c>
      <c r="Q17442" s="3"/>
    </row>
    <row r="17443" spans="1:17" ht="15" x14ac:dyDescent="0.25">
      <c r="A17443" s="3">
        <f>17436</f>
        <v>17436</v>
      </c>
      <c r="B17443" s="3" t="s">
        <v>17445</v>
      </c>
      <c r="C17443" s="3" t="s">
        <v>10</v>
      </c>
      <c r="D17443" s="3" t="s">
        <v>9</v>
      </c>
      <c r="E17443" s="3">
        <v>0</v>
      </c>
      <c r="F17443" s="3">
        <v>0</v>
      </c>
      <c r="G17443" s="3">
        <v>1</v>
      </c>
      <c r="H17443" s="3">
        <v>0</v>
      </c>
      <c r="I17443" s="3">
        <v>0</v>
      </c>
      <c r="J17443" s="3">
        <v>0</v>
      </c>
      <c r="K17443" s="3">
        <v>0</v>
      </c>
      <c r="L17443" s="3">
        <v>1</v>
      </c>
      <c r="M17443" s="3">
        <v>0</v>
      </c>
      <c r="N17443" s="3">
        <v>0</v>
      </c>
      <c r="O17443" s="3" t="s">
        <v>10</v>
      </c>
      <c r="P17443" s="3" t="s">
        <v>9</v>
      </c>
      <c r="Q17443" s="3"/>
    </row>
    <row r="17444" spans="1:17" ht="15" x14ac:dyDescent="0.25">
      <c r="A17444" s="3">
        <f>17437</f>
        <v>17437</v>
      </c>
      <c r="B17444" s="3" t="s">
        <v>17446</v>
      </c>
      <c r="C17444" s="3" t="s">
        <v>10</v>
      </c>
      <c r="D17444" s="3" t="s">
        <v>9</v>
      </c>
      <c r="E17444" s="3">
        <v>0</v>
      </c>
      <c r="F17444" s="3">
        <v>0</v>
      </c>
      <c r="G17444" s="3">
        <v>1</v>
      </c>
      <c r="H17444" s="3">
        <v>0</v>
      </c>
      <c r="I17444" s="3">
        <v>0</v>
      </c>
      <c r="J17444" s="3">
        <v>0</v>
      </c>
      <c r="K17444" s="3">
        <v>0</v>
      </c>
      <c r="L17444" s="3">
        <v>1</v>
      </c>
      <c r="M17444" s="3">
        <v>0</v>
      </c>
      <c r="N17444" s="3">
        <v>0</v>
      </c>
      <c r="O17444" s="3" t="s">
        <v>10</v>
      </c>
      <c r="P17444" s="3" t="s">
        <v>9</v>
      </c>
      <c r="Q17444" s="3"/>
    </row>
    <row r="17445" spans="1:17" ht="15" x14ac:dyDescent="0.25">
      <c r="A17445" s="3">
        <f>17438</f>
        <v>17438</v>
      </c>
      <c r="B17445" s="3" t="s">
        <v>17447</v>
      </c>
      <c r="C17445" s="3" t="s">
        <v>10</v>
      </c>
      <c r="D17445" s="3" t="s">
        <v>9</v>
      </c>
      <c r="E17445" s="3">
        <v>0</v>
      </c>
      <c r="F17445" s="3">
        <v>0</v>
      </c>
      <c r="G17445" s="3">
        <v>1</v>
      </c>
      <c r="H17445" s="3">
        <v>0</v>
      </c>
      <c r="I17445" s="3">
        <v>0</v>
      </c>
      <c r="J17445" s="3">
        <v>0</v>
      </c>
      <c r="K17445" s="3">
        <v>0</v>
      </c>
      <c r="L17445" s="3">
        <v>1</v>
      </c>
      <c r="M17445" s="3">
        <v>0</v>
      </c>
      <c r="N17445" s="3">
        <v>0</v>
      </c>
      <c r="O17445" s="3" t="s">
        <v>10</v>
      </c>
      <c r="P17445" s="3" t="s">
        <v>9</v>
      </c>
      <c r="Q17445" s="3"/>
    </row>
    <row r="17446" spans="1:17" ht="15" x14ac:dyDescent="0.25">
      <c r="A17446" s="3">
        <f>17439</f>
        <v>17439</v>
      </c>
      <c r="B17446" s="3" t="s">
        <v>17448</v>
      </c>
      <c r="C17446" s="3" t="s">
        <v>10</v>
      </c>
      <c r="D17446" s="3" t="s">
        <v>9</v>
      </c>
      <c r="E17446" s="3">
        <v>0</v>
      </c>
      <c r="F17446" s="3">
        <v>0</v>
      </c>
      <c r="G17446" s="3">
        <v>1</v>
      </c>
      <c r="H17446" s="3">
        <v>0</v>
      </c>
      <c r="I17446" s="3">
        <v>0</v>
      </c>
      <c r="J17446" s="3">
        <v>0</v>
      </c>
      <c r="K17446" s="3">
        <v>0</v>
      </c>
      <c r="L17446" s="3">
        <v>1</v>
      </c>
      <c r="M17446" s="3">
        <v>0</v>
      </c>
      <c r="N17446" s="3">
        <v>0</v>
      </c>
      <c r="O17446" s="3" t="s">
        <v>10</v>
      </c>
      <c r="P17446" s="3" t="s">
        <v>9</v>
      </c>
      <c r="Q17446" s="3"/>
    </row>
    <row r="17447" spans="1:17" ht="15" x14ac:dyDescent="0.25">
      <c r="A17447" s="3">
        <f>17440</f>
        <v>17440</v>
      </c>
      <c r="B17447" s="3" t="s">
        <v>17449</v>
      </c>
      <c r="C17447" s="3" t="s">
        <v>10</v>
      </c>
      <c r="D17447" s="3" t="s">
        <v>9</v>
      </c>
      <c r="E17447" s="3">
        <v>0</v>
      </c>
      <c r="F17447" s="3">
        <v>0</v>
      </c>
      <c r="G17447" s="3">
        <v>1</v>
      </c>
      <c r="H17447" s="3">
        <v>0</v>
      </c>
      <c r="I17447" s="3">
        <v>0</v>
      </c>
      <c r="J17447" s="3">
        <v>0</v>
      </c>
      <c r="K17447" s="3">
        <v>0</v>
      </c>
      <c r="L17447" s="3">
        <v>1</v>
      </c>
      <c r="M17447" s="3">
        <v>0</v>
      </c>
      <c r="N17447" s="3">
        <v>0</v>
      </c>
      <c r="O17447" s="3" t="s">
        <v>10</v>
      </c>
      <c r="P17447" s="3" t="s">
        <v>9</v>
      </c>
      <c r="Q17447" s="3"/>
    </row>
    <row r="17448" spans="1:17" ht="15" x14ac:dyDescent="0.25">
      <c r="A17448" s="3">
        <f>17441</f>
        <v>17441</v>
      </c>
      <c r="B17448" s="3" t="s">
        <v>17450</v>
      </c>
      <c r="C17448" s="3" t="s">
        <v>10</v>
      </c>
      <c r="D17448" s="3" t="s">
        <v>9</v>
      </c>
      <c r="E17448" s="3">
        <v>0</v>
      </c>
      <c r="F17448" s="3">
        <v>0</v>
      </c>
      <c r="G17448" s="3">
        <v>1</v>
      </c>
      <c r="H17448" s="3">
        <v>0</v>
      </c>
      <c r="I17448" s="3">
        <v>0</v>
      </c>
      <c r="J17448" s="3">
        <v>0</v>
      </c>
      <c r="K17448" s="3">
        <v>0</v>
      </c>
      <c r="L17448" s="3">
        <v>1</v>
      </c>
      <c r="M17448" s="3">
        <v>0</v>
      </c>
      <c r="N17448" s="3">
        <v>0</v>
      </c>
      <c r="O17448" s="3" t="s">
        <v>10</v>
      </c>
      <c r="P17448" s="3" t="s">
        <v>9</v>
      </c>
      <c r="Q17448" s="3"/>
    </row>
    <row r="17449" spans="1:17" ht="15" x14ac:dyDescent="0.25">
      <c r="A17449" s="3">
        <f>17442</f>
        <v>17442</v>
      </c>
      <c r="B17449" s="3" t="s">
        <v>17451</v>
      </c>
      <c r="C17449" s="3" t="s">
        <v>10</v>
      </c>
      <c r="D17449" s="3" t="s">
        <v>9</v>
      </c>
      <c r="E17449" s="3">
        <v>0</v>
      </c>
      <c r="F17449" s="3">
        <v>0</v>
      </c>
      <c r="G17449" s="3">
        <v>1</v>
      </c>
      <c r="H17449" s="3">
        <v>0</v>
      </c>
      <c r="I17449" s="3">
        <v>0</v>
      </c>
      <c r="J17449" s="3">
        <v>0</v>
      </c>
      <c r="K17449" s="3">
        <v>0</v>
      </c>
      <c r="L17449" s="3">
        <v>1</v>
      </c>
      <c r="M17449" s="3">
        <v>0</v>
      </c>
      <c r="N17449" s="3">
        <v>0</v>
      </c>
      <c r="O17449" s="3" t="s">
        <v>10</v>
      </c>
      <c r="P17449" s="3" t="s">
        <v>9</v>
      </c>
      <c r="Q17449" s="3"/>
    </row>
    <row r="17450" spans="1:17" ht="15" x14ac:dyDescent="0.25">
      <c r="A17450" s="3">
        <f>17443</f>
        <v>17443</v>
      </c>
      <c r="B17450" s="3" t="s">
        <v>17452</v>
      </c>
      <c r="C17450" s="3" t="s">
        <v>10</v>
      </c>
      <c r="D17450" s="3" t="s">
        <v>9</v>
      </c>
      <c r="E17450" s="3">
        <v>0</v>
      </c>
      <c r="F17450" s="3">
        <v>0</v>
      </c>
      <c r="G17450" s="3">
        <v>1</v>
      </c>
      <c r="H17450" s="3">
        <v>0</v>
      </c>
      <c r="I17450" s="3">
        <v>0</v>
      </c>
      <c r="J17450" s="3">
        <v>0</v>
      </c>
      <c r="K17450" s="3">
        <v>0</v>
      </c>
      <c r="L17450" s="3">
        <v>1</v>
      </c>
      <c r="M17450" s="3">
        <v>0</v>
      </c>
      <c r="N17450" s="3">
        <v>0</v>
      </c>
      <c r="O17450" s="3" t="s">
        <v>10</v>
      </c>
      <c r="P17450" s="3" t="s">
        <v>9</v>
      </c>
      <c r="Q17450" s="3"/>
    </row>
    <row r="17451" spans="1:17" ht="15" x14ac:dyDescent="0.25">
      <c r="A17451" s="3">
        <f>17444</f>
        <v>17444</v>
      </c>
      <c r="B17451" s="3" t="s">
        <v>17453</v>
      </c>
      <c r="C17451" s="3" t="s">
        <v>10</v>
      </c>
      <c r="D17451" s="3" t="s">
        <v>9</v>
      </c>
      <c r="E17451" s="3">
        <v>0</v>
      </c>
      <c r="F17451" s="3">
        <v>0</v>
      </c>
      <c r="G17451" s="3">
        <v>1</v>
      </c>
      <c r="H17451" s="3">
        <v>0</v>
      </c>
      <c r="I17451" s="3">
        <v>0</v>
      </c>
      <c r="J17451" s="3">
        <v>0</v>
      </c>
      <c r="K17451" s="3">
        <v>0</v>
      </c>
      <c r="L17451" s="3">
        <v>1</v>
      </c>
      <c r="M17451" s="3">
        <v>0</v>
      </c>
      <c r="N17451" s="3">
        <v>0</v>
      </c>
      <c r="O17451" s="3" t="s">
        <v>10</v>
      </c>
      <c r="P17451" s="3" t="s">
        <v>9</v>
      </c>
      <c r="Q17451" s="3"/>
    </row>
    <row r="17452" spans="1:17" ht="15" x14ac:dyDescent="0.25">
      <c r="A17452" s="3">
        <f>17445</f>
        <v>17445</v>
      </c>
      <c r="B17452" s="3" t="s">
        <v>17454</v>
      </c>
      <c r="C17452" s="3" t="s">
        <v>10</v>
      </c>
      <c r="D17452" s="3" t="s">
        <v>9</v>
      </c>
      <c r="E17452" s="3">
        <v>0</v>
      </c>
      <c r="F17452" s="3">
        <v>0</v>
      </c>
      <c r="G17452" s="3">
        <v>1</v>
      </c>
      <c r="H17452" s="3">
        <v>0</v>
      </c>
      <c r="I17452" s="3">
        <v>0</v>
      </c>
      <c r="J17452" s="3">
        <v>0</v>
      </c>
      <c r="K17452" s="3">
        <v>0</v>
      </c>
      <c r="L17452" s="3">
        <v>1</v>
      </c>
      <c r="M17452" s="3">
        <v>0</v>
      </c>
      <c r="N17452" s="3">
        <v>0</v>
      </c>
      <c r="O17452" s="3" t="s">
        <v>10</v>
      </c>
      <c r="P17452" s="3" t="s">
        <v>9</v>
      </c>
      <c r="Q17452" s="3"/>
    </row>
    <row r="17453" spans="1:17" ht="15" x14ac:dyDescent="0.25">
      <c r="A17453" s="3">
        <f>17446</f>
        <v>17446</v>
      </c>
      <c r="B17453" s="3" t="s">
        <v>17455</v>
      </c>
      <c r="C17453" s="3" t="s">
        <v>10</v>
      </c>
      <c r="D17453" s="3" t="s">
        <v>9</v>
      </c>
      <c r="E17453" s="3">
        <v>0</v>
      </c>
      <c r="F17453" s="3">
        <v>0</v>
      </c>
      <c r="G17453" s="3">
        <v>1</v>
      </c>
      <c r="H17453" s="3">
        <v>0</v>
      </c>
      <c r="I17453" s="3">
        <v>0</v>
      </c>
      <c r="J17453" s="3">
        <v>0</v>
      </c>
      <c r="K17453" s="3">
        <v>0</v>
      </c>
      <c r="L17453" s="3">
        <v>1</v>
      </c>
      <c r="M17453" s="3">
        <v>0</v>
      </c>
      <c r="N17453" s="3">
        <v>0</v>
      </c>
      <c r="O17453" s="3" t="s">
        <v>10</v>
      </c>
      <c r="P17453" s="3" t="s">
        <v>9</v>
      </c>
      <c r="Q17453" s="3"/>
    </row>
    <row r="17454" spans="1:17" ht="15" x14ac:dyDescent="0.25">
      <c r="A17454" s="3">
        <f>17447</f>
        <v>17447</v>
      </c>
      <c r="B17454" s="3" t="s">
        <v>17456</v>
      </c>
      <c r="C17454" s="3" t="s">
        <v>10</v>
      </c>
      <c r="D17454" s="3" t="s">
        <v>9</v>
      </c>
      <c r="E17454" s="3">
        <v>0</v>
      </c>
      <c r="F17454" s="3">
        <v>0</v>
      </c>
      <c r="G17454" s="3">
        <v>1</v>
      </c>
      <c r="H17454" s="3">
        <v>0</v>
      </c>
      <c r="I17454" s="3">
        <v>0</v>
      </c>
      <c r="J17454" s="3">
        <v>0</v>
      </c>
      <c r="K17454" s="3">
        <v>0</v>
      </c>
      <c r="L17454" s="3">
        <v>1</v>
      </c>
      <c r="M17454" s="3">
        <v>0</v>
      </c>
      <c r="N17454" s="3">
        <v>0</v>
      </c>
      <c r="O17454" s="3" t="s">
        <v>10</v>
      </c>
      <c r="P17454" s="3" t="s">
        <v>9</v>
      </c>
      <c r="Q17454" s="3"/>
    </row>
    <row r="17455" spans="1:17" ht="15" x14ac:dyDescent="0.25">
      <c r="A17455" s="3">
        <f>17448</f>
        <v>17448</v>
      </c>
      <c r="B17455" s="3" t="s">
        <v>17457</v>
      </c>
      <c r="C17455" s="3" t="s">
        <v>10</v>
      </c>
      <c r="D17455" s="3" t="s">
        <v>9</v>
      </c>
      <c r="E17455" s="3">
        <v>0</v>
      </c>
      <c r="F17455" s="3">
        <v>0</v>
      </c>
      <c r="G17455" s="3">
        <v>1</v>
      </c>
      <c r="H17455" s="3">
        <v>0</v>
      </c>
      <c r="I17455" s="3">
        <v>0</v>
      </c>
      <c r="J17455" s="3">
        <v>0</v>
      </c>
      <c r="K17455" s="3">
        <v>0</v>
      </c>
      <c r="L17455" s="3">
        <v>1</v>
      </c>
      <c r="M17455" s="3">
        <v>0</v>
      </c>
      <c r="N17455" s="3">
        <v>0</v>
      </c>
      <c r="O17455" s="3" t="s">
        <v>10</v>
      </c>
      <c r="P17455" s="3" t="s">
        <v>9</v>
      </c>
      <c r="Q17455" s="3"/>
    </row>
    <row r="17456" spans="1:17" ht="15" x14ac:dyDescent="0.25">
      <c r="A17456" s="3">
        <f>17449</f>
        <v>17449</v>
      </c>
      <c r="B17456" s="3" t="s">
        <v>17458</v>
      </c>
      <c r="C17456" s="3" t="s">
        <v>10</v>
      </c>
      <c r="D17456" s="3" t="s">
        <v>9</v>
      </c>
      <c r="E17456" s="3">
        <v>0</v>
      </c>
      <c r="F17456" s="3">
        <v>0</v>
      </c>
      <c r="G17456" s="3">
        <v>1</v>
      </c>
      <c r="H17456" s="3">
        <v>0</v>
      </c>
      <c r="I17456" s="3">
        <v>0</v>
      </c>
      <c r="J17456" s="3">
        <v>0</v>
      </c>
      <c r="K17456" s="3">
        <v>0</v>
      </c>
      <c r="L17456" s="3">
        <v>1</v>
      </c>
      <c r="M17456" s="3">
        <v>0</v>
      </c>
      <c r="N17456" s="3">
        <v>0</v>
      </c>
      <c r="O17456" s="3" t="s">
        <v>10</v>
      </c>
      <c r="P17456" s="3" t="s">
        <v>9</v>
      </c>
      <c r="Q17456" s="3"/>
    </row>
    <row r="17457" spans="1:17" ht="15" x14ac:dyDescent="0.25">
      <c r="A17457" s="3">
        <f>17450</f>
        <v>17450</v>
      </c>
      <c r="B17457" s="3" t="s">
        <v>17459</v>
      </c>
      <c r="C17457" s="3" t="s">
        <v>9</v>
      </c>
      <c r="D17457" s="3" t="s">
        <v>10</v>
      </c>
      <c r="E17457" s="3">
        <v>0</v>
      </c>
      <c r="F17457" s="3">
        <v>0</v>
      </c>
      <c r="G17457" s="3">
        <v>1</v>
      </c>
      <c r="H17457" s="3">
        <v>0</v>
      </c>
      <c r="I17457" s="3">
        <v>0</v>
      </c>
      <c r="J17457" s="3">
        <v>0</v>
      </c>
      <c r="K17457" s="3">
        <v>0</v>
      </c>
      <c r="L17457" s="3">
        <v>1</v>
      </c>
      <c r="M17457" s="3">
        <v>0</v>
      </c>
      <c r="N17457" s="3">
        <v>0</v>
      </c>
      <c r="O17457" s="3" t="s">
        <v>10</v>
      </c>
      <c r="P17457" s="3" t="s">
        <v>9</v>
      </c>
      <c r="Q17457" s="3"/>
    </row>
    <row r="17458" spans="1:17" ht="15" x14ac:dyDescent="0.25">
      <c r="A17458" s="3">
        <f>17451</f>
        <v>17451</v>
      </c>
      <c r="B17458" s="3" t="s">
        <v>17460</v>
      </c>
      <c r="C17458" s="3" t="s">
        <v>9</v>
      </c>
      <c r="D17458" s="3" t="s">
        <v>10</v>
      </c>
      <c r="E17458" s="3">
        <v>0</v>
      </c>
      <c r="F17458" s="3">
        <v>0</v>
      </c>
      <c r="G17458" s="3">
        <v>1</v>
      </c>
      <c r="H17458" s="3">
        <v>0</v>
      </c>
      <c r="I17458" s="3">
        <v>0</v>
      </c>
      <c r="J17458" s="3">
        <v>0</v>
      </c>
      <c r="K17458" s="3">
        <v>0</v>
      </c>
      <c r="L17458" s="3">
        <v>1</v>
      </c>
      <c r="M17458" s="3">
        <v>0</v>
      </c>
      <c r="N17458" s="3">
        <v>0</v>
      </c>
      <c r="O17458" s="3" t="s">
        <v>10</v>
      </c>
      <c r="P17458" s="3" t="s">
        <v>9</v>
      </c>
      <c r="Q17458" s="3"/>
    </row>
    <row r="17459" spans="1:17" ht="15" x14ac:dyDescent="0.25">
      <c r="A17459" s="3">
        <f>17452</f>
        <v>17452</v>
      </c>
      <c r="B17459" s="3" t="s">
        <v>17461</v>
      </c>
      <c r="C17459" s="3" t="s">
        <v>9</v>
      </c>
      <c r="D17459" s="3" t="s">
        <v>10</v>
      </c>
      <c r="E17459" s="3">
        <v>0</v>
      </c>
      <c r="F17459" s="3">
        <v>0</v>
      </c>
      <c r="G17459" s="3">
        <v>1</v>
      </c>
      <c r="H17459" s="3">
        <v>0</v>
      </c>
      <c r="I17459" s="3">
        <v>0</v>
      </c>
      <c r="J17459" s="3">
        <v>0</v>
      </c>
      <c r="K17459" s="3">
        <v>0</v>
      </c>
      <c r="L17459" s="3">
        <v>1</v>
      </c>
      <c r="M17459" s="3">
        <v>0</v>
      </c>
      <c r="N17459" s="3">
        <v>0</v>
      </c>
      <c r="O17459" s="3" t="s">
        <v>10</v>
      </c>
      <c r="P17459" s="3" t="s">
        <v>9</v>
      </c>
      <c r="Q17459" s="3"/>
    </row>
    <row r="17460" spans="1:17" ht="15" x14ac:dyDescent="0.25">
      <c r="A17460" s="3">
        <f>17453</f>
        <v>17453</v>
      </c>
      <c r="B17460" s="3" t="s">
        <v>17462</v>
      </c>
      <c r="C17460" s="3" t="s">
        <v>9</v>
      </c>
      <c r="D17460" s="3" t="s">
        <v>10</v>
      </c>
      <c r="E17460" s="3">
        <v>0</v>
      </c>
      <c r="F17460" s="3">
        <v>0</v>
      </c>
      <c r="G17460" s="3">
        <v>1</v>
      </c>
      <c r="H17460" s="3">
        <v>0</v>
      </c>
      <c r="I17460" s="3">
        <v>0</v>
      </c>
      <c r="J17460" s="3">
        <v>0</v>
      </c>
      <c r="K17460" s="3">
        <v>0</v>
      </c>
      <c r="L17460" s="3">
        <v>1</v>
      </c>
      <c r="M17460" s="3">
        <v>0</v>
      </c>
      <c r="N17460" s="3">
        <v>0</v>
      </c>
      <c r="O17460" s="3" t="s">
        <v>10</v>
      </c>
      <c r="P17460" s="3" t="s">
        <v>9</v>
      </c>
      <c r="Q17460" s="3"/>
    </row>
    <row r="17461" spans="1:17" ht="15" x14ac:dyDescent="0.25">
      <c r="A17461" s="3">
        <f>17454</f>
        <v>17454</v>
      </c>
      <c r="B17461" s="3" t="s">
        <v>17463</v>
      </c>
      <c r="C17461" s="3" t="s">
        <v>9</v>
      </c>
      <c r="D17461" s="3" t="s">
        <v>10</v>
      </c>
      <c r="E17461" s="3">
        <v>0</v>
      </c>
      <c r="F17461" s="3">
        <v>0</v>
      </c>
      <c r="G17461" s="3">
        <v>1</v>
      </c>
      <c r="H17461" s="3">
        <v>0</v>
      </c>
      <c r="I17461" s="3">
        <v>0</v>
      </c>
      <c r="J17461" s="3">
        <v>0</v>
      </c>
      <c r="K17461" s="3">
        <v>0</v>
      </c>
      <c r="L17461" s="3">
        <v>1</v>
      </c>
      <c r="M17461" s="3">
        <v>0</v>
      </c>
      <c r="N17461" s="3">
        <v>0</v>
      </c>
      <c r="O17461" s="3" t="s">
        <v>10</v>
      </c>
      <c r="P17461" s="3" t="s">
        <v>9</v>
      </c>
      <c r="Q17461" s="3"/>
    </row>
    <row r="17462" spans="1:17" ht="15" x14ac:dyDescent="0.25">
      <c r="A17462" s="3">
        <f>17455</f>
        <v>17455</v>
      </c>
      <c r="B17462" s="3" t="s">
        <v>17464</v>
      </c>
      <c r="C17462" s="3" t="s">
        <v>9</v>
      </c>
      <c r="D17462" s="3" t="s">
        <v>10</v>
      </c>
      <c r="E17462" s="3">
        <v>0</v>
      </c>
      <c r="F17462" s="3">
        <v>0</v>
      </c>
      <c r="G17462" s="3">
        <v>1</v>
      </c>
      <c r="H17462" s="3">
        <v>0</v>
      </c>
      <c r="I17462" s="3">
        <v>0</v>
      </c>
      <c r="J17462" s="3">
        <v>0</v>
      </c>
      <c r="K17462" s="3">
        <v>0</v>
      </c>
      <c r="L17462" s="3">
        <v>1</v>
      </c>
      <c r="M17462" s="3">
        <v>0</v>
      </c>
      <c r="N17462" s="3">
        <v>0</v>
      </c>
      <c r="O17462" s="3" t="s">
        <v>10</v>
      </c>
      <c r="P17462" s="3" t="s">
        <v>9</v>
      </c>
      <c r="Q17462" s="3"/>
    </row>
    <row r="17463" spans="1:17" ht="15" x14ac:dyDescent="0.25">
      <c r="A17463" s="3">
        <f>17456</f>
        <v>17456</v>
      </c>
      <c r="B17463" s="3" t="s">
        <v>17465</v>
      </c>
      <c r="C17463" s="3" t="s">
        <v>9</v>
      </c>
      <c r="D17463" s="3" t="s">
        <v>10</v>
      </c>
      <c r="E17463" s="3">
        <v>0</v>
      </c>
      <c r="F17463" s="3">
        <v>0</v>
      </c>
      <c r="G17463" s="3">
        <v>1</v>
      </c>
      <c r="H17463" s="3">
        <v>0</v>
      </c>
      <c r="I17463" s="3">
        <v>0</v>
      </c>
      <c r="J17463" s="3">
        <v>0</v>
      </c>
      <c r="K17463" s="3">
        <v>0</v>
      </c>
      <c r="L17463" s="3">
        <v>1</v>
      </c>
      <c r="M17463" s="3">
        <v>0</v>
      </c>
      <c r="N17463" s="3">
        <v>0</v>
      </c>
      <c r="O17463" s="3" t="s">
        <v>10</v>
      </c>
      <c r="P17463" s="3" t="s">
        <v>9</v>
      </c>
      <c r="Q17463" s="3"/>
    </row>
    <row r="17464" spans="1:17" ht="15" x14ac:dyDescent="0.25">
      <c r="A17464" s="3">
        <f>17457</f>
        <v>17457</v>
      </c>
      <c r="B17464" s="3" t="s">
        <v>17466</v>
      </c>
      <c r="C17464" s="3" t="s">
        <v>9</v>
      </c>
      <c r="D17464" s="3" t="s">
        <v>10</v>
      </c>
      <c r="E17464" s="3">
        <v>0</v>
      </c>
      <c r="F17464" s="3">
        <v>0</v>
      </c>
      <c r="G17464" s="3">
        <v>1</v>
      </c>
      <c r="H17464" s="3">
        <v>0</v>
      </c>
      <c r="I17464" s="3">
        <v>0</v>
      </c>
      <c r="J17464" s="3">
        <v>0</v>
      </c>
      <c r="K17464" s="3">
        <v>0</v>
      </c>
      <c r="L17464" s="3">
        <v>1</v>
      </c>
      <c r="M17464" s="3">
        <v>0</v>
      </c>
      <c r="N17464" s="3">
        <v>0</v>
      </c>
      <c r="O17464" s="3" t="s">
        <v>10</v>
      </c>
      <c r="P17464" s="3" t="s">
        <v>9</v>
      </c>
      <c r="Q17464" s="3"/>
    </row>
    <row r="17465" spans="1:17" ht="15" x14ac:dyDescent="0.25">
      <c r="A17465" s="3">
        <f>17458</f>
        <v>17458</v>
      </c>
      <c r="B17465" s="3" t="s">
        <v>17467</v>
      </c>
      <c r="C17465" s="3" t="s">
        <v>9</v>
      </c>
      <c r="D17465" s="3" t="s">
        <v>10</v>
      </c>
      <c r="E17465" s="3">
        <v>0</v>
      </c>
      <c r="F17465" s="3">
        <v>0</v>
      </c>
      <c r="G17465" s="3">
        <v>1</v>
      </c>
      <c r="H17465" s="3">
        <v>0</v>
      </c>
      <c r="I17465" s="3">
        <v>0</v>
      </c>
      <c r="J17465" s="3">
        <v>0</v>
      </c>
      <c r="K17465" s="3">
        <v>0</v>
      </c>
      <c r="L17465" s="3">
        <v>1</v>
      </c>
      <c r="M17465" s="3">
        <v>0</v>
      </c>
      <c r="N17465" s="3">
        <v>0</v>
      </c>
      <c r="O17465" s="3" t="s">
        <v>10</v>
      </c>
      <c r="P17465" s="3" t="s">
        <v>9</v>
      </c>
      <c r="Q17465" s="3"/>
    </row>
    <row r="17466" spans="1:17" ht="15" x14ac:dyDescent="0.25">
      <c r="A17466" s="3">
        <f>17459</f>
        <v>17459</v>
      </c>
      <c r="B17466" s="3" t="s">
        <v>17468</v>
      </c>
      <c r="C17466" s="3" t="s">
        <v>9</v>
      </c>
      <c r="D17466" s="3" t="s">
        <v>10</v>
      </c>
      <c r="E17466" s="3">
        <v>0</v>
      </c>
      <c r="F17466" s="3">
        <v>0</v>
      </c>
      <c r="G17466" s="3">
        <v>1</v>
      </c>
      <c r="H17466" s="3">
        <v>0</v>
      </c>
      <c r="I17466" s="3">
        <v>0</v>
      </c>
      <c r="J17466" s="3">
        <v>0</v>
      </c>
      <c r="K17466" s="3">
        <v>0</v>
      </c>
      <c r="L17466" s="3">
        <v>1</v>
      </c>
      <c r="M17466" s="3">
        <v>0</v>
      </c>
      <c r="N17466" s="3">
        <v>0</v>
      </c>
      <c r="O17466" s="3" t="s">
        <v>10</v>
      </c>
      <c r="P17466" s="3" t="s">
        <v>9</v>
      </c>
      <c r="Q17466" s="3"/>
    </row>
    <row r="17467" spans="1:17" ht="15" x14ac:dyDescent="0.25">
      <c r="A17467" s="3">
        <f>17460</f>
        <v>17460</v>
      </c>
      <c r="B17467" s="3" t="s">
        <v>17469</v>
      </c>
      <c r="C17467" s="3" t="s">
        <v>9</v>
      </c>
      <c r="D17467" s="3" t="s">
        <v>10</v>
      </c>
      <c r="E17467" s="3">
        <v>0</v>
      </c>
      <c r="F17467" s="3">
        <v>0</v>
      </c>
      <c r="G17467" s="3">
        <v>1</v>
      </c>
      <c r="H17467" s="3">
        <v>0</v>
      </c>
      <c r="I17467" s="3">
        <v>0</v>
      </c>
      <c r="J17467" s="3">
        <v>0</v>
      </c>
      <c r="K17467" s="3">
        <v>0</v>
      </c>
      <c r="L17467" s="3">
        <v>1</v>
      </c>
      <c r="M17467" s="3">
        <v>0</v>
      </c>
      <c r="N17467" s="3">
        <v>0</v>
      </c>
      <c r="O17467" s="3" t="s">
        <v>10</v>
      </c>
      <c r="P17467" s="3" t="s">
        <v>9</v>
      </c>
      <c r="Q17467" s="3"/>
    </row>
    <row r="17468" spans="1:17" ht="15" x14ac:dyDescent="0.25">
      <c r="A17468" s="3">
        <f>17461</f>
        <v>17461</v>
      </c>
      <c r="B17468" s="3" t="s">
        <v>17470</v>
      </c>
      <c r="C17468" s="3" t="s">
        <v>9</v>
      </c>
      <c r="D17468" s="3" t="s">
        <v>10</v>
      </c>
      <c r="E17468" s="3">
        <v>0</v>
      </c>
      <c r="F17468" s="3">
        <v>0</v>
      </c>
      <c r="G17468" s="3">
        <v>1</v>
      </c>
      <c r="H17468" s="3">
        <v>0</v>
      </c>
      <c r="I17468" s="3">
        <v>0</v>
      </c>
      <c r="J17468" s="3">
        <v>0</v>
      </c>
      <c r="K17468" s="3">
        <v>0</v>
      </c>
      <c r="L17468" s="3">
        <v>1</v>
      </c>
      <c r="M17468" s="3">
        <v>0</v>
      </c>
      <c r="N17468" s="3">
        <v>0</v>
      </c>
      <c r="O17468" s="3" t="s">
        <v>10</v>
      </c>
      <c r="P17468" s="3" t="s">
        <v>9</v>
      </c>
      <c r="Q17468" s="3"/>
    </row>
    <row r="17469" spans="1:17" ht="15" x14ac:dyDescent="0.25">
      <c r="A17469" s="3">
        <f>17462</f>
        <v>17462</v>
      </c>
      <c r="B17469" s="3" t="s">
        <v>17471</v>
      </c>
      <c r="C17469" s="3" t="s">
        <v>9</v>
      </c>
      <c r="D17469" s="3" t="s">
        <v>10</v>
      </c>
      <c r="E17469" s="3">
        <v>0</v>
      </c>
      <c r="F17469" s="3">
        <v>0</v>
      </c>
      <c r="G17469" s="3">
        <v>1</v>
      </c>
      <c r="H17469" s="3">
        <v>0</v>
      </c>
      <c r="I17469" s="3">
        <v>0</v>
      </c>
      <c r="J17469" s="3">
        <v>0</v>
      </c>
      <c r="K17469" s="3">
        <v>0</v>
      </c>
      <c r="L17469" s="3">
        <v>1</v>
      </c>
      <c r="M17469" s="3">
        <v>0</v>
      </c>
      <c r="N17469" s="3">
        <v>0</v>
      </c>
      <c r="O17469" s="3" t="s">
        <v>10</v>
      </c>
      <c r="P17469" s="3" t="s">
        <v>9</v>
      </c>
      <c r="Q17469" s="3"/>
    </row>
    <row r="17470" spans="1:17" ht="15" x14ac:dyDescent="0.25">
      <c r="A17470" s="3">
        <f>17463</f>
        <v>17463</v>
      </c>
      <c r="B17470" s="3" t="s">
        <v>17472</v>
      </c>
      <c r="C17470" s="3" t="s">
        <v>9</v>
      </c>
      <c r="D17470" s="3" t="s">
        <v>10</v>
      </c>
      <c r="E17470" s="3">
        <v>0</v>
      </c>
      <c r="F17470" s="3">
        <v>0</v>
      </c>
      <c r="G17470" s="3">
        <v>1</v>
      </c>
      <c r="H17470" s="3">
        <v>0</v>
      </c>
      <c r="I17470" s="3">
        <v>0</v>
      </c>
      <c r="J17470" s="3">
        <v>0</v>
      </c>
      <c r="K17470" s="3">
        <v>0</v>
      </c>
      <c r="L17470" s="3">
        <v>1</v>
      </c>
      <c r="M17470" s="3">
        <v>0</v>
      </c>
      <c r="N17470" s="3">
        <v>0</v>
      </c>
      <c r="O17470" s="3" t="s">
        <v>10</v>
      </c>
      <c r="P17470" s="3" t="s">
        <v>9</v>
      </c>
      <c r="Q17470" s="3"/>
    </row>
    <row r="17471" spans="1:17" ht="15" x14ac:dyDescent="0.25">
      <c r="A17471" s="3">
        <f>17464</f>
        <v>17464</v>
      </c>
      <c r="B17471" s="3" t="s">
        <v>17473</v>
      </c>
      <c r="C17471" s="3" t="s">
        <v>9</v>
      </c>
      <c r="D17471" s="3" t="s">
        <v>10</v>
      </c>
      <c r="E17471" s="3">
        <v>0</v>
      </c>
      <c r="F17471" s="3">
        <v>0</v>
      </c>
      <c r="G17471" s="3">
        <v>1</v>
      </c>
      <c r="H17471" s="3">
        <v>0</v>
      </c>
      <c r="I17471" s="3">
        <v>0</v>
      </c>
      <c r="J17471" s="3">
        <v>0</v>
      </c>
      <c r="K17471" s="3">
        <v>0</v>
      </c>
      <c r="L17471" s="3">
        <v>1</v>
      </c>
      <c r="M17471" s="3">
        <v>0</v>
      </c>
      <c r="N17471" s="3">
        <v>0</v>
      </c>
      <c r="O17471" s="3" t="s">
        <v>10</v>
      </c>
      <c r="P17471" s="3" t="s">
        <v>9</v>
      </c>
      <c r="Q17471" s="3"/>
    </row>
    <row r="17472" spans="1:17" ht="15" x14ac:dyDescent="0.25">
      <c r="A17472" s="3">
        <f>17465</f>
        <v>17465</v>
      </c>
      <c r="B17472" s="3" t="s">
        <v>17474</v>
      </c>
      <c r="C17472" s="3" t="s">
        <v>9</v>
      </c>
      <c r="D17472" s="3" t="s">
        <v>10</v>
      </c>
      <c r="E17472" s="3">
        <v>0</v>
      </c>
      <c r="F17472" s="3">
        <v>0</v>
      </c>
      <c r="G17472" s="3">
        <v>1</v>
      </c>
      <c r="H17472" s="3">
        <v>0</v>
      </c>
      <c r="I17472" s="3">
        <v>0</v>
      </c>
      <c r="J17472" s="3">
        <v>0</v>
      </c>
      <c r="K17472" s="3">
        <v>0</v>
      </c>
      <c r="L17472" s="3">
        <v>1</v>
      </c>
      <c r="M17472" s="3">
        <v>0</v>
      </c>
      <c r="N17472" s="3">
        <v>0</v>
      </c>
      <c r="O17472" s="3" t="s">
        <v>10</v>
      </c>
      <c r="P17472" s="3" t="s">
        <v>9</v>
      </c>
      <c r="Q17472" s="3"/>
    </row>
    <row r="17473" spans="1:17" ht="15" x14ac:dyDescent="0.25">
      <c r="A17473" s="3">
        <f>17466</f>
        <v>17466</v>
      </c>
      <c r="B17473" s="3" t="s">
        <v>17475</v>
      </c>
      <c r="C17473" s="3" t="s">
        <v>9</v>
      </c>
      <c r="D17473" s="3" t="s">
        <v>10</v>
      </c>
      <c r="E17473" s="3">
        <v>0</v>
      </c>
      <c r="F17473" s="3">
        <v>0</v>
      </c>
      <c r="G17473" s="3">
        <v>1</v>
      </c>
      <c r="H17473" s="3">
        <v>0</v>
      </c>
      <c r="I17473" s="3">
        <v>0</v>
      </c>
      <c r="J17473" s="3">
        <v>0</v>
      </c>
      <c r="K17473" s="3">
        <v>0</v>
      </c>
      <c r="L17473" s="3">
        <v>1</v>
      </c>
      <c r="M17473" s="3">
        <v>0</v>
      </c>
      <c r="N17473" s="3">
        <v>0</v>
      </c>
      <c r="O17473" s="3" t="s">
        <v>10</v>
      </c>
      <c r="P17473" s="3" t="s">
        <v>9</v>
      </c>
      <c r="Q17473" s="3"/>
    </row>
    <row r="17474" spans="1:17" ht="15" x14ac:dyDescent="0.25">
      <c r="A17474" s="3">
        <f>17467</f>
        <v>17467</v>
      </c>
      <c r="B17474" s="3" t="s">
        <v>17476</v>
      </c>
      <c r="C17474" s="3" t="s">
        <v>9</v>
      </c>
      <c r="D17474" s="3" t="s">
        <v>10</v>
      </c>
      <c r="E17474" s="3">
        <v>0</v>
      </c>
      <c r="F17474" s="3">
        <v>0</v>
      </c>
      <c r="G17474" s="3">
        <v>1</v>
      </c>
      <c r="H17474" s="3">
        <v>0</v>
      </c>
      <c r="I17474" s="3">
        <v>0</v>
      </c>
      <c r="J17474" s="3">
        <v>0</v>
      </c>
      <c r="K17474" s="3">
        <v>0</v>
      </c>
      <c r="L17474" s="3">
        <v>1</v>
      </c>
      <c r="M17474" s="3">
        <v>0</v>
      </c>
      <c r="N17474" s="3">
        <v>0</v>
      </c>
      <c r="O17474" s="3" t="s">
        <v>10</v>
      </c>
      <c r="P17474" s="3" t="s">
        <v>9</v>
      </c>
      <c r="Q17474" s="3"/>
    </row>
    <row r="17475" spans="1:17" ht="15" x14ac:dyDescent="0.25">
      <c r="A17475" s="3">
        <f>17468</f>
        <v>17468</v>
      </c>
      <c r="B17475" s="3" t="s">
        <v>17477</v>
      </c>
      <c r="C17475" s="3" t="s">
        <v>9</v>
      </c>
      <c r="D17475" s="3" t="s">
        <v>10</v>
      </c>
      <c r="E17475" s="3">
        <v>0</v>
      </c>
      <c r="F17475" s="3">
        <v>0</v>
      </c>
      <c r="G17475" s="3">
        <v>1</v>
      </c>
      <c r="H17475" s="3">
        <v>0</v>
      </c>
      <c r="I17475" s="3">
        <v>0</v>
      </c>
      <c r="J17475" s="3">
        <v>0</v>
      </c>
      <c r="K17475" s="3">
        <v>0</v>
      </c>
      <c r="L17475" s="3">
        <v>1</v>
      </c>
      <c r="M17475" s="3">
        <v>0</v>
      </c>
      <c r="N17475" s="3">
        <v>0</v>
      </c>
      <c r="O17475" s="3" t="s">
        <v>10</v>
      </c>
      <c r="P17475" s="3" t="s">
        <v>9</v>
      </c>
      <c r="Q17475" s="3"/>
    </row>
    <row r="17476" spans="1:17" ht="15" x14ac:dyDescent="0.25">
      <c r="A17476" s="3">
        <f>17469</f>
        <v>17469</v>
      </c>
      <c r="B17476" s="3" t="s">
        <v>17478</v>
      </c>
      <c r="C17476" s="3" t="s">
        <v>9</v>
      </c>
      <c r="D17476" s="3" t="s">
        <v>10</v>
      </c>
      <c r="E17476" s="3">
        <v>0</v>
      </c>
      <c r="F17476" s="3">
        <v>0</v>
      </c>
      <c r="G17476" s="3">
        <v>1</v>
      </c>
      <c r="H17476" s="3">
        <v>0</v>
      </c>
      <c r="I17476" s="3">
        <v>0</v>
      </c>
      <c r="J17476" s="3">
        <v>0</v>
      </c>
      <c r="K17476" s="3">
        <v>0</v>
      </c>
      <c r="L17476" s="3">
        <v>1</v>
      </c>
      <c r="M17476" s="3">
        <v>0</v>
      </c>
      <c r="N17476" s="3">
        <v>0</v>
      </c>
      <c r="O17476" s="3" t="s">
        <v>10</v>
      </c>
      <c r="P17476" s="3" t="s">
        <v>9</v>
      </c>
      <c r="Q17476" s="3"/>
    </row>
    <row r="17477" spans="1:17" ht="15" x14ac:dyDescent="0.25">
      <c r="A17477" s="3">
        <f>17470</f>
        <v>17470</v>
      </c>
      <c r="B17477" s="3" t="s">
        <v>17479</v>
      </c>
      <c r="C17477" s="3" t="s">
        <v>9</v>
      </c>
      <c r="D17477" s="3" t="s">
        <v>10</v>
      </c>
      <c r="E17477" s="3">
        <v>0</v>
      </c>
      <c r="F17477" s="3">
        <v>0</v>
      </c>
      <c r="G17477" s="3">
        <v>1</v>
      </c>
      <c r="H17477" s="3">
        <v>0</v>
      </c>
      <c r="I17477" s="3">
        <v>0</v>
      </c>
      <c r="J17477" s="3">
        <v>0</v>
      </c>
      <c r="K17477" s="3">
        <v>0</v>
      </c>
      <c r="L17477" s="3">
        <v>1</v>
      </c>
      <c r="M17477" s="3">
        <v>0</v>
      </c>
      <c r="N17477" s="3">
        <v>0</v>
      </c>
      <c r="O17477" s="3" t="s">
        <v>10</v>
      </c>
      <c r="P17477" s="3" t="s">
        <v>9</v>
      </c>
      <c r="Q17477" s="3"/>
    </row>
    <row r="17478" spans="1:17" ht="15" x14ac:dyDescent="0.25">
      <c r="A17478" s="3">
        <f>17471</f>
        <v>17471</v>
      </c>
      <c r="B17478" s="3" t="s">
        <v>17480</v>
      </c>
      <c r="C17478" s="3" t="s">
        <v>9</v>
      </c>
      <c r="D17478" s="3" t="s">
        <v>10</v>
      </c>
      <c r="E17478" s="3">
        <v>0</v>
      </c>
      <c r="F17478" s="3">
        <v>0</v>
      </c>
      <c r="G17478" s="3">
        <v>1</v>
      </c>
      <c r="H17478" s="3">
        <v>0</v>
      </c>
      <c r="I17478" s="3">
        <v>0</v>
      </c>
      <c r="J17478" s="3">
        <v>0</v>
      </c>
      <c r="K17478" s="3">
        <v>0</v>
      </c>
      <c r="L17478" s="3">
        <v>1</v>
      </c>
      <c r="M17478" s="3">
        <v>0</v>
      </c>
      <c r="N17478" s="3">
        <v>0</v>
      </c>
      <c r="O17478" s="3" t="s">
        <v>10</v>
      </c>
      <c r="P17478" s="3" t="s">
        <v>9</v>
      </c>
      <c r="Q17478" s="3"/>
    </row>
    <row r="17479" spans="1:17" ht="15" x14ac:dyDescent="0.25">
      <c r="A17479" s="3">
        <f>17472</f>
        <v>17472</v>
      </c>
      <c r="B17479" s="3" t="s">
        <v>17481</v>
      </c>
      <c r="C17479" s="3" t="s">
        <v>9</v>
      </c>
      <c r="D17479" s="3" t="s">
        <v>10</v>
      </c>
      <c r="E17479" s="3">
        <v>0</v>
      </c>
      <c r="F17479" s="3">
        <v>0</v>
      </c>
      <c r="G17479" s="3">
        <v>1</v>
      </c>
      <c r="H17479" s="3">
        <v>0</v>
      </c>
      <c r="I17479" s="3">
        <v>0</v>
      </c>
      <c r="J17479" s="3">
        <v>0</v>
      </c>
      <c r="K17479" s="3">
        <v>0</v>
      </c>
      <c r="L17479" s="3">
        <v>1</v>
      </c>
      <c r="M17479" s="3">
        <v>0</v>
      </c>
      <c r="N17479" s="3">
        <v>0</v>
      </c>
      <c r="O17479" s="3" t="s">
        <v>10</v>
      </c>
      <c r="P17479" s="3" t="s">
        <v>9</v>
      </c>
      <c r="Q17479" s="3"/>
    </row>
    <row r="17480" spans="1:17" ht="15" x14ac:dyDescent="0.25">
      <c r="A17480" s="3">
        <f>17473</f>
        <v>17473</v>
      </c>
      <c r="B17480" s="3" t="s">
        <v>17482</v>
      </c>
      <c r="C17480" s="3" t="s">
        <v>9</v>
      </c>
      <c r="D17480" s="3" t="s">
        <v>10</v>
      </c>
      <c r="E17480" s="3">
        <v>0</v>
      </c>
      <c r="F17480" s="3">
        <v>0</v>
      </c>
      <c r="G17480" s="3">
        <v>1</v>
      </c>
      <c r="H17480" s="3">
        <v>0</v>
      </c>
      <c r="I17480" s="3">
        <v>0</v>
      </c>
      <c r="J17480" s="3">
        <v>0</v>
      </c>
      <c r="K17480" s="3">
        <v>0</v>
      </c>
      <c r="L17480" s="3">
        <v>1</v>
      </c>
      <c r="M17480" s="3">
        <v>0</v>
      </c>
      <c r="N17480" s="3">
        <v>0</v>
      </c>
      <c r="O17480" s="3" t="s">
        <v>10</v>
      </c>
      <c r="P17480" s="3" t="s">
        <v>9</v>
      </c>
      <c r="Q17480" s="3"/>
    </row>
    <row r="17481" spans="1:17" ht="15" x14ac:dyDescent="0.25">
      <c r="A17481" s="3">
        <f>17474</f>
        <v>17474</v>
      </c>
      <c r="B17481" s="3" t="s">
        <v>17483</v>
      </c>
      <c r="C17481" s="3" t="s">
        <v>9</v>
      </c>
      <c r="D17481" s="3" t="s">
        <v>10</v>
      </c>
      <c r="E17481" s="3">
        <v>0</v>
      </c>
      <c r="F17481" s="3">
        <v>0</v>
      </c>
      <c r="G17481" s="3">
        <v>1</v>
      </c>
      <c r="H17481" s="3">
        <v>0</v>
      </c>
      <c r="I17481" s="3">
        <v>0</v>
      </c>
      <c r="J17481" s="3">
        <v>0</v>
      </c>
      <c r="K17481" s="3">
        <v>0</v>
      </c>
      <c r="L17481" s="3">
        <v>1</v>
      </c>
      <c r="M17481" s="3">
        <v>0</v>
      </c>
      <c r="N17481" s="3">
        <v>0</v>
      </c>
      <c r="O17481" s="3" t="s">
        <v>10</v>
      </c>
      <c r="P17481" s="3" t="s">
        <v>9</v>
      </c>
      <c r="Q17481" s="3"/>
    </row>
    <row r="17482" spans="1:17" ht="15" x14ac:dyDescent="0.25">
      <c r="A17482" s="3">
        <f>17475</f>
        <v>17475</v>
      </c>
      <c r="B17482" s="3" t="s">
        <v>17484</v>
      </c>
      <c r="C17482" s="3" t="s">
        <v>9</v>
      </c>
      <c r="D17482" s="3" t="s">
        <v>10</v>
      </c>
      <c r="E17482" s="3">
        <v>0</v>
      </c>
      <c r="F17482" s="3">
        <v>0</v>
      </c>
      <c r="G17482" s="3">
        <v>1</v>
      </c>
      <c r="H17482" s="3">
        <v>0</v>
      </c>
      <c r="I17482" s="3">
        <v>0</v>
      </c>
      <c r="J17482" s="3">
        <v>0</v>
      </c>
      <c r="K17482" s="3">
        <v>0</v>
      </c>
      <c r="L17482" s="3">
        <v>1</v>
      </c>
      <c r="M17482" s="3">
        <v>0</v>
      </c>
      <c r="N17482" s="3">
        <v>0</v>
      </c>
      <c r="O17482" s="3" t="s">
        <v>10</v>
      </c>
      <c r="P17482" s="3" t="s">
        <v>9</v>
      </c>
      <c r="Q17482" s="3"/>
    </row>
    <row r="17483" spans="1:17" ht="15" x14ac:dyDescent="0.25">
      <c r="A17483" s="3">
        <f>17476</f>
        <v>17476</v>
      </c>
      <c r="B17483" s="3" t="s">
        <v>17485</v>
      </c>
      <c r="C17483" s="3" t="s">
        <v>9</v>
      </c>
      <c r="D17483" s="3" t="s">
        <v>10</v>
      </c>
      <c r="E17483" s="3">
        <v>0</v>
      </c>
      <c r="F17483" s="3">
        <v>0</v>
      </c>
      <c r="G17483" s="3">
        <v>1</v>
      </c>
      <c r="H17483" s="3">
        <v>0</v>
      </c>
      <c r="I17483" s="3">
        <v>0</v>
      </c>
      <c r="J17483" s="3">
        <v>0</v>
      </c>
      <c r="K17483" s="3">
        <v>0</v>
      </c>
      <c r="L17483" s="3">
        <v>1</v>
      </c>
      <c r="M17483" s="3">
        <v>0</v>
      </c>
      <c r="N17483" s="3">
        <v>0</v>
      </c>
      <c r="O17483" s="3" t="s">
        <v>10</v>
      </c>
      <c r="P17483" s="3" t="s">
        <v>9</v>
      </c>
      <c r="Q17483" s="3"/>
    </row>
    <row r="17484" spans="1:17" ht="15" x14ac:dyDescent="0.25">
      <c r="A17484" s="3">
        <f>17477</f>
        <v>17477</v>
      </c>
      <c r="B17484" s="3" t="s">
        <v>17486</v>
      </c>
      <c r="C17484" s="3" t="s">
        <v>9</v>
      </c>
      <c r="D17484" s="3" t="s">
        <v>10</v>
      </c>
      <c r="E17484" s="3">
        <v>0</v>
      </c>
      <c r="F17484" s="3">
        <v>0</v>
      </c>
      <c r="G17484" s="3">
        <v>1</v>
      </c>
      <c r="H17484" s="3">
        <v>0</v>
      </c>
      <c r="I17484" s="3">
        <v>0</v>
      </c>
      <c r="J17484" s="3">
        <v>0</v>
      </c>
      <c r="K17484" s="3">
        <v>0</v>
      </c>
      <c r="L17484" s="3">
        <v>1</v>
      </c>
      <c r="M17484" s="3">
        <v>0</v>
      </c>
      <c r="N17484" s="3">
        <v>0</v>
      </c>
      <c r="O17484" s="3" t="s">
        <v>10</v>
      </c>
      <c r="P17484" s="3" t="s">
        <v>9</v>
      </c>
      <c r="Q17484" s="3"/>
    </row>
    <row r="17485" spans="1:17" ht="15" x14ac:dyDescent="0.25">
      <c r="A17485" s="3">
        <f>17478</f>
        <v>17478</v>
      </c>
      <c r="B17485" s="3" t="s">
        <v>17487</v>
      </c>
      <c r="C17485" s="3" t="s">
        <v>9</v>
      </c>
      <c r="D17485" s="3" t="s">
        <v>10</v>
      </c>
      <c r="E17485" s="3">
        <v>0</v>
      </c>
      <c r="F17485" s="3">
        <v>0</v>
      </c>
      <c r="G17485" s="3">
        <v>1</v>
      </c>
      <c r="H17485" s="3">
        <v>0</v>
      </c>
      <c r="I17485" s="3">
        <v>0</v>
      </c>
      <c r="J17485" s="3">
        <v>0</v>
      </c>
      <c r="K17485" s="3">
        <v>0</v>
      </c>
      <c r="L17485" s="3">
        <v>1</v>
      </c>
      <c r="M17485" s="3">
        <v>0</v>
      </c>
      <c r="N17485" s="3">
        <v>0</v>
      </c>
      <c r="O17485" s="3" t="s">
        <v>10</v>
      </c>
      <c r="P17485" s="3" t="s">
        <v>9</v>
      </c>
      <c r="Q17485" s="3"/>
    </row>
    <row r="17486" spans="1:17" ht="15" x14ac:dyDescent="0.25">
      <c r="A17486" s="3">
        <f>17479</f>
        <v>17479</v>
      </c>
      <c r="B17486" s="3" t="s">
        <v>17488</v>
      </c>
      <c r="C17486" s="3" t="s">
        <v>9</v>
      </c>
      <c r="D17486" s="3" t="s">
        <v>10</v>
      </c>
      <c r="E17486" s="3">
        <v>0</v>
      </c>
      <c r="F17486" s="3">
        <v>0</v>
      </c>
      <c r="G17486" s="3">
        <v>1</v>
      </c>
      <c r="H17486" s="3">
        <v>0</v>
      </c>
      <c r="I17486" s="3">
        <v>0</v>
      </c>
      <c r="J17486" s="3">
        <v>0</v>
      </c>
      <c r="K17486" s="3">
        <v>0</v>
      </c>
      <c r="L17486" s="3">
        <v>1</v>
      </c>
      <c r="M17486" s="3">
        <v>0</v>
      </c>
      <c r="N17486" s="3">
        <v>0</v>
      </c>
      <c r="O17486" s="3" t="s">
        <v>10</v>
      </c>
      <c r="P17486" s="3" t="s">
        <v>9</v>
      </c>
      <c r="Q17486" s="3"/>
    </row>
    <row r="17487" spans="1:17" ht="15" x14ac:dyDescent="0.25">
      <c r="A17487" s="3">
        <f>17480</f>
        <v>17480</v>
      </c>
      <c r="B17487" s="3" t="s">
        <v>17489</v>
      </c>
      <c r="C17487" s="3" t="s">
        <v>9</v>
      </c>
      <c r="D17487" s="3" t="s">
        <v>10</v>
      </c>
      <c r="E17487" s="3">
        <v>0</v>
      </c>
      <c r="F17487" s="3">
        <v>0</v>
      </c>
      <c r="G17487" s="3">
        <v>1</v>
      </c>
      <c r="H17487" s="3">
        <v>0</v>
      </c>
      <c r="I17487" s="3">
        <v>0</v>
      </c>
      <c r="J17487" s="3">
        <v>0</v>
      </c>
      <c r="K17487" s="3">
        <v>0</v>
      </c>
      <c r="L17487" s="3">
        <v>1</v>
      </c>
      <c r="M17487" s="3">
        <v>0</v>
      </c>
      <c r="N17487" s="3">
        <v>0</v>
      </c>
      <c r="O17487" s="3" t="s">
        <v>10</v>
      </c>
      <c r="P17487" s="3" t="s">
        <v>9</v>
      </c>
      <c r="Q17487" s="3"/>
    </row>
    <row r="17488" spans="1:17" ht="15" x14ac:dyDescent="0.25">
      <c r="A17488" s="3">
        <f>17481</f>
        <v>17481</v>
      </c>
      <c r="B17488" s="3" t="s">
        <v>17490</v>
      </c>
      <c r="C17488" s="3" t="s">
        <v>9</v>
      </c>
      <c r="D17488" s="3" t="s">
        <v>10</v>
      </c>
      <c r="E17488" s="3">
        <v>0</v>
      </c>
      <c r="F17488" s="3">
        <v>0</v>
      </c>
      <c r="G17488" s="3">
        <v>1</v>
      </c>
      <c r="H17488" s="3">
        <v>0</v>
      </c>
      <c r="I17488" s="3">
        <v>0</v>
      </c>
      <c r="J17488" s="3">
        <v>0</v>
      </c>
      <c r="K17488" s="3">
        <v>0</v>
      </c>
      <c r="L17488" s="3">
        <v>1</v>
      </c>
      <c r="M17488" s="3">
        <v>0</v>
      </c>
      <c r="N17488" s="3">
        <v>0</v>
      </c>
      <c r="O17488" s="3" t="s">
        <v>10</v>
      </c>
      <c r="P17488" s="3" t="s">
        <v>9</v>
      </c>
      <c r="Q17488" s="3"/>
    </row>
    <row r="17489" spans="1:17" ht="15" x14ac:dyDescent="0.25">
      <c r="A17489" s="3">
        <f>17482</f>
        <v>17482</v>
      </c>
      <c r="B17489" s="3" t="s">
        <v>17491</v>
      </c>
      <c r="C17489" s="3" t="s">
        <v>9</v>
      </c>
      <c r="D17489" s="3" t="s">
        <v>10</v>
      </c>
      <c r="E17489" s="3">
        <v>0</v>
      </c>
      <c r="F17489" s="3">
        <v>0</v>
      </c>
      <c r="G17489" s="3">
        <v>1</v>
      </c>
      <c r="H17489" s="3">
        <v>0</v>
      </c>
      <c r="I17489" s="3">
        <v>0</v>
      </c>
      <c r="J17489" s="3">
        <v>0</v>
      </c>
      <c r="K17489" s="3">
        <v>0</v>
      </c>
      <c r="L17489" s="3">
        <v>1</v>
      </c>
      <c r="M17489" s="3">
        <v>0</v>
      </c>
      <c r="N17489" s="3">
        <v>0</v>
      </c>
      <c r="O17489" s="3" t="s">
        <v>10</v>
      </c>
      <c r="P17489" s="3" t="s">
        <v>9</v>
      </c>
      <c r="Q17489" s="3"/>
    </row>
    <row r="17490" spans="1:17" ht="15" x14ac:dyDescent="0.25">
      <c r="A17490" s="3">
        <f>17483</f>
        <v>17483</v>
      </c>
      <c r="B17490" s="3" t="s">
        <v>17492</v>
      </c>
      <c r="C17490" s="3" t="s">
        <v>10</v>
      </c>
      <c r="D17490" s="3" t="s">
        <v>9</v>
      </c>
      <c r="E17490" s="3">
        <v>0</v>
      </c>
      <c r="F17490" s="3">
        <v>0</v>
      </c>
      <c r="G17490" s="3">
        <v>1</v>
      </c>
      <c r="H17490" s="3">
        <v>0</v>
      </c>
      <c r="I17490" s="3">
        <v>0</v>
      </c>
      <c r="J17490" s="3">
        <v>0</v>
      </c>
      <c r="K17490" s="3">
        <v>0</v>
      </c>
      <c r="L17490" s="3">
        <v>1</v>
      </c>
      <c r="M17490" s="3">
        <v>0</v>
      </c>
      <c r="N17490" s="3">
        <v>0</v>
      </c>
      <c r="O17490" s="3" t="s">
        <v>10</v>
      </c>
      <c r="P17490" s="3" t="s">
        <v>9</v>
      </c>
      <c r="Q17490" s="3"/>
    </row>
    <row r="17491" spans="1:17" ht="15" x14ac:dyDescent="0.25">
      <c r="A17491" s="3">
        <f>17484</f>
        <v>17484</v>
      </c>
      <c r="B17491" s="3" t="s">
        <v>17493</v>
      </c>
      <c r="C17491" s="3" t="s">
        <v>10</v>
      </c>
      <c r="D17491" s="3" t="s">
        <v>9</v>
      </c>
      <c r="E17491" s="3">
        <v>0</v>
      </c>
      <c r="F17491" s="3">
        <v>0</v>
      </c>
      <c r="G17491" s="3">
        <v>1</v>
      </c>
      <c r="H17491" s="3">
        <v>0</v>
      </c>
      <c r="I17491" s="3">
        <v>0</v>
      </c>
      <c r="J17491" s="3">
        <v>0</v>
      </c>
      <c r="K17491" s="3">
        <v>0</v>
      </c>
      <c r="L17491" s="3">
        <v>1</v>
      </c>
      <c r="M17491" s="3">
        <v>0</v>
      </c>
      <c r="N17491" s="3">
        <v>0</v>
      </c>
      <c r="O17491" s="3" t="s">
        <v>10</v>
      </c>
      <c r="P17491" s="3" t="s">
        <v>9</v>
      </c>
      <c r="Q17491" s="3"/>
    </row>
    <row r="17492" spans="1:17" ht="15" x14ac:dyDescent="0.25">
      <c r="A17492" s="3">
        <f>17485</f>
        <v>17485</v>
      </c>
      <c r="B17492" s="3" t="s">
        <v>17494</v>
      </c>
      <c r="C17492" s="3" t="s">
        <v>10</v>
      </c>
      <c r="D17492" s="3" t="s">
        <v>9</v>
      </c>
      <c r="E17492" s="3">
        <v>0</v>
      </c>
      <c r="F17492" s="3">
        <v>0</v>
      </c>
      <c r="G17492" s="3">
        <v>1</v>
      </c>
      <c r="H17492" s="3">
        <v>0</v>
      </c>
      <c r="I17492" s="3">
        <v>0</v>
      </c>
      <c r="J17492" s="3">
        <v>0</v>
      </c>
      <c r="K17492" s="3">
        <v>0</v>
      </c>
      <c r="L17492" s="3">
        <v>1</v>
      </c>
      <c r="M17492" s="3">
        <v>0</v>
      </c>
      <c r="N17492" s="3">
        <v>0</v>
      </c>
      <c r="O17492" s="3" t="s">
        <v>10</v>
      </c>
      <c r="P17492" s="3" t="s">
        <v>9</v>
      </c>
      <c r="Q17492" s="3"/>
    </row>
    <row r="17493" spans="1:17" ht="15" x14ac:dyDescent="0.25">
      <c r="A17493" s="3">
        <f>17486</f>
        <v>17486</v>
      </c>
      <c r="B17493" s="3" t="s">
        <v>17495</v>
      </c>
      <c r="C17493" s="3" t="s">
        <v>10</v>
      </c>
      <c r="D17493" s="3" t="s">
        <v>9</v>
      </c>
      <c r="E17493" s="3">
        <v>0</v>
      </c>
      <c r="F17493" s="3">
        <v>0</v>
      </c>
      <c r="G17493" s="3">
        <v>1</v>
      </c>
      <c r="H17493" s="3">
        <v>0</v>
      </c>
      <c r="I17493" s="3">
        <v>0</v>
      </c>
      <c r="J17493" s="3">
        <v>0</v>
      </c>
      <c r="K17493" s="3">
        <v>0</v>
      </c>
      <c r="L17493" s="3">
        <v>1</v>
      </c>
      <c r="M17493" s="3">
        <v>0</v>
      </c>
      <c r="N17493" s="3">
        <v>0</v>
      </c>
      <c r="O17493" s="3" t="s">
        <v>10</v>
      </c>
      <c r="P17493" s="3" t="s">
        <v>9</v>
      </c>
      <c r="Q17493" s="3"/>
    </row>
    <row r="17494" spans="1:17" ht="15" x14ac:dyDescent="0.25">
      <c r="A17494" s="3">
        <f>17487</f>
        <v>17487</v>
      </c>
      <c r="B17494" s="3" t="s">
        <v>17496</v>
      </c>
      <c r="C17494" s="3" t="s">
        <v>10</v>
      </c>
      <c r="D17494" s="3" t="s">
        <v>9</v>
      </c>
      <c r="E17494" s="3">
        <v>0</v>
      </c>
      <c r="F17494" s="3">
        <v>0</v>
      </c>
      <c r="G17494" s="3">
        <v>1</v>
      </c>
      <c r="H17494" s="3">
        <v>0</v>
      </c>
      <c r="I17494" s="3">
        <v>0</v>
      </c>
      <c r="J17494" s="3">
        <v>0</v>
      </c>
      <c r="K17494" s="3">
        <v>0</v>
      </c>
      <c r="L17494" s="3">
        <v>1</v>
      </c>
      <c r="M17494" s="3">
        <v>0</v>
      </c>
      <c r="N17494" s="3">
        <v>0</v>
      </c>
      <c r="O17494" s="3" t="s">
        <v>10</v>
      </c>
      <c r="P17494" s="3" t="s">
        <v>9</v>
      </c>
      <c r="Q17494" s="3"/>
    </row>
    <row r="17495" spans="1:17" ht="15" x14ac:dyDescent="0.25">
      <c r="A17495" s="3">
        <f>17488</f>
        <v>17488</v>
      </c>
      <c r="B17495" s="3" t="s">
        <v>17497</v>
      </c>
      <c r="C17495" s="3" t="s">
        <v>10</v>
      </c>
      <c r="D17495" s="3" t="s">
        <v>9</v>
      </c>
      <c r="E17495" s="3">
        <v>0</v>
      </c>
      <c r="F17495" s="3">
        <v>0</v>
      </c>
      <c r="G17495" s="3">
        <v>1</v>
      </c>
      <c r="H17495" s="3">
        <v>0</v>
      </c>
      <c r="I17495" s="3">
        <v>0</v>
      </c>
      <c r="J17495" s="3">
        <v>0</v>
      </c>
      <c r="K17495" s="3">
        <v>0</v>
      </c>
      <c r="L17495" s="3">
        <v>1</v>
      </c>
      <c r="M17495" s="3">
        <v>0</v>
      </c>
      <c r="N17495" s="3">
        <v>0</v>
      </c>
      <c r="O17495" s="3" t="s">
        <v>10</v>
      </c>
      <c r="P17495" s="3" t="s">
        <v>9</v>
      </c>
      <c r="Q17495" s="3"/>
    </row>
    <row r="17496" spans="1:17" ht="15" x14ac:dyDescent="0.25">
      <c r="A17496" s="3">
        <f>17489</f>
        <v>17489</v>
      </c>
      <c r="B17496" s="3" t="s">
        <v>17498</v>
      </c>
      <c r="C17496" s="3" t="s">
        <v>10</v>
      </c>
      <c r="D17496" s="3" t="s">
        <v>9</v>
      </c>
      <c r="E17496" s="3">
        <v>0</v>
      </c>
      <c r="F17496" s="3">
        <v>0</v>
      </c>
      <c r="G17496" s="3">
        <v>1</v>
      </c>
      <c r="H17496" s="3">
        <v>0</v>
      </c>
      <c r="I17496" s="3">
        <v>0</v>
      </c>
      <c r="J17496" s="3">
        <v>0</v>
      </c>
      <c r="K17496" s="3">
        <v>0</v>
      </c>
      <c r="L17496" s="3">
        <v>1</v>
      </c>
      <c r="M17496" s="3">
        <v>0</v>
      </c>
      <c r="N17496" s="3">
        <v>0</v>
      </c>
      <c r="O17496" s="3" t="s">
        <v>10</v>
      </c>
      <c r="P17496" s="3" t="s">
        <v>9</v>
      </c>
      <c r="Q17496" s="3"/>
    </row>
    <row r="17497" spans="1:17" ht="15" x14ac:dyDescent="0.25">
      <c r="A17497" s="3">
        <f>17490</f>
        <v>17490</v>
      </c>
      <c r="B17497" s="3" t="s">
        <v>17499</v>
      </c>
      <c r="C17497" s="3" t="s">
        <v>10</v>
      </c>
      <c r="D17497" s="3" t="s">
        <v>9</v>
      </c>
      <c r="E17497" s="3">
        <v>0</v>
      </c>
      <c r="F17497" s="3">
        <v>0</v>
      </c>
      <c r="G17497" s="3">
        <v>1</v>
      </c>
      <c r="H17497" s="3">
        <v>0</v>
      </c>
      <c r="I17497" s="3">
        <v>0</v>
      </c>
      <c r="J17497" s="3">
        <v>0</v>
      </c>
      <c r="K17497" s="3">
        <v>0</v>
      </c>
      <c r="L17497" s="3">
        <v>1</v>
      </c>
      <c r="M17497" s="3">
        <v>0</v>
      </c>
      <c r="N17497" s="3">
        <v>0</v>
      </c>
      <c r="O17497" s="3" t="s">
        <v>10</v>
      </c>
      <c r="P17497" s="3" t="s">
        <v>9</v>
      </c>
      <c r="Q17497" s="3"/>
    </row>
    <row r="17498" spans="1:17" ht="15" x14ac:dyDescent="0.25">
      <c r="A17498" s="3">
        <f>17491</f>
        <v>17491</v>
      </c>
      <c r="B17498" s="3" t="s">
        <v>17500</v>
      </c>
      <c r="C17498" s="3" t="s">
        <v>10</v>
      </c>
      <c r="D17498" s="3" t="s">
        <v>9</v>
      </c>
      <c r="E17498" s="3">
        <v>0</v>
      </c>
      <c r="F17498" s="3">
        <v>0</v>
      </c>
      <c r="G17498" s="3">
        <v>1</v>
      </c>
      <c r="H17498" s="3">
        <v>0</v>
      </c>
      <c r="I17498" s="3">
        <v>0</v>
      </c>
      <c r="J17498" s="3">
        <v>0</v>
      </c>
      <c r="K17498" s="3">
        <v>0</v>
      </c>
      <c r="L17498" s="3">
        <v>1</v>
      </c>
      <c r="M17498" s="3">
        <v>0</v>
      </c>
      <c r="N17498" s="3">
        <v>0</v>
      </c>
      <c r="O17498" s="3" t="s">
        <v>10</v>
      </c>
      <c r="P17498" s="3" t="s">
        <v>9</v>
      </c>
      <c r="Q17498" s="3"/>
    </row>
    <row r="17499" spans="1:17" ht="15" x14ac:dyDescent="0.25">
      <c r="A17499" s="3">
        <f>17492</f>
        <v>17492</v>
      </c>
      <c r="B17499" s="3" t="s">
        <v>17501</v>
      </c>
      <c r="C17499" s="3" t="s">
        <v>10</v>
      </c>
      <c r="D17499" s="3" t="s">
        <v>9</v>
      </c>
      <c r="E17499" s="3">
        <v>0</v>
      </c>
      <c r="F17499" s="3">
        <v>0</v>
      </c>
      <c r="G17499" s="3">
        <v>1</v>
      </c>
      <c r="H17499" s="3">
        <v>0</v>
      </c>
      <c r="I17499" s="3">
        <v>0</v>
      </c>
      <c r="J17499" s="3">
        <v>0</v>
      </c>
      <c r="K17499" s="3">
        <v>0</v>
      </c>
      <c r="L17499" s="3">
        <v>1</v>
      </c>
      <c r="M17499" s="3">
        <v>0</v>
      </c>
      <c r="N17499" s="3">
        <v>0</v>
      </c>
      <c r="O17499" s="3" t="s">
        <v>10</v>
      </c>
      <c r="P17499" s="3" t="s">
        <v>9</v>
      </c>
      <c r="Q17499" s="3"/>
    </row>
    <row r="17500" spans="1:17" ht="15" x14ac:dyDescent="0.25">
      <c r="A17500" s="3">
        <f>17493</f>
        <v>17493</v>
      </c>
      <c r="B17500" s="3" t="s">
        <v>17502</v>
      </c>
      <c r="C17500" s="3" t="s">
        <v>9</v>
      </c>
      <c r="D17500" s="3" t="s">
        <v>10</v>
      </c>
      <c r="E17500" s="3">
        <v>0</v>
      </c>
      <c r="F17500" s="3">
        <v>0</v>
      </c>
      <c r="G17500" s="3">
        <v>1</v>
      </c>
      <c r="H17500" s="3">
        <v>0</v>
      </c>
      <c r="I17500" s="3">
        <v>0</v>
      </c>
      <c r="J17500" s="3">
        <v>0</v>
      </c>
      <c r="K17500" s="3">
        <v>0</v>
      </c>
      <c r="L17500" s="3">
        <v>1</v>
      </c>
      <c r="M17500" s="3">
        <v>0</v>
      </c>
      <c r="N17500" s="3">
        <v>0</v>
      </c>
      <c r="O17500" s="3" t="s">
        <v>10</v>
      </c>
      <c r="P17500" s="3" t="s">
        <v>9</v>
      </c>
      <c r="Q17500" s="3"/>
    </row>
    <row r="17501" spans="1:17" ht="15" x14ac:dyDescent="0.25">
      <c r="A17501" s="3">
        <f>17494</f>
        <v>17494</v>
      </c>
      <c r="B17501" s="3" t="s">
        <v>17503</v>
      </c>
      <c r="C17501" s="3" t="s">
        <v>9</v>
      </c>
      <c r="D17501" s="3" t="s">
        <v>10</v>
      </c>
      <c r="E17501" s="3">
        <v>0</v>
      </c>
      <c r="F17501" s="3">
        <v>0</v>
      </c>
      <c r="G17501" s="3">
        <v>1</v>
      </c>
      <c r="H17501" s="3">
        <v>0</v>
      </c>
      <c r="I17501" s="3">
        <v>0</v>
      </c>
      <c r="J17501" s="3">
        <v>0</v>
      </c>
      <c r="K17501" s="3">
        <v>0</v>
      </c>
      <c r="L17501" s="3">
        <v>1</v>
      </c>
      <c r="M17501" s="3">
        <v>0</v>
      </c>
      <c r="N17501" s="3">
        <v>0</v>
      </c>
      <c r="O17501" s="3" t="s">
        <v>10</v>
      </c>
      <c r="P17501" s="3" t="s">
        <v>9</v>
      </c>
      <c r="Q17501" s="3"/>
    </row>
    <row r="17502" spans="1:17" ht="15" x14ac:dyDescent="0.25">
      <c r="A17502" s="3">
        <f>17495</f>
        <v>17495</v>
      </c>
      <c r="B17502" s="3" t="s">
        <v>17504</v>
      </c>
      <c r="C17502" s="3" t="s">
        <v>9</v>
      </c>
      <c r="D17502" s="3" t="s">
        <v>10</v>
      </c>
      <c r="E17502" s="3">
        <v>0</v>
      </c>
      <c r="F17502" s="3">
        <v>0</v>
      </c>
      <c r="G17502" s="3">
        <v>1</v>
      </c>
      <c r="H17502" s="3">
        <v>0</v>
      </c>
      <c r="I17502" s="3">
        <v>0</v>
      </c>
      <c r="J17502" s="3">
        <v>0</v>
      </c>
      <c r="K17502" s="3">
        <v>0</v>
      </c>
      <c r="L17502" s="3">
        <v>1</v>
      </c>
      <c r="M17502" s="3">
        <v>0</v>
      </c>
      <c r="N17502" s="3">
        <v>0</v>
      </c>
      <c r="O17502" s="3" t="s">
        <v>10</v>
      </c>
      <c r="P17502" s="3" t="s">
        <v>9</v>
      </c>
      <c r="Q17502" s="3"/>
    </row>
    <row r="17503" spans="1:17" ht="15" x14ac:dyDescent="0.25">
      <c r="A17503" s="3">
        <f>17496</f>
        <v>17496</v>
      </c>
      <c r="B17503" s="3" t="s">
        <v>17505</v>
      </c>
      <c r="C17503" s="3" t="s">
        <v>9</v>
      </c>
      <c r="D17503" s="3" t="s">
        <v>10</v>
      </c>
      <c r="E17503" s="3">
        <v>0</v>
      </c>
      <c r="F17503" s="3">
        <v>0</v>
      </c>
      <c r="G17503" s="3">
        <v>1</v>
      </c>
      <c r="H17503" s="3">
        <v>0</v>
      </c>
      <c r="I17503" s="3">
        <v>0</v>
      </c>
      <c r="J17503" s="3">
        <v>0</v>
      </c>
      <c r="K17503" s="3">
        <v>0</v>
      </c>
      <c r="L17503" s="3">
        <v>1</v>
      </c>
      <c r="M17503" s="3">
        <v>0</v>
      </c>
      <c r="N17503" s="3">
        <v>0</v>
      </c>
      <c r="O17503" s="3" t="s">
        <v>10</v>
      </c>
      <c r="P17503" s="3" t="s">
        <v>9</v>
      </c>
      <c r="Q17503" s="3"/>
    </row>
    <row r="17504" spans="1:17" ht="15" x14ac:dyDescent="0.25">
      <c r="A17504" s="3">
        <f>17497</f>
        <v>17497</v>
      </c>
      <c r="B17504" s="3" t="s">
        <v>17506</v>
      </c>
      <c r="C17504" s="3" t="s">
        <v>9</v>
      </c>
      <c r="D17504" s="3" t="s">
        <v>10</v>
      </c>
      <c r="E17504" s="3">
        <v>0</v>
      </c>
      <c r="F17504" s="3">
        <v>0</v>
      </c>
      <c r="G17504" s="3">
        <v>1</v>
      </c>
      <c r="H17504" s="3">
        <v>0</v>
      </c>
      <c r="I17504" s="3">
        <v>0</v>
      </c>
      <c r="J17504" s="3">
        <v>0</v>
      </c>
      <c r="K17504" s="3">
        <v>0</v>
      </c>
      <c r="L17504" s="3">
        <v>1</v>
      </c>
      <c r="M17504" s="3">
        <v>0</v>
      </c>
      <c r="N17504" s="3">
        <v>0</v>
      </c>
      <c r="O17504" s="3" t="s">
        <v>10</v>
      </c>
      <c r="P17504" s="3" t="s">
        <v>9</v>
      </c>
      <c r="Q17504" s="3"/>
    </row>
    <row r="17505" spans="1:17" ht="15" x14ac:dyDescent="0.25">
      <c r="A17505" s="3">
        <f>17498</f>
        <v>17498</v>
      </c>
      <c r="B17505" s="3" t="s">
        <v>17507</v>
      </c>
      <c r="C17505" s="3" t="s">
        <v>10</v>
      </c>
      <c r="D17505" s="3" t="s">
        <v>9</v>
      </c>
      <c r="E17505" s="3">
        <v>0</v>
      </c>
      <c r="F17505" s="3">
        <v>0</v>
      </c>
      <c r="G17505" s="3">
        <v>1</v>
      </c>
      <c r="H17505" s="3">
        <v>0</v>
      </c>
      <c r="I17505" s="3">
        <v>0</v>
      </c>
      <c r="J17505" s="3">
        <v>0</v>
      </c>
      <c r="K17505" s="3">
        <v>0</v>
      </c>
      <c r="L17505" s="3">
        <v>1</v>
      </c>
      <c r="M17505" s="3">
        <v>0</v>
      </c>
      <c r="N17505" s="3">
        <v>0</v>
      </c>
      <c r="O17505" s="3" t="s">
        <v>10</v>
      </c>
      <c r="P17505" s="3" t="s">
        <v>9</v>
      </c>
      <c r="Q17505" s="3"/>
    </row>
    <row r="17506" spans="1:17" ht="15" x14ac:dyDescent="0.25">
      <c r="A17506" s="3">
        <f>17499</f>
        <v>17499</v>
      </c>
      <c r="B17506" s="3" t="s">
        <v>17508</v>
      </c>
      <c r="C17506" s="3" t="s">
        <v>10</v>
      </c>
      <c r="D17506" s="3" t="s">
        <v>9</v>
      </c>
      <c r="E17506" s="3">
        <v>0</v>
      </c>
      <c r="F17506" s="3">
        <v>0</v>
      </c>
      <c r="G17506" s="3">
        <v>1</v>
      </c>
      <c r="H17506" s="3">
        <v>0</v>
      </c>
      <c r="I17506" s="3">
        <v>0</v>
      </c>
      <c r="J17506" s="3">
        <v>0</v>
      </c>
      <c r="K17506" s="3">
        <v>0</v>
      </c>
      <c r="L17506" s="3">
        <v>1</v>
      </c>
      <c r="M17506" s="3">
        <v>0</v>
      </c>
      <c r="N17506" s="3">
        <v>0</v>
      </c>
      <c r="O17506" s="3" t="s">
        <v>10</v>
      </c>
      <c r="P17506" s="3" t="s">
        <v>9</v>
      </c>
      <c r="Q17506" s="3"/>
    </row>
    <row r="17507" spans="1:17" ht="15" x14ac:dyDescent="0.25">
      <c r="A17507" s="3">
        <f>17500</f>
        <v>17500</v>
      </c>
      <c r="B17507" s="3" t="s">
        <v>17509</v>
      </c>
      <c r="C17507" s="3" t="s">
        <v>10</v>
      </c>
      <c r="D17507" s="3" t="s">
        <v>9</v>
      </c>
      <c r="E17507" s="3">
        <v>0</v>
      </c>
      <c r="F17507" s="3">
        <v>0</v>
      </c>
      <c r="G17507" s="3">
        <v>1</v>
      </c>
      <c r="H17507" s="3">
        <v>0</v>
      </c>
      <c r="I17507" s="3">
        <v>0</v>
      </c>
      <c r="J17507" s="3">
        <v>0</v>
      </c>
      <c r="K17507" s="3">
        <v>0</v>
      </c>
      <c r="L17507" s="3">
        <v>1</v>
      </c>
      <c r="M17507" s="3">
        <v>0</v>
      </c>
      <c r="N17507" s="3">
        <v>0</v>
      </c>
      <c r="O17507" s="3" t="s">
        <v>10</v>
      </c>
      <c r="P17507" s="3" t="s">
        <v>9</v>
      </c>
      <c r="Q17507" s="3"/>
    </row>
    <row r="17508" spans="1:17" ht="15" x14ac:dyDescent="0.25">
      <c r="A17508" s="3">
        <f>17501</f>
        <v>17501</v>
      </c>
      <c r="B17508" s="3" t="s">
        <v>17510</v>
      </c>
      <c r="C17508" s="3" t="s">
        <v>10</v>
      </c>
      <c r="D17508" s="3" t="s">
        <v>9</v>
      </c>
      <c r="E17508" s="3">
        <v>0</v>
      </c>
      <c r="F17508" s="3">
        <v>0</v>
      </c>
      <c r="G17508" s="3">
        <v>1</v>
      </c>
      <c r="H17508" s="3">
        <v>0</v>
      </c>
      <c r="I17508" s="3">
        <v>0</v>
      </c>
      <c r="J17508" s="3">
        <v>0</v>
      </c>
      <c r="K17508" s="3">
        <v>0</v>
      </c>
      <c r="L17508" s="3">
        <v>1</v>
      </c>
      <c r="M17508" s="3">
        <v>0</v>
      </c>
      <c r="N17508" s="3">
        <v>0</v>
      </c>
      <c r="O17508" s="3" t="s">
        <v>10</v>
      </c>
      <c r="P17508" s="3" t="s">
        <v>9</v>
      </c>
      <c r="Q17508" s="3"/>
    </row>
    <row r="17509" spans="1:17" ht="15" x14ac:dyDescent="0.25">
      <c r="A17509" s="3">
        <f>17502</f>
        <v>17502</v>
      </c>
      <c r="B17509" s="3" t="s">
        <v>17511</v>
      </c>
      <c r="C17509" s="3" t="s">
        <v>10</v>
      </c>
      <c r="D17509" s="3" t="s">
        <v>9</v>
      </c>
      <c r="E17509" s="3">
        <v>0</v>
      </c>
      <c r="F17509" s="3">
        <v>0</v>
      </c>
      <c r="G17509" s="3">
        <v>1</v>
      </c>
      <c r="H17509" s="3">
        <v>0</v>
      </c>
      <c r="I17509" s="3">
        <v>0</v>
      </c>
      <c r="J17509" s="3">
        <v>0</v>
      </c>
      <c r="K17509" s="3">
        <v>0</v>
      </c>
      <c r="L17509" s="3">
        <v>1</v>
      </c>
      <c r="M17509" s="3">
        <v>0</v>
      </c>
      <c r="N17509" s="3">
        <v>0</v>
      </c>
      <c r="O17509" s="3" t="s">
        <v>10</v>
      </c>
      <c r="P17509" s="3" t="s">
        <v>9</v>
      </c>
      <c r="Q17509" s="3"/>
    </row>
    <row r="17510" spans="1:17" ht="15" x14ac:dyDescent="0.25">
      <c r="A17510" s="3">
        <f>17503</f>
        <v>17503</v>
      </c>
      <c r="B17510" s="3" t="s">
        <v>17512</v>
      </c>
      <c r="C17510" s="3" t="s">
        <v>10</v>
      </c>
      <c r="D17510" s="3" t="s">
        <v>9</v>
      </c>
      <c r="E17510" s="3">
        <v>0</v>
      </c>
      <c r="F17510" s="3">
        <v>0</v>
      </c>
      <c r="G17510" s="3">
        <v>1</v>
      </c>
      <c r="H17510" s="3">
        <v>0</v>
      </c>
      <c r="I17510" s="3">
        <v>0</v>
      </c>
      <c r="J17510" s="3">
        <v>0</v>
      </c>
      <c r="K17510" s="3">
        <v>0</v>
      </c>
      <c r="L17510" s="3">
        <v>1</v>
      </c>
      <c r="M17510" s="3">
        <v>0</v>
      </c>
      <c r="N17510" s="3">
        <v>0</v>
      </c>
      <c r="O17510" s="3" t="s">
        <v>10</v>
      </c>
      <c r="P17510" s="3" t="s">
        <v>9</v>
      </c>
      <c r="Q17510" s="3"/>
    </row>
    <row r="17511" spans="1:17" ht="15" x14ac:dyDescent="0.25">
      <c r="A17511" s="3">
        <f>17504</f>
        <v>17504</v>
      </c>
      <c r="B17511" s="3" t="s">
        <v>17513</v>
      </c>
      <c r="C17511" s="3" t="s">
        <v>10</v>
      </c>
      <c r="D17511" s="3" t="s">
        <v>9</v>
      </c>
      <c r="E17511" s="3">
        <v>0</v>
      </c>
      <c r="F17511" s="3">
        <v>0</v>
      </c>
      <c r="G17511" s="3">
        <v>1</v>
      </c>
      <c r="H17511" s="3">
        <v>0</v>
      </c>
      <c r="I17511" s="3">
        <v>0</v>
      </c>
      <c r="J17511" s="3">
        <v>0</v>
      </c>
      <c r="K17511" s="3">
        <v>0</v>
      </c>
      <c r="L17511" s="3">
        <v>1</v>
      </c>
      <c r="M17511" s="3">
        <v>0</v>
      </c>
      <c r="N17511" s="3">
        <v>0</v>
      </c>
      <c r="O17511" s="3" t="s">
        <v>10</v>
      </c>
      <c r="P17511" s="3" t="s">
        <v>9</v>
      </c>
      <c r="Q17511" s="3"/>
    </row>
    <row r="17512" spans="1:17" ht="15" x14ac:dyDescent="0.25">
      <c r="A17512" s="3">
        <f>17505</f>
        <v>17505</v>
      </c>
      <c r="B17512" s="3" t="s">
        <v>17514</v>
      </c>
      <c r="C17512" s="3" t="s">
        <v>10</v>
      </c>
      <c r="D17512" s="3" t="s">
        <v>9</v>
      </c>
      <c r="E17512" s="3">
        <v>0</v>
      </c>
      <c r="F17512" s="3">
        <v>0</v>
      </c>
      <c r="G17512" s="3">
        <v>1</v>
      </c>
      <c r="H17512" s="3">
        <v>0</v>
      </c>
      <c r="I17512" s="3">
        <v>0</v>
      </c>
      <c r="J17512" s="3">
        <v>0</v>
      </c>
      <c r="K17512" s="3">
        <v>0</v>
      </c>
      <c r="L17512" s="3">
        <v>1</v>
      </c>
      <c r="M17512" s="3">
        <v>0</v>
      </c>
      <c r="N17512" s="3">
        <v>0</v>
      </c>
      <c r="O17512" s="3" t="s">
        <v>10</v>
      </c>
      <c r="P17512" s="3" t="s">
        <v>9</v>
      </c>
      <c r="Q17512" s="3"/>
    </row>
    <row r="17513" spans="1:17" ht="15" x14ac:dyDescent="0.25">
      <c r="A17513" s="3">
        <f>17506</f>
        <v>17506</v>
      </c>
      <c r="B17513" s="3" t="s">
        <v>17515</v>
      </c>
      <c r="C17513" s="3" t="s">
        <v>10</v>
      </c>
      <c r="D17513" s="3" t="s">
        <v>9</v>
      </c>
      <c r="E17513" s="3">
        <v>0</v>
      </c>
      <c r="F17513" s="3">
        <v>0</v>
      </c>
      <c r="G17513" s="3">
        <v>1</v>
      </c>
      <c r="H17513" s="3">
        <v>0</v>
      </c>
      <c r="I17513" s="3">
        <v>0</v>
      </c>
      <c r="J17513" s="3">
        <v>0</v>
      </c>
      <c r="K17513" s="3">
        <v>0</v>
      </c>
      <c r="L17513" s="3">
        <v>1</v>
      </c>
      <c r="M17513" s="3">
        <v>0</v>
      </c>
      <c r="N17513" s="3">
        <v>0</v>
      </c>
      <c r="O17513" s="3" t="s">
        <v>10</v>
      </c>
      <c r="P17513" s="3" t="s">
        <v>9</v>
      </c>
      <c r="Q17513" s="3"/>
    </row>
    <row r="17514" spans="1:17" ht="15" x14ac:dyDescent="0.25">
      <c r="A17514" s="3">
        <f>17507</f>
        <v>17507</v>
      </c>
      <c r="B17514" s="3" t="s">
        <v>17516</v>
      </c>
      <c r="C17514" s="3" t="s">
        <v>10</v>
      </c>
      <c r="D17514" s="3" t="s">
        <v>9</v>
      </c>
      <c r="E17514" s="3">
        <v>0</v>
      </c>
      <c r="F17514" s="3">
        <v>0</v>
      </c>
      <c r="G17514" s="3">
        <v>1</v>
      </c>
      <c r="H17514" s="3">
        <v>0</v>
      </c>
      <c r="I17514" s="3">
        <v>0</v>
      </c>
      <c r="J17514" s="3">
        <v>0</v>
      </c>
      <c r="K17514" s="3">
        <v>0</v>
      </c>
      <c r="L17514" s="3">
        <v>1</v>
      </c>
      <c r="M17514" s="3">
        <v>0</v>
      </c>
      <c r="N17514" s="3">
        <v>0</v>
      </c>
      <c r="O17514" s="3" t="s">
        <v>10</v>
      </c>
      <c r="P17514" s="3" t="s">
        <v>9</v>
      </c>
      <c r="Q17514" s="3"/>
    </row>
    <row r="17515" spans="1:17" ht="15" x14ac:dyDescent="0.25">
      <c r="A17515" s="3">
        <f>17508</f>
        <v>17508</v>
      </c>
      <c r="B17515" s="3" t="s">
        <v>17517</v>
      </c>
      <c r="C17515" s="3" t="s">
        <v>10</v>
      </c>
      <c r="D17515" s="3" t="s">
        <v>9</v>
      </c>
      <c r="E17515" s="3">
        <v>0</v>
      </c>
      <c r="F17515" s="3">
        <v>0</v>
      </c>
      <c r="G17515" s="3">
        <v>1</v>
      </c>
      <c r="H17515" s="3">
        <v>0</v>
      </c>
      <c r="I17515" s="3">
        <v>0</v>
      </c>
      <c r="J17515" s="3">
        <v>0</v>
      </c>
      <c r="K17515" s="3">
        <v>0</v>
      </c>
      <c r="L17515" s="3">
        <v>1</v>
      </c>
      <c r="M17515" s="3">
        <v>0</v>
      </c>
      <c r="N17515" s="3">
        <v>0</v>
      </c>
      <c r="O17515" s="3" t="s">
        <v>10</v>
      </c>
      <c r="P17515" s="3" t="s">
        <v>9</v>
      </c>
      <c r="Q17515" s="3"/>
    </row>
    <row r="17516" spans="1:17" ht="15" x14ac:dyDescent="0.25">
      <c r="A17516" s="3">
        <f>17509</f>
        <v>17509</v>
      </c>
      <c r="B17516" s="3" t="s">
        <v>17518</v>
      </c>
      <c r="C17516" s="3" t="s">
        <v>10</v>
      </c>
      <c r="D17516" s="3" t="s">
        <v>9</v>
      </c>
      <c r="E17516" s="3">
        <v>0</v>
      </c>
      <c r="F17516" s="3">
        <v>0</v>
      </c>
      <c r="G17516" s="3">
        <v>1</v>
      </c>
      <c r="H17516" s="3">
        <v>0</v>
      </c>
      <c r="I17516" s="3">
        <v>0</v>
      </c>
      <c r="J17516" s="3">
        <v>0</v>
      </c>
      <c r="K17516" s="3">
        <v>0</v>
      </c>
      <c r="L17516" s="3">
        <v>1</v>
      </c>
      <c r="M17516" s="3">
        <v>0</v>
      </c>
      <c r="N17516" s="3">
        <v>0</v>
      </c>
      <c r="O17516" s="3" t="s">
        <v>10</v>
      </c>
      <c r="P17516" s="3" t="s">
        <v>9</v>
      </c>
      <c r="Q17516" s="3"/>
    </row>
    <row r="17517" spans="1:17" ht="15" x14ac:dyDescent="0.25">
      <c r="A17517" s="3">
        <f>17510</f>
        <v>17510</v>
      </c>
      <c r="B17517" s="3" t="s">
        <v>17519</v>
      </c>
      <c r="C17517" s="3" t="s">
        <v>10</v>
      </c>
      <c r="D17517" s="3" t="s">
        <v>9</v>
      </c>
      <c r="E17517" s="3">
        <v>0</v>
      </c>
      <c r="F17517" s="3">
        <v>0</v>
      </c>
      <c r="G17517" s="3">
        <v>1</v>
      </c>
      <c r="H17517" s="3">
        <v>0</v>
      </c>
      <c r="I17517" s="3">
        <v>0</v>
      </c>
      <c r="J17517" s="3">
        <v>0</v>
      </c>
      <c r="K17517" s="3">
        <v>0</v>
      </c>
      <c r="L17517" s="3">
        <v>1</v>
      </c>
      <c r="M17517" s="3">
        <v>0</v>
      </c>
      <c r="N17517" s="3">
        <v>0</v>
      </c>
      <c r="O17517" s="3" t="s">
        <v>10</v>
      </c>
      <c r="P17517" s="3" t="s">
        <v>9</v>
      </c>
      <c r="Q17517" s="3"/>
    </row>
    <row r="17518" spans="1:17" ht="15" x14ac:dyDescent="0.25">
      <c r="A17518" s="3">
        <f>17511</f>
        <v>17511</v>
      </c>
      <c r="B17518" s="3" t="s">
        <v>17520</v>
      </c>
      <c r="C17518" s="3" t="s">
        <v>10</v>
      </c>
      <c r="D17518" s="3" t="s">
        <v>9</v>
      </c>
      <c r="E17518" s="3">
        <v>0</v>
      </c>
      <c r="F17518" s="3">
        <v>0</v>
      </c>
      <c r="G17518" s="3">
        <v>1</v>
      </c>
      <c r="H17518" s="3">
        <v>0</v>
      </c>
      <c r="I17518" s="3">
        <v>0</v>
      </c>
      <c r="J17518" s="3">
        <v>0</v>
      </c>
      <c r="K17518" s="3">
        <v>0</v>
      </c>
      <c r="L17518" s="3">
        <v>1</v>
      </c>
      <c r="M17518" s="3">
        <v>0</v>
      </c>
      <c r="N17518" s="3">
        <v>0</v>
      </c>
      <c r="O17518" s="3" t="s">
        <v>10</v>
      </c>
      <c r="P17518" s="3" t="s">
        <v>9</v>
      </c>
      <c r="Q17518" s="3"/>
    </row>
    <row r="17519" spans="1:17" ht="15" x14ac:dyDescent="0.25">
      <c r="A17519" s="3">
        <f>17512</f>
        <v>17512</v>
      </c>
      <c r="B17519" s="3" t="s">
        <v>17521</v>
      </c>
      <c r="C17519" s="3" t="s">
        <v>10</v>
      </c>
      <c r="D17519" s="3" t="s">
        <v>9</v>
      </c>
      <c r="E17519" s="3">
        <v>0</v>
      </c>
      <c r="F17519" s="3">
        <v>0</v>
      </c>
      <c r="G17519" s="3">
        <v>1</v>
      </c>
      <c r="H17519" s="3">
        <v>0</v>
      </c>
      <c r="I17519" s="3">
        <v>0</v>
      </c>
      <c r="J17519" s="3">
        <v>0</v>
      </c>
      <c r="K17519" s="3">
        <v>0</v>
      </c>
      <c r="L17519" s="3">
        <v>1</v>
      </c>
      <c r="M17519" s="3">
        <v>0</v>
      </c>
      <c r="N17519" s="3">
        <v>0</v>
      </c>
      <c r="O17519" s="3" t="s">
        <v>10</v>
      </c>
      <c r="P17519" s="3" t="s">
        <v>9</v>
      </c>
      <c r="Q17519" s="3"/>
    </row>
    <row r="17520" spans="1:17" ht="15" x14ac:dyDescent="0.25">
      <c r="A17520" s="3">
        <f>17513</f>
        <v>17513</v>
      </c>
      <c r="B17520" s="3" t="s">
        <v>17522</v>
      </c>
      <c r="C17520" s="3" t="s">
        <v>10</v>
      </c>
      <c r="D17520" s="3" t="s">
        <v>9</v>
      </c>
      <c r="E17520" s="3">
        <v>0</v>
      </c>
      <c r="F17520" s="3">
        <v>0</v>
      </c>
      <c r="G17520" s="3">
        <v>1</v>
      </c>
      <c r="H17520" s="3">
        <v>0</v>
      </c>
      <c r="I17520" s="3">
        <v>0</v>
      </c>
      <c r="J17520" s="3">
        <v>0</v>
      </c>
      <c r="K17520" s="3">
        <v>0</v>
      </c>
      <c r="L17520" s="3">
        <v>1</v>
      </c>
      <c r="M17520" s="3">
        <v>0</v>
      </c>
      <c r="N17520" s="3">
        <v>0</v>
      </c>
      <c r="O17520" s="3" t="s">
        <v>10</v>
      </c>
      <c r="P17520" s="3" t="s">
        <v>9</v>
      </c>
      <c r="Q17520" s="3"/>
    </row>
    <row r="17521" spans="1:17" ht="15" x14ac:dyDescent="0.25">
      <c r="A17521" s="3">
        <f>17514</f>
        <v>17514</v>
      </c>
      <c r="B17521" s="3" t="s">
        <v>17523</v>
      </c>
      <c r="C17521" s="3" t="s">
        <v>10</v>
      </c>
      <c r="D17521" s="3" t="s">
        <v>9</v>
      </c>
      <c r="E17521" s="3">
        <v>0</v>
      </c>
      <c r="F17521" s="3">
        <v>0</v>
      </c>
      <c r="G17521" s="3">
        <v>1</v>
      </c>
      <c r="H17521" s="3">
        <v>0</v>
      </c>
      <c r="I17521" s="3">
        <v>0</v>
      </c>
      <c r="J17521" s="3">
        <v>0</v>
      </c>
      <c r="K17521" s="3">
        <v>0</v>
      </c>
      <c r="L17521" s="3">
        <v>1</v>
      </c>
      <c r="M17521" s="3">
        <v>0</v>
      </c>
      <c r="N17521" s="3">
        <v>0</v>
      </c>
      <c r="O17521" s="3" t="s">
        <v>10</v>
      </c>
      <c r="P17521" s="3" t="s">
        <v>9</v>
      </c>
      <c r="Q17521" s="3"/>
    </row>
    <row r="17522" spans="1:17" ht="15" x14ac:dyDescent="0.25">
      <c r="A17522" s="3">
        <f>17515</f>
        <v>17515</v>
      </c>
      <c r="B17522" s="3" t="s">
        <v>17524</v>
      </c>
      <c r="C17522" s="3" t="s">
        <v>10</v>
      </c>
      <c r="D17522" s="3" t="s">
        <v>9</v>
      </c>
      <c r="E17522" s="3">
        <v>0</v>
      </c>
      <c r="F17522" s="3">
        <v>0</v>
      </c>
      <c r="G17522" s="3">
        <v>1</v>
      </c>
      <c r="H17522" s="3">
        <v>0</v>
      </c>
      <c r="I17522" s="3">
        <v>0</v>
      </c>
      <c r="J17522" s="3">
        <v>0</v>
      </c>
      <c r="K17522" s="3">
        <v>0</v>
      </c>
      <c r="L17522" s="3">
        <v>1</v>
      </c>
      <c r="M17522" s="3">
        <v>0</v>
      </c>
      <c r="N17522" s="3">
        <v>0</v>
      </c>
      <c r="O17522" s="3" t="s">
        <v>10</v>
      </c>
      <c r="P17522" s="3" t="s">
        <v>9</v>
      </c>
      <c r="Q17522" s="3"/>
    </row>
    <row r="17523" spans="1:17" ht="15" x14ac:dyDescent="0.25">
      <c r="A17523" s="3">
        <f>17516</f>
        <v>17516</v>
      </c>
      <c r="B17523" s="3" t="s">
        <v>17525</v>
      </c>
      <c r="C17523" s="3" t="s">
        <v>10</v>
      </c>
      <c r="D17523" s="3" t="s">
        <v>9</v>
      </c>
      <c r="E17523" s="3">
        <v>0</v>
      </c>
      <c r="F17523" s="3">
        <v>0</v>
      </c>
      <c r="G17523" s="3">
        <v>1</v>
      </c>
      <c r="H17523" s="3">
        <v>0</v>
      </c>
      <c r="I17523" s="3">
        <v>0</v>
      </c>
      <c r="J17523" s="3">
        <v>0</v>
      </c>
      <c r="K17523" s="3">
        <v>0</v>
      </c>
      <c r="L17523" s="3">
        <v>1</v>
      </c>
      <c r="M17523" s="3">
        <v>0</v>
      </c>
      <c r="N17523" s="3">
        <v>0</v>
      </c>
      <c r="O17523" s="3" t="s">
        <v>10</v>
      </c>
      <c r="P17523" s="3" t="s">
        <v>9</v>
      </c>
      <c r="Q17523" s="3"/>
    </row>
    <row r="17524" spans="1:17" ht="15" x14ac:dyDescent="0.25">
      <c r="A17524" s="3">
        <f>17517</f>
        <v>17517</v>
      </c>
      <c r="B17524" s="3" t="s">
        <v>17526</v>
      </c>
      <c r="C17524" s="3" t="s">
        <v>10</v>
      </c>
      <c r="D17524" s="3" t="s">
        <v>9</v>
      </c>
      <c r="E17524" s="3">
        <v>0</v>
      </c>
      <c r="F17524" s="3">
        <v>0</v>
      </c>
      <c r="G17524" s="3">
        <v>1</v>
      </c>
      <c r="H17524" s="3">
        <v>0</v>
      </c>
      <c r="I17524" s="3">
        <v>0</v>
      </c>
      <c r="J17524" s="3">
        <v>0</v>
      </c>
      <c r="K17524" s="3">
        <v>0</v>
      </c>
      <c r="L17524" s="3">
        <v>1</v>
      </c>
      <c r="M17524" s="3">
        <v>0</v>
      </c>
      <c r="N17524" s="3">
        <v>0</v>
      </c>
      <c r="O17524" s="3" t="s">
        <v>10</v>
      </c>
      <c r="P17524" s="3" t="s">
        <v>9</v>
      </c>
      <c r="Q17524" s="3"/>
    </row>
    <row r="17525" spans="1:17" ht="15" x14ac:dyDescent="0.25">
      <c r="A17525" s="3">
        <f>17518</f>
        <v>17518</v>
      </c>
      <c r="B17525" s="3" t="s">
        <v>17527</v>
      </c>
      <c r="C17525" s="3" t="s">
        <v>10</v>
      </c>
      <c r="D17525" s="3" t="s">
        <v>9</v>
      </c>
      <c r="E17525" s="3">
        <v>0</v>
      </c>
      <c r="F17525" s="3">
        <v>0</v>
      </c>
      <c r="G17525" s="3">
        <v>1</v>
      </c>
      <c r="H17525" s="3">
        <v>0</v>
      </c>
      <c r="I17525" s="3">
        <v>0</v>
      </c>
      <c r="J17525" s="3">
        <v>0</v>
      </c>
      <c r="K17525" s="3">
        <v>0</v>
      </c>
      <c r="L17525" s="3">
        <v>1</v>
      </c>
      <c r="M17525" s="3">
        <v>0</v>
      </c>
      <c r="N17525" s="3">
        <v>0</v>
      </c>
      <c r="O17525" s="3" t="s">
        <v>10</v>
      </c>
      <c r="P17525" s="3" t="s">
        <v>9</v>
      </c>
      <c r="Q17525" s="3"/>
    </row>
    <row r="17526" spans="1:17" ht="15" x14ac:dyDescent="0.25">
      <c r="A17526" s="3">
        <f>17519</f>
        <v>17519</v>
      </c>
      <c r="B17526" s="3" t="s">
        <v>17528</v>
      </c>
      <c r="C17526" s="3" t="s">
        <v>10</v>
      </c>
      <c r="D17526" s="3" t="s">
        <v>9</v>
      </c>
      <c r="E17526" s="3">
        <v>0</v>
      </c>
      <c r="F17526" s="3">
        <v>0</v>
      </c>
      <c r="G17526" s="3">
        <v>1</v>
      </c>
      <c r="H17526" s="3">
        <v>0</v>
      </c>
      <c r="I17526" s="3">
        <v>0</v>
      </c>
      <c r="J17526" s="3">
        <v>0</v>
      </c>
      <c r="K17526" s="3">
        <v>0</v>
      </c>
      <c r="L17526" s="3">
        <v>1</v>
      </c>
      <c r="M17526" s="3">
        <v>0</v>
      </c>
      <c r="N17526" s="3">
        <v>0</v>
      </c>
      <c r="O17526" s="3" t="s">
        <v>10</v>
      </c>
      <c r="P17526" s="3" t="s">
        <v>9</v>
      </c>
      <c r="Q17526" s="3"/>
    </row>
    <row r="17527" spans="1:17" ht="15" x14ac:dyDescent="0.25">
      <c r="A17527" s="3">
        <f>17520</f>
        <v>17520</v>
      </c>
      <c r="B17527" s="3" t="s">
        <v>17529</v>
      </c>
      <c r="C17527" s="3" t="s">
        <v>10</v>
      </c>
      <c r="D17527" s="3" t="s">
        <v>9</v>
      </c>
      <c r="E17527" s="3">
        <v>0</v>
      </c>
      <c r="F17527" s="3">
        <v>0</v>
      </c>
      <c r="G17527" s="3">
        <v>1</v>
      </c>
      <c r="H17527" s="3">
        <v>0</v>
      </c>
      <c r="I17527" s="3">
        <v>0</v>
      </c>
      <c r="J17527" s="3">
        <v>0</v>
      </c>
      <c r="K17527" s="3">
        <v>0</v>
      </c>
      <c r="L17527" s="3">
        <v>1</v>
      </c>
      <c r="M17527" s="3">
        <v>0</v>
      </c>
      <c r="N17527" s="3">
        <v>0</v>
      </c>
      <c r="O17527" s="3" t="s">
        <v>10</v>
      </c>
      <c r="P17527" s="3" t="s">
        <v>9</v>
      </c>
      <c r="Q17527" s="3"/>
    </row>
    <row r="17528" spans="1:17" ht="15" x14ac:dyDescent="0.25">
      <c r="A17528" s="3">
        <f>17521</f>
        <v>17521</v>
      </c>
      <c r="B17528" s="3" t="s">
        <v>17530</v>
      </c>
      <c r="C17528" s="3" t="s">
        <v>10</v>
      </c>
      <c r="D17528" s="3" t="s">
        <v>9</v>
      </c>
      <c r="E17528" s="3">
        <v>0</v>
      </c>
      <c r="F17528" s="3">
        <v>0</v>
      </c>
      <c r="G17528" s="3">
        <v>1</v>
      </c>
      <c r="H17528" s="3">
        <v>0</v>
      </c>
      <c r="I17528" s="3">
        <v>0</v>
      </c>
      <c r="J17528" s="3">
        <v>0</v>
      </c>
      <c r="K17528" s="3">
        <v>0</v>
      </c>
      <c r="L17528" s="3">
        <v>1</v>
      </c>
      <c r="M17528" s="3">
        <v>0</v>
      </c>
      <c r="N17528" s="3">
        <v>0</v>
      </c>
      <c r="O17528" s="3" t="s">
        <v>10</v>
      </c>
      <c r="P17528" s="3" t="s">
        <v>9</v>
      </c>
      <c r="Q17528" s="3"/>
    </row>
    <row r="17529" spans="1:17" ht="15" x14ac:dyDescent="0.25">
      <c r="A17529" s="3">
        <f>17522</f>
        <v>17522</v>
      </c>
      <c r="B17529" s="3" t="s">
        <v>17531</v>
      </c>
      <c r="C17529" s="3" t="s">
        <v>10</v>
      </c>
      <c r="D17529" s="3" t="s">
        <v>9</v>
      </c>
      <c r="E17529" s="3">
        <v>0</v>
      </c>
      <c r="F17529" s="3">
        <v>0</v>
      </c>
      <c r="G17529" s="3">
        <v>1</v>
      </c>
      <c r="H17529" s="3">
        <v>0</v>
      </c>
      <c r="I17529" s="3">
        <v>0</v>
      </c>
      <c r="J17529" s="3">
        <v>0</v>
      </c>
      <c r="K17529" s="3">
        <v>0</v>
      </c>
      <c r="L17529" s="3">
        <v>1</v>
      </c>
      <c r="M17529" s="3">
        <v>0</v>
      </c>
      <c r="N17529" s="3">
        <v>0</v>
      </c>
      <c r="O17529" s="3" t="s">
        <v>10</v>
      </c>
      <c r="P17529" s="3" t="s">
        <v>9</v>
      </c>
      <c r="Q17529" s="3"/>
    </row>
    <row r="17530" spans="1:17" ht="15" x14ac:dyDescent="0.25">
      <c r="A17530" s="3">
        <f>17523</f>
        <v>17523</v>
      </c>
      <c r="B17530" s="3" t="s">
        <v>17532</v>
      </c>
      <c r="C17530" s="3" t="s">
        <v>10</v>
      </c>
      <c r="D17530" s="3" t="s">
        <v>9</v>
      </c>
      <c r="E17530" s="3">
        <v>0</v>
      </c>
      <c r="F17530" s="3">
        <v>0</v>
      </c>
      <c r="G17530" s="3">
        <v>1</v>
      </c>
      <c r="H17530" s="3">
        <v>0</v>
      </c>
      <c r="I17530" s="3">
        <v>0</v>
      </c>
      <c r="J17530" s="3">
        <v>0</v>
      </c>
      <c r="K17530" s="3">
        <v>0</v>
      </c>
      <c r="L17530" s="3">
        <v>1</v>
      </c>
      <c r="M17530" s="3">
        <v>0</v>
      </c>
      <c r="N17530" s="3">
        <v>0</v>
      </c>
      <c r="O17530" s="3" t="s">
        <v>10</v>
      </c>
      <c r="P17530" s="3" t="s">
        <v>9</v>
      </c>
      <c r="Q17530" s="3"/>
    </row>
    <row r="17531" spans="1:17" ht="15" x14ac:dyDescent="0.25">
      <c r="A17531" s="3">
        <f>17524</f>
        <v>17524</v>
      </c>
      <c r="B17531" s="3" t="s">
        <v>17533</v>
      </c>
      <c r="C17531" s="3" t="s">
        <v>10</v>
      </c>
      <c r="D17531" s="3" t="s">
        <v>9</v>
      </c>
      <c r="E17531" s="3">
        <v>0</v>
      </c>
      <c r="F17531" s="3">
        <v>0</v>
      </c>
      <c r="G17531" s="3">
        <v>1</v>
      </c>
      <c r="H17531" s="3">
        <v>0</v>
      </c>
      <c r="I17531" s="3">
        <v>0</v>
      </c>
      <c r="J17531" s="3">
        <v>0</v>
      </c>
      <c r="K17531" s="3">
        <v>0</v>
      </c>
      <c r="L17531" s="3">
        <v>1</v>
      </c>
      <c r="M17531" s="3">
        <v>0</v>
      </c>
      <c r="N17531" s="3">
        <v>0</v>
      </c>
      <c r="O17531" s="3" t="s">
        <v>10</v>
      </c>
      <c r="P17531" s="3" t="s">
        <v>9</v>
      </c>
      <c r="Q17531" s="3"/>
    </row>
    <row r="17532" spans="1:17" ht="15" x14ac:dyDescent="0.25">
      <c r="A17532" s="3">
        <f>17525</f>
        <v>17525</v>
      </c>
      <c r="B17532" s="3" t="s">
        <v>17534</v>
      </c>
      <c r="C17532" s="3" t="s">
        <v>10</v>
      </c>
      <c r="D17532" s="3" t="s">
        <v>9</v>
      </c>
      <c r="E17532" s="3">
        <v>0</v>
      </c>
      <c r="F17532" s="3">
        <v>0</v>
      </c>
      <c r="G17532" s="3">
        <v>1</v>
      </c>
      <c r="H17532" s="3">
        <v>0</v>
      </c>
      <c r="I17532" s="3">
        <v>0</v>
      </c>
      <c r="J17532" s="3">
        <v>0</v>
      </c>
      <c r="K17532" s="3">
        <v>0</v>
      </c>
      <c r="L17532" s="3">
        <v>1</v>
      </c>
      <c r="M17532" s="3">
        <v>0</v>
      </c>
      <c r="N17532" s="3">
        <v>0</v>
      </c>
      <c r="O17532" s="3" t="s">
        <v>10</v>
      </c>
      <c r="P17532" s="3" t="s">
        <v>9</v>
      </c>
      <c r="Q17532" s="3"/>
    </row>
    <row r="17533" spans="1:17" ht="15" x14ac:dyDescent="0.25">
      <c r="A17533" s="3">
        <f>17526</f>
        <v>17526</v>
      </c>
      <c r="B17533" s="3" t="s">
        <v>17535</v>
      </c>
      <c r="C17533" s="3" t="s">
        <v>10</v>
      </c>
      <c r="D17533" s="3" t="s">
        <v>9</v>
      </c>
      <c r="E17533" s="3">
        <v>0</v>
      </c>
      <c r="F17533" s="3">
        <v>0</v>
      </c>
      <c r="G17533" s="3">
        <v>1</v>
      </c>
      <c r="H17533" s="3">
        <v>0</v>
      </c>
      <c r="I17533" s="3">
        <v>0</v>
      </c>
      <c r="J17533" s="3">
        <v>0</v>
      </c>
      <c r="K17533" s="3">
        <v>0</v>
      </c>
      <c r="L17533" s="3">
        <v>1</v>
      </c>
      <c r="M17533" s="3">
        <v>0</v>
      </c>
      <c r="N17533" s="3">
        <v>0</v>
      </c>
      <c r="O17533" s="3" t="s">
        <v>10</v>
      </c>
      <c r="P17533" s="3" t="s">
        <v>9</v>
      </c>
      <c r="Q17533" s="3"/>
    </row>
    <row r="17534" spans="1:17" ht="15" x14ac:dyDescent="0.25">
      <c r="A17534" s="3">
        <f>17527</f>
        <v>17527</v>
      </c>
      <c r="B17534" s="3" t="s">
        <v>17536</v>
      </c>
      <c r="C17534" s="3" t="s">
        <v>10</v>
      </c>
      <c r="D17534" s="3" t="s">
        <v>9</v>
      </c>
      <c r="E17534" s="3">
        <v>0</v>
      </c>
      <c r="F17534" s="3">
        <v>0</v>
      </c>
      <c r="G17534" s="3">
        <v>1</v>
      </c>
      <c r="H17534" s="3">
        <v>0</v>
      </c>
      <c r="I17534" s="3">
        <v>0</v>
      </c>
      <c r="J17534" s="3">
        <v>0</v>
      </c>
      <c r="K17534" s="3">
        <v>0</v>
      </c>
      <c r="L17534" s="3">
        <v>1</v>
      </c>
      <c r="M17534" s="3">
        <v>0</v>
      </c>
      <c r="N17534" s="3">
        <v>0</v>
      </c>
      <c r="O17534" s="3" t="s">
        <v>10</v>
      </c>
      <c r="P17534" s="3" t="s">
        <v>9</v>
      </c>
      <c r="Q17534" s="3"/>
    </row>
    <row r="17535" spans="1:17" ht="15" x14ac:dyDescent="0.25">
      <c r="A17535" s="3">
        <f>17528</f>
        <v>17528</v>
      </c>
      <c r="B17535" s="3" t="s">
        <v>17537</v>
      </c>
      <c r="C17535" s="3" t="s">
        <v>10</v>
      </c>
      <c r="D17535" s="3" t="s">
        <v>9</v>
      </c>
      <c r="E17535" s="3">
        <v>0</v>
      </c>
      <c r="F17535" s="3">
        <v>0</v>
      </c>
      <c r="G17535" s="3">
        <v>1</v>
      </c>
      <c r="H17535" s="3">
        <v>0</v>
      </c>
      <c r="I17535" s="3">
        <v>0</v>
      </c>
      <c r="J17535" s="3">
        <v>0</v>
      </c>
      <c r="K17535" s="3">
        <v>0</v>
      </c>
      <c r="L17535" s="3">
        <v>1</v>
      </c>
      <c r="M17535" s="3">
        <v>0</v>
      </c>
      <c r="N17535" s="3">
        <v>0</v>
      </c>
      <c r="O17535" s="3" t="s">
        <v>10</v>
      </c>
      <c r="P17535" s="3" t="s">
        <v>9</v>
      </c>
      <c r="Q17535" s="3"/>
    </row>
    <row r="17536" spans="1:17" ht="15" x14ac:dyDescent="0.25">
      <c r="A17536" s="3">
        <f>17529</f>
        <v>17529</v>
      </c>
      <c r="B17536" s="3" t="s">
        <v>17538</v>
      </c>
      <c r="C17536" s="3" t="s">
        <v>10</v>
      </c>
      <c r="D17536" s="3" t="s">
        <v>9</v>
      </c>
      <c r="E17536" s="3">
        <v>0</v>
      </c>
      <c r="F17536" s="3">
        <v>0</v>
      </c>
      <c r="G17536" s="3">
        <v>1</v>
      </c>
      <c r="H17536" s="3">
        <v>0</v>
      </c>
      <c r="I17536" s="3">
        <v>0</v>
      </c>
      <c r="J17536" s="3">
        <v>0</v>
      </c>
      <c r="K17536" s="3">
        <v>0</v>
      </c>
      <c r="L17536" s="3">
        <v>1</v>
      </c>
      <c r="M17536" s="3">
        <v>0</v>
      </c>
      <c r="N17536" s="3">
        <v>0</v>
      </c>
      <c r="O17536" s="3" t="s">
        <v>10</v>
      </c>
      <c r="P17536" s="3" t="s">
        <v>9</v>
      </c>
      <c r="Q17536" s="3"/>
    </row>
    <row r="17537" spans="1:17" ht="15" x14ac:dyDescent="0.25">
      <c r="A17537" s="3">
        <f>17530</f>
        <v>17530</v>
      </c>
      <c r="B17537" s="3" t="s">
        <v>17539</v>
      </c>
      <c r="C17537" s="3" t="s">
        <v>10</v>
      </c>
      <c r="D17537" s="3" t="s">
        <v>9</v>
      </c>
      <c r="E17537" s="3">
        <v>0</v>
      </c>
      <c r="F17537" s="3">
        <v>0</v>
      </c>
      <c r="G17537" s="3">
        <v>1</v>
      </c>
      <c r="H17537" s="3">
        <v>0</v>
      </c>
      <c r="I17537" s="3">
        <v>0</v>
      </c>
      <c r="J17537" s="3">
        <v>0</v>
      </c>
      <c r="K17537" s="3">
        <v>0</v>
      </c>
      <c r="L17537" s="3">
        <v>1</v>
      </c>
      <c r="M17537" s="3">
        <v>0</v>
      </c>
      <c r="N17537" s="3">
        <v>0</v>
      </c>
      <c r="O17537" s="3" t="s">
        <v>10</v>
      </c>
      <c r="P17537" s="3" t="s">
        <v>9</v>
      </c>
      <c r="Q17537" s="3"/>
    </row>
    <row r="17538" spans="1:17" ht="15" x14ac:dyDescent="0.25">
      <c r="A17538" s="3">
        <f>17531</f>
        <v>17531</v>
      </c>
      <c r="B17538" s="3" t="s">
        <v>17540</v>
      </c>
      <c r="C17538" s="3" t="s">
        <v>10</v>
      </c>
      <c r="D17538" s="3" t="s">
        <v>9</v>
      </c>
      <c r="E17538" s="3">
        <v>0</v>
      </c>
      <c r="F17538" s="3">
        <v>0</v>
      </c>
      <c r="G17538" s="3">
        <v>1</v>
      </c>
      <c r="H17538" s="3">
        <v>0</v>
      </c>
      <c r="I17538" s="3">
        <v>0</v>
      </c>
      <c r="J17538" s="3">
        <v>0</v>
      </c>
      <c r="K17538" s="3">
        <v>0</v>
      </c>
      <c r="L17538" s="3">
        <v>1</v>
      </c>
      <c r="M17538" s="3">
        <v>0</v>
      </c>
      <c r="N17538" s="3">
        <v>0</v>
      </c>
      <c r="O17538" s="3" t="s">
        <v>10</v>
      </c>
      <c r="P17538" s="3" t="s">
        <v>9</v>
      </c>
      <c r="Q17538" s="3"/>
    </row>
    <row r="17539" spans="1:17" ht="15" x14ac:dyDescent="0.25">
      <c r="A17539" s="3">
        <f>17532</f>
        <v>17532</v>
      </c>
      <c r="B17539" s="3" t="s">
        <v>17541</v>
      </c>
      <c r="C17539" s="3" t="s">
        <v>10</v>
      </c>
      <c r="D17539" s="3" t="s">
        <v>9</v>
      </c>
      <c r="E17539" s="3">
        <v>0</v>
      </c>
      <c r="F17539" s="3">
        <v>0</v>
      </c>
      <c r="G17539" s="3">
        <v>1</v>
      </c>
      <c r="H17539" s="3">
        <v>0</v>
      </c>
      <c r="I17539" s="3">
        <v>0</v>
      </c>
      <c r="J17539" s="3">
        <v>0</v>
      </c>
      <c r="K17539" s="3">
        <v>0</v>
      </c>
      <c r="L17539" s="3">
        <v>1</v>
      </c>
      <c r="M17539" s="3">
        <v>0</v>
      </c>
      <c r="N17539" s="3">
        <v>0</v>
      </c>
      <c r="O17539" s="3" t="s">
        <v>10</v>
      </c>
      <c r="P17539" s="3" t="s">
        <v>9</v>
      </c>
      <c r="Q17539" s="3"/>
    </row>
    <row r="17540" spans="1:17" ht="15" x14ac:dyDescent="0.25">
      <c r="A17540" s="3">
        <f>17533</f>
        <v>17533</v>
      </c>
      <c r="B17540" s="3" t="s">
        <v>17542</v>
      </c>
      <c r="C17540" s="3" t="s">
        <v>10</v>
      </c>
      <c r="D17540" s="3" t="s">
        <v>9</v>
      </c>
      <c r="E17540" s="3">
        <v>0</v>
      </c>
      <c r="F17540" s="3">
        <v>0</v>
      </c>
      <c r="G17540" s="3">
        <v>1</v>
      </c>
      <c r="H17540" s="3">
        <v>0</v>
      </c>
      <c r="I17540" s="3">
        <v>0</v>
      </c>
      <c r="J17540" s="3">
        <v>0</v>
      </c>
      <c r="K17540" s="3">
        <v>0</v>
      </c>
      <c r="L17540" s="3">
        <v>1</v>
      </c>
      <c r="M17540" s="3">
        <v>0</v>
      </c>
      <c r="N17540" s="3">
        <v>0</v>
      </c>
      <c r="O17540" s="3" t="s">
        <v>10</v>
      </c>
      <c r="P17540" s="3" t="s">
        <v>9</v>
      </c>
      <c r="Q17540" s="3"/>
    </row>
    <row r="17541" spans="1:17" ht="15" x14ac:dyDescent="0.25">
      <c r="A17541" s="3">
        <f>17534</f>
        <v>17534</v>
      </c>
      <c r="B17541" s="3" t="s">
        <v>17543</v>
      </c>
      <c r="C17541" s="3" t="s">
        <v>10</v>
      </c>
      <c r="D17541" s="3" t="s">
        <v>9</v>
      </c>
      <c r="E17541" s="3">
        <v>0</v>
      </c>
      <c r="F17541" s="3">
        <v>0</v>
      </c>
      <c r="G17541" s="3">
        <v>1</v>
      </c>
      <c r="H17541" s="3">
        <v>0</v>
      </c>
      <c r="I17541" s="3">
        <v>0</v>
      </c>
      <c r="J17541" s="3">
        <v>0</v>
      </c>
      <c r="K17541" s="3">
        <v>0</v>
      </c>
      <c r="L17541" s="3">
        <v>1</v>
      </c>
      <c r="M17541" s="3">
        <v>0</v>
      </c>
      <c r="N17541" s="3">
        <v>0</v>
      </c>
      <c r="O17541" s="3" t="s">
        <v>10</v>
      </c>
      <c r="P17541" s="3" t="s">
        <v>9</v>
      </c>
      <c r="Q17541" s="3"/>
    </row>
    <row r="17542" spans="1:17" ht="15" x14ac:dyDescent="0.25">
      <c r="A17542" s="3">
        <f>17535</f>
        <v>17535</v>
      </c>
      <c r="B17542" s="3" t="s">
        <v>17544</v>
      </c>
      <c r="C17542" s="3" t="s">
        <v>10</v>
      </c>
      <c r="D17542" s="3" t="s">
        <v>9</v>
      </c>
      <c r="E17542" s="3">
        <v>0</v>
      </c>
      <c r="F17542" s="3">
        <v>0</v>
      </c>
      <c r="G17542" s="3">
        <v>1</v>
      </c>
      <c r="H17542" s="3">
        <v>0</v>
      </c>
      <c r="I17542" s="3">
        <v>0</v>
      </c>
      <c r="J17542" s="3">
        <v>0</v>
      </c>
      <c r="K17542" s="3">
        <v>0</v>
      </c>
      <c r="L17542" s="3">
        <v>1</v>
      </c>
      <c r="M17542" s="3">
        <v>0</v>
      </c>
      <c r="N17542" s="3">
        <v>0</v>
      </c>
      <c r="O17542" s="3" t="s">
        <v>10</v>
      </c>
      <c r="P17542" s="3" t="s">
        <v>9</v>
      </c>
      <c r="Q17542" s="3"/>
    </row>
    <row r="17543" spans="1:17" ht="15" x14ac:dyDescent="0.25">
      <c r="A17543" s="3">
        <f>17536</f>
        <v>17536</v>
      </c>
      <c r="B17543" s="3" t="s">
        <v>17545</v>
      </c>
      <c r="C17543" s="3" t="s">
        <v>10</v>
      </c>
      <c r="D17543" s="3" t="s">
        <v>9</v>
      </c>
      <c r="E17543" s="3">
        <v>0</v>
      </c>
      <c r="F17543" s="3">
        <v>0</v>
      </c>
      <c r="G17543" s="3">
        <v>1</v>
      </c>
      <c r="H17543" s="3">
        <v>0</v>
      </c>
      <c r="I17543" s="3">
        <v>0</v>
      </c>
      <c r="J17543" s="3">
        <v>0</v>
      </c>
      <c r="K17543" s="3">
        <v>0</v>
      </c>
      <c r="L17543" s="3">
        <v>1</v>
      </c>
      <c r="M17543" s="3">
        <v>0</v>
      </c>
      <c r="N17543" s="3">
        <v>0</v>
      </c>
      <c r="O17543" s="3" t="s">
        <v>10</v>
      </c>
      <c r="P17543" s="3" t="s">
        <v>9</v>
      </c>
      <c r="Q17543" s="3"/>
    </row>
    <row r="17544" spans="1:17" ht="15" x14ac:dyDescent="0.25">
      <c r="A17544" s="3">
        <f>17537</f>
        <v>17537</v>
      </c>
      <c r="B17544" s="3" t="s">
        <v>17546</v>
      </c>
      <c r="C17544" s="3" t="s">
        <v>10</v>
      </c>
      <c r="D17544" s="3" t="s">
        <v>9</v>
      </c>
      <c r="E17544" s="3">
        <v>0</v>
      </c>
      <c r="F17544" s="3">
        <v>0</v>
      </c>
      <c r="G17544" s="3">
        <v>1</v>
      </c>
      <c r="H17544" s="3">
        <v>0</v>
      </c>
      <c r="I17544" s="3">
        <v>0</v>
      </c>
      <c r="J17544" s="3">
        <v>0</v>
      </c>
      <c r="K17544" s="3">
        <v>0</v>
      </c>
      <c r="L17544" s="3">
        <v>1</v>
      </c>
      <c r="M17544" s="3">
        <v>0</v>
      </c>
      <c r="N17544" s="3">
        <v>0</v>
      </c>
      <c r="O17544" s="3" t="s">
        <v>10</v>
      </c>
      <c r="P17544" s="3" t="s">
        <v>9</v>
      </c>
      <c r="Q17544" s="3"/>
    </row>
    <row r="17545" spans="1:17" ht="15" x14ac:dyDescent="0.25">
      <c r="A17545" s="3">
        <f>17538</f>
        <v>17538</v>
      </c>
      <c r="B17545" s="3" t="s">
        <v>17547</v>
      </c>
      <c r="C17545" s="3" t="s">
        <v>10</v>
      </c>
      <c r="D17545" s="3" t="s">
        <v>9</v>
      </c>
      <c r="E17545" s="3">
        <v>0</v>
      </c>
      <c r="F17545" s="3">
        <v>0</v>
      </c>
      <c r="G17545" s="3">
        <v>1</v>
      </c>
      <c r="H17545" s="3">
        <v>0</v>
      </c>
      <c r="I17545" s="3">
        <v>0</v>
      </c>
      <c r="J17545" s="3">
        <v>0</v>
      </c>
      <c r="K17545" s="3">
        <v>0</v>
      </c>
      <c r="L17545" s="3">
        <v>1</v>
      </c>
      <c r="M17545" s="3">
        <v>0</v>
      </c>
      <c r="N17545" s="3">
        <v>0</v>
      </c>
      <c r="O17545" s="3" t="s">
        <v>10</v>
      </c>
      <c r="P17545" s="3" t="s">
        <v>9</v>
      </c>
      <c r="Q17545" s="3"/>
    </row>
    <row r="17546" spans="1:17" ht="15" x14ac:dyDescent="0.25">
      <c r="A17546" s="3">
        <f>17539</f>
        <v>17539</v>
      </c>
      <c r="B17546" s="3" t="s">
        <v>17548</v>
      </c>
      <c r="C17546" s="3" t="s">
        <v>10</v>
      </c>
      <c r="D17546" s="3" t="s">
        <v>9</v>
      </c>
      <c r="E17546" s="3">
        <v>0</v>
      </c>
      <c r="F17546" s="3">
        <v>0</v>
      </c>
      <c r="G17546" s="3">
        <v>1</v>
      </c>
      <c r="H17546" s="3">
        <v>0</v>
      </c>
      <c r="I17546" s="3">
        <v>0</v>
      </c>
      <c r="J17546" s="3">
        <v>0</v>
      </c>
      <c r="K17546" s="3">
        <v>0</v>
      </c>
      <c r="L17546" s="3">
        <v>1</v>
      </c>
      <c r="M17546" s="3">
        <v>0</v>
      </c>
      <c r="N17546" s="3">
        <v>0</v>
      </c>
      <c r="O17546" s="3" t="s">
        <v>10</v>
      </c>
      <c r="P17546" s="3" t="s">
        <v>9</v>
      </c>
      <c r="Q17546" s="3"/>
    </row>
    <row r="17547" spans="1:17" ht="15" x14ac:dyDescent="0.25">
      <c r="A17547" s="3">
        <f>17540</f>
        <v>17540</v>
      </c>
      <c r="B17547" s="3" t="s">
        <v>17549</v>
      </c>
      <c r="C17547" s="3" t="s">
        <v>10</v>
      </c>
      <c r="D17547" s="3" t="s">
        <v>9</v>
      </c>
      <c r="E17547" s="3">
        <v>0</v>
      </c>
      <c r="F17547" s="3">
        <v>0</v>
      </c>
      <c r="G17547" s="3">
        <v>1</v>
      </c>
      <c r="H17547" s="3">
        <v>0</v>
      </c>
      <c r="I17547" s="3">
        <v>0</v>
      </c>
      <c r="J17547" s="3">
        <v>0</v>
      </c>
      <c r="K17547" s="3">
        <v>0</v>
      </c>
      <c r="L17547" s="3">
        <v>1</v>
      </c>
      <c r="M17547" s="3">
        <v>0</v>
      </c>
      <c r="N17547" s="3">
        <v>0</v>
      </c>
      <c r="O17547" s="3" t="s">
        <v>10</v>
      </c>
      <c r="P17547" s="3" t="s">
        <v>9</v>
      </c>
      <c r="Q17547" s="3"/>
    </row>
    <row r="17548" spans="1:17" ht="15" x14ac:dyDescent="0.25">
      <c r="A17548" s="3">
        <f>17541</f>
        <v>17541</v>
      </c>
      <c r="B17548" s="3" t="s">
        <v>17550</v>
      </c>
      <c r="C17548" s="3" t="s">
        <v>10</v>
      </c>
      <c r="D17548" s="3" t="s">
        <v>9</v>
      </c>
      <c r="E17548" s="3">
        <v>0</v>
      </c>
      <c r="F17548" s="3">
        <v>0</v>
      </c>
      <c r="G17548" s="3">
        <v>1</v>
      </c>
      <c r="H17548" s="3">
        <v>0</v>
      </c>
      <c r="I17548" s="3">
        <v>0</v>
      </c>
      <c r="J17548" s="3">
        <v>0</v>
      </c>
      <c r="K17548" s="3">
        <v>0</v>
      </c>
      <c r="L17548" s="3">
        <v>1</v>
      </c>
      <c r="M17548" s="3">
        <v>0</v>
      </c>
      <c r="N17548" s="3">
        <v>0</v>
      </c>
      <c r="O17548" s="3" t="s">
        <v>10</v>
      </c>
      <c r="P17548" s="3" t="s">
        <v>9</v>
      </c>
      <c r="Q17548" s="3"/>
    </row>
    <row r="17549" spans="1:17" ht="15" x14ac:dyDescent="0.25">
      <c r="A17549" s="3">
        <f>17542</f>
        <v>17542</v>
      </c>
      <c r="B17549" s="3" t="s">
        <v>17551</v>
      </c>
      <c r="C17549" s="3" t="s">
        <v>10</v>
      </c>
      <c r="D17549" s="3" t="s">
        <v>9</v>
      </c>
      <c r="E17549" s="3">
        <v>0</v>
      </c>
      <c r="F17549" s="3">
        <v>0</v>
      </c>
      <c r="G17549" s="3">
        <v>1</v>
      </c>
      <c r="H17549" s="3">
        <v>0</v>
      </c>
      <c r="I17549" s="3">
        <v>0</v>
      </c>
      <c r="J17549" s="3">
        <v>0</v>
      </c>
      <c r="K17549" s="3">
        <v>0</v>
      </c>
      <c r="L17549" s="3">
        <v>1</v>
      </c>
      <c r="M17549" s="3">
        <v>0</v>
      </c>
      <c r="N17549" s="3">
        <v>0</v>
      </c>
      <c r="O17549" s="3" t="s">
        <v>10</v>
      </c>
      <c r="P17549" s="3" t="s">
        <v>9</v>
      </c>
      <c r="Q17549" s="3"/>
    </row>
    <row r="17550" spans="1:17" ht="15" x14ac:dyDescent="0.25">
      <c r="A17550" s="3">
        <f>17543</f>
        <v>17543</v>
      </c>
      <c r="B17550" s="3" t="s">
        <v>17552</v>
      </c>
      <c r="C17550" s="3" t="s">
        <v>10</v>
      </c>
      <c r="D17550" s="3" t="s">
        <v>9</v>
      </c>
      <c r="E17550" s="3">
        <v>0</v>
      </c>
      <c r="F17550" s="3">
        <v>0</v>
      </c>
      <c r="G17550" s="3">
        <v>1</v>
      </c>
      <c r="H17550" s="3">
        <v>0</v>
      </c>
      <c r="I17550" s="3">
        <v>0</v>
      </c>
      <c r="J17550" s="3">
        <v>0</v>
      </c>
      <c r="K17550" s="3">
        <v>0</v>
      </c>
      <c r="L17550" s="3">
        <v>1</v>
      </c>
      <c r="M17550" s="3">
        <v>0</v>
      </c>
      <c r="N17550" s="3">
        <v>0</v>
      </c>
      <c r="O17550" s="3" t="s">
        <v>10</v>
      </c>
      <c r="P17550" s="3" t="s">
        <v>9</v>
      </c>
      <c r="Q17550" s="3"/>
    </row>
    <row r="17551" spans="1:17" ht="15" x14ac:dyDescent="0.25">
      <c r="A17551" s="3">
        <f>17544</f>
        <v>17544</v>
      </c>
      <c r="B17551" s="3" t="s">
        <v>17553</v>
      </c>
      <c r="C17551" s="3" t="s">
        <v>10</v>
      </c>
      <c r="D17551" s="3" t="s">
        <v>9</v>
      </c>
      <c r="E17551" s="3">
        <v>0</v>
      </c>
      <c r="F17551" s="3">
        <v>0</v>
      </c>
      <c r="G17551" s="3">
        <v>1</v>
      </c>
      <c r="H17551" s="3">
        <v>0</v>
      </c>
      <c r="I17551" s="3">
        <v>0</v>
      </c>
      <c r="J17551" s="3">
        <v>0</v>
      </c>
      <c r="K17551" s="3">
        <v>0</v>
      </c>
      <c r="L17551" s="3">
        <v>1</v>
      </c>
      <c r="M17551" s="3">
        <v>0</v>
      </c>
      <c r="N17551" s="3">
        <v>0</v>
      </c>
      <c r="O17551" s="3" t="s">
        <v>10</v>
      </c>
      <c r="P17551" s="3" t="s">
        <v>9</v>
      </c>
      <c r="Q17551" s="3"/>
    </row>
    <row r="17552" spans="1:17" ht="15" x14ac:dyDescent="0.25">
      <c r="A17552" s="3">
        <f>17545</f>
        <v>17545</v>
      </c>
      <c r="B17552" s="3" t="s">
        <v>17554</v>
      </c>
      <c r="C17552" s="3" t="s">
        <v>10</v>
      </c>
      <c r="D17552" s="3" t="s">
        <v>9</v>
      </c>
      <c r="E17552" s="3">
        <v>0</v>
      </c>
      <c r="F17552" s="3">
        <v>0</v>
      </c>
      <c r="G17552" s="3">
        <v>1</v>
      </c>
      <c r="H17552" s="3">
        <v>0</v>
      </c>
      <c r="I17552" s="3">
        <v>0</v>
      </c>
      <c r="J17552" s="3">
        <v>0</v>
      </c>
      <c r="K17552" s="3">
        <v>0</v>
      </c>
      <c r="L17552" s="3">
        <v>1</v>
      </c>
      <c r="M17552" s="3">
        <v>0</v>
      </c>
      <c r="N17552" s="3">
        <v>0</v>
      </c>
      <c r="O17552" s="3" t="s">
        <v>10</v>
      </c>
      <c r="P17552" s="3" t="s">
        <v>9</v>
      </c>
      <c r="Q17552" s="3"/>
    </row>
    <row r="17553" spans="1:17" ht="15" x14ac:dyDescent="0.25">
      <c r="A17553" s="3">
        <f>17546</f>
        <v>17546</v>
      </c>
      <c r="B17553" s="3" t="s">
        <v>17555</v>
      </c>
      <c r="C17553" s="3" t="s">
        <v>10</v>
      </c>
      <c r="D17553" s="3" t="s">
        <v>9</v>
      </c>
      <c r="E17553" s="3">
        <v>0</v>
      </c>
      <c r="F17553" s="3">
        <v>0</v>
      </c>
      <c r="G17553" s="3">
        <v>1</v>
      </c>
      <c r="H17553" s="3">
        <v>0</v>
      </c>
      <c r="I17553" s="3">
        <v>0</v>
      </c>
      <c r="J17553" s="3">
        <v>0</v>
      </c>
      <c r="K17553" s="3">
        <v>0</v>
      </c>
      <c r="L17553" s="3">
        <v>1</v>
      </c>
      <c r="M17553" s="3">
        <v>0</v>
      </c>
      <c r="N17553" s="3">
        <v>0</v>
      </c>
      <c r="O17553" s="3" t="s">
        <v>10</v>
      </c>
      <c r="P17553" s="3" t="s">
        <v>9</v>
      </c>
      <c r="Q17553" s="3"/>
    </row>
    <row r="17554" spans="1:17" ht="15" x14ac:dyDescent="0.25">
      <c r="A17554" s="3">
        <f>17547</f>
        <v>17547</v>
      </c>
      <c r="B17554" s="3" t="s">
        <v>17556</v>
      </c>
      <c r="C17554" s="3" t="s">
        <v>10</v>
      </c>
      <c r="D17554" s="3" t="s">
        <v>9</v>
      </c>
      <c r="E17554" s="3">
        <v>0</v>
      </c>
      <c r="F17554" s="3">
        <v>0</v>
      </c>
      <c r="G17554" s="3">
        <v>1</v>
      </c>
      <c r="H17554" s="3">
        <v>0</v>
      </c>
      <c r="I17554" s="3">
        <v>0</v>
      </c>
      <c r="J17554" s="3">
        <v>0</v>
      </c>
      <c r="K17554" s="3">
        <v>0</v>
      </c>
      <c r="L17554" s="3">
        <v>1</v>
      </c>
      <c r="M17554" s="3">
        <v>0</v>
      </c>
      <c r="N17554" s="3">
        <v>0</v>
      </c>
      <c r="O17554" s="3" t="s">
        <v>10</v>
      </c>
      <c r="P17554" s="3" t="s">
        <v>9</v>
      </c>
      <c r="Q17554" s="3"/>
    </row>
    <row r="17555" spans="1:17" ht="15" x14ac:dyDescent="0.25">
      <c r="A17555" s="3">
        <f>17548</f>
        <v>17548</v>
      </c>
      <c r="B17555" s="3" t="s">
        <v>17557</v>
      </c>
      <c r="C17555" s="3" t="s">
        <v>10</v>
      </c>
      <c r="D17555" s="3" t="s">
        <v>9</v>
      </c>
      <c r="E17555" s="3">
        <v>0</v>
      </c>
      <c r="F17555" s="3">
        <v>0</v>
      </c>
      <c r="G17555" s="3">
        <v>1</v>
      </c>
      <c r="H17555" s="3">
        <v>0</v>
      </c>
      <c r="I17555" s="3">
        <v>0</v>
      </c>
      <c r="J17555" s="3">
        <v>0</v>
      </c>
      <c r="K17555" s="3">
        <v>0</v>
      </c>
      <c r="L17555" s="3">
        <v>1</v>
      </c>
      <c r="M17555" s="3">
        <v>0</v>
      </c>
      <c r="N17555" s="3">
        <v>0</v>
      </c>
      <c r="O17555" s="3" t="s">
        <v>10</v>
      </c>
      <c r="P17555" s="3" t="s">
        <v>9</v>
      </c>
      <c r="Q17555" s="3"/>
    </row>
    <row r="17556" spans="1:17" ht="15" x14ac:dyDescent="0.25">
      <c r="A17556" s="3">
        <f>17549</f>
        <v>17549</v>
      </c>
      <c r="B17556" s="3" t="s">
        <v>17558</v>
      </c>
      <c r="C17556" s="3" t="s">
        <v>10</v>
      </c>
      <c r="D17556" s="3" t="s">
        <v>9</v>
      </c>
      <c r="E17556" s="3">
        <v>0</v>
      </c>
      <c r="F17556" s="3">
        <v>0</v>
      </c>
      <c r="G17556" s="3">
        <v>1</v>
      </c>
      <c r="H17556" s="3">
        <v>0</v>
      </c>
      <c r="I17556" s="3">
        <v>0</v>
      </c>
      <c r="J17556" s="3">
        <v>0</v>
      </c>
      <c r="K17556" s="3">
        <v>0</v>
      </c>
      <c r="L17556" s="3">
        <v>1</v>
      </c>
      <c r="M17556" s="3">
        <v>0</v>
      </c>
      <c r="N17556" s="3">
        <v>0</v>
      </c>
      <c r="O17556" s="3" t="s">
        <v>10</v>
      </c>
      <c r="P17556" s="3" t="s">
        <v>9</v>
      </c>
      <c r="Q17556" s="3"/>
    </row>
    <row r="17557" spans="1:17" ht="15" x14ac:dyDescent="0.25">
      <c r="A17557" s="3">
        <f>17550</f>
        <v>17550</v>
      </c>
      <c r="B17557" s="3" t="s">
        <v>17559</v>
      </c>
      <c r="C17557" s="3" t="s">
        <v>10</v>
      </c>
      <c r="D17557" s="3" t="s">
        <v>9</v>
      </c>
      <c r="E17557" s="3">
        <v>0</v>
      </c>
      <c r="F17557" s="3">
        <v>0</v>
      </c>
      <c r="G17557" s="3">
        <v>1</v>
      </c>
      <c r="H17557" s="3">
        <v>0</v>
      </c>
      <c r="I17557" s="3">
        <v>0</v>
      </c>
      <c r="J17557" s="3">
        <v>0</v>
      </c>
      <c r="K17557" s="3">
        <v>0</v>
      </c>
      <c r="L17557" s="3">
        <v>1</v>
      </c>
      <c r="M17557" s="3">
        <v>0</v>
      </c>
      <c r="N17557" s="3">
        <v>0</v>
      </c>
      <c r="O17557" s="3" t="s">
        <v>10</v>
      </c>
      <c r="P17557" s="3" t="s">
        <v>9</v>
      </c>
      <c r="Q17557" s="3"/>
    </row>
    <row r="17558" spans="1:17" ht="15" x14ac:dyDescent="0.25">
      <c r="A17558" s="3">
        <f>17551</f>
        <v>17551</v>
      </c>
      <c r="B17558" s="3" t="s">
        <v>17560</v>
      </c>
      <c r="C17558" s="3" t="s">
        <v>10</v>
      </c>
      <c r="D17558" s="3" t="s">
        <v>9</v>
      </c>
      <c r="E17558" s="3">
        <v>0</v>
      </c>
      <c r="F17558" s="3">
        <v>0</v>
      </c>
      <c r="G17558" s="3">
        <v>1</v>
      </c>
      <c r="H17558" s="3">
        <v>0</v>
      </c>
      <c r="I17558" s="3">
        <v>0</v>
      </c>
      <c r="J17558" s="3">
        <v>0</v>
      </c>
      <c r="K17558" s="3">
        <v>0</v>
      </c>
      <c r="L17558" s="3">
        <v>1</v>
      </c>
      <c r="M17558" s="3">
        <v>0</v>
      </c>
      <c r="N17558" s="3">
        <v>0</v>
      </c>
      <c r="O17558" s="3" t="s">
        <v>10</v>
      </c>
      <c r="P17558" s="3" t="s">
        <v>9</v>
      </c>
      <c r="Q17558" s="3"/>
    </row>
    <row r="17559" spans="1:17" ht="15" x14ac:dyDescent="0.25">
      <c r="A17559" s="3">
        <f>17552</f>
        <v>17552</v>
      </c>
      <c r="B17559" s="3" t="s">
        <v>17561</v>
      </c>
      <c r="C17559" s="3" t="s">
        <v>10</v>
      </c>
      <c r="D17559" s="3" t="s">
        <v>9</v>
      </c>
      <c r="E17559" s="3">
        <v>0</v>
      </c>
      <c r="F17559" s="3">
        <v>0</v>
      </c>
      <c r="G17559" s="3">
        <v>1</v>
      </c>
      <c r="H17559" s="3">
        <v>0</v>
      </c>
      <c r="I17559" s="3">
        <v>0</v>
      </c>
      <c r="J17559" s="3">
        <v>0</v>
      </c>
      <c r="K17559" s="3">
        <v>0</v>
      </c>
      <c r="L17559" s="3">
        <v>1</v>
      </c>
      <c r="M17559" s="3">
        <v>0</v>
      </c>
      <c r="N17559" s="3">
        <v>0</v>
      </c>
      <c r="O17559" s="3" t="s">
        <v>10</v>
      </c>
      <c r="P17559" s="3" t="s">
        <v>9</v>
      </c>
      <c r="Q17559" s="3"/>
    </row>
    <row r="17560" spans="1:17" ht="15" x14ac:dyDescent="0.25">
      <c r="A17560" s="3">
        <f>17553</f>
        <v>17553</v>
      </c>
      <c r="B17560" s="3" t="s">
        <v>17562</v>
      </c>
      <c r="C17560" s="3" t="s">
        <v>10</v>
      </c>
      <c r="D17560" s="3" t="s">
        <v>9</v>
      </c>
      <c r="E17560" s="3">
        <v>0</v>
      </c>
      <c r="F17560" s="3">
        <v>0</v>
      </c>
      <c r="G17560" s="3">
        <v>1</v>
      </c>
      <c r="H17560" s="3">
        <v>0</v>
      </c>
      <c r="I17560" s="3">
        <v>0</v>
      </c>
      <c r="J17560" s="3">
        <v>0</v>
      </c>
      <c r="K17560" s="3">
        <v>0</v>
      </c>
      <c r="L17560" s="3">
        <v>1</v>
      </c>
      <c r="M17560" s="3">
        <v>0</v>
      </c>
      <c r="N17560" s="3">
        <v>0</v>
      </c>
      <c r="O17560" s="3" t="s">
        <v>10</v>
      </c>
      <c r="P17560" s="3" t="s">
        <v>9</v>
      </c>
      <c r="Q17560" s="3"/>
    </row>
    <row r="17561" spans="1:17" ht="15" x14ac:dyDescent="0.25">
      <c r="A17561" s="3">
        <f>17554</f>
        <v>17554</v>
      </c>
      <c r="B17561" s="3" t="s">
        <v>17563</v>
      </c>
      <c r="C17561" s="3" t="s">
        <v>10</v>
      </c>
      <c r="D17561" s="3" t="s">
        <v>9</v>
      </c>
      <c r="E17561" s="3">
        <v>0</v>
      </c>
      <c r="F17561" s="3">
        <v>0</v>
      </c>
      <c r="G17561" s="3">
        <v>1</v>
      </c>
      <c r="H17561" s="3">
        <v>0</v>
      </c>
      <c r="I17561" s="3">
        <v>0</v>
      </c>
      <c r="J17561" s="3">
        <v>0</v>
      </c>
      <c r="K17561" s="3">
        <v>0</v>
      </c>
      <c r="L17561" s="3">
        <v>1</v>
      </c>
      <c r="M17561" s="3">
        <v>0</v>
      </c>
      <c r="N17561" s="3">
        <v>0</v>
      </c>
      <c r="O17561" s="3" t="s">
        <v>10</v>
      </c>
      <c r="P17561" s="3" t="s">
        <v>9</v>
      </c>
      <c r="Q17561" s="3"/>
    </row>
    <row r="17562" spans="1:17" ht="15" x14ac:dyDescent="0.25">
      <c r="A17562" s="3">
        <f>17555</f>
        <v>17555</v>
      </c>
      <c r="B17562" s="3" t="s">
        <v>17564</v>
      </c>
      <c r="C17562" s="3" t="s">
        <v>10</v>
      </c>
      <c r="D17562" s="3" t="s">
        <v>9</v>
      </c>
      <c r="E17562" s="3">
        <v>0</v>
      </c>
      <c r="F17562" s="3">
        <v>0</v>
      </c>
      <c r="G17562" s="3">
        <v>1</v>
      </c>
      <c r="H17562" s="3">
        <v>0</v>
      </c>
      <c r="I17562" s="3">
        <v>0</v>
      </c>
      <c r="J17562" s="3">
        <v>0</v>
      </c>
      <c r="K17562" s="3">
        <v>0</v>
      </c>
      <c r="L17562" s="3">
        <v>1</v>
      </c>
      <c r="M17562" s="3">
        <v>0</v>
      </c>
      <c r="N17562" s="3">
        <v>0</v>
      </c>
      <c r="O17562" s="3" t="s">
        <v>10</v>
      </c>
      <c r="P17562" s="3" t="s">
        <v>9</v>
      </c>
      <c r="Q17562" s="3"/>
    </row>
    <row r="17563" spans="1:17" ht="15" x14ac:dyDescent="0.25">
      <c r="A17563" s="3">
        <f>17556</f>
        <v>17556</v>
      </c>
      <c r="B17563" s="3" t="s">
        <v>17565</v>
      </c>
      <c r="C17563" s="3" t="s">
        <v>10</v>
      </c>
      <c r="D17563" s="3" t="s">
        <v>9</v>
      </c>
      <c r="E17563" s="3">
        <v>0</v>
      </c>
      <c r="F17563" s="3">
        <v>0</v>
      </c>
      <c r="G17563" s="3">
        <v>1</v>
      </c>
      <c r="H17563" s="3">
        <v>0</v>
      </c>
      <c r="I17563" s="3">
        <v>0</v>
      </c>
      <c r="J17563" s="3">
        <v>0</v>
      </c>
      <c r="K17563" s="3">
        <v>0</v>
      </c>
      <c r="L17563" s="3">
        <v>1</v>
      </c>
      <c r="M17563" s="3">
        <v>0</v>
      </c>
      <c r="N17563" s="3">
        <v>0</v>
      </c>
      <c r="O17563" s="3" t="s">
        <v>10</v>
      </c>
      <c r="P17563" s="3" t="s">
        <v>9</v>
      </c>
      <c r="Q17563" s="3"/>
    </row>
    <row r="17564" spans="1:17" ht="15" x14ac:dyDescent="0.25">
      <c r="A17564" s="3">
        <f>17557</f>
        <v>17557</v>
      </c>
      <c r="B17564" s="3" t="s">
        <v>17566</v>
      </c>
      <c r="C17564" s="3" t="s">
        <v>10</v>
      </c>
      <c r="D17564" s="3" t="s">
        <v>9</v>
      </c>
      <c r="E17564" s="3">
        <v>0</v>
      </c>
      <c r="F17564" s="3">
        <v>0</v>
      </c>
      <c r="G17564" s="3">
        <v>1</v>
      </c>
      <c r="H17564" s="3">
        <v>0</v>
      </c>
      <c r="I17564" s="3">
        <v>0</v>
      </c>
      <c r="J17564" s="3">
        <v>0</v>
      </c>
      <c r="K17564" s="3">
        <v>0</v>
      </c>
      <c r="L17564" s="3">
        <v>1</v>
      </c>
      <c r="M17564" s="3">
        <v>0</v>
      </c>
      <c r="N17564" s="3">
        <v>0</v>
      </c>
      <c r="O17564" s="3" t="s">
        <v>10</v>
      </c>
      <c r="P17564" s="3" t="s">
        <v>9</v>
      </c>
      <c r="Q17564" s="3"/>
    </row>
    <row r="17565" spans="1:17" ht="15" x14ac:dyDescent="0.25">
      <c r="A17565" s="3">
        <f>17558</f>
        <v>17558</v>
      </c>
      <c r="B17565" s="3" t="s">
        <v>17567</v>
      </c>
      <c r="C17565" s="3" t="s">
        <v>10</v>
      </c>
      <c r="D17565" s="3" t="s">
        <v>9</v>
      </c>
      <c r="E17565" s="3">
        <v>0</v>
      </c>
      <c r="F17565" s="3">
        <v>0</v>
      </c>
      <c r="G17565" s="3">
        <v>1</v>
      </c>
      <c r="H17565" s="3">
        <v>0</v>
      </c>
      <c r="I17565" s="3">
        <v>0</v>
      </c>
      <c r="J17565" s="3">
        <v>0</v>
      </c>
      <c r="K17565" s="3">
        <v>0</v>
      </c>
      <c r="L17565" s="3">
        <v>1</v>
      </c>
      <c r="M17565" s="3">
        <v>0</v>
      </c>
      <c r="N17565" s="3">
        <v>0</v>
      </c>
      <c r="O17565" s="3" t="s">
        <v>10</v>
      </c>
      <c r="P17565" s="3" t="s">
        <v>9</v>
      </c>
      <c r="Q17565" s="3"/>
    </row>
    <row r="17566" spans="1:17" ht="15" x14ac:dyDescent="0.25">
      <c r="A17566" s="3">
        <f>17559</f>
        <v>17559</v>
      </c>
      <c r="B17566" s="3" t="s">
        <v>17568</v>
      </c>
      <c r="C17566" s="3" t="s">
        <v>10</v>
      </c>
      <c r="D17566" s="3" t="s">
        <v>9</v>
      </c>
      <c r="E17566" s="3">
        <v>0</v>
      </c>
      <c r="F17566" s="3">
        <v>0</v>
      </c>
      <c r="G17566" s="3">
        <v>1</v>
      </c>
      <c r="H17566" s="3">
        <v>0</v>
      </c>
      <c r="I17566" s="3">
        <v>0</v>
      </c>
      <c r="J17566" s="3">
        <v>0</v>
      </c>
      <c r="K17566" s="3">
        <v>0</v>
      </c>
      <c r="L17566" s="3">
        <v>1</v>
      </c>
      <c r="M17566" s="3">
        <v>0</v>
      </c>
      <c r="N17566" s="3">
        <v>0</v>
      </c>
      <c r="O17566" s="3" t="s">
        <v>10</v>
      </c>
      <c r="P17566" s="3" t="s">
        <v>9</v>
      </c>
      <c r="Q17566" s="3"/>
    </row>
    <row r="17567" spans="1:17" ht="15" x14ac:dyDescent="0.25">
      <c r="A17567" s="3">
        <f>17560</f>
        <v>17560</v>
      </c>
      <c r="B17567" s="3" t="s">
        <v>17569</v>
      </c>
      <c r="C17567" s="3" t="s">
        <v>10</v>
      </c>
      <c r="D17567" s="3" t="s">
        <v>9</v>
      </c>
      <c r="E17567" s="3">
        <v>0</v>
      </c>
      <c r="F17567" s="3">
        <v>0</v>
      </c>
      <c r="G17567" s="3">
        <v>1</v>
      </c>
      <c r="H17567" s="3">
        <v>0</v>
      </c>
      <c r="I17567" s="3">
        <v>0</v>
      </c>
      <c r="J17567" s="3">
        <v>0</v>
      </c>
      <c r="K17567" s="3">
        <v>0</v>
      </c>
      <c r="L17567" s="3">
        <v>1</v>
      </c>
      <c r="M17567" s="3">
        <v>0</v>
      </c>
      <c r="N17567" s="3">
        <v>0</v>
      </c>
      <c r="O17567" s="3" t="s">
        <v>10</v>
      </c>
      <c r="P17567" s="3" t="s">
        <v>9</v>
      </c>
      <c r="Q17567" s="3"/>
    </row>
    <row r="17568" spans="1:17" ht="15" x14ac:dyDescent="0.25">
      <c r="A17568" s="3">
        <f>17561</f>
        <v>17561</v>
      </c>
      <c r="B17568" s="3" t="s">
        <v>17570</v>
      </c>
      <c r="C17568" s="3" t="s">
        <v>10</v>
      </c>
      <c r="D17568" s="3" t="s">
        <v>9</v>
      </c>
      <c r="E17568" s="3">
        <v>0</v>
      </c>
      <c r="F17568" s="3">
        <v>0</v>
      </c>
      <c r="G17568" s="3">
        <v>1</v>
      </c>
      <c r="H17568" s="3">
        <v>0</v>
      </c>
      <c r="I17568" s="3">
        <v>0</v>
      </c>
      <c r="J17568" s="3">
        <v>0</v>
      </c>
      <c r="K17568" s="3">
        <v>0</v>
      </c>
      <c r="L17568" s="3">
        <v>1</v>
      </c>
      <c r="M17568" s="3">
        <v>0</v>
      </c>
      <c r="N17568" s="3">
        <v>0</v>
      </c>
      <c r="O17568" s="3" t="s">
        <v>10</v>
      </c>
      <c r="P17568" s="3" t="s">
        <v>9</v>
      </c>
      <c r="Q17568" s="3"/>
    </row>
    <row r="17569" spans="1:17" ht="15" x14ac:dyDescent="0.25">
      <c r="A17569" s="3">
        <f>17562</f>
        <v>17562</v>
      </c>
      <c r="B17569" s="3" t="s">
        <v>17571</v>
      </c>
      <c r="C17569" s="3" t="s">
        <v>10</v>
      </c>
      <c r="D17569" s="3" t="s">
        <v>9</v>
      </c>
      <c r="E17569" s="3">
        <v>0</v>
      </c>
      <c r="F17569" s="3">
        <v>0</v>
      </c>
      <c r="G17569" s="3">
        <v>1</v>
      </c>
      <c r="H17569" s="3">
        <v>0</v>
      </c>
      <c r="I17569" s="3">
        <v>0</v>
      </c>
      <c r="J17569" s="3">
        <v>0</v>
      </c>
      <c r="K17569" s="3">
        <v>0</v>
      </c>
      <c r="L17569" s="3">
        <v>1</v>
      </c>
      <c r="M17569" s="3">
        <v>0</v>
      </c>
      <c r="N17569" s="3">
        <v>0</v>
      </c>
      <c r="O17569" s="3" t="s">
        <v>10</v>
      </c>
      <c r="P17569" s="3" t="s">
        <v>9</v>
      </c>
      <c r="Q17569" s="3"/>
    </row>
    <row r="17570" spans="1:17" ht="15" x14ac:dyDescent="0.25">
      <c r="A17570" s="3">
        <f>17563</f>
        <v>17563</v>
      </c>
      <c r="B17570" s="3" t="s">
        <v>17572</v>
      </c>
      <c r="C17570" s="3" t="s">
        <v>10</v>
      </c>
      <c r="D17570" s="3" t="s">
        <v>9</v>
      </c>
      <c r="E17570" s="3">
        <v>0</v>
      </c>
      <c r="F17570" s="3">
        <v>0</v>
      </c>
      <c r="G17570" s="3">
        <v>1</v>
      </c>
      <c r="H17570" s="3">
        <v>0</v>
      </c>
      <c r="I17570" s="3">
        <v>0</v>
      </c>
      <c r="J17570" s="3">
        <v>0</v>
      </c>
      <c r="K17570" s="3">
        <v>0</v>
      </c>
      <c r="L17570" s="3">
        <v>1</v>
      </c>
      <c r="M17570" s="3">
        <v>0</v>
      </c>
      <c r="N17570" s="3">
        <v>0</v>
      </c>
      <c r="O17570" s="3" t="s">
        <v>10</v>
      </c>
      <c r="P17570" s="3" t="s">
        <v>9</v>
      </c>
      <c r="Q17570" s="3"/>
    </row>
    <row r="17571" spans="1:17" ht="15" x14ac:dyDescent="0.25">
      <c r="A17571" s="3">
        <f>17564</f>
        <v>17564</v>
      </c>
      <c r="B17571" s="3" t="s">
        <v>17573</v>
      </c>
      <c r="C17571" s="3" t="s">
        <v>10</v>
      </c>
      <c r="D17571" s="3" t="s">
        <v>9</v>
      </c>
      <c r="E17571" s="3">
        <v>0</v>
      </c>
      <c r="F17571" s="3">
        <v>0</v>
      </c>
      <c r="G17571" s="3">
        <v>1</v>
      </c>
      <c r="H17571" s="3">
        <v>0</v>
      </c>
      <c r="I17571" s="3">
        <v>0</v>
      </c>
      <c r="J17571" s="3">
        <v>0</v>
      </c>
      <c r="K17571" s="3">
        <v>0</v>
      </c>
      <c r="L17571" s="3">
        <v>1</v>
      </c>
      <c r="M17571" s="3">
        <v>0</v>
      </c>
      <c r="N17571" s="3">
        <v>0</v>
      </c>
      <c r="O17571" s="3" t="s">
        <v>10</v>
      </c>
      <c r="P17571" s="3" t="s">
        <v>9</v>
      </c>
      <c r="Q17571" s="3"/>
    </row>
    <row r="17572" spans="1:17" ht="15" x14ac:dyDescent="0.25">
      <c r="A17572" s="3">
        <f>17565</f>
        <v>17565</v>
      </c>
      <c r="B17572" s="3" t="s">
        <v>17574</v>
      </c>
      <c r="C17572" s="3" t="s">
        <v>10</v>
      </c>
      <c r="D17572" s="3" t="s">
        <v>9</v>
      </c>
      <c r="E17572" s="3">
        <v>0</v>
      </c>
      <c r="F17572" s="3">
        <v>0</v>
      </c>
      <c r="G17572" s="3">
        <v>1</v>
      </c>
      <c r="H17572" s="3">
        <v>0</v>
      </c>
      <c r="I17572" s="3">
        <v>0</v>
      </c>
      <c r="J17572" s="3">
        <v>0</v>
      </c>
      <c r="K17572" s="3">
        <v>0</v>
      </c>
      <c r="L17572" s="3">
        <v>1</v>
      </c>
      <c r="M17572" s="3">
        <v>0</v>
      </c>
      <c r="N17572" s="3">
        <v>0</v>
      </c>
      <c r="O17572" s="3" t="s">
        <v>10</v>
      </c>
      <c r="P17572" s="3" t="s">
        <v>9</v>
      </c>
      <c r="Q17572" s="3"/>
    </row>
    <row r="17573" spans="1:17" ht="15" x14ac:dyDescent="0.25">
      <c r="A17573" s="3">
        <f>17566</f>
        <v>17566</v>
      </c>
      <c r="B17573" s="3" t="s">
        <v>17575</v>
      </c>
      <c r="C17573" s="3" t="s">
        <v>10</v>
      </c>
      <c r="D17573" s="3" t="s">
        <v>9</v>
      </c>
      <c r="E17573" s="3">
        <v>0</v>
      </c>
      <c r="F17573" s="3">
        <v>0</v>
      </c>
      <c r="G17573" s="3">
        <v>1</v>
      </c>
      <c r="H17573" s="3">
        <v>0</v>
      </c>
      <c r="I17573" s="3">
        <v>0</v>
      </c>
      <c r="J17573" s="3">
        <v>0</v>
      </c>
      <c r="K17573" s="3">
        <v>0</v>
      </c>
      <c r="L17573" s="3">
        <v>1</v>
      </c>
      <c r="M17573" s="3">
        <v>0</v>
      </c>
      <c r="N17573" s="3">
        <v>0</v>
      </c>
      <c r="O17573" s="3" t="s">
        <v>10</v>
      </c>
      <c r="P17573" s="3" t="s">
        <v>9</v>
      </c>
      <c r="Q17573" s="3"/>
    </row>
    <row r="17574" spans="1:17" ht="15" x14ac:dyDescent="0.25">
      <c r="A17574" s="3">
        <f>17567</f>
        <v>17567</v>
      </c>
      <c r="B17574" s="3" t="s">
        <v>17576</v>
      </c>
      <c r="C17574" s="3" t="s">
        <v>10</v>
      </c>
      <c r="D17574" s="3" t="s">
        <v>9</v>
      </c>
      <c r="E17574" s="3">
        <v>0</v>
      </c>
      <c r="F17574" s="3">
        <v>0</v>
      </c>
      <c r="G17574" s="3">
        <v>1</v>
      </c>
      <c r="H17574" s="3">
        <v>0</v>
      </c>
      <c r="I17574" s="3">
        <v>0</v>
      </c>
      <c r="J17574" s="3">
        <v>0</v>
      </c>
      <c r="K17574" s="3">
        <v>0</v>
      </c>
      <c r="L17574" s="3">
        <v>1</v>
      </c>
      <c r="M17574" s="3">
        <v>0</v>
      </c>
      <c r="N17574" s="3">
        <v>0</v>
      </c>
      <c r="O17574" s="3" t="s">
        <v>10</v>
      </c>
      <c r="P17574" s="3" t="s">
        <v>9</v>
      </c>
      <c r="Q17574" s="3"/>
    </row>
    <row r="17575" spans="1:17" ht="15" x14ac:dyDescent="0.25">
      <c r="A17575" s="3">
        <f>17568</f>
        <v>17568</v>
      </c>
      <c r="B17575" s="3" t="s">
        <v>17577</v>
      </c>
      <c r="C17575" s="3" t="s">
        <v>10</v>
      </c>
      <c r="D17575" s="3" t="s">
        <v>9</v>
      </c>
      <c r="E17575" s="3">
        <v>0</v>
      </c>
      <c r="F17575" s="3">
        <v>0</v>
      </c>
      <c r="G17575" s="3">
        <v>1</v>
      </c>
      <c r="H17575" s="3">
        <v>0</v>
      </c>
      <c r="I17575" s="3">
        <v>0</v>
      </c>
      <c r="J17575" s="3">
        <v>0</v>
      </c>
      <c r="K17575" s="3">
        <v>0</v>
      </c>
      <c r="L17575" s="3">
        <v>1</v>
      </c>
      <c r="M17575" s="3">
        <v>0</v>
      </c>
      <c r="N17575" s="3">
        <v>0</v>
      </c>
      <c r="O17575" s="3" t="s">
        <v>10</v>
      </c>
      <c r="P17575" s="3" t="s">
        <v>9</v>
      </c>
      <c r="Q17575" s="3"/>
    </row>
    <row r="17576" spans="1:17" ht="15" x14ac:dyDescent="0.25">
      <c r="A17576" s="3">
        <f>17569</f>
        <v>17569</v>
      </c>
      <c r="B17576" s="3" t="s">
        <v>17578</v>
      </c>
      <c r="C17576" s="3" t="s">
        <v>10</v>
      </c>
      <c r="D17576" s="3" t="s">
        <v>9</v>
      </c>
      <c r="E17576" s="3">
        <v>0</v>
      </c>
      <c r="F17576" s="3">
        <v>0</v>
      </c>
      <c r="G17576" s="3">
        <v>1</v>
      </c>
      <c r="H17576" s="3">
        <v>0</v>
      </c>
      <c r="I17576" s="3">
        <v>0</v>
      </c>
      <c r="J17576" s="3">
        <v>0</v>
      </c>
      <c r="K17576" s="3">
        <v>0</v>
      </c>
      <c r="L17576" s="3">
        <v>1</v>
      </c>
      <c r="M17576" s="3">
        <v>0</v>
      </c>
      <c r="N17576" s="3">
        <v>0</v>
      </c>
      <c r="O17576" s="3" t="s">
        <v>10</v>
      </c>
      <c r="P17576" s="3" t="s">
        <v>9</v>
      </c>
      <c r="Q17576" s="3"/>
    </row>
    <row r="17577" spans="1:17" ht="15" x14ac:dyDescent="0.25">
      <c r="A17577" s="3">
        <f>17570</f>
        <v>17570</v>
      </c>
      <c r="B17577" s="3" t="s">
        <v>17579</v>
      </c>
      <c r="C17577" s="3" t="s">
        <v>10</v>
      </c>
      <c r="D17577" s="3" t="s">
        <v>9</v>
      </c>
      <c r="E17577" s="3">
        <v>0</v>
      </c>
      <c r="F17577" s="3">
        <v>0</v>
      </c>
      <c r="G17577" s="3">
        <v>1</v>
      </c>
      <c r="H17577" s="3">
        <v>0</v>
      </c>
      <c r="I17577" s="3">
        <v>0</v>
      </c>
      <c r="J17577" s="3">
        <v>0</v>
      </c>
      <c r="K17577" s="3">
        <v>0</v>
      </c>
      <c r="L17577" s="3">
        <v>1</v>
      </c>
      <c r="M17577" s="3">
        <v>0</v>
      </c>
      <c r="N17577" s="3">
        <v>0</v>
      </c>
      <c r="O17577" s="3" t="s">
        <v>10</v>
      </c>
      <c r="P17577" s="3" t="s">
        <v>9</v>
      </c>
      <c r="Q17577" s="3"/>
    </row>
    <row r="17578" spans="1:17" ht="15" x14ac:dyDescent="0.25">
      <c r="A17578" s="3">
        <f>17571</f>
        <v>17571</v>
      </c>
      <c r="B17578" s="3" t="s">
        <v>17580</v>
      </c>
      <c r="C17578" s="3" t="s">
        <v>10</v>
      </c>
      <c r="D17578" s="3" t="s">
        <v>9</v>
      </c>
      <c r="E17578" s="3">
        <v>0</v>
      </c>
      <c r="F17578" s="3">
        <v>0</v>
      </c>
      <c r="G17578" s="3">
        <v>1</v>
      </c>
      <c r="H17578" s="3">
        <v>0</v>
      </c>
      <c r="I17578" s="3">
        <v>0</v>
      </c>
      <c r="J17578" s="3">
        <v>0</v>
      </c>
      <c r="K17578" s="3">
        <v>0</v>
      </c>
      <c r="L17578" s="3">
        <v>1</v>
      </c>
      <c r="M17578" s="3">
        <v>0</v>
      </c>
      <c r="N17578" s="3">
        <v>0</v>
      </c>
      <c r="O17578" s="3" t="s">
        <v>10</v>
      </c>
      <c r="P17578" s="3" t="s">
        <v>9</v>
      </c>
      <c r="Q17578" s="3"/>
    </row>
    <row r="17579" spans="1:17" ht="15" x14ac:dyDescent="0.25">
      <c r="A17579" s="3">
        <f>17572</f>
        <v>17572</v>
      </c>
      <c r="B17579" s="3" t="s">
        <v>17581</v>
      </c>
      <c r="C17579" s="3" t="s">
        <v>10</v>
      </c>
      <c r="D17579" s="3" t="s">
        <v>9</v>
      </c>
      <c r="E17579" s="3">
        <v>0</v>
      </c>
      <c r="F17579" s="3">
        <v>0</v>
      </c>
      <c r="G17579" s="3">
        <v>1</v>
      </c>
      <c r="H17579" s="3">
        <v>0</v>
      </c>
      <c r="I17579" s="3">
        <v>0</v>
      </c>
      <c r="J17579" s="3">
        <v>0</v>
      </c>
      <c r="K17579" s="3">
        <v>0</v>
      </c>
      <c r="L17579" s="3">
        <v>1</v>
      </c>
      <c r="M17579" s="3">
        <v>0</v>
      </c>
      <c r="N17579" s="3">
        <v>0</v>
      </c>
      <c r="O17579" s="3" t="s">
        <v>10</v>
      </c>
      <c r="P17579" s="3" t="s">
        <v>9</v>
      </c>
      <c r="Q17579" s="3"/>
    </row>
    <row r="17580" spans="1:17" ht="15" x14ac:dyDescent="0.25">
      <c r="A17580" s="3">
        <f>17573</f>
        <v>17573</v>
      </c>
      <c r="B17580" s="3" t="s">
        <v>17582</v>
      </c>
      <c r="C17580" s="3" t="s">
        <v>10</v>
      </c>
      <c r="D17580" s="3" t="s">
        <v>9</v>
      </c>
      <c r="E17580" s="3">
        <v>0</v>
      </c>
      <c r="F17580" s="3">
        <v>0</v>
      </c>
      <c r="G17580" s="3">
        <v>1</v>
      </c>
      <c r="H17580" s="3">
        <v>0</v>
      </c>
      <c r="I17580" s="3">
        <v>0</v>
      </c>
      <c r="J17580" s="3">
        <v>0</v>
      </c>
      <c r="K17580" s="3">
        <v>0</v>
      </c>
      <c r="L17580" s="3">
        <v>1</v>
      </c>
      <c r="M17580" s="3">
        <v>0</v>
      </c>
      <c r="N17580" s="3">
        <v>0</v>
      </c>
      <c r="O17580" s="3" t="s">
        <v>10</v>
      </c>
      <c r="P17580" s="3" t="s">
        <v>9</v>
      </c>
      <c r="Q17580" s="3"/>
    </row>
    <row r="17581" spans="1:17" ht="15" x14ac:dyDescent="0.25">
      <c r="A17581" s="3">
        <f>17574</f>
        <v>17574</v>
      </c>
      <c r="B17581" s="3" t="s">
        <v>17583</v>
      </c>
      <c r="C17581" s="3" t="s">
        <v>10</v>
      </c>
      <c r="D17581" s="3" t="s">
        <v>9</v>
      </c>
      <c r="E17581" s="3">
        <v>0</v>
      </c>
      <c r="F17581" s="3">
        <v>0</v>
      </c>
      <c r="G17581" s="3">
        <v>1</v>
      </c>
      <c r="H17581" s="3">
        <v>0</v>
      </c>
      <c r="I17581" s="3">
        <v>0</v>
      </c>
      <c r="J17581" s="3">
        <v>0</v>
      </c>
      <c r="K17581" s="3">
        <v>0</v>
      </c>
      <c r="L17581" s="3">
        <v>1</v>
      </c>
      <c r="M17581" s="3">
        <v>0</v>
      </c>
      <c r="N17581" s="3">
        <v>0</v>
      </c>
      <c r="O17581" s="3" t="s">
        <v>10</v>
      </c>
      <c r="P17581" s="3" t="s">
        <v>9</v>
      </c>
      <c r="Q17581" s="3"/>
    </row>
    <row r="17582" spans="1:17" ht="15" x14ac:dyDescent="0.25">
      <c r="A17582" s="3">
        <f>17575</f>
        <v>17575</v>
      </c>
      <c r="B17582" s="3" t="s">
        <v>17584</v>
      </c>
      <c r="C17582" s="3" t="s">
        <v>10</v>
      </c>
      <c r="D17582" s="3" t="s">
        <v>9</v>
      </c>
      <c r="E17582" s="3">
        <v>0</v>
      </c>
      <c r="F17582" s="3">
        <v>0</v>
      </c>
      <c r="G17582" s="3">
        <v>1</v>
      </c>
      <c r="H17582" s="3">
        <v>0</v>
      </c>
      <c r="I17582" s="3">
        <v>0</v>
      </c>
      <c r="J17582" s="3">
        <v>0</v>
      </c>
      <c r="K17582" s="3">
        <v>0</v>
      </c>
      <c r="L17582" s="3">
        <v>1</v>
      </c>
      <c r="M17582" s="3">
        <v>0</v>
      </c>
      <c r="N17582" s="3">
        <v>0</v>
      </c>
      <c r="O17582" s="3" t="s">
        <v>10</v>
      </c>
      <c r="P17582" s="3" t="s">
        <v>9</v>
      </c>
      <c r="Q17582" s="3"/>
    </row>
    <row r="17583" spans="1:17" ht="15" x14ac:dyDescent="0.25">
      <c r="A17583" s="3">
        <f>17576</f>
        <v>17576</v>
      </c>
      <c r="B17583" s="3" t="s">
        <v>17585</v>
      </c>
      <c r="C17583" s="3" t="s">
        <v>10</v>
      </c>
      <c r="D17583" s="3" t="s">
        <v>9</v>
      </c>
      <c r="E17583" s="3">
        <v>0</v>
      </c>
      <c r="F17583" s="3">
        <v>0</v>
      </c>
      <c r="G17583" s="3">
        <v>1</v>
      </c>
      <c r="H17583" s="3">
        <v>0</v>
      </c>
      <c r="I17583" s="3">
        <v>0</v>
      </c>
      <c r="J17583" s="3">
        <v>0</v>
      </c>
      <c r="K17583" s="3">
        <v>0</v>
      </c>
      <c r="L17583" s="3">
        <v>1</v>
      </c>
      <c r="M17583" s="3">
        <v>0</v>
      </c>
      <c r="N17583" s="3">
        <v>0</v>
      </c>
      <c r="O17583" s="3" t="s">
        <v>10</v>
      </c>
      <c r="P17583" s="3" t="s">
        <v>9</v>
      </c>
      <c r="Q17583" s="3"/>
    </row>
    <row r="17584" spans="1:17" ht="15" x14ac:dyDescent="0.25">
      <c r="A17584" s="3">
        <f>17577</f>
        <v>17577</v>
      </c>
      <c r="B17584" s="3" t="s">
        <v>17586</v>
      </c>
      <c r="C17584" s="3" t="s">
        <v>10</v>
      </c>
      <c r="D17584" s="3" t="s">
        <v>9</v>
      </c>
      <c r="E17584" s="3">
        <v>0</v>
      </c>
      <c r="F17584" s="3">
        <v>0</v>
      </c>
      <c r="G17584" s="3">
        <v>1</v>
      </c>
      <c r="H17584" s="3">
        <v>0</v>
      </c>
      <c r="I17584" s="3">
        <v>0</v>
      </c>
      <c r="J17584" s="3">
        <v>0</v>
      </c>
      <c r="K17584" s="3">
        <v>0</v>
      </c>
      <c r="L17584" s="3">
        <v>1</v>
      </c>
      <c r="M17584" s="3">
        <v>0</v>
      </c>
      <c r="N17584" s="3">
        <v>0</v>
      </c>
      <c r="O17584" s="3" t="s">
        <v>10</v>
      </c>
      <c r="P17584" s="3" t="s">
        <v>9</v>
      </c>
      <c r="Q17584" s="3"/>
    </row>
    <row r="17585" spans="1:17" ht="15" x14ac:dyDescent="0.25">
      <c r="A17585" s="3">
        <f>17578</f>
        <v>17578</v>
      </c>
      <c r="B17585" s="3" t="s">
        <v>17587</v>
      </c>
      <c r="C17585" s="3" t="s">
        <v>10</v>
      </c>
      <c r="D17585" s="3" t="s">
        <v>9</v>
      </c>
      <c r="E17585" s="3">
        <v>0</v>
      </c>
      <c r="F17585" s="3">
        <v>0</v>
      </c>
      <c r="G17585" s="3">
        <v>1</v>
      </c>
      <c r="H17585" s="3">
        <v>0</v>
      </c>
      <c r="I17585" s="3">
        <v>0</v>
      </c>
      <c r="J17585" s="3">
        <v>0</v>
      </c>
      <c r="K17585" s="3">
        <v>0</v>
      </c>
      <c r="L17585" s="3">
        <v>1</v>
      </c>
      <c r="M17585" s="3">
        <v>0</v>
      </c>
      <c r="N17585" s="3">
        <v>0</v>
      </c>
      <c r="O17585" s="3" t="s">
        <v>10</v>
      </c>
      <c r="P17585" s="3" t="s">
        <v>9</v>
      </c>
      <c r="Q17585" s="3"/>
    </row>
    <row r="17586" spans="1:17" ht="15" x14ac:dyDescent="0.25">
      <c r="A17586" s="3">
        <f>17579</f>
        <v>17579</v>
      </c>
      <c r="B17586" s="3" t="s">
        <v>17588</v>
      </c>
      <c r="C17586" s="3" t="s">
        <v>10</v>
      </c>
      <c r="D17586" s="3" t="s">
        <v>9</v>
      </c>
      <c r="E17586" s="3">
        <v>0</v>
      </c>
      <c r="F17586" s="3">
        <v>0</v>
      </c>
      <c r="G17586" s="3">
        <v>1</v>
      </c>
      <c r="H17586" s="3">
        <v>0</v>
      </c>
      <c r="I17586" s="3">
        <v>0</v>
      </c>
      <c r="J17586" s="3">
        <v>0</v>
      </c>
      <c r="K17586" s="3">
        <v>0</v>
      </c>
      <c r="L17586" s="3">
        <v>1</v>
      </c>
      <c r="M17586" s="3">
        <v>0</v>
      </c>
      <c r="N17586" s="3">
        <v>0</v>
      </c>
      <c r="O17586" s="3" t="s">
        <v>10</v>
      </c>
      <c r="P17586" s="3" t="s">
        <v>9</v>
      </c>
      <c r="Q17586" s="3"/>
    </row>
    <row r="17587" spans="1:17" ht="15" x14ac:dyDescent="0.25">
      <c r="A17587" s="3">
        <f>17580</f>
        <v>17580</v>
      </c>
      <c r="B17587" s="3" t="s">
        <v>17589</v>
      </c>
      <c r="C17587" s="3" t="s">
        <v>10</v>
      </c>
      <c r="D17587" s="3" t="s">
        <v>9</v>
      </c>
      <c r="E17587" s="3">
        <v>0</v>
      </c>
      <c r="F17587" s="3">
        <v>0</v>
      </c>
      <c r="G17587" s="3">
        <v>1</v>
      </c>
      <c r="H17587" s="3">
        <v>0</v>
      </c>
      <c r="I17587" s="3">
        <v>0</v>
      </c>
      <c r="J17587" s="3">
        <v>0</v>
      </c>
      <c r="K17587" s="3">
        <v>0</v>
      </c>
      <c r="L17587" s="3">
        <v>1</v>
      </c>
      <c r="M17587" s="3">
        <v>0</v>
      </c>
      <c r="N17587" s="3">
        <v>0</v>
      </c>
      <c r="O17587" s="3" t="s">
        <v>10</v>
      </c>
      <c r="P17587" s="3" t="s">
        <v>9</v>
      </c>
      <c r="Q17587" s="3"/>
    </row>
    <row r="17588" spans="1:17" ht="15" x14ac:dyDescent="0.25">
      <c r="A17588" s="3">
        <f>17581</f>
        <v>17581</v>
      </c>
      <c r="B17588" s="3" t="s">
        <v>17590</v>
      </c>
      <c r="C17588" s="3" t="s">
        <v>10</v>
      </c>
      <c r="D17588" s="3" t="s">
        <v>9</v>
      </c>
      <c r="E17588" s="3">
        <v>0</v>
      </c>
      <c r="F17588" s="3">
        <v>0</v>
      </c>
      <c r="G17588" s="3">
        <v>1</v>
      </c>
      <c r="H17588" s="3">
        <v>0</v>
      </c>
      <c r="I17588" s="3">
        <v>0</v>
      </c>
      <c r="J17588" s="3">
        <v>0</v>
      </c>
      <c r="K17588" s="3">
        <v>0</v>
      </c>
      <c r="L17588" s="3">
        <v>1</v>
      </c>
      <c r="M17588" s="3">
        <v>0</v>
      </c>
      <c r="N17588" s="3">
        <v>0</v>
      </c>
      <c r="O17588" s="3" t="s">
        <v>10</v>
      </c>
      <c r="P17588" s="3" t="s">
        <v>9</v>
      </c>
      <c r="Q17588" s="3"/>
    </row>
    <row r="17589" spans="1:17" ht="15" x14ac:dyDescent="0.25">
      <c r="A17589" s="3">
        <f>17582</f>
        <v>17582</v>
      </c>
      <c r="B17589" s="3" t="s">
        <v>17591</v>
      </c>
      <c r="C17589" s="3" t="s">
        <v>10</v>
      </c>
      <c r="D17589" s="3" t="s">
        <v>9</v>
      </c>
      <c r="E17589" s="3">
        <v>0</v>
      </c>
      <c r="F17589" s="3">
        <v>0</v>
      </c>
      <c r="G17589" s="3">
        <v>1</v>
      </c>
      <c r="H17589" s="3">
        <v>0</v>
      </c>
      <c r="I17589" s="3">
        <v>0</v>
      </c>
      <c r="J17589" s="3">
        <v>0</v>
      </c>
      <c r="K17589" s="3">
        <v>0</v>
      </c>
      <c r="L17589" s="3">
        <v>1</v>
      </c>
      <c r="M17589" s="3">
        <v>0</v>
      </c>
      <c r="N17589" s="3">
        <v>0</v>
      </c>
      <c r="O17589" s="3" t="s">
        <v>10</v>
      </c>
      <c r="P17589" s="3" t="s">
        <v>9</v>
      </c>
      <c r="Q17589" s="3"/>
    </row>
    <row r="17590" spans="1:17" ht="15" x14ac:dyDescent="0.25">
      <c r="A17590" s="3">
        <f>17583</f>
        <v>17583</v>
      </c>
      <c r="B17590" s="3" t="s">
        <v>17592</v>
      </c>
      <c r="C17590" s="3" t="s">
        <v>10</v>
      </c>
      <c r="D17590" s="3" t="s">
        <v>9</v>
      </c>
      <c r="E17590" s="3">
        <v>0</v>
      </c>
      <c r="F17590" s="3">
        <v>0</v>
      </c>
      <c r="G17590" s="3">
        <v>1</v>
      </c>
      <c r="H17590" s="3">
        <v>0</v>
      </c>
      <c r="I17590" s="3">
        <v>0</v>
      </c>
      <c r="J17590" s="3">
        <v>0</v>
      </c>
      <c r="K17590" s="3">
        <v>0</v>
      </c>
      <c r="L17590" s="3">
        <v>1</v>
      </c>
      <c r="M17590" s="3">
        <v>0</v>
      </c>
      <c r="N17590" s="3">
        <v>0</v>
      </c>
      <c r="O17590" s="3" t="s">
        <v>10</v>
      </c>
      <c r="P17590" s="3" t="s">
        <v>9</v>
      </c>
      <c r="Q17590" s="3"/>
    </row>
    <row r="17591" spans="1:17" ht="15" x14ac:dyDescent="0.25">
      <c r="A17591" s="3">
        <f>17584</f>
        <v>17584</v>
      </c>
      <c r="B17591" s="3" t="s">
        <v>17593</v>
      </c>
      <c r="C17591" s="3" t="s">
        <v>10</v>
      </c>
      <c r="D17591" s="3" t="s">
        <v>9</v>
      </c>
      <c r="E17591" s="3">
        <v>0</v>
      </c>
      <c r="F17591" s="3">
        <v>0</v>
      </c>
      <c r="G17591" s="3">
        <v>1</v>
      </c>
      <c r="H17591" s="3">
        <v>0</v>
      </c>
      <c r="I17591" s="3">
        <v>0</v>
      </c>
      <c r="J17591" s="3">
        <v>0</v>
      </c>
      <c r="K17591" s="3">
        <v>0</v>
      </c>
      <c r="L17591" s="3">
        <v>1</v>
      </c>
      <c r="M17591" s="3">
        <v>0</v>
      </c>
      <c r="N17591" s="3">
        <v>0</v>
      </c>
      <c r="O17591" s="3" t="s">
        <v>10</v>
      </c>
      <c r="P17591" s="3" t="s">
        <v>9</v>
      </c>
      <c r="Q17591" s="3"/>
    </row>
    <row r="17592" spans="1:17" ht="15" x14ac:dyDescent="0.25">
      <c r="A17592" s="3">
        <f>17585</f>
        <v>17585</v>
      </c>
      <c r="B17592" s="3" t="s">
        <v>17594</v>
      </c>
      <c r="C17592" s="3" t="s">
        <v>10</v>
      </c>
      <c r="D17592" s="3" t="s">
        <v>9</v>
      </c>
      <c r="E17592" s="3">
        <v>0</v>
      </c>
      <c r="F17592" s="3">
        <v>0</v>
      </c>
      <c r="G17592" s="3">
        <v>1</v>
      </c>
      <c r="H17592" s="3">
        <v>0</v>
      </c>
      <c r="I17592" s="3">
        <v>0</v>
      </c>
      <c r="J17592" s="3">
        <v>0</v>
      </c>
      <c r="K17592" s="3">
        <v>0</v>
      </c>
      <c r="L17592" s="3">
        <v>1</v>
      </c>
      <c r="M17592" s="3">
        <v>0</v>
      </c>
      <c r="N17592" s="3">
        <v>0</v>
      </c>
      <c r="O17592" s="3" t="s">
        <v>10</v>
      </c>
      <c r="P17592" s="3" t="s">
        <v>9</v>
      </c>
      <c r="Q17592" s="3"/>
    </row>
    <row r="17593" spans="1:17" ht="15" x14ac:dyDescent="0.25">
      <c r="A17593" s="3">
        <f>17586</f>
        <v>17586</v>
      </c>
      <c r="B17593" s="3" t="s">
        <v>17595</v>
      </c>
      <c r="C17593" s="3" t="s">
        <v>10</v>
      </c>
      <c r="D17593" s="3" t="s">
        <v>9</v>
      </c>
      <c r="E17593" s="3">
        <v>0</v>
      </c>
      <c r="F17593" s="3">
        <v>0</v>
      </c>
      <c r="G17593" s="3">
        <v>1</v>
      </c>
      <c r="H17593" s="3">
        <v>0</v>
      </c>
      <c r="I17593" s="3">
        <v>0</v>
      </c>
      <c r="J17593" s="3">
        <v>0</v>
      </c>
      <c r="K17593" s="3">
        <v>0</v>
      </c>
      <c r="L17593" s="3">
        <v>1</v>
      </c>
      <c r="M17593" s="3">
        <v>0</v>
      </c>
      <c r="N17593" s="3">
        <v>0</v>
      </c>
      <c r="O17593" s="3" t="s">
        <v>10</v>
      </c>
      <c r="P17593" s="3" t="s">
        <v>9</v>
      </c>
      <c r="Q17593" s="3"/>
    </row>
    <row r="17594" spans="1:17" ht="15" x14ac:dyDescent="0.25">
      <c r="A17594" s="3">
        <f>17587</f>
        <v>17587</v>
      </c>
      <c r="B17594" s="3" t="s">
        <v>17596</v>
      </c>
      <c r="C17594" s="3" t="s">
        <v>10</v>
      </c>
      <c r="D17594" s="3" t="s">
        <v>9</v>
      </c>
      <c r="E17594" s="3">
        <v>0</v>
      </c>
      <c r="F17594" s="3">
        <v>0</v>
      </c>
      <c r="G17594" s="3">
        <v>1</v>
      </c>
      <c r="H17594" s="3">
        <v>0</v>
      </c>
      <c r="I17594" s="3">
        <v>0</v>
      </c>
      <c r="J17594" s="3">
        <v>0</v>
      </c>
      <c r="K17594" s="3">
        <v>0</v>
      </c>
      <c r="L17594" s="3">
        <v>1</v>
      </c>
      <c r="M17594" s="3">
        <v>0</v>
      </c>
      <c r="N17594" s="3">
        <v>0</v>
      </c>
      <c r="O17594" s="3" t="s">
        <v>10</v>
      </c>
      <c r="P17594" s="3" t="s">
        <v>9</v>
      </c>
      <c r="Q17594" s="3"/>
    </row>
    <row r="17595" spans="1:17" ht="15" x14ac:dyDescent="0.25">
      <c r="A17595" s="3">
        <f>17588</f>
        <v>17588</v>
      </c>
      <c r="B17595" s="3" t="s">
        <v>17597</v>
      </c>
      <c r="C17595" s="3" t="s">
        <v>10</v>
      </c>
      <c r="D17595" s="3" t="s">
        <v>9</v>
      </c>
      <c r="E17595" s="3">
        <v>0</v>
      </c>
      <c r="F17595" s="3">
        <v>0</v>
      </c>
      <c r="G17595" s="3">
        <v>1</v>
      </c>
      <c r="H17595" s="3">
        <v>0</v>
      </c>
      <c r="I17595" s="3">
        <v>0</v>
      </c>
      <c r="J17595" s="3">
        <v>0</v>
      </c>
      <c r="K17595" s="3">
        <v>0</v>
      </c>
      <c r="L17595" s="3">
        <v>1</v>
      </c>
      <c r="M17595" s="3">
        <v>0</v>
      </c>
      <c r="N17595" s="3">
        <v>0</v>
      </c>
      <c r="O17595" s="3" t="s">
        <v>10</v>
      </c>
      <c r="P17595" s="3" t="s">
        <v>9</v>
      </c>
      <c r="Q17595" s="3"/>
    </row>
    <row r="17596" spans="1:17" ht="15" x14ac:dyDescent="0.25">
      <c r="A17596" s="3">
        <f>17589</f>
        <v>17589</v>
      </c>
      <c r="B17596" s="3" t="s">
        <v>17598</v>
      </c>
      <c r="C17596" s="3" t="s">
        <v>10</v>
      </c>
      <c r="D17596" s="3" t="s">
        <v>9</v>
      </c>
      <c r="E17596" s="3">
        <v>0</v>
      </c>
      <c r="F17596" s="3">
        <v>0</v>
      </c>
      <c r="G17596" s="3">
        <v>1</v>
      </c>
      <c r="H17596" s="3">
        <v>0</v>
      </c>
      <c r="I17596" s="3">
        <v>0</v>
      </c>
      <c r="J17596" s="3">
        <v>0</v>
      </c>
      <c r="K17596" s="3">
        <v>0</v>
      </c>
      <c r="L17596" s="3">
        <v>1</v>
      </c>
      <c r="M17596" s="3">
        <v>0</v>
      </c>
      <c r="N17596" s="3">
        <v>0</v>
      </c>
      <c r="O17596" s="3" t="s">
        <v>10</v>
      </c>
      <c r="P17596" s="3" t="s">
        <v>9</v>
      </c>
      <c r="Q17596" s="3"/>
    </row>
    <row r="17597" spans="1:17" ht="15" x14ac:dyDescent="0.25">
      <c r="A17597" s="3">
        <f>17590</f>
        <v>17590</v>
      </c>
      <c r="B17597" s="3" t="s">
        <v>17599</v>
      </c>
      <c r="C17597" s="3" t="s">
        <v>10</v>
      </c>
      <c r="D17597" s="3" t="s">
        <v>9</v>
      </c>
      <c r="E17597" s="3">
        <v>0</v>
      </c>
      <c r="F17597" s="3">
        <v>0</v>
      </c>
      <c r="G17597" s="3">
        <v>1</v>
      </c>
      <c r="H17597" s="3">
        <v>0</v>
      </c>
      <c r="I17597" s="3">
        <v>0</v>
      </c>
      <c r="J17597" s="3">
        <v>0</v>
      </c>
      <c r="K17597" s="3">
        <v>0</v>
      </c>
      <c r="L17597" s="3">
        <v>1</v>
      </c>
      <c r="M17597" s="3">
        <v>0</v>
      </c>
      <c r="N17597" s="3">
        <v>0</v>
      </c>
      <c r="O17597" s="3" t="s">
        <v>10</v>
      </c>
      <c r="P17597" s="3" t="s">
        <v>9</v>
      </c>
      <c r="Q17597" s="3"/>
    </row>
    <row r="17598" spans="1:17" ht="15" x14ac:dyDescent="0.25">
      <c r="A17598" s="3">
        <f>17591</f>
        <v>17591</v>
      </c>
      <c r="B17598" s="3" t="s">
        <v>17600</v>
      </c>
      <c r="C17598" s="3" t="s">
        <v>10</v>
      </c>
      <c r="D17598" s="3" t="s">
        <v>9</v>
      </c>
      <c r="E17598" s="3">
        <v>0</v>
      </c>
      <c r="F17598" s="3">
        <v>0</v>
      </c>
      <c r="G17598" s="3">
        <v>1</v>
      </c>
      <c r="H17598" s="3">
        <v>0</v>
      </c>
      <c r="I17598" s="3">
        <v>0</v>
      </c>
      <c r="J17598" s="3">
        <v>0</v>
      </c>
      <c r="K17598" s="3">
        <v>0</v>
      </c>
      <c r="L17598" s="3">
        <v>1</v>
      </c>
      <c r="M17598" s="3">
        <v>0</v>
      </c>
      <c r="N17598" s="3">
        <v>0</v>
      </c>
      <c r="O17598" s="3" t="s">
        <v>10</v>
      </c>
      <c r="P17598" s="3" t="s">
        <v>9</v>
      </c>
      <c r="Q17598" s="3"/>
    </row>
    <row r="17599" spans="1:17" ht="15" x14ac:dyDescent="0.25">
      <c r="A17599" s="3">
        <f>17592</f>
        <v>17592</v>
      </c>
      <c r="B17599" s="3" t="s">
        <v>17601</v>
      </c>
      <c r="C17599" s="3" t="s">
        <v>10</v>
      </c>
      <c r="D17599" s="3" t="s">
        <v>9</v>
      </c>
      <c r="E17599" s="3">
        <v>0</v>
      </c>
      <c r="F17599" s="3">
        <v>0</v>
      </c>
      <c r="G17599" s="3">
        <v>1</v>
      </c>
      <c r="H17599" s="3">
        <v>0</v>
      </c>
      <c r="I17599" s="3">
        <v>0</v>
      </c>
      <c r="J17599" s="3">
        <v>0</v>
      </c>
      <c r="K17599" s="3">
        <v>0</v>
      </c>
      <c r="L17599" s="3">
        <v>1</v>
      </c>
      <c r="M17599" s="3">
        <v>0</v>
      </c>
      <c r="N17599" s="3">
        <v>0</v>
      </c>
      <c r="O17599" s="3" t="s">
        <v>10</v>
      </c>
      <c r="P17599" s="3" t="s">
        <v>9</v>
      </c>
      <c r="Q17599" s="3"/>
    </row>
    <row r="17600" spans="1:17" ht="15" x14ac:dyDescent="0.25">
      <c r="A17600" s="3">
        <f>17593</f>
        <v>17593</v>
      </c>
      <c r="B17600" s="3" t="s">
        <v>17602</v>
      </c>
      <c r="C17600" s="3" t="s">
        <v>10</v>
      </c>
      <c r="D17600" s="3" t="s">
        <v>9</v>
      </c>
      <c r="E17600" s="3">
        <v>0</v>
      </c>
      <c r="F17600" s="3">
        <v>0</v>
      </c>
      <c r="G17600" s="3">
        <v>1</v>
      </c>
      <c r="H17600" s="3">
        <v>0</v>
      </c>
      <c r="I17600" s="3">
        <v>0</v>
      </c>
      <c r="J17600" s="3">
        <v>0</v>
      </c>
      <c r="K17600" s="3">
        <v>0</v>
      </c>
      <c r="L17600" s="3">
        <v>1</v>
      </c>
      <c r="M17600" s="3">
        <v>0</v>
      </c>
      <c r="N17600" s="3">
        <v>0</v>
      </c>
      <c r="O17600" s="3" t="s">
        <v>10</v>
      </c>
      <c r="P17600" s="3" t="s">
        <v>9</v>
      </c>
      <c r="Q17600" s="3"/>
    </row>
    <row r="17601" spans="1:17" ht="15" x14ac:dyDescent="0.25">
      <c r="A17601" s="3">
        <f>17594</f>
        <v>17594</v>
      </c>
      <c r="B17601" s="3" t="s">
        <v>17603</v>
      </c>
      <c r="C17601" s="3" t="s">
        <v>10</v>
      </c>
      <c r="D17601" s="3" t="s">
        <v>9</v>
      </c>
      <c r="E17601" s="3">
        <v>0</v>
      </c>
      <c r="F17601" s="3">
        <v>0</v>
      </c>
      <c r="G17601" s="3">
        <v>1</v>
      </c>
      <c r="H17601" s="3">
        <v>0</v>
      </c>
      <c r="I17601" s="3">
        <v>0</v>
      </c>
      <c r="J17601" s="3">
        <v>0</v>
      </c>
      <c r="K17601" s="3">
        <v>0</v>
      </c>
      <c r="L17601" s="3">
        <v>1</v>
      </c>
      <c r="M17601" s="3">
        <v>0</v>
      </c>
      <c r="N17601" s="3">
        <v>0</v>
      </c>
      <c r="O17601" s="3" t="s">
        <v>10</v>
      </c>
      <c r="P17601" s="3" t="s">
        <v>9</v>
      </c>
      <c r="Q17601" s="3"/>
    </row>
    <row r="17602" spans="1:17" ht="15" x14ac:dyDescent="0.25">
      <c r="A17602" s="3">
        <f>17595</f>
        <v>17595</v>
      </c>
      <c r="B17602" s="3" t="s">
        <v>17604</v>
      </c>
      <c r="C17602" s="3" t="s">
        <v>10</v>
      </c>
      <c r="D17602" s="3" t="s">
        <v>9</v>
      </c>
      <c r="E17602" s="3">
        <v>0</v>
      </c>
      <c r="F17602" s="3">
        <v>0</v>
      </c>
      <c r="G17602" s="3">
        <v>1</v>
      </c>
      <c r="H17602" s="3">
        <v>0</v>
      </c>
      <c r="I17602" s="3">
        <v>0</v>
      </c>
      <c r="J17602" s="3">
        <v>0</v>
      </c>
      <c r="K17602" s="3">
        <v>0</v>
      </c>
      <c r="L17602" s="3">
        <v>1</v>
      </c>
      <c r="M17602" s="3">
        <v>0</v>
      </c>
      <c r="N17602" s="3">
        <v>0</v>
      </c>
      <c r="O17602" s="3" t="s">
        <v>10</v>
      </c>
      <c r="P17602" s="3" t="s">
        <v>9</v>
      </c>
      <c r="Q17602" s="3"/>
    </row>
    <row r="17603" spans="1:17" ht="15" x14ac:dyDescent="0.25">
      <c r="A17603" s="3">
        <f>17596</f>
        <v>17596</v>
      </c>
      <c r="B17603" s="3" t="s">
        <v>17605</v>
      </c>
      <c r="C17603" s="3" t="s">
        <v>10</v>
      </c>
      <c r="D17603" s="3" t="s">
        <v>9</v>
      </c>
      <c r="E17603" s="3">
        <v>0</v>
      </c>
      <c r="F17603" s="3">
        <v>0</v>
      </c>
      <c r="G17603" s="3">
        <v>1</v>
      </c>
      <c r="H17603" s="3">
        <v>0</v>
      </c>
      <c r="I17603" s="3">
        <v>0</v>
      </c>
      <c r="J17603" s="3">
        <v>0</v>
      </c>
      <c r="K17603" s="3">
        <v>0</v>
      </c>
      <c r="L17603" s="3">
        <v>1</v>
      </c>
      <c r="M17603" s="3">
        <v>0</v>
      </c>
      <c r="N17603" s="3">
        <v>0</v>
      </c>
      <c r="O17603" s="3" t="s">
        <v>10</v>
      </c>
      <c r="P17603" s="3" t="s">
        <v>9</v>
      </c>
      <c r="Q17603" s="3"/>
    </row>
    <row r="17604" spans="1:17" ht="15" x14ac:dyDescent="0.25">
      <c r="A17604" s="3">
        <f>17597</f>
        <v>17597</v>
      </c>
      <c r="B17604" s="3" t="s">
        <v>17606</v>
      </c>
      <c r="C17604" s="3" t="s">
        <v>10</v>
      </c>
      <c r="D17604" s="3" t="s">
        <v>9</v>
      </c>
      <c r="E17604" s="3">
        <v>0</v>
      </c>
      <c r="F17604" s="3">
        <v>0</v>
      </c>
      <c r="G17604" s="3">
        <v>1</v>
      </c>
      <c r="H17604" s="3">
        <v>0</v>
      </c>
      <c r="I17604" s="3">
        <v>0</v>
      </c>
      <c r="J17604" s="3">
        <v>0</v>
      </c>
      <c r="K17604" s="3">
        <v>0</v>
      </c>
      <c r="L17604" s="3">
        <v>1</v>
      </c>
      <c r="M17604" s="3">
        <v>0</v>
      </c>
      <c r="N17604" s="3">
        <v>0</v>
      </c>
      <c r="O17604" s="3" t="s">
        <v>10</v>
      </c>
      <c r="P17604" s="3" t="s">
        <v>9</v>
      </c>
      <c r="Q17604" s="3"/>
    </row>
    <row r="17605" spans="1:17" ht="15" x14ac:dyDescent="0.25">
      <c r="A17605" s="3">
        <f>17598</f>
        <v>17598</v>
      </c>
      <c r="B17605" s="3" t="s">
        <v>17607</v>
      </c>
      <c r="C17605" s="3" t="s">
        <v>10</v>
      </c>
      <c r="D17605" s="3" t="s">
        <v>9</v>
      </c>
      <c r="E17605" s="3">
        <v>0</v>
      </c>
      <c r="F17605" s="3">
        <v>0</v>
      </c>
      <c r="G17605" s="3">
        <v>1</v>
      </c>
      <c r="H17605" s="3">
        <v>0</v>
      </c>
      <c r="I17605" s="3">
        <v>0</v>
      </c>
      <c r="J17605" s="3">
        <v>0</v>
      </c>
      <c r="K17605" s="3">
        <v>0</v>
      </c>
      <c r="L17605" s="3">
        <v>1</v>
      </c>
      <c r="M17605" s="3">
        <v>0</v>
      </c>
      <c r="N17605" s="3">
        <v>0</v>
      </c>
      <c r="O17605" s="3" t="s">
        <v>10</v>
      </c>
      <c r="P17605" s="3" t="s">
        <v>9</v>
      </c>
      <c r="Q17605" s="3"/>
    </row>
    <row r="17606" spans="1:17" ht="15" x14ac:dyDescent="0.25">
      <c r="A17606" s="3">
        <f>17599</f>
        <v>17599</v>
      </c>
      <c r="B17606" s="3" t="s">
        <v>17608</v>
      </c>
      <c r="C17606" s="3" t="s">
        <v>10</v>
      </c>
      <c r="D17606" s="3" t="s">
        <v>9</v>
      </c>
      <c r="E17606" s="3">
        <v>0</v>
      </c>
      <c r="F17606" s="3">
        <v>0</v>
      </c>
      <c r="G17606" s="3">
        <v>1</v>
      </c>
      <c r="H17606" s="3">
        <v>0</v>
      </c>
      <c r="I17606" s="3">
        <v>0</v>
      </c>
      <c r="J17606" s="3">
        <v>0</v>
      </c>
      <c r="K17606" s="3">
        <v>0</v>
      </c>
      <c r="L17606" s="3">
        <v>1</v>
      </c>
      <c r="M17606" s="3">
        <v>0</v>
      </c>
      <c r="N17606" s="3">
        <v>0</v>
      </c>
      <c r="O17606" s="3" t="s">
        <v>10</v>
      </c>
      <c r="P17606" s="3" t="s">
        <v>9</v>
      </c>
      <c r="Q17606" s="3"/>
    </row>
    <row r="17607" spans="1:17" ht="15" x14ac:dyDescent="0.25">
      <c r="A17607" s="3">
        <f>17600</f>
        <v>17600</v>
      </c>
      <c r="B17607" s="3" t="s">
        <v>17609</v>
      </c>
      <c r="C17607" s="3" t="s">
        <v>10</v>
      </c>
      <c r="D17607" s="3" t="s">
        <v>9</v>
      </c>
      <c r="E17607" s="3">
        <v>0</v>
      </c>
      <c r="F17607" s="3">
        <v>0</v>
      </c>
      <c r="G17607" s="3">
        <v>1</v>
      </c>
      <c r="H17607" s="3">
        <v>0</v>
      </c>
      <c r="I17607" s="3">
        <v>0</v>
      </c>
      <c r="J17607" s="3">
        <v>0</v>
      </c>
      <c r="K17607" s="3">
        <v>0</v>
      </c>
      <c r="L17607" s="3">
        <v>1</v>
      </c>
      <c r="M17607" s="3">
        <v>0</v>
      </c>
      <c r="N17607" s="3">
        <v>0</v>
      </c>
      <c r="O17607" s="3" t="s">
        <v>10</v>
      </c>
      <c r="P17607" s="3" t="s">
        <v>9</v>
      </c>
      <c r="Q17607" s="3"/>
    </row>
    <row r="17608" spans="1:17" ht="15" x14ac:dyDescent="0.25">
      <c r="A17608" s="3">
        <f>17601</f>
        <v>17601</v>
      </c>
      <c r="B17608" s="3" t="s">
        <v>17610</v>
      </c>
      <c r="C17608" s="3" t="s">
        <v>10</v>
      </c>
      <c r="D17608" s="3" t="s">
        <v>9</v>
      </c>
      <c r="E17608" s="3">
        <v>0</v>
      </c>
      <c r="F17608" s="3">
        <v>0</v>
      </c>
      <c r="G17608" s="3">
        <v>1</v>
      </c>
      <c r="H17608" s="3">
        <v>0</v>
      </c>
      <c r="I17608" s="3">
        <v>0</v>
      </c>
      <c r="J17608" s="3">
        <v>0</v>
      </c>
      <c r="K17608" s="3">
        <v>0</v>
      </c>
      <c r="L17608" s="3">
        <v>1</v>
      </c>
      <c r="M17608" s="3">
        <v>0</v>
      </c>
      <c r="N17608" s="3">
        <v>0</v>
      </c>
      <c r="O17608" s="3" t="s">
        <v>10</v>
      </c>
      <c r="P17608" s="3" t="s">
        <v>9</v>
      </c>
      <c r="Q17608" s="3"/>
    </row>
    <row r="17609" spans="1:17" ht="15" x14ac:dyDescent="0.25">
      <c r="A17609" s="3">
        <f>17602</f>
        <v>17602</v>
      </c>
      <c r="B17609" s="3" t="s">
        <v>17611</v>
      </c>
      <c r="C17609" s="3" t="s">
        <v>10</v>
      </c>
      <c r="D17609" s="3" t="s">
        <v>9</v>
      </c>
      <c r="E17609" s="3">
        <v>0</v>
      </c>
      <c r="F17609" s="3">
        <v>0</v>
      </c>
      <c r="G17609" s="3">
        <v>1</v>
      </c>
      <c r="H17609" s="3">
        <v>0</v>
      </c>
      <c r="I17609" s="3">
        <v>0</v>
      </c>
      <c r="J17609" s="3">
        <v>0</v>
      </c>
      <c r="K17609" s="3">
        <v>0</v>
      </c>
      <c r="L17609" s="3">
        <v>1</v>
      </c>
      <c r="M17609" s="3">
        <v>0</v>
      </c>
      <c r="N17609" s="3">
        <v>0</v>
      </c>
      <c r="O17609" s="3" t="s">
        <v>10</v>
      </c>
      <c r="P17609" s="3" t="s">
        <v>9</v>
      </c>
      <c r="Q17609" s="3"/>
    </row>
    <row r="17610" spans="1:17" ht="15" x14ac:dyDescent="0.25">
      <c r="A17610" s="3">
        <f>17603</f>
        <v>17603</v>
      </c>
      <c r="B17610" s="3" t="s">
        <v>17612</v>
      </c>
      <c r="C17610" s="3" t="s">
        <v>10</v>
      </c>
      <c r="D17610" s="3" t="s">
        <v>9</v>
      </c>
      <c r="E17610" s="3">
        <v>0</v>
      </c>
      <c r="F17610" s="3">
        <v>0</v>
      </c>
      <c r="G17610" s="3">
        <v>1</v>
      </c>
      <c r="H17610" s="3">
        <v>0</v>
      </c>
      <c r="I17610" s="3">
        <v>0</v>
      </c>
      <c r="J17610" s="3">
        <v>0</v>
      </c>
      <c r="K17610" s="3">
        <v>0</v>
      </c>
      <c r="L17610" s="3">
        <v>1</v>
      </c>
      <c r="M17610" s="3">
        <v>0</v>
      </c>
      <c r="N17610" s="3">
        <v>0</v>
      </c>
      <c r="O17610" s="3" t="s">
        <v>10</v>
      </c>
      <c r="P17610" s="3" t="s">
        <v>9</v>
      </c>
      <c r="Q17610" s="3"/>
    </row>
    <row r="17611" spans="1:17" ht="15" x14ac:dyDescent="0.25">
      <c r="A17611" s="3">
        <f>17604</f>
        <v>17604</v>
      </c>
      <c r="B17611" s="3" t="s">
        <v>17613</v>
      </c>
      <c r="C17611" s="3" t="s">
        <v>10</v>
      </c>
      <c r="D17611" s="3" t="s">
        <v>9</v>
      </c>
      <c r="E17611" s="3">
        <v>0</v>
      </c>
      <c r="F17611" s="3">
        <v>0</v>
      </c>
      <c r="G17611" s="3">
        <v>1</v>
      </c>
      <c r="H17611" s="3">
        <v>0</v>
      </c>
      <c r="I17611" s="3">
        <v>0</v>
      </c>
      <c r="J17611" s="3">
        <v>0</v>
      </c>
      <c r="K17611" s="3">
        <v>0</v>
      </c>
      <c r="L17611" s="3">
        <v>1</v>
      </c>
      <c r="M17611" s="3">
        <v>0</v>
      </c>
      <c r="N17611" s="3">
        <v>0</v>
      </c>
      <c r="O17611" s="3" t="s">
        <v>10</v>
      </c>
      <c r="P17611" s="3" t="s">
        <v>9</v>
      </c>
      <c r="Q17611" s="3"/>
    </row>
    <row r="17612" spans="1:17" ht="15" x14ac:dyDescent="0.25">
      <c r="A17612" s="3">
        <f>17605</f>
        <v>17605</v>
      </c>
      <c r="B17612" s="3" t="s">
        <v>17614</v>
      </c>
      <c r="C17612" s="3" t="s">
        <v>10</v>
      </c>
      <c r="D17612" s="3" t="s">
        <v>9</v>
      </c>
      <c r="E17612" s="3">
        <v>0</v>
      </c>
      <c r="F17612" s="3">
        <v>0</v>
      </c>
      <c r="G17612" s="3">
        <v>1</v>
      </c>
      <c r="H17612" s="3">
        <v>0</v>
      </c>
      <c r="I17612" s="3">
        <v>0</v>
      </c>
      <c r="J17612" s="3">
        <v>0</v>
      </c>
      <c r="K17612" s="3">
        <v>0</v>
      </c>
      <c r="L17612" s="3">
        <v>1</v>
      </c>
      <c r="M17612" s="3">
        <v>0</v>
      </c>
      <c r="N17612" s="3">
        <v>0</v>
      </c>
      <c r="O17612" s="3" t="s">
        <v>10</v>
      </c>
      <c r="P17612" s="3" t="s">
        <v>9</v>
      </c>
      <c r="Q17612" s="3"/>
    </row>
    <row r="17613" spans="1:17" ht="15" x14ac:dyDescent="0.25">
      <c r="A17613" s="3">
        <f>17606</f>
        <v>17606</v>
      </c>
      <c r="B17613" s="3" t="s">
        <v>17615</v>
      </c>
      <c r="C17613" s="3" t="s">
        <v>10</v>
      </c>
      <c r="D17613" s="3" t="s">
        <v>9</v>
      </c>
      <c r="E17613" s="3">
        <v>0</v>
      </c>
      <c r="F17613" s="3">
        <v>0</v>
      </c>
      <c r="G17613" s="3">
        <v>1</v>
      </c>
      <c r="H17613" s="3">
        <v>0</v>
      </c>
      <c r="I17613" s="3">
        <v>0</v>
      </c>
      <c r="J17613" s="3">
        <v>0</v>
      </c>
      <c r="K17613" s="3">
        <v>0</v>
      </c>
      <c r="L17613" s="3">
        <v>1</v>
      </c>
      <c r="M17613" s="3">
        <v>0</v>
      </c>
      <c r="N17613" s="3">
        <v>0</v>
      </c>
      <c r="O17613" s="3" t="s">
        <v>10</v>
      </c>
      <c r="P17613" s="3" t="s">
        <v>9</v>
      </c>
      <c r="Q17613" s="3"/>
    </row>
    <row r="17614" spans="1:17" ht="15" x14ac:dyDescent="0.25">
      <c r="A17614" s="3">
        <f>17607</f>
        <v>17607</v>
      </c>
      <c r="B17614" s="3" t="s">
        <v>17616</v>
      </c>
      <c r="C17614" s="3" t="s">
        <v>10</v>
      </c>
      <c r="D17614" s="3" t="s">
        <v>9</v>
      </c>
      <c r="E17614" s="3">
        <v>0</v>
      </c>
      <c r="F17614" s="3">
        <v>0</v>
      </c>
      <c r="G17614" s="3">
        <v>1</v>
      </c>
      <c r="H17614" s="3">
        <v>0</v>
      </c>
      <c r="I17614" s="3">
        <v>0</v>
      </c>
      <c r="J17614" s="3">
        <v>0</v>
      </c>
      <c r="K17614" s="3">
        <v>0</v>
      </c>
      <c r="L17614" s="3">
        <v>1</v>
      </c>
      <c r="M17614" s="3">
        <v>0</v>
      </c>
      <c r="N17614" s="3">
        <v>0</v>
      </c>
      <c r="O17614" s="3" t="s">
        <v>10</v>
      </c>
      <c r="P17614" s="3" t="s">
        <v>9</v>
      </c>
      <c r="Q17614" s="3"/>
    </row>
    <row r="17615" spans="1:17" ht="15" x14ac:dyDescent="0.25">
      <c r="A17615" s="3">
        <f>17608</f>
        <v>17608</v>
      </c>
      <c r="B17615" s="3" t="s">
        <v>17617</v>
      </c>
      <c r="C17615" s="3" t="s">
        <v>10</v>
      </c>
      <c r="D17615" s="3" t="s">
        <v>9</v>
      </c>
      <c r="E17615" s="3">
        <v>0</v>
      </c>
      <c r="F17615" s="3">
        <v>0</v>
      </c>
      <c r="G17615" s="3">
        <v>1</v>
      </c>
      <c r="H17615" s="3">
        <v>0</v>
      </c>
      <c r="I17615" s="3">
        <v>0</v>
      </c>
      <c r="J17615" s="3">
        <v>0</v>
      </c>
      <c r="K17615" s="3">
        <v>0</v>
      </c>
      <c r="L17615" s="3">
        <v>1</v>
      </c>
      <c r="M17615" s="3">
        <v>0</v>
      </c>
      <c r="N17615" s="3">
        <v>0</v>
      </c>
      <c r="O17615" s="3" t="s">
        <v>10</v>
      </c>
      <c r="P17615" s="3" t="s">
        <v>9</v>
      </c>
      <c r="Q17615" s="3"/>
    </row>
    <row r="17616" spans="1:17" ht="15" x14ac:dyDescent="0.25">
      <c r="A17616" s="3">
        <f>17609</f>
        <v>17609</v>
      </c>
      <c r="B17616" s="3" t="s">
        <v>17618</v>
      </c>
      <c r="C17616" s="3" t="s">
        <v>10</v>
      </c>
      <c r="D17616" s="3" t="s">
        <v>9</v>
      </c>
      <c r="E17616" s="3">
        <v>0</v>
      </c>
      <c r="F17616" s="3">
        <v>0</v>
      </c>
      <c r="G17616" s="3">
        <v>1</v>
      </c>
      <c r="H17616" s="3">
        <v>0</v>
      </c>
      <c r="I17616" s="3">
        <v>0</v>
      </c>
      <c r="J17616" s="3">
        <v>0</v>
      </c>
      <c r="K17616" s="3">
        <v>0</v>
      </c>
      <c r="L17616" s="3">
        <v>1</v>
      </c>
      <c r="M17616" s="3">
        <v>0</v>
      </c>
      <c r="N17616" s="3">
        <v>0</v>
      </c>
      <c r="O17616" s="3" t="s">
        <v>10</v>
      </c>
      <c r="P17616" s="3" t="s">
        <v>9</v>
      </c>
      <c r="Q17616" s="3"/>
    </row>
    <row r="17617" spans="1:17" ht="15" x14ac:dyDescent="0.25">
      <c r="A17617" s="3">
        <f>17610</f>
        <v>17610</v>
      </c>
      <c r="B17617" s="3" t="s">
        <v>17619</v>
      </c>
      <c r="C17617" s="3" t="s">
        <v>10</v>
      </c>
      <c r="D17617" s="3" t="s">
        <v>9</v>
      </c>
      <c r="E17617" s="3">
        <v>0</v>
      </c>
      <c r="F17617" s="3">
        <v>0</v>
      </c>
      <c r="G17617" s="3">
        <v>1</v>
      </c>
      <c r="H17617" s="3">
        <v>0</v>
      </c>
      <c r="I17617" s="3">
        <v>0</v>
      </c>
      <c r="J17617" s="3">
        <v>0</v>
      </c>
      <c r="K17617" s="3">
        <v>0</v>
      </c>
      <c r="L17617" s="3">
        <v>1</v>
      </c>
      <c r="M17617" s="3">
        <v>0</v>
      </c>
      <c r="N17617" s="3">
        <v>0</v>
      </c>
      <c r="O17617" s="3" t="s">
        <v>10</v>
      </c>
      <c r="P17617" s="3" t="s">
        <v>9</v>
      </c>
      <c r="Q17617" s="3"/>
    </row>
    <row r="17618" spans="1:17" ht="15" x14ac:dyDescent="0.25">
      <c r="A17618" s="3">
        <f>17611</f>
        <v>17611</v>
      </c>
      <c r="B17618" s="3" t="s">
        <v>17620</v>
      </c>
      <c r="C17618" s="3" t="s">
        <v>10</v>
      </c>
      <c r="D17618" s="3" t="s">
        <v>9</v>
      </c>
      <c r="E17618" s="3">
        <v>0</v>
      </c>
      <c r="F17618" s="3">
        <v>0</v>
      </c>
      <c r="G17618" s="3">
        <v>1</v>
      </c>
      <c r="H17618" s="3">
        <v>0</v>
      </c>
      <c r="I17618" s="3">
        <v>0</v>
      </c>
      <c r="J17618" s="3">
        <v>0</v>
      </c>
      <c r="K17618" s="3">
        <v>0</v>
      </c>
      <c r="L17618" s="3">
        <v>1</v>
      </c>
      <c r="M17618" s="3">
        <v>0</v>
      </c>
      <c r="N17618" s="3">
        <v>0</v>
      </c>
      <c r="O17618" s="3" t="s">
        <v>10</v>
      </c>
      <c r="P17618" s="3" t="s">
        <v>9</v>
      </c>
      <c r="Q17618" s="3"/>
    </row>
    <row r="17619" spans="1:17" ht="15" x14ac:dyDescent="0.25">
      <c r="A17619" s="3">
        <f>17612</f>
        <v>17612</v>
      </c>
      <c r="B17619" s="3" t="s">
        <v>17621</v>
      </c>
      <c r="C17619" s="3" t="s">
        <v>10</v>
      </c>
      <c r="D17619" s="3" t="s">
        <v>9</v>
      </c>
      <c r="E17619" s="3">
        <v>0</v>
      </c>
      <c r="F17619" s="3">
        <v>0</v>
      </c>
      <c r="G17619" s="3">
        <v>1</v>
      </c>
      <c r="H17619" s="3">
        <v>0</v>
      </c>
      <c r="I17619" s="3">
        <v>0</v>
      </c>
      <c r="J17619" s="3">
        <v>0</v>
      </c>
      <c r="K17619" s="3">
        <v>0</v>
      </c>
      <c r="L17619" s="3">
        <v>1</v>
      </c>
      <c r="M17619" s="3">
        <v>0</v>
      </c>
      <c r="N17619" s="3">
        <v>0</v>
      </c>
      <c r="O17619" s="3" t="s">
        <v>10</v>
      </c>
      <c r="P17619" s="3" t="s">
        <v>9</v>
      </c>
      <c r="Q17619" s="3"/>
    </row>
    <row r="17620" spans="1:17" ht="15" x14ac:dyDescent="0.25">
      <c r="A17620" s="3">
        <f>17613</f>
        <v>17613</v>
      </c>
      <c r="B17620" s="3" t="s">
        <v>17622</v>
      </c>
      <c r="C17620" s="3" t="s">
        <v>10</v>
      </c>
      <c r="D17620" s="3" t="s">
        <v>9</v>
      </c>
      <c r="E17620" s="3">
        <v>0</v>
      </c>
      <c r="F17620" s="3">
        <v>0</v>
      </c>
      <c r="G17620" s="3">
        <v>1</v>
      </c>
      <c r="H17620" s="3">
        <v>0</v>
      </c>
      <c r="I17620" s="3">
        <v>0</v>
      </c>
      <c r="J17620" s="3">
        <v>0</v>
      </c>
      <c r="K17620" s="3">
        <v>0</v>
      </c>
      <c r="L17620" s="3">
        <v>1</v>
      </c>
      <c r="M17620" s="3">
        <v>0</v>
      </c>
      <c r="N17620" s="3">
        <v>0</v>
      </c>
      <c r="O17620" s="3" t="s">
        <v>10</v>
      </c>
      <c r="P17620" s="3" t="s">
        <v>9</v>
      </c>
      <c r="Q17620" s="3"/>
    </row>
    <row r="17621" spans="1:17" ht="15" x14ac:dyDescent="0.25">
      <c r="A17621" s="3">
        <f>17614</f>
        <v>17614</v>
      </c>
      <c r="B17621" s="3" t="s">
        <v>17623</v>
      </c>
      <c r="C17621" s="3" t="s">
        <v>10</v>
      </c>
      <c r="D17621" s="3" t="s">
        <v>9</v>
      </c>
      <c r="E17621" s="3">
        <v>0</v>
      </c>
      <c r="F17621" s="3">
        <v>0</v>
      </c>
      <c r="G17621" s="3">
        <v>1</v>
      </c>
      <c r="H17621" s="3">
        <v>0</v>
      </c>
      <c r="I17621" s="3">
        <v>0</v>
      </c>
      <c r="J17621" s="3">
        <v>0</v>
      </c>
      <c r="K17621" s="3">
        <v>0</v>
      </c>
      <c r="L17621" s="3">
        <v>1</v>
      </c>
      <c r="M17621" s="3">
        <v>0</v>
      </c>
      <c r="N17621" s="3">
        <v>0</v>
      </c>
      <c r="O17621" s="3" t="s">
        <v>10</v>
      </c>
      <c r="P17621" s="3" t="s">
        <v>9</v>
      </c>
      <c r="Q17621" s="3"/>
    </row>
    <row r="17622" spans="1:17" ht="15" x14ac:dyDescent="0.25">
      <c r="A17622" s="3">
        <f>17615</f>
        <v>17615</v>
      </c>
      <c r="B17622" s="3" t="s">
        <v>17624</v>
      </c>
      <c r="C17622" s="3" t="s">
        <v>10</v>
      </c>
      <c r="D17622" s="3" t="s">
        <v>9</v>
      </c>
      <c r="E17622" s="3">
        <v>0</v>
      </c>
      <c r="F17622" s="3">
        <v>0</v>
      </c>
      <c r="G17622" s="3">
        <v>1</v>
      </c>
      <c r="H17622" s="3">
        <v>0</v>
      </c>
      <c r="I17622" s="3">
        <v>0</v>
      </c>
      <c r="J17622" s="3">
        <v>0</v>
      </c>
      <c r="K17622" s="3">
        <v>0</v>
      </c>
      <c r="L17622" s="3">
        <v>1</v>
      </c>
      <c r="M17622" s="3">
        <v>0</v>
      </c>
      <c r="N17622" s="3">
        <v>0</v>
      </c>
      <c r="O17622" s="3" t="s">
        <v>10</v>
      </c>
      <c r="P17622" s="3" t="s">
        <v>9</v>
      </c>
      <c r="Q17622" s="3"/>
    </row>
    <row r="17623" spans="1:17" ht="15" x14ac:dyDescent="0.25">
      <c r="A17623" s="3">
        <f>17616</f>
        <v>17616</v>
      </c>
      <c r="B17623" s="3" t="s">
        <v>17625</v>
      </c>
      <c r="C17623" s="3" t="s">
        <v>10</v>
      </c>
      <c r="D17623" s="3" t="s">
        <v>9</v>
      </c>
      <c r="E17623" s="3">
        <v>0</v>
      </c>
      <c r="F17623" s="3">
        <v>0</v>
      </c>
      <c r="G17623" s="3">
        <v>1</v>
      </c>
      <c r="H17623" s="3">
        <v>0</v>
      </c>
      <c r="I17623" s="3">
        <v>0</v>
      </c>
      <c r="J17623" s="3">
        <v>0</v>
      </c>
      <c r="K17623" s="3">
        <v>0</v>
      </c>
      <c r="L17623" s="3">
        <v>1</v>
      </c>
      <c r="M17623" s="3">
        <v>0</v>
      </c>
      <c r="N17623" s="3">
        <v>0</v>
      </c>
      <c r="O17623" s="3" t="s">
        <v>10</v>
      </c>
      <c r="P17623" s="3" t="s">
        <v>9</v>
      </c>
      <c r="Q17623" s="3"/>
    </row>
    <row r="17624" spans="1:17" ht="15" x14ac:dyDescent="0.25">
      <c r="A17624" s="3">
        <f>17617</f>
        <v>17617</v>
      </c>
      <c r="B17624" s="3" t="s">
        <v>17626</v>
      </c>
      <c r="C17624" s="3" t="s">
        <v>10</v>
      </c>
      <c r="D17624" s="3" t="s">
        <v>9</v>
      </c>
      <c r="E17624" s="3">
        <v>0</v>
      </c>
      <c r="F17624" s="3">
        <v>0</v>
      </c>
      <c r="G17624" s="3">
        <v>1</v>
      </c>
      <c r="H17624" s="3">
        <v>0</v>
      </c>
      <c r="I17624" s="3">
        <v>0</v>
      </c>
      <c r="J17624" s="3">
        <v>0</v>
      </c>
      <c r="K17624" s="3">
        <v>0</v>
      </c>
      <c r="L17624" s="3">
        <v>1</v>
      </c>
      <c r="M17624" s="3">
        <v>0</v>
      </c>
      <c r="N17624" s="3">
        <v>0</v>
      </c>
      <c r="O17624" s="3" t="s">
        <v>10</v>
      </c>
      <c r="P17624" s="3" t="s">
        <v>9</v>
      </c>
      <c r="Q17624" s="3"/>
    </row>
    <row r="17625" spans="1:17" ht="15" x14ac:dyDescent="0.25">
      <c r="A17625" s="3">
        <f>17618</f>
        <v>17618</v>
      </c>
      <c r="B17625" s="3" t="s">
        <v>17627</v>
      </c>
      <c r="C17625" s="3" t="s">
        <v>10</v>
      </c>
      <c r="D17625" s="3" t="s">
        <v>9</v>
      </c>
      <c r="E17625" s="3">
        <v>0</v>
      </c>
      <c r="F17625" s="3">
        <v>0</v>
      </c>
      <c r="G17625" s="3">
        <v>1</v>
      </c>
      <c r="H17625" s="3">
        <v>0</v>
      </c>
      <c r="I17625" s="3">
        <v>0</v>
      </c>
      <c r="J17625" s="3">
        <v>0</v>
      </c>
      <c r="K17625" s="3">
        <v>0</v>
      </c>
      <c r="L17625" s="3">
        <v>1</v>
      </c>
      <c r="M17625" s="3">
        <v>0</v>
      </c>
      <c r="N17625" s="3">
        <v>0</v>
      </c>
      <c r="O17625" s="3" t="s">
        <v>10</v>
      </c>
      <c r="P17625" s="3" t="s">
        <v>9</v>
      </c>
      <c r="Q17625" s="3"/>
    </row>
    <row r="17626" spans="1:17" ht="15" x14ac:dyDescent="0.25">
      <c r="A17626" s="3">
        <f>17619</f>
        <v>17619</v>
      </c>
      <c r="B17626" s="3" t="s">
        <v>17628</v>
      </c>
      <c r="C17626" s="3" t="s">
        <v>10</v>
      </c>
      <c r="D17626" s="3" t="s">
        <v>9</v>
      </c>
      <c r="E17626" s="3">
        <v>0</v>
      </c>
      <c r="F17626" s="3">
        <v>0</v>
      </c>
      <c r="G17626" s="3">
        <v>1</v>
      </c>
      <c r="H17626" s="3">
        <v>0</v>
      </c>
      <c r="I17626" s="3">
        <v>0</v>
      </c>
      <c r="J17626" s="3">
        <v>0</v>
      </c>
      <c r="K17626" s="3">
        <v>0</v>
      </c>
      <c r="L17626" s="3">
        <v>1</v>
      </c>
      <c r="M17626" s="3">
        <v>0</v>
      </c>
      <c r="N17626" s="3">
        <v>0</v>
      </c>
      <c r="O17626" s="3" t="s">
        <v>10</v>
      </c>
      <c r="P17626" s="3" t="s">
        <v>9</v>
      </c>
      <c r="Q17626" s="3"/>
    </row>
    <row r="17627" spans="1:17" ht="15" x14ac:dyDescent="0.25">
      <c r="A17627" s="3">
        <f>17620</f>
        <v>17620</v>
      </c>
      <c r="B17627" s="3" t="s">
        <v>17629</v>
      </c>
      <c r="C17627" s="3" t="s">
        <v>10</v>
      </c>
      <c r="D17627" s="3" t="s">
        <v>9</v>
      </c>
      <c r="E17627" s="3">
        <v>0</v>
      </c>
      <c r="F17627" s="3">
        <v>0</v>
      </c>
      <c r="G17627" s="3">
        <v>1</v>
      </c>
      <c r="H17627" s="3">
        <v>0</v>
      </c>
      <c r="I17627" s="3">
        <v>0</v>
      </c>
      <c r="J17627" s="3">
        <v>0</v>
      </c>
      <c r="K17627" s="3">
        <v>0</v>
      </c>
      <c r="L17627" s="3">
        <v>1</v>
      </c>
      <c r="M17627" s="3">
        <v>0</v>
      </c>
      <c r="N17627" s="3">
        <v>0</v>
      </c>
      <c r="O17627" s="3" t="s">
        <v>10</v>
      </c>
      <c r="P17627" s="3" t="s">
        <v>9</v>
      </c>
      <c r="Q17627" s="3"/>
    </row>
    <row r="17628" spans="1:17" ht="15" x14ac:dyDescent="0.25">
      <c r="A17628" s="3">
        <f>17621</f>
        <v>17621</v>
      </c>
      <c r="B17628" s="3" t="s">
        <v>17630</v>
      </c>
      <c r="C17628" s="3" t="s">
        <v>10</v>
      </c>
      <c r="D17628" s="3" t="s">
        <v>9</v>
      </c>
      <c r="E17628" s="3">
        <v>0</v>
      </c>
      <c r="F17628" s="3">
        <v>0</v>
      </c>
      <c r="G17628" s="3">
        <v>1</v>
      </c>
      <c r="H17628" s="3">
        <v>0</v>
      </c>
      <c r="I17628" s="3">
        <v>0</v>
      </c>
      <c r="J17628" s="3">
        <v>0</v>
      </c>
      <c r="K17628" s="3">
        <v>0</v>
      </c>
      <c r="L17628" s="3">
        <v>1</v>
      </c>
      <c r="M17628" s="3">
        <v>0</v>
      </c>
      <c r="N17628" s="3">
        <v>0</v>
      </c>
      <c r="O17628" s="3" t="s">
        <v>10</v>
      </c>
      <c r="P17628" s="3" t="s">
        <v>9</v>
      </c>
      <c r="Q17628" s="3"/>
    </row>
    <row r="17629" spans="1:17" ht="15" x14ac:dyDescent="0.25">
      <c r="A17629" s="3">
        <f>17622</f>
        <v>17622</v>
      </c>
      <c r="B17629" s="3" t="s">
        <v>17631</v>
      </c>
      <c r="C17629" s="3" t="s">
        <v>10</v>
      </c>
      <c r="D17629" s="3" t="s">
        <v>9</v>
      </c>
      <c r="E17629" s="3">
        <v>0</v>
      </c>
      <c r="F17629" s="3">
        <v>0</v>
      </c>
      <c r="G17629" s="3">
        <v>1</v>
      </c>
      <c r="H17629" s="3">
        <v>0</v>
      </c>
      <c r="I17629" s="3">
        <v>0</v>
      </c>
      <c r="J17629" s="3">
        <v>0</v>
      </c>
      <c r="K17629" s="3">
        <v>0</v>
      </c>
      <c r="L17629" s="3">
        <v>1</v>
      </c>
      <c r="M17629" s="3">
        <v>0</v>
      </c>
      <c r="N17629" s="3">
        <v>0</v>
      </c>
      <c r="O17629" s="3" t="s">
        <v>10</v>
      </c>
      <c r="P17629" s="3" t="s">
        <v>9</v>
      </c>
      <c r="Q17629" s="3"/>
    </row>
    <row r="17630" spans="1:17" ht="15" x14ac:dyDescent="0.25">
      <c r="A17630" s="3">
        <f>17623</f>
        <v>17623</v>
      </c>
      <c r="B17630" s="3" t="s">
        <v>17632</v>
      </c>
      <c r="C17630" s="3" t="s">
        <v>10</v>
      </c>
      <c r="D17630" s="3" t="s">
        <v>9</v>
      </c>
      <c r="E17630" s="3">
        <v>0</v>
      </c>
      <c r="F17630" s="3">
        <v>0</v>
      </c>
      <c r="G17630" s="3">
        <v>1</v>
      </c>
      <c r="H17630" s="3">
        <v>0</v>
      </c>
      <c r="I17630" s="3">
        <v>0</v>
      </c>
      <c r="J17630" s="3">
        <v>0</v>
      </c>
      <c r="K17630" s="3">
        <v>0</v>
      </c>
      <c r="L17630" s="3">
        <v>1</v>
      </c>
      <c r="M17630" s="3">
        <v>0</v>
      </c>
      <c r="N17630" s="3">
        <v>0</v>
      </c>
      <c r="O17630" s="3" t="s">
        <v>10</v>
      </c>
      <c r="P17630" s="3" t="s">
        <v>9</v>
      </c>
      <c r="Q17630" s="3"/>
    </row>
    <row r="17631" spans="1:17" ht="15" x14ac:dyDescent="0.25">
      <c r="A17631" s="3">
        <f>17624</f>
        <v>17624</v>
      </c>
      <c r="B17631" s="3" t="s">
        <v>17633</v>
      </c>
      <c r="C17631" s="3" t="s">
        <v>10</v>
      </c>
      <c r="D17631" s="3" t="s">
        <v>9</v>
      </c>
      <c r="E17631" s="3">
        <v>0</v>
      </c>
      <c r="F17631" s="3">
        <v>0</v>
      </c>
      <c r="G17631" s="3">
        <v>1</v>
      </c>
      <c r="H17631" s="3">
        <v>0</v>
      </c>
      <c r="I17631" s="3">
        <v>0</v>
      </c>
      <c r="J17631" s="3">
        <v>0</v>
      </c>
      <c r="K17631" s="3">
        <v>0</v>
      </c>
      <c r="L17631" s="3">
        <v>1</v>
      </c>
      <c r="M17631" s="3">
        <v>0</v>
      </c>
      <c r="N17631" s="3">
        <v>0</v>
      </c>
      <c r="O17631" s="3" t="s">
        <v>10</v>
      </c>
      <c r="P17631" s="3" t="s">
        <v>9</v>
      </c>
      <c r="Q17631" s="3"/>
    </row>
    <row r="17632" spans="1:17" ht="15" x14ac:dyDescent="0.25">
      <c r="A17632" s="3">
        <f>17625</f>
        <v>17625</v>
      </c>
      <c r="B17632" s="3" t="s">
        <v>17634</v>
      </c>
      <c r="C17632" s="3" t="s">
        <v>10</v>
      </c>
      <c r="D17632" s="3" t="s">
        <v>9</v>
      </c>
      <c r="E17632" s="3">
        <v>0</v>
      </c>
      <c r="F17632" s="3">
        <v>0</v>
      </c>
      <c r="G17632" s="3">
        <v>1</v>
      </c>
      <c r="H17632" s="3">
        <v>0</v>
      </c>
      <c r="I17632" s="3">
        <v>0</v>
      </c>
      <c r="J17632" s="3">
        <v>0</v>
      </c>
      <c r="K17632" s="3">
        <v>0</v>
      </c>
      <c r="L17632" s="3">
        <v>1</v>
      </c>
      <c r="M17632" s="3">
        <v>0</v>
      </c>
      <c r="N17632" s="3">
        <v>0</v>
      </c>
      <c r="O17632" s="3" t="s">
        <v>10</v>
      </c>
      <c r="P17632" s="3" t="s">
        <v>9</v>
      </c>
      <c r="Q17632" s="3"/>
    </row>
    <row r="17633" spans="1:17" ht="15" x14ac:dyDescent="0.25">
      <c r="A17633" s="3">
        <f>17626</f>
        <v>17626</v>
      </c>
      <c r="B17633" s="3" t="s">
        <v>17635</v>
      </c>
      <c r="C17633" s="3" t="s">
        <v>10</v>
      </c>
      <c r="D17633" s="3" t="s">
        <v>9</v>
      </c>
      <c r="E17633" s="3">
        <v>0</v>
      </c>
      <c r="F17633" s="3">
        <v>0</v>
      </c>
      <c r="G17633" s="3">
        <v>1</v>
      </c>
      <c r="H17633" s="3">
        <v>0</v>
      </c>
      <c r="I17633" s="3">
        <v>0</v>
      </c>
      <c r="J17633" s="3">
        <v>0</v>
      </c>
      <c r="K17633" s="3">
        <v>0</v>
      </c>
      <c r="L17633" s="3">
        <v>1</v>
      </c>
      <c r="M17633" s="3">
        <v>0</v>
      </c>
      <c r="N17633" s="3">
        <v>0</v>
      </c>
      <c r="O17633" s="3" t="s">
        <v>10</v>
      </c>
      <c r="P17633" s="3" t="s">
        <v>9</v>
      </c>
      <c r="Q17633" s="3"/>
    </row>
    <row r="17634" spans="1:17" ht="15" x14ac:dyDescent="0.25">
      <c r="A17634" s="3">
        <f>17627</f>
        <v>17627</v>
      </c>
      <c r="B17634" s="3" t="s">
        <v>17636</v>
      </c>
      <c r="C17634" s="3" t="s">
        <v>10</v>
      </c>
      <c r="D17634" s="3" t="s">
        <v>9</v>
      </c>
      <c r="E17634" s="3">
        <v>0</v>
      </c>
      <c r="F17634" s="3">
        <v>0</v>
      </c>
      <c r="G17634" s="3">
        <v>1</v>
      </c>
      <c r="H17634" s="3">
        <v>0</v>
      </c>
      <c r="I17634" s="3">
        <v>0</v>
      </c>
      <c r="J17634" s="3">
        <v>0</v>
      </c>
      <c r="K17634" s="3">
        <v>0</v>
      </c>
      <c r="L17634" s="3">
        <v>1</v>
      </c>
      <c r="M17634" s="3">
        <v>0</v>
      </c>
      <c r="N17634" s="3">
        <v>0</v>
      </c>
      <c r="O17634" s="3" t="s">
        <v>10</v>
      </c>
      <c r="P17634" s="3" t="s">
        <v>9</v>
      </c>
      <c r="Q17634" s="3"/>
    </row>
    <row r="17635" spans="1:17" ht="15" x14ac:dyDescent="0.25">
      <c r="A17635" s="3">
        <f>17628</f>
        <v>17628</v>
      </c>
      <c r="B17635" s="3" t="s">
        <v>17637</v>
      </c>
      <c r="C17635" s="3" t="s">
        <v>10</v>
      </c>
      <c r="D17635" s="3" t="s">
        <v>9</v>
      </c>
      <c r="E17635" s="3">
        <v>0</v>
      </c>
      <c r="F17635" s="3">
        <v>0</v>
      </c>
      <c r="G17635" s="3">
        <v>1</v>
      </c>
      <c r="H17635" s="3">
        <v>0</v>
      </c>
      <c r="I17635" s="3">
        <v>0</v>
      </c>
      <c r="J17635" s="3">
        <v>0</v>
      </c>
      <c r="K17635" s="3">
        <v>0</v>
      </c>
      <c r="L17635" s="3">
        <v>1</v>
      </c>
      <c r="M17635" s="3">
        <v>0</v>
      </c>
      <c r="N17635" s="3">
        <v>0</v>
      </c>
      <c r="O17635" s="3" t="s">
        <v>10</v>
      </c>
      <c r="P17635" s="3" t="s">
        <v>9</v>
      </c>
      <c r="Q17635" s="3"/>
    </row>
    <row r="17636" spans="1:17" ht="15" x14ac:dyDescent="0.25">
      <c r="A17636" s="3">
        <f>17629</f>
        <v>17629</v>
      </c>
      <c r="B17636" s="3" t="s">
        <v>17638</v>
      </c>
      <c r="C17636" s="3" t="s">
        <v>10</v>
      </c>
      <c r="D17636" s="3" t="s">
        <v>9</v>
      </c>
      <c r="E17636" s="3">
        <v>0</v>
      </c>
      <c r="F17636" s="3">
        <v>0</v>
      </c>
      <c r="G17636" s="3">
        <v>1</v>
      </c>
      <c r="H17636" s="3">
        <v>0</v>
      </c>
      <c r="I17636" s="3">
        <v>0</v>
      </c>
      <c r="J17636" s="3">
        <v>0</v>
      </c>
      <c r="K17636" s="3">
        <v>0</v>
      </c>
      <c r="L17636" s="3">
        <v>1</v>
      </c>
      <c r="M17636" s="3">
        <v>0</v>
      </c>
      <c r="N17636" s="3">
        <v>0</v>
      </c>
      <c r="O17636" s="3" t="s">
        <v>10</v>
      </c>
      <c r="P17636" s="3" t="s">
        <v>9</v>
      </c>
      <c r="Q17636" s="3"/>
    </row>
    <row r="17637" spans="1:17" ht="15" x14ac:dyDescent="0.25">
      <c r="A17637" s="3">
        <f>17630</f>
        <v>17630</v>
      </c>
      <c r="B17637" s="3" t="s">
        <v>17639</v>
      </c>
      <c r="C17637" s="3" t="s">
        <v>10</v>
      </c>
      <c r="D17637" s="3" t="s">
        <v>9</v>
      </c>
      <c r="E17637" s="3">
        <v>0</v>
      </c>
      <c r="F17637" s="3">
        <v>0</v>
      </c>
      <c r="G17637" s="3">
        <v>1</v>
      </c>
      <c r="H17637" s="3">
        <v>0</v>
      </c>
      <c r="I17637" s="3">
        <v>0</v>
      </c>
      <c r="J17637" s="3">
        <v>0</v>
      </c>
      <c r="K17637" s="3">
        <v>0</v>
      </c>
      <c r="L17637" s="3">
        <v>1</v>
      </c>
      <c r="M17637" s="3">
        <v>0</v>
      </c>
      <c r="N17637" s="3">
        <v>0</v>
      </c>
      <c r="O17637" s="3" t="s">
        <v>10</v>
      </c>
      <c r="P17637" s="3" t="s">
        <v>9</v>
      </c>
      <c r="Q17637" s="3"/>
    </row>
    <row r="17638" spans="1:17" ht="15" x14ac:dyDescent="0.25">
      <c r="A17638" s="3">
        <f>17631</f>
        <v>17631</v>
      </c>
      <c r="B17638" s="3" t="s">
        <v>17640</v>
      </c>
      <c r="C17638" s="3" t="s">
        <v>10</v>
      </c>
      <c r="D17638" s="3" t="s">
        <v>9</v>
      </c>
      <c r="E17638" s="3">
        <v>0</v>
      </c>
      <c r="F17638" s="3">
        <v>0</v>
      </c>
      <c r="G17638" s="3">
        <v>1</v>
      </c>
      <c r="H17638" s="3">
        <v>0</v>
      </c>
      <c r="I17638" s="3">
        <v>0</v>
      </c>
      <c r="J17638" s="3">
        <v>0</v>
      </c>
      <c r="K17638" s="3">
        <v>0</v>
      </c>
      <c r="L17638" s="3">
        <v>1</v>
      </c>
      <c r="M17638" s="3">
        <v>0</v>
      </c>
      <c r="N17638" s="3">
        <v>0</v>
      </c>
      <c r="O17638" s="3" t="s">
        <v>10</v>
      </c>
      <c r="P17638" s="3" t="s">
        <v>9</v>
      </c>
      <c r="Q17638" s="3"/>
    </row>
    <row r="17639" spans="1:17" ht="15" x14ac:dyDescent="0.25">
      <c r="A17639" s="3">
        <f>17632</f>
        <v>17632</v>
      </c>
      <c r="B17639" s="3" t="s">
        <v>17641</v>
      </c>
      <c r="C17639" s="3" t="s">
        <v>10</v>
      </c>
      <c r="D17639" s="3" t="s">
        <v>9</v>
      </c>
      <c r="E17639" s="3">
        <v>0</v>
      </c>
      <c r="F17639" s="3">
        <v>0</v>
      </c>
      <c r="G17639" s="3">
        <v>1</v>
      </c>
      <c r="H17639" s="3">
        <v>0</v>
      </c>
      <c r="I17639" s="3">
        <v>0</v>
      </c>
      <c r="J17639" s="3">
        <v>0</v>
      </c>
      <c r="K17639" s="3">
        <v>0</v>
      </c>
      <c r="L17639" s="3">
        <v>1</v>
      </c>
      <c r="M17639" s="3">
        <v>0</v>
      </c>
      <c r="N17639" s="3">
        <v>0</v>
      </c>
      <c r="O17639" s="3" t="s">
        <v>10</v>
      </c>
      <c r="P17639" s="3" t="s">
        <v>9</v>
      </c>
      <c r="Q17639" s="3"/>
    </row>
    <row r="17640" spans="1:17" ht="15" x14ac:dyDescent="0.25">
      <c r="A17640" s="3">
        <f>17633</f>
        <v>17633</v>
      </c>
      <c r="B17640" s="3" t="s">
        <v>17642</v>
      </c>
      <c r="C17640" s="3" t="s">
        <v>10</v>
      </c>
      <c r="D17640" s="3" t="s">
        <v>9</v>
      </c>
      <c r="E17640" s="3">
        <v>0</v>
      </c>
      <c r="F17640" s="3">
        <v>0</v>
      </c>
      <c r="G17640" s="3">
        <v>1</v>
      </c>
      <c r="H17640" s="3">
        <v>0</v>
      </c>
      <c r="I17640" s="3">
        <v>0</v>
      </c>
      <c r="J17640" s="3">
        <v>0</v>
      </c>
      <c r="K17640" s="3">
        <v>0</v>
      </c>
      <c r="L17640" s="3">
        <v>1</v>
      </c>
      <c r="M17640" s="3">
        <v>0</v>
      </c>
      <c r="N17640" s="3">
        <v>0</v>
      </c>
      <c r="O17640" s="3" t="s">
        <v>10</v>
      </c>
      <c r="P17640" s="3" t="s">
        <v>9</v>
      </c>
      <c r="Q17640" s="3"/>
    </row>
    <row r="17641" spans="1:17" ht="15" x14ac:dyDescent="0.25">
      <c r="A17641" s="3">
        <f>17634</f>
        <v>17634</v>
      </c>
      <c r="B17641" s="3" t="s">
        <v>17643</v>
      </c>
      <c r="C17641" s="3" t="s">
        <v>10</v>
      </c>
      <c r="D17641" s="3" t="s">
        <v>9</v>
      </c>
      <c r="E17641" s="3">
        <v>0</v>
      </c>
      <c r="F17641" s="3">
        <v>0</v>
      </c>
      <c r="G17641" s="3">
        <v>1</v>
      </c>
      <c r="H17641" s="3">
        <v>0</v>
      </c>
      <c r="I17641" s="3">
        <v>0</v>
      </c>
      <c r="J17641" s="3">
        <v>0</v>
      </c>
      <c r="K17641" s="3">
        <v>0</v>
      </c>
      <c r="L17641" s="3">
        <v>1</v>
      </c>
      <c r="M17641" s="3">
        <v>0</v>
      </c>
      <c r="N17641" s="3">
        <v>0</v>
      </c>
      <c r="O17641" s="3" t="s">
        <v>10</v>
      </c>
      <c r="P17641" s="3" t="s">
        <v>9</v>
      </c>
      <c r="Q17641" s="3"/>
    </row>
    <row r="17642" spans="1:17" ht="15" x14ac:dyDescent="0.25">
      <c r="A17642" s="3">
        <f>17635</f>
        <v>17635</v>
      </c>
      <c r="B17642" s="3" t="s">
        <v>17644</v>
      </c>
      <c r="C17642" s="3" t="s">
        <v>10</v>
      </c>
      <c r="D17642" s="3" t="s">
        <v>9</v>
      </c>
      <c r="E17642" s="3">
        <v>0</v>
      </c>
      <c r="F17642" s="3">
        <v>0</v>
      </c>
      <c r="G17642" s="3">
        <v>1</v>
      </c>
      <c r="H17642" s="3">
        <v>0</v>
      </c>
      <c r="I17642" s="3">
        <v>0</v>
      </c>
      <c r="J17642" s="3">
        <v>0</v>
      </c>
      <c r="K17642" s="3">
        <v>0</v>
      </c>
      <c r="L17642" s="3">
        <v>1</v>
      </c>
      <c r="M17642" s="3">
        <v>0</v>
      </c>
      <c r="N17642" s="3">
        <v>0</v>
      </c>
      <c r="O17642" s="3" t="s">
        <v>10</v>
      </c>
      <c r="P17642" s="3" t="s">
        <v>9</v>
      </c>
      <c r="Q17642" s="3"/>
    </row>
    <row r="17643" spans="1:17" ht="15" x14ac:dyDescent="0.25">
      <c r="A17643" s="3">
        <f>17636</f>
        <v>17636</v>
      </c>
      <c r="B17643" s="3" t="s">
        <v>17645</v>
      </c>
      <c r="C17643" s="3" t="s">
        <v>10</v>
      </c>
      <c r="D17643" s="3" t="s">
        <v>9</v>
      </c>
      <c r="E17643" s="3">
        <v>0</v>
      </c>
      <c r="F17643" s="3">
        <v>0</v>
      </c>
      <c r="G17643" s="3">
        <v>1</v>
      </c>
      <c r="H17643" s="3">
        <v>0</v>
      </c>
      <c r="I17643" s="3">
        <v>0</v>
      </c>
      <c r="J17643" s="3">
        <v>0</v>
      </c>
      <c r="K17643" s="3">
        <v>0</v>
      </c>
      <c r="L17643" s="3">
        <v>1</v>
      </c>
      <c r="M17643" s="3">
        <v>0</v>
      </c>
      <c r="N17643" s="3">
        <v>0</v>
      </c>
      <c r="O17643" s="3" t="s">
        <v>10</v>
      </c>
      <c r="P17643" s="3" t="s">
        <v>9</v>
      </c>
      <c r="Q17643" s="3"/>
    </row>
    <row r="17644" spans="1:17" ht="15" x14ac:dyDescent="0.25">
      <c r="A17644" s="3">
        <f>17637</f>
        <v>17637</v>
      </c>
      <c r="B17644" s="3" t="s">
        <v>17646</v>
      </c>
      <c r="C17644" s="3" t="s">
        <v>10</v>
      </c>
      <c r="D17644" s="3" t="s">
        <v>9</v>
      </c>
      <c r="E17644" s="3">
        <v>0</v>
      </c>
      <c r="F17644" s="3">
        <v>0</v>
      </c>
      <c r="G17644" s="3">
        <v>1</v>
      </c>
      <c r="H17644" s="3">
        <v>0</v>
      </c>
      <c r="I17644" s="3">
        <v>0</v>
      </c>
      <c r="J17644" s="3">
        <v>0</v>
      </c>
      <c r="K17644" s="3">
        <v>0</v>
      </c>
      <c r="L17644" s="3">
        <v>1</v>
      </c>
      <c r="M17644" s="3">
        <v>0</v>
      </c>
      <c r="N17644" s="3">
        <v>0</v>
      </c>
      <c r="O17644" s="3" t="s">
        <v>10</v>
      </c>
      <c r="P17644" s="3" t="s">
        <v>9</v>
      </c>
      <c r="Q17644" s="3"/>
    </row>
    <row r="17645" spans="1:17" ht="15" x14ac:dyDescent="0.25">
      <c r="A17645" s="3">
        <f>17638</f>
        <v>17638</v>
      </c>
      <c r="B17645" s="3" t="s">
        <v>17647</v>
      </c>
      <c r="C17645" s="3" t="s">
        <v>10</v>
      </c>
      <c r="D17645" s="3" t="s">
        <v>9</v>
      </c>
      <c r="E17645" s="3">
        <v>0</v>
      </c>
      <c r="F17645" s="3">
        <v>0</v>
      </c>
      <c r="G17645" s="3">
        <v>1</v>
      </c>
      <c r="H17645" s="3">
        <v>0</v>
      </c>
      <c r="I17645" s="3">
        <v>0</v>
      </c>
      <c r="J17645" s="3">
        <v>0</v>
      </c>
      <c r="K17645" s="3">
        <v>0</v>
      </c>
      <c r="L17645" s="3">
        <v>1</v>
      </c>
      <c r="M17645" s="3">
        <v>0</v>
      </c>
      <c r="N17645" s="3">
        <v>0</v>
      </c>
      <c r="O17645" s="3" t="s">
        <v>10</v>
      </c>
      <c r="P17645" s="3" t="s">
        <v>9</v>
      </c>
      <c r="Q17645" s="3"/>
    </row>
    <row r="17646" spans="1:17" ht="15" x14ac:dyDescent="0.25">
      <c r="A17646" s="3">
        <f>17639</f>
        <v>17639</v>
      </c>
      <c r="B17646" s="3" t="s">
        <v>17648</v>
      </c>
      <c r="C17646" s="3" t="s">
        <v>10</v>
      </c>
      <c r="D17646" s="3" t="s">
        <v>9</v>
      </c>
      <c r="E17646" s="3">
        <v>0</v>
      </c>
      <c r="F17646" s="3">
        <v>0</v>
      </c>
      <c r="G17646" s="3">
        <v>1</v>
      </c>
      <c r="H17646" s="3">
        <v>0</v>
      </c>
      <c r="I17646" s="3">
        <v>0</v>
      </c>
      <c r="J17646" s="3">
        <v>0</v>
      </c>
      <c r="K17646" s="3">
        <v>0</v>
      </c>
      <c r="L17646" s="3">
        <v>1</v>
      </c>
      <c r="M17646" s="3">
        <v>0</v>
      </c>
      <c r="N17646" s="3">
        <v>0</v>
      </c>
      <c r="O17646" s="3" t="s">
        <v>10</v>
      </c>
      <c r="P17646" s="3" t="s">
        <v>9</v>
      </c>
      <c r="Q17646" s="3"/>
    </row>
    <row r="17647" spans="1:17" ht="15" x14ac:dyDescent="0.25">
      <c r="A17647" s="3">
        <f>17640</f>
        <v>17640</v>
      </c>
      <c r="B17647" s="3" t="s">
        <v>17649</v>
      </c>
      <c r="C17647" s="3" t="s">
        <v>10</v>
      </c>
      <c r="D17647" s="3" t="s">
        <v>9</v>
      </c>
      <c r="E17647" s="3">
        <v>0</v>
      </c>
      <c r="F17647" s="3">
        <v>0</v>
      </c>
      <c r="G17647" s="3">
        <v>1</v>
      </c>
      <c r="H17647" s="3">
        <v>0</v>
      </c>
      <c r="I17647" s="3">
        <v>0</v>
      </c>
      <c r="J17647" s="3">
        <v>0</v>
      </c>
      <c r="K17647" s="3">
        <v>0</v>
      </c>
      <c r="L17647" s="3">
        <v>1</v>
      </c>
      <c r="M17647" s="3">
        <v>0</v>
      </c>
      <c r="N17647" s="3">
        <v>0</v>
      </c>
      <c r="O17647" s="3" t="s">
        <v>10</v>
      </c>
      <c r="P17647" s="3" t="s">
        <v>9</v>
      </c>
      <c r="Q17647" s="3"/>
    </row>
    <row r="17648" spans="1:17" ht="15" x14ac:dyDescent="0.25">
      <c r="A17648" s="3">
        <f>17641</f>
        <v>17641</v>
      </c>
      <c r="B17648" s="3" t="s">
        <v>17650</v>
      </c>
      <c r="C17648" s="3" t="s">
        <v>10</v>
      </c>
      <c r="D17648" s="3" t="s">
        <v>9</v>
      </c>
      <c r="E17648" s="3">
        <v>0</v>
      </c>
      <c r="F17648" s="3">
        <v>0</v>
      </c>
      <c r="G17648" s="3">
        <v>1</v>
      </c>
      <c r="H17648" s="3">
        <v>0</v>
      </c>
      <c r="I17648" s="3">
        <v>0</v>
      </c>
      <c r="J17648" s="3">
        <v>0</v>
      </c>
      <c r="K17648" s="3">
        <v>0</v>
      </c>
      <c r="L17648" s="3">
        <v>1</v>
      </c>
      <c r="M17648" s="3">
        <v>0</v>
      </c>
      <c r="N17648" s="3">
        <v>0</v>
      </c>
      <c r="O17648" s="3" t="s">
        <v>10</v>
      </c>
      <c r="P17648" s="3" t="s">
        <v>9</v>
      </c>
      <c r="Q17648" s="3"/>
    </row>
    <row r="17649" spans="1:17" ht="15" x14ac:dyDescent="0.25">
      <c r="A17649" s="3">
        <f>17642</f>
        <v>17642</v>
      </c>
      <c r="B17649" s="3" t="s">
        <v>17651</v>
      </c>
      <c r="C17649" s="3" t="s">
        <v>10</v>
      </c>
      <c r="D17649" s="3" t="s">
        <v>9</v>
      </c>
      <c r="E17649" s="3">
        <v>0</v>
      </c>
      <c r="F17649" s="3">
        <v>0</v>
      </c>
      <c r="G17649" s="3">
        <v>1</v>
      </c>
      <c r="H17649" s="3">
        <v>0</v>
      </c>
      <c r="I17649" s="3">
        <v>0</v>
      </c>
      <c r="J17649" s="3">
        <v>0</v>
      </c>
      <c r="K17649" s="3">
        <v>0</v>
      </c>
      <c r="L17649" s="3">
        <v>1</v>
      </c>
      <c r="M17649" s="3">
        <v>0</v>
      </c>
      <c r="N17649" s="3">
        <v>0</v>
      </c>
      <c r="O17649" s="3" t="s">
        <v>10</v>
      </c>
      <c r="P17649" s="3" t="s">
        <v>9</v>
      </c>
      <c r="Q17649" s="3"/>
    </row>
    <row r="17650" spans="1:17" ht="15" x14ac:dyDescent="0.25">
      <c r="A17650" s="3">
        <f>17643</f>
        <v>17643</v>
      </c>
      <c r="B17650" s="3" t="s">
        <v>17652</v>
      </c>
      <c r="C17650" s="3" t="s">
        <v>10</v>
      </c>
      <c r="D17650" s="3" t="s">
        <v>9</v>
      </c>
      <c r="E17650" s="3">
        <v>0</v>
      </c>
      <c r="F17650" s="3">
        <v>0</v>
      </c>
      <c r="G17650" s="3">
        <v>1</v>
      </c>
      <c r="H17650" s="3">
        <v>0</v>
      </c>
      <c r="I17650" s="3">
        <v>0</v>
      </c>
      <c r="J17650" s="3">
        <v>0</v>
      </c>
      <c r="K17650" s="3">
        <v>0</v>
      </c>
      <c r="L17650" s="3">
        <v>1</v>
      </c>
      <c r="M17650" s="3">
        <v>0</v>
      </c>
      <c r="N17650" s="3">
        <v>0</v>
      </c>
      <c r="O17650" s="3" t="s">
        <v>10</v>
      </c>
      <c r="P17650" s="3" t="s">
        <v>9</v>
      </c>
      <c r="Q17650" s="3"/>
    </row>
    <row r="17651" spans="1:17" ht="15" x14ac:dyDescent="0.25">
      <c r="A17651" s="3">
        <f>17644</f>
        <v>17644</v>
      </c>
      <c r="B17651" s="3" t="s">
        <v>17653</v>
      </c>
      <c r="C17651" s="3" t="s">
        <v>10</v>
      </c>
      <c r="D17651" s="3" t="s">
        <v>9</v>
      </c>
      <c r="E17651" s="3">
        <v>0</v>
      </c>
      <c r="F17651" s="3">
        <v>0</v>
      </c>
      <c r="G17651" s="3">
        <v>1</v>
      </c>
      <c r="H17651" s="3">
        <v>0</v>
      </c>
      <c r="I17651" s="3">
        <v>0</v>
      </c>
      <c r="J17651" s="3">
        <v>0</v>
      </c>
      <c r="K17651" s="3">
        <v>0</v>
      </c>
      <c r="L17651" s="3">
        <v>1</v>
      </c>
      <c r="M17651" s="3">
        <v>0</v>
      </c>
      <c r="N17651" s="3">
        <v>0</v>
      </c>
      <c r="O17651" s="3" t="s">
        <v>10</v>
      </c>
      <c r="P17651" s="3" t="s">
        <v>9</v>
      </c>
      <c r="Q17651" s="3"/>
    </row>
    <row r="17652" spans="1:17" ht="15" x14ac:dyDescent="0.25">
      <c r="A17652" s="3">
        <f>17645</f>
        <v>17645</v>
      </c>
      <c r="B17652" s="3" t="s">
        <v>17654</v>
      </c>
      <c r="C17652" s="3" t="s">
        <v>10</v>
      </c>
      <c r="D17652" s="3" t="s">
        <v>9</v>
      </c>
      <c r="E17652" s="3">
        <v>0</v>
      </c>
      <c r="F17652" s="3">
        <v>0</v>
      </c>
      <c r="G17652" s="3">
        <v>1</v>
      </c>
      <c r="H17652" s="3">
        <v>0</v>
      </c>
      <c r="I17652" s="3">
        <v>0</v>
      </c>
      <c r="J17652" s="3">
        <v>0</v>
      </c>
      <c r="K17652" s="3">
        <v>0</v>
      </c>
      <c r="L17652" s="3">
        <v>1</v>
      </c>
      <c r="M17652" s="3">
        <v>0</v>
      </c>
      <c r="N17652" s="3">
        <v>0</v>
      </c>
      <c r="O17652" s="3" t="s">
        <v>10</v>
      </c>
      <c r="P17652" s="3" t="s">
        <v>9</v>
      </c>
      <c r="Q17652" s="3"/>
    </row>
    <row r="17653" spans="1:17" ht="15" x14ac:dyDescent="0.25">
      <c r="A17653" s="3">
        <f>17646</f>
        <v>17646</v>
      </c>
      <c r="B17653" s="3" t="s">
        <v>17655</v>
      </c>
      <c r="C17653" s="3" t="s">
        <v>10</v>
      </c>
      <c r="D17653" s="3" t="s">
        <v>9</v>
      </c>
      <c r="E17653" s="3">
        <v>0</v>
      </c>
      <c r="F17653" s="3">
        <v>0</v>
      </c>
      <c r="G17653" s="3">
        <v>1</v>
      </c>
      <c r="H17653" s="3">
        <v>0</v>
      </c>
      <c r="I17653" s="3">
        <v>0</v>
      </c>
      <c r="J17653" s="3">
        <v>0</v>
      </c>
      <c r="K17653" s="3">
        <v>0</v>
      </c>
      <c r="L17653" s="3">
        <v>1</v>
      </c>
      <c r="M17653" s="3">
        <v>0</v>
      </c>
      <c r="N17653" s="3">
        <v>0</v>
      </c>
      <c r="O17653" s="3" t="s">
        <v>10</v>
      </c>
      <c r="P17653" s="3" t="s">
        <v>9</v>
      </c>
      <c r="Q17653" s="3"/>
    </row>
    <row r="17654" spans="1:17" ht="15" x14ac:dyDescent="0.25">
      <c r="A17654" s="3">
        <f>17647</f>
        <v>17647</v>
      </c>
      <c r="B17654" s="3" t="s">
        <v>17656</v>
      </c>
      <c r="C17654" s="3" t="s">
        <v>10</v>
      </c>
      <c r="D17654" s="3" t="s">
        <v>9</v>
      </c>
      <c r="E17654" s="3">
        <v>0</v>
      </c>
      <c r="F17654" s="3">
        <v>0</v>
      </c>
      <c r="G17654" s="3">
        <v>1</v>
      </c>
      <c r="H17654" s="3">
        <v>0</v>
      </c>
      <c r="I17654" s="3">
        <v>0</v>
      </c>
      <c r="J17654" s="3">
        <v>0</v>
      </c>
      <c r="K17654" s="3">
        <v>0</v>
      </c>
      <c r="L17654" s="3">
        <v>1</v>
      </c>
      <c r="M17654" s="3">
        <v>0</v>
      </c>
      <c r="N17654" s="3">
        <v>0</v>
      </c>
      <c r="O17654" s="3" t="s">
        <v>10</v>
      </c>
      <c r="P17654" s="3" t="s">
        <v>9</v>
      </c>
      <c r="Q17654" s="3"/>
    </row>
    <row r="17655" spans="1:17" ht="15" x14ac:dyDescent="0.25">
      <c r="A17655" s="3">
        <f>17648</f>
        <v>17648</v>
      </c>
      <c r="B17655" s="3" t="s">
        <v>17657</v>
      </c>
      <c r="C17655" s="3" t="s">
        <v>10</v>
      </c>
      <c r="D17655" s="3" t="s">
        <v>9</v>
      </c>
      <c r="E17655" s="3">
        <v>0</v>
      </c>
      <c r="F17655" s="3">
        <v>0</v>
      </c>
      <c r="G17655" s="3">
        <v>1</v>
      </c>
      <c r="H17655" s="3">
        <v>0</v>
      </c>
      <c r="I17655" s="3">
        <v>0</v>
      </c>
      <c r="J17655" s="3">
        <v>0</v>
      </c>
      <c r="K17655" s="3">
        <v>0</v>
      </c>
      <c r="L17655" s="3">
        <v>1</v>
      </c>
      <c r="M17655" s="3">
        <v>0</v>
      </c>
      <c r="N17655" s="3">
        <v>0</v>
      </c>
      <c r="O17655" s="3" t="s">
        <v>10</v>
      </c>
      <c r="P17655" s="3" t="s">
        <v>9</v>
      </c>
      <c r="Q17655" s="3"/>
    </row>
    <row r="17656" spans="1:17" ht="15" x14ac:dyDescent="0.25">
      <c r="A17656" s="3">
        <f>17649</f>
        <v>17649</v>
      </c>
      <c r="B17656" s="3" t="s">
        <v>17658</v>
      </c>
      <c r="C17656" s="3" t="s">
        <v>10</v>
      </c>
      <c r="D17656" s="3" t="s">
        <v>9</v>
      </c>
      <c r="E17656" s="3">
        <v>0</v>
      </c>
      <c r="F17656" s="3">
        <v>0</v>
      </c>
      <c r="G17656" s="3">
        <v>1</v>
      </c>
      <c r="H17656" s="3">
        <v>0</v>
      </c>
      <c r="I17656" s="3">
        <v>0</v>
      </c>
      <c r="J17656" s="3">
        <v>0</v>
      </c>
      <c r="K17656" s="3">
        <v>0</v>
      </c>
      <c r="L17656" s="3">
        <v>1</v>
      </c>
      <c r="M17656" s="3">
        <v>0</v>
      </c>
      <c r="N17656" s="3">
        <v>0</v>
      </c>
      <c r="O17656" s="3" t="s">
        <v>10</v>
      </c>
      <c r="P17656" s="3" t="s">
        <v>9</v>
      </c>
      <c r="Q17656" s="3"/>
    </row>
    <row r="17657" spans="1:17" ht="15" x14ac:dyDescent="0.25">
      <c r="A17657" s="3">
        <f>17650</f>
        <v>17650</v>
      </c>
      <c r="B17657" s="3" t="s">
        <v>17659</v>
      </c>
      <c r="C17657" s="3" t="s">
        <v>10</v>
      </c>
      <c r="D17657" s="3" t="s">
        <v>9</v>
      </c>
      <c r="E17657" s="3">
        <v>0</v>
      </c>
      <c r="F17657" s="3">
        <v>0</v>
      </c>
      <c r="G17657" s="3">
        <v>1</v>
      </c>
      <c r="H17657" s="3">
        <v>0</v>
      </c>
      <c r="I17657" s="3">
        <v>0</v>
      </c>
      <c r="J17657" s="3">
        <v>0</v>
      </c>
      <c r="K17657" s="3">
        <v>0</v>
      </c>
      <c r="L17657" s="3">
        <v>1</v>
      </c>
      <c r="M17657" s="3">
        <v>0</v>
      </c>
      <c r="N17657" s="3">
        <v>0</v>
      </c>
      <c r="O17657" s="3" t="s">
        <v>10</v>
      </c>
      <c r="P17657" s="3" t="s">
        <v>9</v>
      </c>
      <c r="Q17657" s="3"/>
    </row>
    <row r="17658" spans="1:17" ht="15" x14ac:dyDescent="0.25">
      <c r="A17658" s="3">
        <f>17651</f>
        <v>17651</v>
      </c>
      <c r="B17658" s="3" t="s">
        <v>17660</v>
      </c>
      <c r="C17658" s="3" t="s">
        <v>10</v>
      </c>
      <c r="D17658" s="3" t="s">
        <v>9</v>
      </c>
      <c r="E17658" s="3">
        <v>0</v>
      </c>
      <c r="F17658" s="3">
        <v>0</v>
      </c>
      <c r="G17658" s="3">
        <v>1</v>
      </c>
      <c r="H17658" s="3">
        <v>0</v>
      </c>
      <c r="I17658" s="3">
        <v>0</v>
      </c>
      <c r="J17658" s="3">
        <v>0</v>
      </c>
      <c r="K17658" s="3">
        <v>0</v>
      </c>
      <c r="L17658" s="3">
        <v>1</v>
      </c>
      <c r="M17658" s="3">
        <v>0</v>
      </c>
      <c r="N17658" s="3">
        <v>0</v>
      </c>
      <c r="O17658" s="3" t="s">
        <v>10</v>
      </c>
      <c r="P17658" s="3" t="s">
        <v>9</v>
      </c>
      <c r="Q17658" s="3"/>
    </row>
    <row r="17659" spans="1:17" ht="15" x14ac:dyDescent="0.25">
      <c r="A17659" s="3">
        <f>17652</f>
        <v>17652</v>
      </c>
      <c r="B17659" s="3" t="s">
        <v>17661</v>
      </c>
      <c r="C17659" s="3" t="s">
        <v>10</v>
      </c>
      <c r="D17659" s="3" t="s">
        <v>9</v>
      </c>
      <c r="E17659" s="3">
        <v>0</v>
      </c>
      <c r="F17659" s="3">
        <v>0</v>
      </c>
      <c r="G17659" s="3">
        <v>1</v>
      </c>
      <c r="H17659" s="3">
        <v>0</v>
      </c>
      <c r="I17659" s="3">
        <v>0</v>
      </c>
      <c r="J17659" s="3">
        <v>0</v>
      </c>
      <c r="K17659" s="3">
        <v>0</v>
      </c>
      <c r="L17659" s="3">
        <v>1</v>
      </c>
      <c r="M17659" s="3">
        <v>0</v>
      </c>
      <c r="N17659" s="3">
        <v>0</v>
      </c>
      <c r="O17659" s="3" t="s">
        <v>10</v>
      </c>
      <c r="P17659" s="3" t="s">
        <v>9</v>
      </c>
      <c r="Q17659" s="3"/>
    </row>
    <row r="17660" spans="1:17" ht="15" x14ac:dyDescent="0.25">
      <c r="A17660" s="3">
        <f>17653</f>
        <v>17653</v>
      </c>
      <c r="B17660" s="3" t="s">
        <v>17662</v>
      </c>
      <c r="C17660" s="3" t="s">
        <v>10</v>
      </c>
      <c r="D17660" s="3" t="s">
        <v>9</v>
      </c>
      <c r="E17660" s="3">
        <v>0</v>
      </c>
      <c r="F17660" s="3">
        <v>0</v>
      </c>
      <c r="G17660" s="3">
        <v>1</v>
      </c>
      <c r="H17660" s="3">
        <v>0</v>
      </c>
      <c r="I17660" s="3">
        <v>0</v>
      </c>
      <c r="J17660" s="3">
        <v>0</v>
      </c>
      <c r="K17660" s="3">
        <v>0</v>
      </c>
      <c r="L17660" s="3">
        <v>1</v>
      </c>
      <c r="M17660" s="3">
        <v>0</v>
      </c>
      <c r="N17660" s="3">
        <v>0</v>
      </c>
      <c r="O17660" s="3" t="s">
        <v>10</v>
      </c>
      <c r="P17660" s="3" t="s">
        <v>9</v>
      </c>
      <c r="Q17660" s="3"/>
    </row>
    <row r="17661" spans="1:17" ht="15" x14ac:dyDescent="0.25">
      <c r="A17661" s="3">
        <f>17654</f>
        <v>17654</v>
      </c>
      <c r="B17661" s="3" t="s">
        <v>17663</v>
      </c>
      <c r="C17661" s="3" t="s">
        <v>10</v>
      </c>
      <c r="D17661" s="3" t="s">
        <v>9</v>
      </c>
      <c r="E17661" s="3">
        <v>0</v>
      </c>
      <c r="F17661" s="3">
        <v>0</v>
      </c>
      <c r="G17661" s="3">
        <v>1</v>
      </c>
      <c r="H17661" s="3">
        <v>0</v>
      </c>
      <c r="I17661" s="3">
        <v>0</v>
      </c>
      <c r="J17661" s="3">
        <v>0</v>
      </c>
      <c r="K17661" s="3">
        <v>0</v>
      </c>
      <c r="L17661" s="3">
        <v>1</v>
      </c>
      <c r="M17661" s="3">
        <v>0</v>
      </c>
      <c r="N17661" s="3">
        <v>0</v>
      </c>
      <c r="O17661" s="3" t="s">
        <v>10</v>
      </c>
      <c r="P17661" s="3" t="s">
        <v>9</v>
      </c>
      <c r="Q17661" s="3"/>
    </row>
    <row r="17662" spans="1:17" ht="15" x14ac:dyDescent="0.25">
      <c r="A17662" s="3">
        <f>17655</f>
        <v>17655</v>
      </c>
      <c r="B17662" s="3" t="s">
        <v>17664</v>
      </c>
      <c r="C17662" s="3" t="s">
        <v>10</v>
      </c>
      <c r="D17662" s="3" t="s">
        <v>9</v>
      </c>
      <c r="E17662" s="3">
        <v>0</v>
      </c>
      <c r="F17662" s="3">
        <v>0</v>
      </c>
      <c r="G17662" s="3">
        <v>1</v>
      </c>
      <c r="H17662" s="3">
        <v>0</v>
      </c>
      <c r="I17662" s="3">
        <v>0</v>
      </c>
      <c r="J17662" s="3">
        <v>0</v>
      </c>
      <c r="K17662" s="3">
        <v>0</v>
      </c>
      <c r="L17662" s="3">
        <v>1</v>
      </c>
      <c r="M17662" s="3">
        <v>0</v>
      </c>
      <c r="N17662" s="3">
        <v>0</v>
      </c>
      <c r="O17662" s="3" t="s">
        <v>10</v>
      </c>
      <c r="P17662" s="3" t="s">
        <v>9</v>
      </c>
      <c r="Q17662" s="3"/>
    </row>
    <row r="17663" spans="1:17" ht="15" x14ac:dyDescent="0.25">
      <c r="A17663" s="3">
        <f>17656</f>
        <v>17656</v>
      </c>
      <c r="B17663" s="3" t="s">
        <v>17665</v>
      </c>
      <c r="C17663" s="3" t="s">
        <v>10</v>
      </c>
      <c r="D17663" s="3" t="s">
        <v>9</v>
      </c>
      <c r="E17663" s="3">
        <v>0</v>
      </c>
      <c r="F17663" s="3">
        <v>0</v>
      </c>
      <c r="G17663" s="3">
        <v>1</v>
      </c>
      <c r="H17663" s="3">
        <v>0</v>
      </c>
      <c r="I17663" s="3">
        <v>0</v>
      </c>
      <c r="J17663" s="3">
        <v>0</v>
      </c>
      <c r="K17663" s="3">
        <v>0</v>
      </c>
      <c r="L17663" s="3">
        <v>1</v>
      </c>
      <c r="M17663" s="3">
        <v>0</v>
      </c>
      <c r="N17663" s="3">
        <v>0</v>
      </c>
      <c r="O17663" s="3" t="s">
        <v>10</v>
      </c>
      <c r="P17663" s="3" t="s">
        <v>9</v>
      </c>
      <c r="Q17663" s="3"/>
    </row>
    <row r="17664" spans="1:17" ht="15" x14ac:dyDescent="0.25">
      <c r="A17664" s="3">
        <f>17657</f>
        <v>17657</v>
      </c>
      <c r="B17664" s="3" t="s">
        <v>17666</v>
      </c>
      <c r="C17664" s="3" t="s">
        <v>10</v>
      </c>
      <c r="D17664" s="3" t="s">
        <v>9</v>
      </c>
      <c r="E17664" s="3">
        <v>0</v>
      </c>
      <c r="F17664" s="3">
        <v>0</v>
      </c>
      <c r="G17664" s="3">
        <v>1</v>
      </c>
      <c r="H17664" s="3">
        <v>0</v>
      </c>
      <c r="I17664" s="3">
        <v>0</v>
      </c>
      <c r="J17664" s="3">
        <v>0</v>
      </c>
      <c r="K17664" s="3">
        <v>0</v>
      </c>
      <c r="L17664" s="3">
        <v>1</v>
      </c>
      <c r="M17664" s="3">
        <v>0</v>
      </c>
      <c r="N17664" s="3">
        <v>0</v>
      </c>
      <c r="O17664" s="3" t="s">
        <v>10</v>
      </c>
      <c r="P17664" s="3" t="s">
        <v>9</v>
      </c>
      <c r="Q17664" s="3"/>
    </row>
    <row r="17665" spans="1:17" ht="15" x14ac:dyDescent="0.25">
      <c r="A17665" s="3">
        <f>17658</f>
        <v>17658</v>
      </c>
      <c r="B17665" s="3" t="s">
        <v>17667</v>
      </c>
      <c r="C17665" s="3" t="s">
        <v>10</v>
      </c>
      <c r="D17665" s="3" t="s">
        <v>9</v>
      </c>
      <c r="E17665" s="3">
        <v>0</v>
      </c>
      <c r="F17665" s="3">
        <v>0</v>
      </c>
      <c r="G17665" s="3">
        <v>1</v>
      </c>
      <c r="H17665" s="3">
        <v>0</v>
      </c>
      <c r="I17665" s="3">
        <v>0</v>
      </c>
      <c r="J17665" s="3">
        <v>0</v>
      </c>
      <c r="K17665" s="3">
        <v>0</v>
      </c>
      <c r="L17665" s="3">
        <v>1</v>
      </c>
      <c r="M17665" s="3">
        <v>0</v>
      </c>
      <c r="N17665" s="3">
        <v>0</v>
      </c>
      <c r="O17665" s="3" t="s">
        <v>10</v>
      </c>
      <c r="P17665" s="3" t="s">
        <v>9</v>
      </c>
      <c r="Q17665" s="3"/>
    </row>
    <row r="17666" spans="1:17" ht="15" x14ac:dyDescent="0.25">
      <c r="A17666" s="3">
        <f>17659</f>
        <v>17659</v>
      </c>
      <c r="B17666" s="3" t="s">
        <v>17668</v>
      </c>
      <c r="C17666" s="3" t="s">
        <v>10</v>
      </c>
      <c r="D17666" s="3" t="s">
        <v>9</v>
      </c>
      <c r="E17666" s="3">
        <v>0</v>
      </c>
      <c r="F17666" s="3">
        <v>0</v>
      </c>
      <c r="G17666" s="3">
        <v>1</v>
      </c>
      <c r="H17666" s="3">
        <v>0</v>
      </c>
      <c r="I17666" s="3">
        <v>0</v>
      </c>
      <c r="J17666" s="3">
        <v>0</v>
      </c>
      <c r="K17666" s="3">
        <v>0</v>
      </c>
      <c r="L17666" s="3">
        <v>1</v>
      </c>
      <c r="M17666" s="3">
        <v>0</v>
      </c>
      <c r="N17666" s="3">
        <v>0</v>
      </c>
      <c r="O17666" s="3" t="s">
        <v>10</v>
      </c>
      <c r="P17666" s="3" t="s">
        <v>9</v>
      </c>
      <c r="Q17666" s="3"/>
    </row>
    <row r="17667" spans="1:17" ht="15" x14ac:dyDescent="0.25">
      <c r="A17667" s="3">
        <f>17660</f>
        <v>17660</v>
      </c>
      <c r="B17667" s="3" t="s">
        <v>17669</v>
      </c>
      <c r="C17667" s="3" t="s">
        <v>10</v>
      </c>
      <c r="D17667" s="3" t="s">
        <v>9</v>
      </c>
      <c r="E17667" s="3">
        <v>0</v>
      </c>
      <c r="F17667" s="3">
        <v>0</v>
      </c>
      <c r="G17667" s="3">
        <v>1</v>
      </c>
      <c r="H17667" s="3">
        <v>0</v>
      </c>
      <c r="I17667" s="3">
        <v>0</v>
      </c>
      <c r="J17667" s="3">
        <v>0</v>
      </c>
      <c r="K17667" s="3">
        <v>0</v>
      </c>
      <c r="L17667" s="3">
        <v>1</v>
      </c>
      <c r="M17667" s="3">
        <v>0</v>
      </c>
      <c r="N17667" s="3">
        <v>0</v>
      </c>
      <c r="O17667" s="3" t="s">
        <v>10</v>
      </c>
      <c r="P17667" s="3" t="s">
        <v>9</v>
      </c>
      <c r="Q17667" s="3"/>
    </row>
    <row r="17668" spans="1:17" ht="15" x14ac:dyDescent="0.25">
      <c r="A17668" s="3">
        <f>17661</f>
        <v>17661</v>
      </c>
      <c r="B17668" s="3" t="s">
        <v>17670</v>
      </c>
      <c r="C17668" s="3" t="s">
        <v>10</v>
      </c>
      <c r="D17668" s="3" t="s">
        <v>9</v>
      </c>
      <c r="E17668" s="3">
        <v>0</v>
      </c>
      <c r="F17668" s="3">
        <v>0</v>
      </c>
      <c r="G17668" s="3">
        <v>1</v>
      </c>
      <c r="H17668" s="3">
        <v>0</v>
      </c>
      <c r="I17668" s="3">
        <v>0</v>
      </c>
      <c r="J17668" s="3">
        <v>0</v>
      </c>
      <c r="K17668" s="3">
        <v>0</v>
      </c>
      <c r="L17668" s="3">
        <v>1</v>
      </c>
      <c r="M17668" s="3">
        <v>0</v>
      </c>
      <c r="N17668" s="3">
        <v>0</v>
      </c>
      <c r="O17668" s="3" t="s">
        <v>10</v>
      </c>
      <c r="P17668" s="3" t="s">
        <v>9</v>
      </c>
      <c r="Q17668" s="3"/>
    </row>
    <row r="17669" spans="1:17" ht="15" x14ac:dyDescent="0.25">
      <c r="A17669" s="3">
        <f>17662</f>
        <v>17662</v>
      </c>
      <c r="B17669" s="3" t="s">
        <v>17671</v>
      </c>
      <c r="C17669" s="3" t="s">
        <v>10</v>
      </c>
      <c r="D17669" s="3" t="s">
        <v>9</v>
      </c>
      <c r="E17669" s="3">
        <v>0</v>
      </c>
      <c r="F17669" s="3">
        <v>0</v>
      </c>
      <c r="G17669" s="3">
        <v>1</v>
      </c>
      <c r="H17669" s="3">
        <v>0</v>
      </c>
      <c r="I17669" s="3">
        <v>0</v>
      </c>
      <c r="J17669" s="3">
        <v>0</v>
      </c>
      <c r="K17669" s="3">
        <v>0</v>
      </c>
      <c r="L17669" s="3">
        <v>1</v>
      </c>
      <c r="M17669" s="3">
        <v>0</v>
      </c>
      <c r="N17669" s="3">
        <v>0</v>
      </c>
      <c r="O17669" s="3" t="s">
        <v>10</v>
      </c>
      <c r="P17669" s="3" t="s">
        <v>9</v>
      </c>
      <c r="Q17669" s="3"/>
    </row>
    <row r="17670" spans="1:17" ht="15" x14ac:dyDescent="0.25">
      <c r="A17670" s="3">
        <f>17663</f>
        <v>17663</v>
      </c>
      <c r="B17670" s="3" t="s">
        <v>17672</v>
      </c>
      <c r="C17670" s="3" t="s">
        <v>10</v>
      </c>
      <c r="D17670" s="3" t="s">
        <v>9</v>
      </c>
      <c r="E17670" s="3">
        <v>0</v>
      </c>
      <c r="F17670" s="3">
        <v>0</v>
      </c>
      <c r="G17670" s="3">
        <v>1</v>
      </c>
      <c r="H17670" s="3">
        <v>0</v>
      </c>
      <c r="I17670" s="3">
        <v>0</v>
      </c>
      <c r="J17670" s="3">
        <v>0</v>
      </c>
      <c r="K17670" s="3">
        <v>0</v>
      </c>
      <c r="L17670" s="3">
        <v>1</v>
      </c>
      <c r="M17670" s="3">
        <v>0</v>
      </c>
      <c r="N17670" s="3">
        <v>0</v>
      </c>
      <c r="O17670" s="3" t="s">
        <v>10</v>
      </c>
      <c r="P17670" s="3" t="s">
        <v>9</v>
      </c>
      <c r="Q17670" s="3"/>
    </row>
    <row r="17671" spans="1:17" ht="15" x14ac:dyDescent="0.25">
      <c r="A17671" s="3">
        <f>17664</f>
        <v>17664</v>
      </c>
      <c r="B17671" s="3" t="s">
        <v>17673</v>
      </c>
      <c r="C17671" s="3" t="s">
        <v>10</v>
      </c>
      <c r="D17671" s="3" t="s">
        <v>9</v>
      </c>
      <c r="E17671" s="3">
        <v>0</v>
      </c>
      <c r="F17671" s="3">
        <v>0</v>
      </c>
      <c r="G17671" s="3">
        <v>1</v>
      </c>
      <c r="H17671" s="3">
        <v>0</v>
      </c>
      <c r="I17671" s="3">
        <v>0</v>
      </c>
      <c r="J17671" s="3">
        <v>0</v>
      </c>
      <c r="K17671" s="3">
        <v>0</v>
      </c>
      <c r="L17671" s="3">
        <v>1</v>
      </c>
      <c r="M17671" s="3">
        <v>0</v>
      </c>
      <c r="N17671" s="3">
        <v>0</v>
      </c>
      <c r="O17671" s="3" t="s">
        <v>10</v>
      </c>
      <c r="P17671" s="3" t="s">
        <v>9</v>
      </c>
      <c r="Q17671" s="3"/>
    </row>
    <row r="17672" spans="1:17" ht="15" x14ac:dyDescent="0.25">
      <c r="A17672" s="3">
        <f>17665</f>
        <v>17665</v>
      </c>
      <c r="B17672" s="3" t="s">
        <v>17674</v>
      </c>
      <c r="C17672" s="3" t="s">
        <v>10</v>
      </c>
      <c r="D17672" s="3" t="s">
        <v>9</v>
      </c>
      <c r="E17672" s="3">
        <v>0</v>
      </c>
      <c r="F17672" s="3">
        <v>0</v>
      </c>
      <c r="G17672" s="3">
        <v>1</v>
      </c>
      <c r="H17672" s="3">
        <v>0</v>
      </c>
      <c r="I17672" s="3">
        <v>0</v>
      </c>
      <c r="J17672" s="3">
        <v>0</v>
      </c>
      <c r="K17672" s="3">
        <v>0</v>
      </c>
      <c r="L17672" s="3">
        <v>1</v>
      </c>
      <c r="M17672" s="3">
        <v>0</v>
      </c>
      <c r="N17672" s="3">
        <v>0</v>
      </c>
      <c r="O17672" s="3" t="s">
        <v>10</v>
      </c>
      <c r="P17672" s="3" t="s">
        <v>9</v>
      </c>
      <c r="Q17672" s="3"/>
    </row>
    <row r="17673" spans="1:17" ht="15" x14ac:dyDescent="0.25">
      <c r="A17673" s="3">
        <f>17666</f>
        <v>17666</v>
      </c>
      <c r="B17673" s="3" t="s">
        <v>17675</v>
      </c>
      <c r="C17673" s="3" t="s">
        <v>10</v>
      </c>
      <c r="D17673" s="3" t="s">
        <v>9</v>
      </c>
      <c r="E17673" s="3">
        <v>0</v>
      </c>
      <c r="F17673" s="3">
        <v>0</v>
      </c>
      <c r="G17673" s="3">
        <v>1</v>
      </c>
      <c r="H17673" s="3">
        <v>0</v>
      </c>
      <c r="I17673" s="3">
        <v>0</v>
      </c>
      <c r="J17673" s="3">
        <v>0</v>
      </c>
      <c r="K17673" s="3">
        <v>0</v>
      </c>
      <c r="L17673" s="3">
        <v>1</v>
      </c>
      <c r="M17673" s="3">
        <v>0</v>
      </c>
      <c r="N17673" s="3">
        <v>0</v>
      </c>
      <c r="O17673" s="3" t="s">
        <v>10</v>
      </c>
      <c r="P17673" s="3" t="s">
        <v>9</v>
      </c>
      <c r="Q17673" s="3"/>
    </row>
    <row r="17674" spans="1:17" ht="15" x14ac:dyDescent="0.25">
      <c r="A17674" s="3">
        <f>17667</f>
        <v>17667</v>
      </c>
      <c r="B17674" s="3" t="s">
        <v>17676</v>
      </c>
      <c r="C17674" s="3" t="s">
        <v>10</v>
      </c>
      <c r="D17674" s="3" t="s">
        <v>9</v>
      </c>
      <c r="E17674" s="3">
        <v>0</v>
      </c>
      <c r="F17674" s="3">
        <v>0</v>
      </c>
      <c r="G17674" s="3">
        <v>1</v>
      </c>
      <c r="H17674" s="3">
        <v>0</v>
      </c>
      <c r="I17674" s="3">
        <v>0</v>
      </c>
      <c r="J17674" s="3">
        <v>0</v>
      </c>
      <c r="K17674" s="3">
        <v>0</v>
      </c>
      <c r="L17674" s="3">
        <v>1</v>
      </c>
      <c r="M17674" s="3">
        <v>0</v>
      </c>
      <c r="N17674" s="3">
        <v>0</v>
      </c>
      <c r="O17674" s="3" t="s">
        <v>10</v>
      </c>
      <c r="P17674" s="3" t="s">
        <v>9</v>
      </c>
      <c r="Q17674" s="3"/>
    </row>
    <row r="17675" spans="1:17" ht="15" x14ac:dyDescent="0.25">
      <c r="A17675" s="3">
        <f>17668</f>
        <v>17668</v>
      </c>
      <c r="B17675" s="3" t="s">
        <v>17677</v>
      </c>
      <c r="C17675" s="3" t="s">
        <v>10</v>
      </c>
      <c r="D17675" s="3" t="s">
        <v>9</v>
      </c>
      <c r="E17675" s="3">
        <v>0</v>
      </c>
      <c r="F17675" s="3">
        <v>0</v>
      </c>
      <c r="G17675" s="3">
        <v>1</v>
      </c>
      <c r="H17675" s="3">
        <v>0</v>
      </c>
      <c r="I17675" s="3">
        <v>0</v>
      </c>
      <c r="J17675" s="3">
        <v>0</v>
      </c>
      <c r="K17675" s="3">
        <v>0</v>
      </c>
      <c r="L17675" s="3">
        <v>1</v>
      </c>
      <c r="M17675" s="3">
        <v>0</v>
      </c>
      <c r="N17675" s="3">
        <v>0</v>
      </c>
      <c r="O17675" s="3" t="s">
        <v>10</v>
      </c>
      <c r="P17675" s="3" t="s">
        <v>9</v>
      </c>
      <c r="Q17675" s="3"/>
    </row>
    <row r="17676" spans="1:17" ht="15" x14ac:dyDescent="0.25">
      <c r="A17676" s="3">
        <f>17669</f>
        <v>17669</v>
      </c>
      <c r="B17676" s="3" t="s">
        <v>17678</v>
      </c>
      <c r="C17676" s="3" t="s">
        <v>10</v>
      </c>
      <c r="D17676" s="3" t="s">
        <v>9</v>
      </c>
      <c r="E17676" s="3">
        <v>0</v>
      </c>
      <c r="F17676" s="3">
        <v>0</v>
      </c>
      <c r="G17676" s="3">
        <v>1</v>
      </c>
      <c r="H17676" s="3">
        <v>0</v>
      </c>
      <c r="I17676" s="3">
        <v>0</v>
      </c>
      <c r="J17676" s="3">
        <v>0</v>
      </c>
      <c r="K17676" s="3">
        <v>0</v>
      </c>
      <c r="L17676" s="3">
        <v>1</v>
      </c>
      <c r="M17676" s="3">
        <v>0</v>
      </c>
      <c r="N17676" s="3">
        <v>0</v>
      </c>
      <c r="O17676" s="3" t="s">
        <v>10</v>
      </c>
      <c r="P17676" s="3" t="s">
        <v>9</v>
      </c>
      <c r="Q17676" s="3"/>
    </row>
    <row r="17677" spans="1:17" ht="15" x14ac:dyDescent="0.25">
      <c r="A17677" s="3">
        <f>17670</f>
        <v>17670</v>
      </c>
      <c r="B17677" s="3" t="s">
        <v>17679</v>
      </c>
      <c r="C17677" s="3" t="s">
        <v>10</v>
      </c>
      <c r="D17677" s="3" t="s">
        <v>9</v>
      </c>
      <c r="E17677" s="3">
        <v>0</v>
      </c>
      <c r="F17677" s="3">
        <v>0</v>
      </c>
      <c r="G17677" s="3">
        <v>1</v>
      </c>
      <c r="H17677" s="3">
        <v>0</v>
      </c>
      <c r="I17677" s="3">
        <v>0</v>
      </c>
      <c r="J17677" s="3">
        <v>0</v>
      </c>
      <c r="K17677" s="3">
        <v>0</v>
      </c>
      <c r="L17677" s="3">
        <v>1</v>
      </c>
      <c r="M17677" s="3">
        <v>0</v>
      </c>
      <c r="N17677" s="3">
        <v>0</v>
      </c>
      <c r="O17677" s="3" t="s">
        <v>10</v>
      </c>
      <c r="P17677" s="3" t="s">
        <v>9</v>
      </c>
      <c r="Q17677" s="3"/>
    </row>
    <row r="17678" spans="1:17" ht="15" x14ac:dyDescent="0.25">
      <c r="A17678" s="3">
        <f>17671</f>
        <v>17671</v>
      </c>
      <c r="B17678" s="3" t="s">
        <v>17680</v>
      </c>
      <c r="C17678" s="3" t="s">
        <v>10</v>
      </c>
      <c r="D17678" s="3" t="s">
        <v>9</v>
      </c>
      <c r="E17678" s="3">
        <v>0</v>
      </c>
      <c r="F17678" s="3">
        <v>0</v>
      </c>
      <c r="G17678" s="3">
        <v>1</v>
      </c>
      <c r="H17678" s="3">
        <v>0</v>
      </c>
      <c r="I17678" s="3">
        <v>0</v>
      </c>
      <c r="J17678" s="3">
        <v>0</v>
      </c>
      <c r="K17678" s="3">
        <v>0</v>
      </c>
      <c r="L17678" s="3">
        <v>1</v>
      </c>
      <c r="M17678" s="3">
        <v>0</v>
      </c>
      <c r="N17678" s="3">
        <v>0</v>
      </c>
      <c r="O17678" s="3" t="s">
        <v>10</v>
      </c>
      <c r="P17678" s="3" t="s">
        <v>9</v>
      </c>
      <c r="Q17678" s="3"/>
    </row>
    <row r="17679" spans="1:17" ht="15" x14ac:dyDescent="0.25">
      <c r="A17679" s="3">
        <f>17672</f>
        <v>17672</v>
      </c>
      <c r="B17679" s="3" t="s">
        <v>17681</v>
      </c>
      <c r="C17679" s="3" t="s">
        <v>10</v>
      </c>
      <c r="D17679" s="3" t="s">
        <v>9</v>
      </c>
      <c r="E17679" s="3">
        <v>0</v>
      </c>
      <c r="F17679" s="3">
        <v>0</v>
      </c>
      <c r="G17679" s="3">
        <v>1</v>
      </c>
      <c r="H17679" s="3">
        <v>0</v>
      </c>
      <c r="I17679" s="3">
        <v>0</v>
      </c>
      <c r="J17679" s="3">
        <v>0</v>
      </c>
      <c r="K17679" s="3">
        <v>0</v>
      </c>
      <c r="L17679" s="3">
        <v>1</v>
      </c>
      <c r="M17679" s="3">
        <v>0</v>
      </c>
      <c r="N17679" s="3">
        <v>0</v>
      </c>
      <c r="O17679" s="3" t="s">
        <v>10</v>
      </c>
      <c r="P17679" s="3" t="s">
        <v>9</v>
      </c>
      <c r="Q17679" s="3"/>
    </row>
    <row r="17680" spans="1:17" ht="15" x14ac:dyDescent="0.25">
      <c r="A17680" s="3">
        <f>17673</f>
        <v>17673</v>
      </c>
      <c r="B17680" s="3" t="s">
        <v>17682</v>
      </c>
      <c r="C17680" s="3" t="s">
        <v>10</v>
      </c>
      <c r="D17680" s="3" t="s">
        <v>9</v>
      </c>
      <c r="E17680" s="3">
        <v>0</v>
      </c>
      <c r="F17680" s="3">
        <v>0</v>
      </c>
      <c r="G17680" s="3">
        <v>1</v>
      </c>
      <c r="H17680" s="3">
        <v>0</v>
      </c>
      <c r="I17680" s="3">
        <v>0</v>
      </c>
      <c r="J17680" s="3">
        <v>0</v>
      </c>
      <c r="K17680" s="3">
        <v>0</v>
      </c>
      <c r="L17680" s="3">
        <v>1</v>
      </c>
      <c r="M17680" s="3">
        <v>0</v>
      </c>
      <c r="N17680" s="3">
        <v>0</v>
      </c>
      <c r="O17680" s="3" t="s">
        <v>10</v>
      </c>
      <c r="P17680" s="3" t="s">
        <v>9</v>
      </c>
      <c r="Q17680" s="3"/>
    </row>
    <row r="17681" spans="1:17" ht="15" x14ac:dyDescent="0.25">
      <c r="A17681" s="3">
        <f>17674</f>
        <v>17674</v>
      </c>
      <c r="B17681" s="3" t="s">
        <v>17683</v>
      </c>
      <c r="C17681" s="3" t="s">
        <v>10</v>
      </c>
      <c r="D17681" s="3" t="s">
        <v>9</v>
      </c>
      <c r="E17681" s="3">
        <v>0</v>
      </c>
      <c r="F17681" s="3">
        <v>0</v>
      </c>
      <c r="G17681" s="3">
        <v>1</v>
      </c>
      <c r="H17681" s="3">
        <v>0</v>
      </c>
      <c r="I17681" s="3">
        <v>0</v>
      </c>
      <c r="J17681" s="3">
        <v>0</v>
      </c>
      <c r="K17681" s="3">
        <v>0</v>
      </c>
      <c r="L17681" s="3">
        <v>1</v>
      </c>
      <c r="M17681" s="3">
        <v>0</v>
      </c>
      <c r="N17681" s="3">
        <v>0</v>
      </c>
      <c r="O17681" s="3" t="s">
        <v>10</v>
      </c>
      <c r="P17681" s="3" t="s">
        <v>9</v>
      </c>
      <c r="Q17681" s="3"/>
    </row>
    <row r="17682" spans="1:17" ht="15" x14ac:dyDescent="0.25">
      <c r="A17682" s="3">
        <f>17675</f>
        <v>17675</v>
      </c>
      <c r="B17682" s="3" t="s">
        <v>17684</v>
      </c>
      <c r="C17682" s="3" t="s">
        <v>10</v>
      </c>
      <c r="D17682" s="3" t="s">
        <v>9</v>
      </c>
      <c r="E17682" s="3">
        <v>0</v>
      </c>
      <c r="F17682" s="3">
        <v>0</v>
      </c>
      <c r="G17682" s="3">
        <v>1</v>
      </c>
      <c r="H17682" s="3">
        <v>0</v>
      </c>
      <c r="I17682" s="3">
        <v>0</v>
      </c>
      <c r="J17682" s="3">
        <v>0</v>
      </c>
      <c r="K17682" s="3">
        <v>0</v>
      </c>
      <c r="L17682" s="3">
        <v>1</v>
      </c>
      <c r="M17682" s="3">
        <v>0</v>
      </c>
      <c r="N17682" s="3">
        <v>0</v>
      </c>
      <c r="O17682" s="3" t="s">
        <v>10</v>
      </c>
      <c r="P17682" s="3" t="s">
        <v>9</v>
      </c>
      <c r="Q17682" s="3"/>
    </row>
    <row r="17683" spans="1:17" ht="15" x14ac:dyDescent="0.25">
      <c r="A17683" s="3">
        <f>17676</f>
        <v>17676</v>
      </c>
      <c r="B17683" s="3" t="s">
        <v>17685</v>
      </c>
      <c r="C17683" s="3" t="s">
        <v>10</v>
      </c>
      <c r="D17683" s="3" t="s">
        <v>9</v>
      </c>
      <c r="E17683" s="3">
        <v>0</v>
      </c>
      <c r="F17683" s="3">
        <v>0</v>
      </c>
      <c r="G17683" s="3">
        <v>1</v>
      </c>
      <c r="H17683" s="3">
        <v>0</v>
      </c>
      <c r="I17683" s="3">
        <v>0</v>
      </c>
      <c r="J17683" s="3">
        <v>0</v>
      </c>
      <c r="K17683" s="3">
        <v>0</v>
      </c>
      <c r="L17683" s="3">
        <v>1</v>
      </c>
      <c r="M17683" s="3">
        <v>0</v>
      </c>
      <c r="N17683" s="3">
        <v>0</v>
      </c>
      <c r="O17683" s="3" t="s">
        <v>10</v>
      </c>
      <c r="P17683" s="3" t="s">
        <v>9</v>
      </c>
      <c r="Q17683" s="3"/>
    </row>
    <row r="17684" spans="1:17" ht="15" x14ac:dyDescent="0.25">
      <c r="A17684" s="3">
        <f>17677</f>
        <v>17677</v>
      </c>
      <c r="B17684" s="3" t="s">
        <v>17686</v>
      </c>
      <c r="C17684" s="3" t="s">
        <v>10</v>
      </c>
      <c r="D17684" s="3" t="s">
        <v>9</v>
      </c>
      <c r="E17684" s="3">
        <v>0</v>
      </c>
      <c r="F17684" s="3">
        <v>0</v>
      </c>
      <c r="G17684" s="3">
        <v>1</v>
      </c>
      <c r="H17684" s="3">
        <v>0</v>
      </c>
      <c r="I17684" s="3">
        <v>0</v>
      </c>
      <c r="J17684" s="3">
        <v>0</v>
      </c>
      <c r="K17684" s="3">
        <v>0</v>
      </c>
      <c r="L17684" s="3">
        <v>1</v>
      </c>
      <c r="M17684" s="3">
        <v>0</v>
      </c>
      <c r="N17684" s="3">
        <v>0</v>
      </c>
      <c r="O17684" s="3" t="s">
        <v>10</v>
      </c>
      <c r="P17684" s="3" t="s">
        <v>9</v>
      </c>
      <c r="Q17684" s="3"/>
    </row>
    <row r="17685" spans="1:17" ht="15" x14ac:dyDescent="0.25">
      <c r="A17685" s="3">
        <f>17678</f>
        <v>17678</v>
      </c>
      <c r="B17685" s="3" t="s">
        <v>17687</v>
      </c>
      <c r="C17685" s="3" t="s">
        <v>10</v>
      </c>
      <c r="D17685" s="3" t="s">
        <v>9</v>
      </c>
      <c r="E17685" s="3">
        <v>0</v>
      </c>
      <c r="F17685" s="3">
        <v>0</v>
      </c>
      <c r="G17685" s="3">
        <v>1</v>
      </c>
      <c r="H17685" s="3">
        <v>0</v>
      </c>
      <c r="I17685" s="3">
        <v>0</v>
      </c>
      <c r="J17685" s="3">
        <v>0</v>
      </c>
      <c r="K17685" s="3">
        <v>0</v>
      </c>
      <c r="L17685" s="3">
        <v>1</v>
      </c>
      <c r="M17685" s="3">
        <v>0</v>
      </c>
      <c r="N17685" s="3">
        <v>0</v>
      </c>
      <c r="O17685" s="3" t="s">
        <v>10</v>
      </c>
      <c r="P17685" s="3" t="s">
        <v>9</v>
      </c>
      <c r="Q17685" s="3"/>
    </row>
    <row r="17686" spans="1:17" ht="15" x14ac:dyDescent="0.25">
      <c r="A17686" s="3">
        <f>17679</f>
        <v>17679</v>
      </c>
      <c r="B17686" s="3" t="s">
        <v>17688</v>
      </c>
      <c r="C17686" s="3" t="s">
        <v>10</v>
      </c>
      <c r="D17686" s="3" t="s">
        <v>9</v>
      </c>
      <c r="E17686" s="3">
        <v>0</v>
      </c>
      <c r="F17686" s="3">
        <v>0</v>
      </c>
      <c r="G17686" s="3">
        <v>1</v>
      </c>
      <c r="H17686" s="3">
        <v>0</v>
      </c>
      <c r="I17686" s="3">
        <v>0</v>
      </c>
      <c r="J17686" s="3">
        <v>0</v>
      </c>
      <c r="K17686" s="3">
        <v>0</v>
      </c>
      <c r="L17686" s="3">
        <v>1</v>
      </c>
      <c r="M17686" s="3">
        <v>0</v>
      </c>
      <c r="N17686" s="3">
        <v>0</v>
      </c>
      <c r="O17686" s="3" t="s">
        <v>10</v>
      </c>
      <c r="P17686" s="3" t="s">
        <v>9</v>
      </c>
      <c r="Q17686" s="3"/>
    </row>
    <row r="17687" spans="1:17" ht="15" x14ac:dyDescent="0.25">
      <c r="A17687" s="3">
        <f>17680</f>
        <v>17680</v>
      </c>
      <c r="B17687" s="3" t="s">
        <v>17689</v>
      </c>
      <c r="C17687" s="3" t="s">
        <v>10</v>
      </c>
      <c r="D17687" s="3" t="s">
        <v>9</v>
      </c>
      <c r="E17687" s="3">
        <v>0</v>
      </c>
      <c r="F17687" s="3">
        <v>0</v>
      </c>
      <c r="G17687" s="3">
        <v>1</v>
      </c>
      <c r="H17687" s="3">
        <v>0</v>
      </c>
      <c r="I17687" s="3">
        <v>0</v>
      </c>
      <c r="J17687" s="3">
        <v>0</v>
      </c>
      <c r="K17687" s="3">
        <v>0</v>
      </c>
      <c r="L17687" s="3">
        <v>1</v>
      </c>
      <c r="M17687" s="3">
        <v>0</v>
      </c>
      <c r="N17687" s="3">
        <v>0</v>
      </c>
      <c r="O17687" s="3" t="s">
        <v>10</v>
      </c>
      <c r="P17687" s="3" t="s">
        <v>9</v>
      </c>
      <c r="Q17687" s="3"/>
    </row>
    <row r="17688" spans="1:17" ht="15" x14ac:dyDescent="0.25">
      <c r="A17688" s="3">
        <f>17681</f>
        <v>17681</v>
      </c>
      <c r="B17688" s="3" t="s">
        <v>17690</v>
      </c>
      <c r="C17688" s="3" t="s">
        <v>10</v>
      </c>
      <c r="D17688" s="3" t="s">
        <v>9</v>
      </c>
      <c r="E17688" s="3">
        <v>0</v>
      </c>
      <c r="F17688" s="3">
        <v>0</v>
      </c>
      <c r="G17688" s="3">
        <v>1</v>
      </c>
      <c r="H17688" s="3">
        <v>0</v>
      </c>
      <c r="I17688" s="3">
        <v>0</v>
      </c>
      <c r="J17688" s="3">
        <v>0</v>
      </c>
      <c r="K17688" s="3">
        <v>0</v>
      </c>
      <c r="L17688" s="3">
        <v>1</v>
      </c>
      <c r="M17688" s="3">
        <v>0</v>
      </c>
      <c r="N17688" s="3">
        <v>0</v>
      </c>
      <c r="O17688" s="3" t="s">
        <v>10</v>
      </c>
      <c r="P17688" s="3" t="s">
        <v>9</v>
      </c>
      <c r="Q17688" s="3"/>
    </row>
    <row r="17689" spans="1:17" ht="15" x14ac:dyDescent="0.25">
      <c r="A17689" s="3">
        <f>17682</f>
        <v>17682</v>
      </c>
      <c r="B17689" s="3" t="s">
        <v>17691</v>
      </c>
      <c r="C17689" s="3" t="s">
        <v>10</v>
      </c>
      <c r="D17689" s="3" t="s">
        <v>9</v>
      </c>
      <c r="E17689" s="3">
        <v>0</v>
      </c>
      <c r="F17689" s="3">
        <v>0</v>
      </c>
      <c r="G17689" s="3">
        <v>1</v>
      </c>
      <c r="H17689" s="3">
        <v>0</v>
      </c>
      <c r="I17689" s="3">
        <v>0</v>
      </c>
      <c r="J17689" s="3">
        <v>0</v>
      </c>
      <c r="K17689" s="3">
        <v>0</v>
      </c>
      <c r="L17689" s="3">
        <v>1</v>
      </c>
      <c r="M17689" s="3">
        <v>0</v>
      </c>
      <c r="N17689" s="3">
        <v>0</v>
      </c>
      <c r="O17689" s="3" t="s">
        <v>10</v>
      </c>
      <c r="P17689" s="3" t="s">
        <v>9</v>
      </c>
      <c r="Q17689" s="3"/>
    </row>
    <row r="17690" spans="1:17" ht="15" x14ac:dyDescent="0.25">
      <c r="A17690" s="3">
        <f>17683</f>
        <v>17683</v>
      </c>
      <c r="B17690" s="3" t="s">
        <v>17692</v>
      </c>
      <c r="C17690" s="3" t="s">
        <v>10</v>
      </c>
      <c r="D17690" s="3" t="s">
        <v>9</v>
      </c>
      <c r="E17690" s="3">
        <v>0</v>
      </c>
      <c r="F17690" s="3">
        <v>0</v>
      </c>
      <c r="G17690" s="3">
        <v>1</v>
      </c>
      <c r="H17690" s="3">
        <v>0</v>
      </c>
      <c r="I17690" s="3">
        <v>0</v>
      </c>
      <c r="J17690" s="3">
        <v>0</v>
      </c>
      <c r="K17690" s="3">
        <v>0</v>
      </c>
      <c r="L17690" s="3">
        <v>1</v>
      </c>
      <c r="M17690" s="3">
        <v>0</v>
      </c>
      <c r="N17690" s="3">
        <v>0</v>
      </c>
      <c r="O17690" s="3" t="s">
        <v>10</v>
      </c>
      <c r="P17690" s="3" t="s">
        <v>9</v>
      </c>
      <c r="Q17690" s="3"/>
    </row>
    <row r="17691" spans="1:17" ht="15" x14ac:dyDescent="0.25">
      <c r="A17691" s="3">
        <f>17684</f>
        <v>17684</v>
      </c>
      <c r="B17691" s="3" t="s">
        <v>17693</v>
      </c>
      <c r="C17691" s="3" t="s">
        <v>10</v>
      </c>
      <c r="D17691" s="3" t="s">
        <v>9</v>
      </c>
      <c r="E17691" s="3">
        <v>0</v>
      </c>
      <c r="F17691" s="3">
        <v>0</v>
      </c>
      <c r="G17691" s="3">
        <v>1</v>
      </c>
      <c r="H17691" s="3">
        <v>0</v>
      </c>
      <c r="I17691" s="3">
        <v>0</v>
      </c>
      <c r="J17691" s="3">
        <v>0</v>
      </c>
      <c r="K17691" s="3">
        <v>0</v>
      </c>
      <c r="L17691" s="3">
        <v>1</v>
      </c>
      <c r="M17691" s="3">
        <v>0</v>
      </c>
      <c r="N17691" s="3">
        <v>0</v>
      </c>
      <c r="O17691" s="3" t="s">
        <v>10</v>
      </c>
      <c r="P17691" s="3" t="s">
        <v>9</v>
      </c>
      <c r="Q17691" s="3"/>
    </row>
    <row r="17692" spans="1:17" ht="15" x14ac:dyDescent="0.25">
      <c r="A17692" s="3">
        <f>17685</f>
        <v>17685</v>
      </c>
      <c r="B17692" s="3" t="s">
        <v>17694</v>
      </c>
      <c r="C17692" s="3" t="s">
        <v>10</v>
      </c>
      <c r="D17692" s="3" t="s">
        <v>9</v>
      </c>
      <c r="E17692" s="3">
        <v>0</v>
      </c>
      <c r="F17692" s="3">
        <v>0</v>
      </c>
      <c r="G17692" s="3">
        <v>1</v>
      </c>
      <c r="H17692" s="3">
        <v>0</v>
      </c>
      <c r="I17692" s="3">
        <v>0</v>
      </c>
      <c r="J17692" s="3">
        <v>0</v>
      </c>
      <c r="K17692" s="3">
        <v>0</v>
      </c>
      <c r="L17692" s="3">
        <v>1</v>
      </c>
      <c r="M17692" s="3">
        <v>0</v>
      </c>
      <c r="N17692" s="3">
        <v>0</v>
      </c>
      <c r="O17692" s="3" t="s">
        <v>10</v>
      </c>
      <c r="P17692" s="3" t="s">
        <v>9</v>
      </c>
      <c r="Q17692" s="3"/>
    </row>
    <row r="17693" spans="1:17" ht="15" x14ac:dyDescent="0.25">
      <c r="A17693" s="3">
        <f>17686</f>
        <v>17686</v>
      </c>
      <c r="B17693" s="3" t="s">
        <v>17695</v>
      </c>
      <c r="C17693" s="3" t="s">
        <v>10</v>
      </c>
      <c r="D17693" s="3" t="s">
        <v>9</v>
      </c>
      <c r="E17693" s="3">
        <v>0</v>
      </c>
      <c r="F17693" s="3">
        <v>0</v>
      </c>
      <c r="G17693" s="3">
        <v>1</v>
      </c>
      <c r="H17693" s="3">
        <v>0</v>
      </c>
      <c r="I17693" s="3">
        <v>0</v>
      </c>
      <c r="J17693" s="3">
        <v>0</v>
      </c>
      <c r="K17693" s="3">
        <v>0</v>
      </c>
      <c r="L17693" s="3">
        <v>1</v>
      </c>
      <c r="M17693" s="3">
        <v>0</v>
      </c>
      <c r="N17693" s="3">
        <v>0</v>
      </c>
      <c r="O17693" s="3" t="s">
        <v>10</v>
      </c>
      <c r="P17693" s="3" t="s">
        <v>9</v>
      </c>
      <c r="Q17693" s="3"/>
    </row>
    <row r="17694" spans="1:17" ht="15" x14ac:dyDescent="0.25">
      <c r="A17694" s="3">
        <f>17687</f>
        <v>17687</v>
      </c>
      <c r="B17694" s="3" t="s">
        <v>17696</v>
      </c>
      <c r="C17694" s="3" t="s">
        <v>10</v>
      </c>
      <c r="D17694" s="3" t="s">
        <v>9</v>
      </c>
      <c r="E17694" s="3">
        <v>0</v>
      </c>
      <c r="F17694" s="3">
        <v>0</v>
      </c>
      <c r="G17694" s="3">
        <v>1</v>
      </c>
      <c r="H17694" s="3">
        <v>0</v>
      </c>
      <c r="I17694" s="3">
        <v>0</v>
      </c>
      <c r="J17694" s="3">
        <v>0</v>
      </c>
      <c r="K17694" s="3">
        <v>0</v>
      </c>
      <c r="L17694" s="3">
        <v>1</v>
      </c>
      <c r="M17694" s="3">
        <v>0</v>
      </c>
      <c r="N17694" s="3">
        <v>0</v>
      </c>
      <c r="O17694" s="3" t="s">
        <v>10</v>
      </c>
      <c r="P17694" s="3" t="s">
        <v>9</v>
      </c>
      <c r="Q17694" s="3"/>
    </row>
    <row r="17695" spans="1:17" ht="15" x14ac:dyDescent="0.25">
      <c r="A17695" s="3">
        <f>17688</f>
        <v>17688</v>
      </c>
      <c r="B17695" s="3" t="s">
        <v>17697</v>
      </c>
      <c r="C17695" s="3" t="s">
        <v>10</v>
      </c>
      <c r="D17695" s="3" t="s">
        <v>9</v>
      </c>
      <c r="E17695" s="3">
        <v>0</v>
      </c>
      <c r="F17695" s="3">
        <v>0</v>
      </c>
      <c r="G17695" s="3">
        <v>1</v>
      </c>
      <c r="H17695" s="3">
        <v>0</v>
      </c>
      <c r="I17695" s="3">
        <v>0</v>
      </c>
      <c r="J17695" s="3">
        <v>0</v>
      </c>
      <c r="K17695" s="3">
        <v>0</v>
      </c>
      <c r="L17695" s="3">
        <v>1</v>
      </c>
      <c r="M17695" s="3">
        <v>0</v>
      </c>
      <c r="N17695" s="3">
        <v>0</v>
      </c>
      <c r="O17695" s="3" t="s">
        <v>10</v>
      </c>
      <c r="P17695" s="3" t="s">
        <v>9</v>
      </c>
      <c r="Q17695" s="3"/>
    </row>
    <row r="17696" spans="1:17" ht="15" x14ac:dyDescent="0.25">
      <c r="A17696" s="3">
        <f>17689</f>
        <v>17689</v>
      </c>
      <c r="B17696" s="3" t="s">
        <v>17698</v>
      </c>
      <c r="C17696" s="3" t="s">
        <v>10</v>
      </c>
      <c r="D17696" s="3" t="s">
        <v>9</v>
      </c>
      <c r="E17696" s="3">
        <v>0</v>
      </c>
      <c r="F17696" s="3">
        <v>0</v>
      </c>
      <c r="G17696" s="3">
        <v>1</v>
      </c>
      <c r="H17696" s="3">
        <v>0</v>
      </c>
      <c r="I17696" s="3">
        <v>0</v>
      </c>
      <c r="J17696" s="3">
        <v>0</v>
      </c>
      <c r="K17696" s="3">
        <v>0</v>
      </c>
      <c r="L17696" s="3">
        <v>1</v>
      </c>
      <c r="M17696" s="3">
        <v>0</v>
      </c>
      <c r="N17696" s="3">
        <v>0</v>
      </c>
      <c r="O17696" s="3" t="s">
        <v>10</v>
      </c>
      <c r="P17696" s="3" t="s">
        <v>9</v>
      </c>
      <c r="Q17696" s="3"/>
    </row>
    <row r="17697" spans="1:17" ht="15" x14ac:dyDescent="0.25">
      <c r="A17697" s="3">
        <f>17690</f>
        <v>17690</v>
      </c>
      <c r="B17697" s="3" t="s">
        <v>17699</v>
      </c>
      <c r="C17697" s="3" t="s">
        <v>10</v>
      </c>
      <c r="D17697" s="3" t="s">
        <v>9</v>
      </c>
      <c r="E17697" s="3">
        <v>0</v>
      </c>
      <c r="F17697" s="3">
        <v>0</v>
      </c>
      <c r="G17697" s="3">
        <v>1</v>
      </c>
      <c r="H17697" s="3">
        <v>0</v>
      </c>
      <c r="I17697" s="3">
        <v>0</v>
      </c>
      <c r="J17697" s="3">
        <v>0</v>
      </c>
      <c r="K17697" s="3">
        <v>0</v>
      </c>
      <c r="L17697" s="3">
        <v>1</v>
      </c>
      <c r="M17697" s="3">
        <v>0</v>
      </c>
      <c r="N17697" s="3">
        <v>0</v>
      </c>
      <c r="O17697" s="3" t="s">
        <v>10</v>
      </c>
      <c r="P17697" s="3" t="s">
        <v>9</v>
      </c>
      <c r="Q17697" s="3"/>
    </row>
    <row r="17698" spans="1:17" ht="15" x14ac:dyDescent="0.25">
      <c r="A17698" s="3">
        <f>17691</f>
        <v>17691</v>
      </c>
      <c r="B17698" s="3" t="s">
        <v>17700</v>
      </c>
      <c r="C17698" s="3" t="s">
        <v>10</v>
      </c>
      <c r="D17698" s="3" t="s">
        <v>9</v>
      </c>
      <c r="E17698" s="3">
        <v>0</v>
      </c>
      <c r="F17698" s="3">
        <v>0</v>
      </c>
      <c r="G17698" s="3">
        <v>1</v>
      </c>
      <c r="H17698" s="3">
        <v>0</v>
      </c>
      <c r="I17698" s="3">
        <v>0</v>
      </c>
      <c r="J17698" s="3">
        <v>0</v>
      </c>
      <c r="K17698" s="3">
        <v>0</v>
      </c>
      <c r="L17698" s="3">
        <v>1</v>
      </c>
      <c r="M17698" s="3">
        <v>0</v>
      </c>
      <c r="N17698" s="3">
        <v>0</v>
      </c>
      <c r="O17698" s="3" t="s">
        <v>10</v>
      </c>
      <c r="P17698" s="3" t="s">
        <v>9</v>
      </c>
      <c r="Q17698" s="3"/>
    </row>
    <row r="17699" spans="1:17" ht="15" x14ac:dyDescent="0.25">
      <c r="A17699" s="3">
        <f>17692</f>
        <v>17692</v>
      </c>
      <c r="B17699" s="3" t="s">
        <v>17701</v>
      </c>
      <c r="C17699" s="3" t="s">
        <v>10</v>
      </c>
      <c r="D17699" s="3" t="s">
        <v>9</v>
      </c>
      <c r="E17699" s="3">
        <v>0</v>
      </c>
      <c r="F17699" s="3">
        <v>0</v>
      </c>
      <c r="G17699" s="3">
        <v>1</v>
      </c>
      <c r="H17699" s="3">
        <v>0</v>
      </c>
      <c r="I17699" s="3">
        <v>0</v>
      </c>
      <c r="J17699" s="3">
        <v>0</v>
      </c>
      <c r="K17699" s="3">
        <v>0</v>
      </c>
      <c r="L17699" s="3">
        <v>1</v>
      </c>
      <c r="M17699" s="3">
        <v>0</v>
      </c>
      <c r="N17699" s="3">
        <v>0</v>
      </c>
      <c r="O17699" s="3" t="s">
        <v>10</v>
      </c>
      <c r="P17699" s="3" t="s">
        <v>9</v>
      </c>
      <c r="Q17699" s="3"/>
    </row>
    <row r="17700" spans="1:17" ht="15" x14ac:dyDescent="0.25">
      <c r="A17700" s="3">
        <f>17693</f>
        <v>17693</v>
      </c>
      <c r="B17700" s="3" t="s">
        <v>17702</v>
      </c>
      <c r="C17700" s="3" t="s">
        <v>9</v>
      </c>
      <c r="D17700" s="3" t="s">
        <v>9</v>
      </c>
      <c r="E17700" s="3">
        <v>0</v>
      </c>
      <c r="F17700" s="3">
        <v>0</v>
      </c>
      <c r="G17700" s="3">
        <v>0</v>
      </c>
      <c r="H17700" s="3">
        <v>0</v>
      </c>
      <c r="I17700" s="3">
        <v>0</v>
      </c>
      <c r="J17700" s="3">
        <v>0</v>
      </c>
      <c r="K17700" s="3">
        <v>0</v>
      </c>
      <c r="L17700" s="3">
        <v>0</v>
      </c>
      <c r="M17700" s="3">
        <v>0</v>
      </c>
      <c r="N17700" s="3">
        <v>0</v>
      </c>
      <c r="O17700" s="3" t="s">
        <v>9</v>
      </c>
      <c r="P17700" s="3" t="s">
        <v>9</v>
      </c>
      <c r="Q17700" s="3"/>
    </row>
    <row r="17701" spans="1:17" ht="15" x14ac:dyDescent="0.25">
      <c r="A17701" s="3">
        <f>17694</f>
        <v>17694</v>
      </c>
      <c r="B17701" s="3" t="s">
        <v>17703</v>
      </c>
      <c r="C17701" s="3" t="s">
        <v>9</v>
      </c>
      <c r="D17701" s="3" t="s">
        <v>9</v>
      </c>
      <c r="E17701" s="3">
        <v>0</v>
      </c>
      <c r="F17701" s="3">
        <v>0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  <c r="L17701" s="3">
        <v>0</v>
      </c>
      <c r="M17701" s="3">
        <v>0</v>
      </c>
      <c r="N17701" s="3">
        <v>0</v>
      </c>
      <c r="O17701" s="3" t="s">
        <v>9</v>
      </c>
      <c r="P17701" s="3" t="s">
        <v>9</v>
      </c>
      <c r="Q17701" s="3"/>
    </row>
    <row r="17702" spans="1:17" ht="15" x14ac:dyDescent="0.25">
      <c r="A17702" s="3">
        <f>17695</f>
        <v>17695</v>
      </c>
      <c r="B17702" s="3" t="s">
        <v>17704</v>
      </c>
      <c r="C17702" s="3" t="s">
        <v>9</v>
      </c>
      <c r="D17702" s="3" t="s">
        <v>9</v>
      </c>
      <c r="E17702" s="3">
        <v>0</v>
      </c>
      <c r="F17702" s="3">
        <v>0</v>
      </c>
      <c r="G17702" s="3">
        <v>0</v>
      </c>
      <c r="H17702" s="3">
        <v>0</v>
      </c>
      <c r="I17702" s="3">
        <v>0</v>
      </c>
      <c r="J17702" s="3">
        <v>0</v>
      </c>
      <c r="K17702" s="3">
        <v>0</v>
      </c>
      <c r="L17702" s="3">
        <v>0</v>
      </c>
      <c r="M17702" s="3">
        <v>0</v>
      </c>
      <c r="N17702" s="3">
        <v>0</v>
      </c>
      <c r="O17702" s="3" t="s">
        <v>9</v>
      </c>
      <c r="P17702" s="3" t="s">
        <v>9</v>
      </c>
      <c r="Q17702" s="3"/>
    </row>
    <row r="17703" spans="1:17" ht="15" x14ac:dyDescent="0.25">
      <c r="A17703" s="3">
        <f>17696</f>
        <v>17696</v>
      </c>
      <c r="B17703" s="3" t="s">
        <v>17705</v>
      </c>
      <c r="C17703" s="3" t="s">
        <v>9</v>
      </c>
      <c r="D17703" s="3" t="s">
        <v>9</v>
      </c>
      <c r="E17703" s="3">
        <v>0</v>
      </c>
      <c r="F17703" s="3">
        <v>0</v>
      </c>
      <c r="G17703" s="3">
        <v>0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3">
        <v>0</v>
      </c>
      <c r="N17703" s="3">
        <v>0</v>
      </c>
      <c r="O17703" s="3" t="s">
        <v>9</v>
      </c>
      <c r="P17703" s="3" t="s">
        <v>9</v>
      </c>
      <c r="Q17703" s="3"/>
    </row>
    <row r="17704" spans="1:17" ht="15" x14ac:dyDescent="0.25">
      <c r="A17704" s="3">
        <f>17697</f>
        <v>17697</v>
      </c>
      <c r="B17704" s="3" t="s">
        <v>17706</v>
      </c>
      <c r="C17704" s="3" t="s">
        <v>9</v>
      </c>
      <c r="D17704" s="3" t="s">
        <v>9</v>
      </c>
      <c r="E17704" s="3">
        <v>0</v>
      </c>
      <c r="F17704" s="3">
        <v>0</v>
      </c>
      <c r="G17704" s="3">
        <v>0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3">
        <v>0</v>
      </c>
      <c r="N17704" s="3">
        <v>0</v>
      </c>
      <c r="O17704" s="3" t="s">
        <v>9</v>
      </c>
      <c r="P17704" s="3" t="s">
        <v>9</v>
      </c>
      <c r="Q17704" s="3"/>
    </row>
    <row r="17705" spans="1:17" ht="15" x14ac:dyDescent="0.25">
      <c r="A17705" s="3">
        <f>17698</f>
        <v>17698</v>
      </c>
      <c r="B17705" s="3" t="s">
        <v>17707</v>
      </c>
      <c r="C17705" s="3" t="s">
        <v>9</v>
      </c>
      <c r="D17705" s="3" t="s">
        <v>9</v>
      </c>
      <c r="E17705" s="3">
        <v>0</v>
      </c>
      <c r="F17705" s="3">
        <v>0</v>
      </c>
      <c r="G17705" s="3">
        <v>0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3">
        <v>0</v>
      </c>
      <c r="N17705" s="3">
        <v>0</v>
      </c>
      <c r="O17705" s="3" t="s">
        <v>9</v>
      </c>
      <c r="P17705" s="3" t="s">
        <v>9</v>
      </c>
      <c r="Q17705" s="3"/>
    </row>
    <row r="17706" spans="1:17" ht="15" x14ac:dyDescent="0.25">
      <c r="A17706" s="3">
        <f>17699</f>
        <v>17699</v>
      </c>
      <c r="B17706" s="3" t="s">
        <v>17708</v>
      </c>
      <c r="C17706" s="3" t="s">
        <v>9</v>
      </c>
      <c r="D17706" s="3" t="s">
        <v>9</v>
      </c>
      <c r="E17706" s="3">
        <v>0</v>
      </c>
      <c r="F17706" s="3">
        <v>0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3">
        <v>0</v>
      </c>
      <c r="N17706" s="3">
        <v>0</v>
      </c>
      <c r="O17706" s="3" t="s">
        <v>9</v>
      </c>
      <c r="P17706" s="3" t="s">
        <v>9</v>
      </c>
      <c r="Q17706" s="3"/>
    </row>
    <row r="17707" spans="1:17" ht="15" x14ac:dyDescent="0.25">
      <c r="A17707" s="3">
        <f>17700</f>
        <v>17700</v>
      </c>
      <c r="B17707" s="3" t="s">
        <v>17709</v>
      </c>
      <c r="C17707" s="3" t="s">
        <v>9</v>
      </c>
      <c r="D17707" s="3" t="s">
        <v>9</v>
      </c>
      <c r="E17707" s="3">
        <v>0</v>
      </c>
      <c r="F17707" s="3">
        <v>0</v>
      </c>
      <c r="G17707" s="3">
        <v>0</v>
      </c>
      <c r="H17707" s="3">
        <v>0</v>
      </c>
      <c r="I17707" s="3">
        <v>0</v>
      </c>
      <c r="J17707" s="3">
        <v>0</v>
      </c>
      <c r="K17707" s="3">
        <v>0</v>
      </c>
      <c r="L17707" s="3">
        <v>0</v>
      </c>
      <c r="M17707" s="3">
        <v>0</v>
      </c>
      <c r="N17707" s="3">
        <v>0</v>
      </c>
      <c r="O17707" s="3" t="s">
        <v>9</v>
      </c>
      <c r="P17707" s="3" t="s">
        <v>9</v>
      </c>
      <c r="Q17707" s="3"/>
    </row>
    <row r="17708" spans="1:17" ht="15" x14ac:dyDescent="0.25">
      <c r="A17708" s="3">
        <f>17701</f>
        <v>17701</v>
      </c>
      <c r="B17708" s="3" t="s">
        <v>17710</v>
      </c>
      <c r="C17708" s="3" t="s">
        <v>9</v>
      </c>
      <c r="D17708" s="3" t="s">
        <v>9</v>
      </c>
      <c r="E17708" s="3">
        <v>0</v>
      </c>
      <c r="F17708" s="3">
        <v>0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3">
        <v>0</v>
      </c>
      <c r="N17708" s="3">
        <v>0</v>
      </c>
      <c r="O17708" s="3" t="s">
        <v>9</v>
      </c>
      <c r="P17708" s="3" t="s">
        <v>9</v>
      </c>
      <c r="Q17708" s="3"/>
    </row>
    <row r="17709" spans="1:17" ht="15" x14ac:dyDescent="0.25">
      <c r="A17709" s="3">
        <f>17702</f>
        <v>17702</v>
      </c>
      <c r="B17709" s="3" t="s">
        <v>17711</v>
      </c>
      <c r="C17709" s="3" t="s">
        <v>9</v>
      </c>
      <c r="D17709" s="3" t="s">
        <v>9</v>
      </c>
      <c r="E17709" s="3">
        <v>0</v>
      </c>
      <c r="F17709" s="3">
        <v>0</v>
      </c>
      <c r="G17709" s="3">
        <v>0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s="3">
        <v>0</v>
      </c>
      <c r="O17709" s="3" t="s">
        <v>9</v>
      </c>
      <c r="P17709" s="3" t="s">
        <v>9</v>
      </c>
      <c r="Q17709" s="3"/>
    </row>
    <row r="17710" spans="1:17" ht="15" x14ac:dyDescent="0.25">
      <c r="A17710" s="3">
        <f>17703</f>
        <v>17703</v>
      </c>
      <c r="B17710" s="3" t="s">
        <v>17712</v>
      </c>
      <c r="C17710" s="3" t="s">
        <v>9</v>
      </c>
      <c r="D17710" s="3" t="s">
        <v>9</v>
      </c>
      <c r="E17710" s="3">
        <v>0</v>
      </c>
      <c r="F17710" s="3">
        <v>0</v>
      </c>
      <c r="G17710" s="3">
        <v>0</v>
      </c>
      <c r="H17710" s="3">
        <v>0</v>
      </c>
      <c r="I17710" s="3">
        <v>0</v>
      </c>
      <c r="J17710" s="3">
        <v>0</v>
      </c>
      <c r="K17710" s="3">
        <v>0</v>
      </c>
      <c r="L17710" s="3">
        <v>0</v>
      </c>
      <c r="M17710" s="3">
        <v>0</v>
      </c>
      <c r="N17710" s="3">
        <v>0</v>
      </c>
      <c r="O17710" s="3" t="s">
        <v>9</v>
      </c>
      <c r="P17710" s="3" t="s">
        <v>9</v>
      </c>
      <c r="Q17710" s="3"/>
    </row>
    <row r="17711" spans="1:17" ht="15" x14ac:dyDescent="0.25">
      <c r="A17711" s="3">
        <f>17704</f>
        <v>17704</v>
      </c>
      <c r="B17711" s="3" t="s">
        <v>17713</v>
      </c>
      <c r="C17711" s="3" t="s">
        <v>9</v>
      </c>
      <c r="D17711" s="3" t="s">
        <v>9</v>
      </c>
      <c r="E17711" s="3">
        <v>0</v>
      </c>
      <c r="F17711" s="3">
        <v>0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s="3">
        <v>0</v>
      </c>
      <c r="O17711" s="3" t="s">
        <v>9</v>
      </c>
      <c r="P17711" s="3" t="s">
        <v>9</v>
      </c>
      <c r="Q17711" s="3"/>
    </row>
    <row r="17712" spans="1:17" ht="15" x14ac:dyDescent="0.25">
      <c r="A17712" s="3">
        <f>17705</f>
        <v>17705</v>
      </c>
      <c r="B17712" s="3" t="s">
        <v>17714</v>
      </c>
      <c r="C17712" s="3" t="s">
        <v>9</v>
      </c>
      <c r="D17712" s="3" t="s">
        <v>9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 t="s">
        <v>9</v>
      </c>
      <c r="P17712" s="3" t="s">
        <v>9</v>
      </c>
      <c r="Q17712" s="3"/>
    </row>
    <row r="17713" spans="1:17" ht="15" x14ac:dyDescent="0.25">
      <c r="A17713" s="3">
        <f>17706</f>
        <v>17706</v>
      </c>
      <c r="B17713" s="3" t="s">
        <v>17715</v>
      </c>
      <c r="C17713" s="3" t="s">
        <v>9</v>
      </c>
      <c r="D17713" s="3" t="s">
        <v>9</v>
      </c>
      <c r="E17713" s="3">
        <v>0</v>
      </c>
      <c r="F17713" s="3">
        <v>0</v>
      </c>
      <c r="G17713" s="3">
        <v>0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s="3">
        <v>0</v>
      </c>
      <c r="O17713" s="3" t="s">
        <v>9</v>
      </c>
      <c r="P17713" s="3" t="s">
        <v>9</v>
      </c>
      <c r="Q17713" s="3"/>
    </row>
    <row r="17714" spans="1:17" ht="15" x14ac:dyDescent="0.25">
      <c r="A17714" s="3">
        <f>17707</f>
        <v>17707</v>
      </c>
      <c r="B17714" s="3" t="s">
        <v>17716</v>
      </c>
      <c r="C17714" s="3" t="s">
        <v>9</v>
      </c>
      <c r="D17714" s="3" t="s">
        <v>9</v>
      </c>
      <c r="E17714" s="3">
        <v>0</v>
      </c>
      <c r="F17714" s="3">
        <v>0</v>
      </c>
      <c r="G17714" s="3">
        <v>0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3">
        <v>0</v>
      </c>
      <c r="N17714" s="3">
        <v>0</v>
      </c>
      <c r="O17714" s="3" t="s">
        <v>9</v>
      </c>
      <c r="P17714" s="3" t="s">
        <v>9</v>
      </c>
      <c r="Q17714" s="3"/>
    </row>
    <row r="17715" spans="1:17" ht="15" x14ac:dyDescent="0.25">
      <c r="A17715" s="3">
        <f>17708</f>
        <v>17708</v>
      </c>
      <c r="B17715" s="3" t="s">
        <v>17717</v>
      </c>
      <c r="C17715" s="3" t="s">
        <v>9</v>
      </c>
      <c r="D17715" s="3" t="s">
        <v>9</v>
      </c>
      <c r="E17715" s="3">
        <v>0</v>
      </c>
      <c r="F17715" s="3">
        <v>0</v>
      </c>
      <c r="G17715" s="3">
        <v>0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3">
        <v>0</v>
      </c>
      <c r="N17715" s="3">
        <v>0</v>
      </c>
      <c r="O17715" s="3"/>
      <c r="P17715" s="3"/>
      <c r="Q17715" s="3"/>
    </row>
    <row r="17716" spans="1:17" ht="15" x14ac:dyDescent="0.25">
      <c r="A17716" s="3">
        <f>17709</f>
        <v>17709</v>
      </c>
      <c r="B17716" s="3" t="s">
        <v>17718</v>
      </c>
      <c r="C17716" s="3" t="s">
        <v>9</v>
      </c>
      <c r="D17716" s="3" t="s">
        <v>9</v>
      </c>
      <c r="E17716" s="3">
        <v>0</v>
      </c>
      <c r="F17716" s="3">
        <v>0</v>
      </c>
      <c r="G17716" s="3">
        <v>0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3">
        <v>0</v>
      </c>
      <c r="N17716" s="3">
        <v>0</v>
      </c>
      <c r="O17716" s="3"/>
      <c r="P17716" s="3"/>
      <c r="Q17716" s="3"/>
    </row>
    <row r="17717" spans="1:17" ht="15" x14ac:dyDescent="0.25">
      <c r="A17717" s="3">
        <f>17710</f>
        <v>17710</v>
      </c>
      <c r="B17717" s="3" t="s">
        <v>17719</v>
      </c>
      <c r="C17717" s="3" t="s">
        <v>9</v>
      </c>
      <c r="D17717" s="3" t="s">
        <v>10</v>
      </c>
      <c r="E17717" s="3">
        <v>0</v>
      </c>
      <c r="F17717" s="3">
        <v>0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3">
        <v>0</v>
      </c>
      <c r="N17717" s="3">
        <v>0</v>
      </c>
      <c r="O17717" s="3" t="s">
        <v>9</v>
      </c>
      <c r="P17717" s="3" t="s">
        <v>9</v>
      </c>
      <c r="Q17717" s="3"/>
    </row>
    <row r="17718" spans="1:17" ht="15" x14ac:dyDescent="0.25">
      <c r="A17718" s="3">
        <f>17711</f>
        <v>17711</v>
      </c>
      <c r="B17718" s="3" t="s">
        <v>17720</v>
      </c>
      <c r="C17718" s="3" t="s">
        <v>9</v>
      </c>
      <c r="D17718" s="3" t="s">
        <v>10</v>
      </c>
      <c r="E17718" s="3">
        <v>0</v>
      </c>
      <c r="F17718" s="3">
        <v>0</v>
      </c>
      <c r="G17718" s="3">
        <v>0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3">
        <v>0</v>
      </c>
      <c r="N17718" s="3">
        <v>0</v>
      </c>
      <c r="O17718" s="3" t="s">
        <v>9</v>
      </c>
      <c r="P17718" s="3" t="s">
        <v>9</v>
      </c>
      <c r="Q17718" s="3"/>
    </row>
    <row r="17719" spans="1:17" ht="15" x14ac:dyDescent="0.25">
      <c r="A17719" s="3">
        <f>17712</f>
        <v>17712</v>
      </c>
      <c r="B17719" s="3" t="s">
        <v>17721</v>
      </c>
      <c r="C17719" s="3" t="s">
        <v>9</v>
      </c>
      <c r="D17719" s="3" t="s">
        <v>10</v>
      </c>
      <c r="E17719" s="3">
        <v>0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  <c r="L17719" s="3">
        <v>0</v>
      </c>
      <c r="M17719" s="3">
        <v>0</v>
      </c>
      <c r="N17719" s="3">
        <v>0</v>
      </c>
      <c r="O17719" s="3" t="s">
        <v>9</v>
      </c>
      <c r="P17719" s="3" t="s">
        <v>9</v>
      </c>
      <c r="Q17719" s="3"/>
    </row>
    <row r="17720" spans="1:17" ht="15" x14ac:dyDescent="0.25">
      <c r="A17720" s="3">
        <f>17713</f>
        <v>17713</v>
      </c>
      <c r="B17720" s="3" t="s">
        <v>17722</v>
      </c>
      <c r="C17720" s="3" t="s">
        <v>9</v>
      </c>
      <c r="D17720" s="3" t="s">
        <v>10</v>
      </c>
      <c r="E17720" s="3">
        <v>0</v>
      </c>
      <c r="F17720" s="3">
        <v>0</v>
      </c>
      <c r="G17720" s="3">
        <v>0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3">
        <v>0</v>
      </c>
      <c r="N17720" s="3">
        <v>0</v>
      </c>
      <c r="O17720" s="3" t="s">
        <v>9</v>
      </c>
      <c r="P17720" s="3" t="s">
        <v>9</v>
      </c>
      <c r="Q17720" s="3"/>
    </row>
    <row r="17721" spans="1:17" ht="15" x14ac:dyDescent="0.25">
      <c r="A17721" s="3">
        <f>17714</f>
        <v>17714</v>
      </c>
      <c r="B17721" s="3" t="s">
        <v>17723</v>
      </c>
      <c r="C17721" s="3" t="s">
        <v>9</v>
      </c>
      <c r="D17721" s="3" t="s">
        <v>10</v>
      </c>
      <c r="E17721" s="3">
        <v>0</v>
      </c>
      <c r="F17721" s="3">
        <v>0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>
        <v>0</v>
      </c>
      <c r="O17721" s="3" t="s">
        <v>9</v>
      </c>
      <c r="P17721" s="3" t="s">
        <v>9</v>
      </c>
      <c r="Q17721" s="3"/>
    </row>
    <row r="17722" spans="1:17" ht="15" x14ac:dyDescent="0.25">
      <c r="A17722" s="3">
        <f>17715</f>
        <v>17715</v>
      </c>
      <c r="B17722" s="3" t="s">
        <v>17724</v>
      </c>
      <c r="C17722" s="3" t="s">
        <v>9</v>
      </c>
      <c r="D17722" s="3" t="s">
        <v>10</v>
      </c>
      <c r="E17722" s="3">
        <v>0</v>
      </c>
      <c r="F17722" s="3">
        <v>0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3">
        <v>0</v>
      </c>
      <c r="N17722" s="3">
        <v>0</v>
      </c>
      <c r="O17722" s="3" t="s">
        <v>9</v>
      </c>
      <c r="P17722" s="3" t="s">
        <v>9</v>
      </c>
      <c r="Q17722" s="3"/>
    </row>
    <row r="17723" spans="1:17" ht="15" x14ac:dyDescent="0.25">
      <c r="A17723" s="3">
        <f>17716</f>
        <v>17716</v>
      </c>
      <c r="B17723" s="3" t="s">
        <v>17725</v>
      </c>
      <c r="C17723" s="3" t="s">
        <v>9</v>
      </c>
      <c r="D17723" s="3" t="s">
        <v>10</v>
      </c>
      <c r="E17723" s="3">
        <v>0</v>
      </c>
      <c r="F17723" s="3">
        <v>0</v>
      </c>
      <c r="G17723" s="3">
        <v>0</v>
      </c>
      <c r="H17723" s="3">
        <v>0</v>
      </c>
      <c r="I17723" s="3">
        <v>0</v>
      </c>
      <c r="J17723" s="3">
        <v>0</v>
      </c>
      <c r="K17723" s="3">
        <v>0</v>
      </c>
      <c r="L17723" s="3">
        <v>0</v>
      </c>
      <c r="M17723" s="3">
        <v>0</v>
      </c>
      <c r="N17723" s="3">
        <v>0</v>
      </c>
      <c r="O17723" s="3" t="s">
        <v>9</v>
      </c>
      <c r="P17723" s="3" t="s">
        <v>9</v>
      </c>
      <c r="Q17723" s="3"/>
    </row>
    <row r="17724" spans="1:17" ht="15" x14ac:dyDescent="0.25">
      <c r="A17724" s="3">
        <f>17717</f>
        <v>17717</v>
      </c>
      <c r="B17724" s="3" t="s">
        <v>17726</v>
      </c>
      <c r="C17724" s="3" t="s">
        <v>9</v>
      </c>
      <c r="D17724" s="3" t="s">
        <v>10</v>
      </c>
      <c r="E17724" s="3">
        <v>0</v>
      </c>
      <c r="F17724" s="3">
        <v>0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3">
        <v>0</v>
      </c>
      <c r="N17724" s="3">
        <v>0</v>
      </c>
      <c r="O17724" s="3" t="s">
        <v>9</v>
      </c>
      <c r="P17724" s="3" t="s">
        <v>9</v>
      </c>
      <c r="Q17724" s="3"/>
    </row>
    <row r="17725" spans="1:17" ht="15" x14ac:dyDescent="0.25">
      <c r="A17725" s="3">
        <f>17718</f>
        <v>17718</v>
      </c>
      <c r="B17725" s="3" t="s">
        <v>17727</v>
      </c>
      <c r="C17725" s="3" t="s">
        <v>9</v>
      </c>
      <c r="D17725" s="3" t="s">
        <v>10</v>
      </c>
      <c r="E17725" s="3">
        <v>0</v>
      </c>
      <c r="F17725" s="3">
        <v>0</v>
      </c>
      <c r="G17725" s="3">
        <v>0</v>
      </c>
      <c r="H17725" s="3">
        <v>0</v>
      </c>
      <c r="I17725" s="3">
        <v>0</v>
      </c>
      <c r="J17725" s="3">
        <v>0</v>
      </c>
      <c r="K17725" s="3">
        <v>0</v>
      </c>
      <c r="L17725" s="3">
        <v>0</v>
      </c>
      <c r="M17725" s="3">
        <v>0</v>
      </c>
      <c r="N17725" s="3">
        <v>0</v>
      </c>
      <c r="O17725" s="3" t="s">
        <v>9</v>
      </c>
      <c r="P17725" s="3" t="s">
        <v>9</v>
      </c>
      <c r="Q17725" s="3"/>
    </row>
    <row r="17726" spans="1:17" ht="15" x14ac:dyDescent="0.25">
      <c r="A17726" s="3">
        <f>17719</f>
        <v>17719</v>
      </c>
      <c r="B17726" s="3" t="s">
        <v>17728</v>
      </c>
      <c r="C17726" s="3" t="s">
        <v>9</v>
      </c>
      <c r="D17726" s="3" t="s">
        <v>10</v>
      </c>
      <c r="E17726" s="3">
        <v>0</v>
      </c>
      <c r="F17726" s="3">
        <v>0</v>
      </c>
      <c r="G17726" s="3">
        <v>0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3">
        <v>0</v>
      </c>
      <c r="N17726" s="3">
        <v>0</v>
      </c>
      <c r="O17726" s="3" t="s">
        <v>9</v>
      </c>
      <c r="P17726" s="3" t="s">
        <v>9</v>
      </c>
      <c r="Q17726" s="3"/>
    </row>
    <row r="17727" spans="1:17" ht="15" x14ac:dyDescent="0.25">
      <c r="A17727" s="3">
        <f>17720</f>
        <v>17720</v>
      </c>
      <c r="B17727" s="3" t="s">
        <v>17729</v>
      </c>
      <c r="C17727" s="3" t="s">
        <v>9</v>
      </c>
      <c r="D17727" s="3" t="s">
        <v>10</v>
      </c>
      <c r="E17727" s="3">
        <v>0</v>
      </c>
      <c r="F17727" s="3">
        <v>0</v>
      </c>
      <c r="G17727" s="3">
        <v>0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3">
        <v>0</v>
      </c>
      <c r="N17727" s="3">
        <v>0</v>
      </c>
      <c r="O17727" s="3" t="s">
        <v>9</v>
      </c>
      <c r="P17727" s="3" t="s">
        <v>9</v>
      </c>
      <c r="Q17727" s="3"/>
    </row>
    <row r="17728" spans="1:17" ht="15" x14ac:dyDescent="0.25">
      <c r="A17728" s="3">
        <f>17721</f>
        <v>17721</v>
      </c>
      <c r="B17728" s="3" t="s">
        <v>17730</v>
      </c>
      <c r="C17728" s="3" t="s">
        <v>9</v>
      </c>
      <c r="D17728" s="3" t="s">
        <v>10</v>
      </c>
      <c r="E17728" s="3">
        <v>0</v>
      </c>
      <c r="F17728" s="3">
        <v>0</v>
      </c>
      <c r="G17728" s="3">
        <v>0</v>
      </c>
      <c r="H17728" s="3">
        <v>0</v>
      </c>
      <c r="I17728" s="3">
        <v>0</v>
      </c>
      <c r="J17728" s="3">
        <v>0</v>
      </c>
      <c r="K17728" s="3">
        <v>0</v>
      </c>
      <c r="L17728" s="3">
        <v>0</v>
      </c>
      <c r="M17728" s="3">
        <v>0</v>
      </c>
      <c r="N17728" s="3">
        <v>0</v>
      </c>
      <c r="O17728" s="3" t="s">
        <v>9</v>
      </c>
      <c r="P17728" s="3" t="s">
        <v>9</v>
      </c>
      <c r="Q17728" s="3"/>
    </row>
    <row r="17729" spans="1:17" ht="15" x14ac:dyDescent="0.25">
      <c r="A17729" s="3">
        <f>17722</f>
        <v>17722</v>
      </c>
      <c r="B17729" s="3" t="s">
        <v>17731</v>
      </c>
      <c r="C17729" s="3" t="s">
        <v>9</v>
      </c>
      <c r="D17729" s="3" t="s">
        <v>10</v>
      </c>
      <c r="E17729" s="3">
        <v>0</v>
      </c>
      <c r="F17729" s="3">
        <v>0</v>
      </c>
      <c r="G17729" s="3">
        <v>0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3">
        <v>0</v>
      </c>
      <c r="N17729" s="3">
        <v>0</v>
      </c>
      <c r="O17729" s="3" t="s">
        <v>9</v>
      </c>
      <c r="P17729" s="3" t="s">
        <v>9</v>
      </c>
      <c r="Q17729" s="3"/>
    </row>
    <row r="17730" spans="1:17" ht="15" x14ac:dyDescent="0.25">
      <c r="A17730" s="3">
        <f>17723</f>
        <v>17723</v>
      </c>
      <c r="B17730" s="3" t="s">
        <v>17732</v>
      </c>
      <c r="C17730" s="3" t="s">
        <v>9</v>
      </c>
      <c r="D17730" s="3" t="s">
        <v>10</v>
      </c>
      <c r="E17730" s="3">
        <v>0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>
        <v>0</v>
      </c>
      <c r="O17730" s="3" t="s">
        <v>9</v>
      </c>
      <c r="P17730" s="3" t="s">
        <v>9</v>
      </c>
      <c r="Q17730" s="3"/>
    </row>
    <row r="17731" spans="1:17" ht="15" x14ac:dyDescent="0.25">
      <c r="A17731" s="3">
        <f>17724</f>
        <v>17724</v>
      </c>
      <c r="B17731" s="3" t="s">
        <v>17733</v>
      </c>
      <c r="C17731" s="3" t="s">
        <v>9</v>
      </c>
      <c r="D17731" s="3" t="s">
        <v>10</v>
      </c>
      <c r="E17731" s="3">
        <v>0</v>
      </c>
      <c r="F17731" s="3">
        <v>0</v>
      </c>
      <c r="G17731" s="3">
        <v>0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3">
        <v>0</v>
      </c>
      <c r="N17731" s="3">
        <v>0</v>
      </c>
      <c r="O17731" s="3" t="s">
        <v>9</v>
      </c>
      <c r="P17731" s="3" t="s">
        <v>9</v>
      </c>
      <c r="Q17731" s="3"/>
    </row>
    <row r="17732" spans="1:17" ht="15" x14ac:dyDescent="0.25">
      <c r="A17732" s="3">
        <f>17725</f>
        <v>17725</v>
      </c>
      <c r="B17732" s="3" t="s">
        <v>17734</v>
      </c>
      <c r="C17732" s="3" t="s">
        <v>9</v>
      </c>
      <c r="D17732" s="3" t="s">
        <v>10</v>
      </c>
      <c r="E17732" s="3">
        <v>0</v>
      </c>
      <c r="F17732" s="3">
        <v>0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3">
        <v>0</v>
      </c>
      <c r="N17732" s="3">
        <v>0</v>
      </c>
      <c r="O17732" s="3" t="s">
        <v>9</v>
      </c>
      <c r="P17732" s="3" t="s">
        <v>9</v>
      </c>
      <c r="Q17732" s="3"/>
    </row>
    <row r="17733" spans="1:17" ht="15" x14ac:dyDescent="0.25">
      <c r="A17733" s="3">
        <f>17726</f>
        <v>17726</v>
      </c>
      <c r="B17733" s="3" t="s">
        <v>17735</v>
      </c>
      <c r="C17733" s="3" t="s">
        <v>9</v>
      </c>
      <c r="D17733" s="3" t="s">
        <v>10</v>
      </c>
      <c r="E17733" s="3">
        <v>0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3">
        <v>0</v>
      </c>
      <c r="N17733" s="3">
        <v>0</v>
      </c>
      <c r="O17733" s="3" t="s">
        <v>9</v>
      </c>
      <c r="P17733" s="3" t="s">
        <v>9</v>
      </c>
      <c r="Q17733" s="3"/>
    </row>
    <row r="17734" spans="1:17" ht="15" x14ac:dyDescent="0.25">
      <c r="A17734" s="3">
        <f>17727</f>
        <v>17727</v>
      </c>
      <c r="B17734" s="3" t="s">
        <v>17736</v>
      </c>
      <c r="C17734" s="3" t="s">
        <v>9</v>
      </c>
      <c r="D17734" s="3" t="s">
        <v>10</v>
      </c>
      <c r="E17734" s="3">
        <v>0</v>
      </c>
      <c r="F17734" s="3">
        <v>0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s="3">
        <v>0</v>
      </c>
      <c r="O17734" s="3" t="s">
        <v>9</v>
      </c>
      <c r="P17734" s="3" t="s">
        <v>9</v>
      </c>
      <c r="Q17734" s="3"/>
    </row>
    <row r="17735" spans="1:17" ht="15" x14ac:dyDescent="0.25">
      <c r="A17735" s="3">
        <f>17728</f>
        <v>17728</v>
      </c>
      <c r="B17735" s="3" t="s">
        <v>17737</v>
      </c>
      <c r="C17735" s="3" t="s">
        <v>9</v>
      </c>
      <c r="D17735" s="3" t="s">
        <v>10</v>
      </c>
      <c r="E17735" s="3">
        <v>0</v>
      </c>
      <c r="F17735" s="3">
        <v>0</v>
      </c>
      <c r="G17735" s="3">
        <v>0</v>
      </c>
      <c r="H17735" s="3">
        <v>0</v>
      </c>
      <c r="I17735" s="3">
        <v>0</v>
      </c>
      <c r="J17735" s="3">
        <v>0</v>
      </c>
      <c r="K17735" s="3">
        <v>0</v>
      </c>
      <c r="L17735" s="3">
        <v>0</v>
      </c>
      <c r="M17735" s="3">
        <v>0</v>
      </c>
      <c r="N17735" s="3">
        <v>0</v>
      </c>
      <c r="O17735" s="3" t="s">
        <v>9</v>
      </c>
      <c r="P17735" s="3" t="s">
        <v>9</v>
      </c>
      <c r="Q17735" s="3"/>
    </row>
    <row r="17736" spans="1:17" ht="15" x14ac:dyDescent="0.25">
      <c r="A17736" s="3">
        <f>17729</f>
        <v>17729</v>
      </c>
      <c r="B17736" s="3" t="s">
        <v>17738</v>
      </c>
      <c r="C17736" s="3" t="s">
        <v>9</v>
      </c>
      <c r="D17736" s="3" t="s">
        <v>10</v>
      </c>
      <c r="E17736" s="3">
        <v>0</v>
      </c>
      <c r="F17736" s="3">
        <v>0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3">
        <v>0</v>
      </c>
      <c r="N17736" s="3">
        <v>0</v>
      </c>
      <c r="O17736" s="3" t="s">
        <v>9</v>
      </c>
      <c r="P17736" s="3" t="s">
        <v>9</v>
      </c>
      <c r="Q17736" s="3"/>
    </row>
    <row r="17737" spans="1:17" ht="15" x14ac:dyDescent="0.25">
      <c r="A17737" s="3">
        <f>17730</f>
        <v>17730</v>
      </c>
      <c r="B17737" s="3" t="s">
        <v>17739</v>
      </c>
      <c r="C17737" s="3" t="s">
        <v>9</v>
      </c>
      <c r="D17737" s="3" t="s">
        <v>10</v>
      </c>
      <c r="E17737" s="3">
        <v>0</v>
      </c>
      <c r="F17737" s="3">
        <v>0</v>
      </c>
      <c r="G17737" s="3">
        <v>0</v>
      </c>
      <c r="H17737" s="3">
        <v>0</v>
      </c>
      <c r="I17737" s="3">
        <v>0</v>
      </c>
      <c r="J17737" s="3">
        <v>0</v>
      </c>
      <c r="K17737" s="3">
        <v>0</v>
      </c>
      <c r="L17737" s="3">
        <v>0</v>
      </c>
      <c r="M17737" s="3">
        <v>0</v>
      </c>
      <c r="N17737" s="3">
        <v>0</v>
      </c>
      <c r="O17737" s="3" t="s">
        <v>9</v>
      </c>
      <c r="P17737" s="3" t="s">
        <v>9</v>
      </c>
      <c r="Q17737" s="3"/>
    </row>
    <row r="17738" spans="1:17" ht="15" x14ac:dyDescent="0.25">
      <c r="A17738" s="3">
        <f>17731</f>
        <v>17731</v>
      </c>
      <c r="B17738" s="3" t="s">
        <v>17740</v>
      </c>
      <c r="C17738" s="3" t="s">
        <v>9</v>
      </c>
      <c r="D17738" s="3" t="s">
        <v>10</v>
      </c>
      <c r="E17738" s="3">
        <v>0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>
        <v>0</v>
      </c>
      <c r="O17738" s="3" t="s">
        <v>10</v>
      </c>
      <c r="P17738" s="3" t="s">
        <v>9</v>
      </c>
      <c r="Q17738" s="3"/>
    </row>
    <row r="17739" spans="1:17" ht="15" x14ac:dyDescent="0.25">
      <c r="A17739" s="3">
        <f>17732</f>
        <v>17732</v>
      </c>
      <c r="B17739" s="3" t="s">
        <v>17741</v>
      </c>
      <c r="C17739" s="3" t="s">
        <v>9</v>
      </c>
      <c r="D17739" s="3" t="s">
        <v>10</v>
      </c>
      <c r="E17739" s="3">
        <v>0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3">
        <v>0</v>
      </c>
      <c r="N17739" s="3">
        <v>0</v>
      </c>
      <c r="O17739" s="3" t="s">
        <v>9</v>
      </c>
      <c r="P17739" s="3" t="s">
        <v>9</v>
      </c>
      <c r="Q17739" s="3"/>
    </row>
    <row r="17740" spans="1:17" ht="15" x14ac:dyDescent="0.25">
      <c r="A17740" s="3">
        <f>17733</f>
        <v>17733</v>
      </c>
      <c r="B17740" s="3" t="s">
        <v>17742</v>
      </c>
      <c r="C17740" s="3" t="s">
        <v>9</v>
      </c>
      <c r="D17740" s="3" t="s">
        <v>10</v>
      </c>
      <c r="E17740" s="3">
        <v>0</v>
      </c>
      <c r="F17740" s="3">
        <v>0</v>
      </c>
      <c r="G17740" s="3">
        <v>0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3">
        <v>0</v>
      </c>
      <c r="N17740" s="3">
        <v>0</v>
      </c>
      <c r="O17740" s="3" t="s">
        <v>9</v>
      </c>
      <c r="P17740" s="3" t="s">
        <v>9</v>
      </c>
      <c r="Q17740" s="3"/>
    </row>
    <row r="17741" spans="1:17" ht="15" x14ac:dyDescent="0.25">
      <c r="A17741" s="3">
        <f>17734</f>
        <v>17734</v>
      </c>
      <c r="B17741" s="3" t="s">
        <v>17743</v>
      </c>
      <c r="C17741" s="3" t="s">
        <v>9</v>
      </c>
      <c r="D17741" s="3" t="s">
        <v>10</v>
      </c>
      <c r="E17741" s="3">
        <v>0</v>
      </c>
      <c r="F17741" s="3">
        <v>0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  <c r="L17741" s="3">
        <v>0</v>
      </c>
      <c r="M17741" s="3">
        <v>0</v>
      </c>
      <c r="N17741" s="3">
        <v>0</v>
      </c>
      <c r="O17741" s="3" t="s">
        <v>9</v>
      </c>
      <c r="P17741" s="3" t="s">
        <v>9</v>
      </c>
      <c r="Q17741" s="3"/>
    </row>
    <row r="17742" spans="1:17" ht="15" x14ac:dyDescent="0.25">
      <c r="A17742" s="3">
        <f>17735</f>
        <v>17735</v>
      </c>
      <c r="B17742" s="3" t="s">
        <v>17744</v>
      </c>
      <c r="C17742" s="3" t="s">
        <v>9</v>
      </c>
      <c r="D17742" s="3" t="s">
        <v>10</v>
      </c>
      <c r="E17742" s="3">
        <v>0</v>
      </c>
      <c r="F17742" s="3">
        <v>0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  <c r="L17742" s="3">
        <v>0</v>
      </c>
      <c r="M17742" s="3">
        <v>0</v>
      </c>
      <c r="N17742" s="3">
        <v>0</v>
      </c>
      <c r="O17742" s="3" t="s">
        <v>9</v>
      </c>
      <c r="P17742" s="3" t="s">
        <v>9</v>
      </c>
      <c r="Q17742" s="3"/>
    </row>
    <row r="17743" spans="1:17" ht="15" x14ac:dyDescent="0.25">
      <c r="A17743" s="3">
        <f>17736</f>
        <v>17736</v>
      </c>
      <c r="B17743" s="3" t="s">
        <v>17745</v>
      </c>
      <c r="C17743" s="3" t="s">
        <v>9</v>
      </c>
      <c r="D17743" s="3" t="s">
        <v>10</v>
      </c>
      <c r="E17743" s="3">
        <v>0</v>
      </c>
      <c r="F17743" s="3">
        <v>0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3">
        <v>0</v>
      </c>
      <c r="N17743" s="3">
        <v>0</v>
      </c>
      <c r="O17743" s="3" t="s">
        <v>9</v>
      </c>
      <c r="P17743" s="3" t="s">
        <v>9</v>
      </c>
      <c r="Q17743" s="3"/>
    </row>
    <row r="17744" spans="1:17" ht="15" x14ac:dyDescent="0.25">
      <c r="A17744" s="3">
        <f>17737</f>
        <v>17737</v>
      </c>
      <c r="B17744" s="3" t="s">
        <v>17746</v>
      </c>
      <c r="C17744" s="3" t="s">
        <v>9</v>
      </c>
      <c r="D17744" s="3" t="s">
        <v>10</v>
      </c>
      <c r="E17744" s="3">
        <v>0</v>
      </c>
      <c r="F17744" s="3">
        <v>0</v>
      </c>
      <c r="G17744" s="3">
        <v>0</v>
      </c>
      <c r="H17744" s="3">
        <v>0</v>
      </c>
      <c r="I17744" s="3">
        <v>0</v>
      </c>
      <c r="J17744" s="3">
        <v>0</v>
      </c>
      <c r="K17744" s="3">
        <v>0</v>
      </c>
      <c r="L17744" s="3">
        <v>0</v>
      </c>
      <c r="M17744" s="3">
        <v>0</v>
      </c>
      <c r="N17744" s="3">
        <v>0</v>
      </c>
      <c r="O17744" s="3" t="s">
        <v>9</v>
      </c>
      <c r="P17744" s="3" t="s">
        <v>9</v>
      </c>
      <c r="Q17744" s="3"/>
    </row>
    <row r="17745" spans="1:17" ht="15" x14ac:dyDescent="0.25">
      <c r="A17745" s="3">
        <f>17738</f>
        <v>17738</v>
      </c>
      <c r="B17745" s="3" t="s">
        <v>17747</v>
      </c>
      <c r="C17745" s="3" t="s">
        <v>9</v>
      </c>
      <c r="D17745" s="3" t="s">
        <v>10</v>
      </c>
      <c r="E17745" s="3">
        <v>0</v>
      </c>
      <c r="F17745" s="3">
        <v>0</v>
      </c>
      <c r="G17745" s="3">
        <v>0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3">
        <v>0</v>
      </c>
      <c r="N17745" s="3">
        <v>0</v>
      </c>
      <c r="O17745" s="3" t="s">
        <v>9</v>
      </c>
      <c r="P17745" s="3" t="s">
        <v>9</v>
      </c>
      <c r="Q17745" s="3"/>
    </row>
    <row r="17746" spans="1:17" ht="15" x14ac:dyDescent="0.25">
      <c r="A17746" s="3">
        <f>17739</f>
        <v>17739</v>
      </c>
      <c r="B17746" s="3" t="s">
        <v>17748</v>
      </c>
      <c r="C17746" s="3" t="s">
        <v>9</v>
      </c>
      <c r="D17746" s="3" t="s">
        <v>10</v>
      </c>
      <c r="E17746" s="3">
        <v>0</v>
      </c>
      <c r="F17746" s="3">
        <v>0</v>
      </c>
      <c r="G17746" s="3">
        <v>0</v>
      </c>
      <c r="H17746" s="3">
        <v>0</v>
      </c>
      <c r="I17746" s="3">
        <v>0</v>
      </c>
      <c r="J17746" s="3">
        <v>0</v>
      </c>
      <c r="K17746" s="3">
        <v>0</v>
      </c>
      <c r="L17746" s="3">
        <v>0</v>
      </c>
      <c r="M17746" s="3">
        <v>0</v>
      </c>
      <c r="N17746" s="3">
        <v>0</v>
      </c>
      <c r="O17746" s="3" t="s">
        <v>9</v>
      </c>
      <c r="P17746" s="3" t="s">
        <v>9</v>
      </c>
      <c r="Q17746" s="3"/>
    </row>
    <row r="17747" spans="1:17" ht="15" x14ac:dyDescent="0.25">
      <c r="A17747" s="3">
        <f>17740</f>
        <v>17740</v>
      </c>
      <c r="B17747" s="3" t="s">
        <v>17749</v>
      </c>
      <c r="C17747" s="3" t="s">
        <v>9</v>
      </c>
      <c r="D17747" s="3" t="s">
        <v>10</v>
      </c>
      <c r="E17747" s="3">
        <v>0</v>
      </c>
      <c r="F17747" s="3">
        <v>0</v>
      </c>
      <c r="G17747" s="3">
        <v>0</v>
      </c>
      <c r="H17747" s="3">
        <v>0</v>
      </c>
      <c r="I17747" s="3">
        <v>0</v>
      </c>
      <c r="J17747" s="3">
        <v>0</v>
      </c>
      <c r="K17747" s="3">
        <v>0</v>
      </c>
      <c r="L17747" s="3">
        <v>0</v>
      </c>
      <c r="M17747" s="3">
        <v>0</v>
      </c>
      <c r="N17747" s="3">
        <v>0</v>
      </c>
      <c r="O17747" s="3" t="s">
        <v>9</v>
      </c>
      <c r="P17747" s="3" t="s">
        <v>9</v>
      </c>
      <c r="Q17747" s="3"/>
    </row>
    <row r="17748" spans="1:17" ht="15" x14ac:dyDescent="0.25">
      <c r="A17748" s="3">
        <f>17741</f>
        <v>17741</v>
      </c>
      <c r="B17748" s="3" t="s">
        <v>17750</v>
      </c>
      <c r="C17748" s="3" t="s">
        <v>9</v>
      </c>
      <c r="D17748" s="3" t="s">
        <v>10</v>
      </c>
      <c r="E17748" s="3">
        <v>0</v>
      </c>
      <c r="F17748" s="3">
        <v>0</v>
      </c>
      <c r="G17748" s="3">
        <v>0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s="3">
        <v>0</v>
      </c>
      <c r="O17748" s="3" t="s">
        <v>9</v>
      </c>
      <c r="P17748" s="3" t="s">
        <v>9</v>
      </c>
      <c r="Q17748" s="3"/>
    </row>
    <row r="17749" spans="1:17" ht="15" x14ac:dyDescent="0.25">
      <c r="A17749" s="3">
        <f>17742</f>
        <v>17742</v>
      </c>
      <c r="B17749" s="3" t="s">
        <v>17751</v>
      </c>
      <c r="C17749" s="3" t="s">
        <v>9</v>
      </c>
      <c r="D17749" s="3" t="s">
        <v>10</v>
      </c>
      <c r="E17749" s="3">
        <v>0</v>
      </c>
      <c r="F17749" s="3">
        <v>0</v>
      </c>
      <c r="G17749" s="3">
        <v>0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s="3">
        <v>0</v>
      </c>
      <c r="O17749" s="3" t="s">
        <v>9</v>
      </c>
      <c r="P17749" s="3" t="s">
        <v>9</v>
      </c>
      <c r="Q17749" s="3"/>
    </row>
    <row r="17750" spans="1:17" ht="15" x14ac:dyDescent="0.25">
      <c r="A17750" s="3">
        <f>17743</f>
        <v>17743</v>
      </c>
      <c r="B17750" s="3" t="s">
        <v>17752</v>
      </c>
      <c r="C17750" s="3" t="s">
        <v>9</v>
      </c>
      <c r="D17750" s="3" t="s">
        <v>10</v>
      </c>
      <c r="E17750" s="3">
        <v>0</v>
      </c>
      <c r="F17750" s="3">
        <v>0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3">
        <v>0</v>
      </c>
      <c r="N17750" s="3">
        <v>0</v>
      </c>
      <c r="O17750" s="3" t="s">
        <v>9</v>
      </c>
      <c r="P17750" s="3" t="s">
        <v>9</v>
      </c>
      <c r="Q17750" s="3"/>
    </row>
    <row r="17751" spans="1:17" ht="15" x14ac:dyDescent="0.25">
      <c r="A17751" s="3">
        <f>17744</f>
        <v>17744</v>
      </c>
      <c r="B17751" s="3" t="s">
        <v>17753</v>
      </c>
      <c r="C17751" s="3" t="s">
        <v>9</v>
      </c>
      <c r="D17751" s="3" t="s">
        <v>10</v>
      </c>
      <c r="E17751" s="3">
        <v>0</v>
      </c>
      <c r="F17751" s="3">
        <v>0</v>
      </c>
      <c r="G17751" s="3">
        <v>0</v>
      </c>
      <c r="H17751" s="3">
        <v>0</v>
      </c>
      <c r="I17751" s="3">
        <v>0</v>
      </c>
      <c r="J17751" s="3">
        <v>0</v>
      </c>
      <c r="K17751" s="3">
        <v>0</v>
      </c>
      <c r="L17751" s="3">
        <v>0</v>
      </c>
      <c r="M17751" s="3">
        <v>0</v>
      </c>
      <c r="N17751" s="3">
        <v>0</v>
      </c>
      <c r="O17751" s="3" t="s">
        <v>9</v>
      </c>
      <c r="P17751" s="3" t="s">
        <v>9</v>
      </c>
      <c r="Q17751" s="3"/>
    </row>
    <row r="17752" spans="1:17" ht="15" x14ac:dyDescent="0.25">
      <c r="A17752" s="3">
        <f>17745</f>
        <v>17745</v>
      </c>
      <c r="B17752" s="3" t="s">
        <v>17754</v>
      </c>
      <c r="C17752" s="3" t="s">
        <v>9</v>
      </c>
      <c r="D17752" s="3" t="s">
        <v>10</v>
      </c>
      <c r="E17752" s="3">
        <v>0</v>
      </c>
      <c r="F17752" s="3">
        <v>0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s="3">
        <v>0</v>
      </c>
      <c r="O17752" s="3" t="s">
        <v>9</v>
      </c>
      <c r="P17752" s="3" t="s">
        <v>9</v>
      </c>
      <c r="Q17752" s="3"/>
    </row>
    <row r="17753" spans="1:17" ht="15" x14ac:dyDescent="0.25">
      <c r="A17753" s="3">
        <f>17746</f>
        <v>17746</v>
      </c>
      <c r="B17753" s="3" t="s">
        <v>17755</v>
      </c>
      <c r="C17753" s="3" t="s">
        <v>10</v>
      </c>
      <c r="D17753" s="3" t="s">
        <v>9</v>
      </c>
      <c r="E17753" s="3">
        <v>0</v>
      </c>
      <c r="F17753" s="3">
        <v>0</v>
      </c>
      <c r="G17753" s="3">
        <v>0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s="3">
        <v>0</v>
      </c>
      <c r="O17753" s="3" t="s">
        <v>9</v>
      </c>
      <c r="P17753" s="3" t="s">
        <v>9</v>
      </c>
      <c r="Q17753" s="3"/>
    </row>
    <row r="17754" spans="1:17" ht="15" x14ac:dyDescent="0.25">
      <c r="A17754" s="3">
        <f>17747</f>
        <v>17747</v>
      </c>
      <c r="B17754" s="3" t="s">
        <v>17756</v>
      </c>
      <c r="C17754" s="3" t="s">
        <v>10</v>
      </c>
      <c r="D17754" s="3" t="s">
        <v>9</v>
      </c>
      <c r="E17754" s="3">
        <v>0</v>
      </c>
      <c r="F17754" s="3">
        <v>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s="3">
        <v>0</v>
      </c>
      <c r="O17754" s="3" t="s">
        <v>9</v>
      </c>
      <c r="P17754" s="3" t="s">
        <v>9</v>
      </c>
      <c r="Q17754" s="3"/>
    </row>
    <row r="17755" spans="1:17" ht="15" x14ac:dyDescent="0.25">
      <c r="A17755" s="3">
        <f>17748</f>
        <v>17748</v>
      </c>
      <c r="B17755" s="3" t="s">
        <v>17757</v>
      </c>
      <c r="C17755" s="3" t="s">
        <v>9</v>
      </c>
      <c r="D17755" s="3" t="s">
        <v>10</v>
      </c>
      <c r="E17755" s="3">
        <v>0</v>
      </c>
      <c r="F17755" s="3">
        <v>0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3">
        <v>0</v>
      </c>
      <c r="N17755" s="3">
        <v>0</v>
      </c>
      <c r="O17755" s="3" t="s">
        <v>10</v>
      </c>
      <c r="P17755" s="3" t="s">
        <v>9</v>
      </c>
      <c r="Q17755" s="3"/>
    </row>
    <row r="17756" spans="1:17" ht="15" x14ac:dyDescent="0.25">
      <c r="A17756" s="3">
        <f>17749</f>
        <v>17749</v>
      </c>
      <c r="B17756" s="3" t="s">
        <v>17758</v>
      </c>
      <c r="C17756" s="3" t="s">
        <v>10</v>
      </c>
      <c r="D17756" s="3" t="s">
        <v>9</v>
      </c>
      <c r="E17756" s="3">
        <v>0</v>
      </c>
      <c r="F17756" s="3">
        <v>0</v>
      </c>
      <c r="G17756" s="3">
        <v>0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s="3">
        <v>0</v>
      </c>
      <c r="O17756" s="3" t="s">
        <v>9</v>
      </c>
      <c r="P17756" s="3" t="s">
        <v>9</v>
      </c>
      <c r="Q17756" s="3"/>
    </row>
    <row r="17757" spans="1:17" ht="15" x14ac:dyDescent="0.25">
      <c r="A17757" s="3">
        <f>17750</f>
        <v>17750</v>
      </c>
      <c r="B17757" s="3" t="s">
        <v>17759</v>
      </c>
      <c r="C17757" s="3" t="s">
        <v>10</v>
      </c>
      <c r="D17757" s="3" t="s">
        <v>9</v>
      </c>
      <c r="E17757" s="3">
        <v>0</v>
      </c>
      <c r="F17757" s="3">
        <v>0</v>
      </c>
      <c r="G17757" s="3">
        <v>0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s="3">
        <v>0</v>
      </c>
      <c r="O17757" s="3" t="s">
        <v>10</v>
      </c>
      <c r="P17757" s="3" t="s">
        <v>9</v>
      </c>
      <c r="Q17757" s="3"/>
    </row>
    <row r="17758" spans="1:17" ht="15" x14ac:dyDescent="0.25">
      <c r="A17758" s="3">
        <f>17751</f>
        <v>17751</v>
      </c>
      <c r="B17758" s="3" t="s">
        <v>17760</v>
      </c>
      <c r="C17758" s="3" t="s">
        <v>10</v>
      </c>
      <c r="D17758" s="3" t="s">
        <v>9</v>
      </c>
      <c r="E17758" s="3">
        <v>0</v>
      </c>
      <c r="F17758" s="3">
        <v>0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>
        <v>0</v>
      </c>
      <c r="O17758" s="3" t="s">
        <v>10</v>
      </c>
      <c r="P17758" s="3" t="s">
        <v>9</v>
      </c>
      <c r="Q17758" s="3"/>
    </row>
    <row r="17759" spans="1:17" ht="15" x14ac:dyDescent="0.25">
      <c r="A17759" s="3">
        <f>17752</f>
        <v>17752</v>
      </c>
      <c r="B17759" s="3" t="s">
        <v>17761</v>
      </c>
      <c r="C17759" s="3" t="s">
        <v>10</v>
      </c>
      <c r="D17759" s="3" t="s">
        <v>9</v>
      </c>
      <c r="E17759" s="3">
        <v>0</v>
      </c>
      <c r="F17759" s="3">
        <v>0</v>
      </c>
      <c r="G17759" s="3">
        <v>0</v>
      </c>
      <c r="H17759" s="3">
        <v>0</v>
      </c>
      <c r="I17759" s="3">
        <v>0</v>
      </c>
      <c r="J17759" s="3">
        <v>0</v>
      </c>
      <c r="K17759" s="3">
        <v>0</v>
      </c>
      <c r="L17759" s="3">
        <v>0</v>
      </c>
      <c r="M17759" s="3">
        <v>0</v>
      </c>
      <c r="N17759" s="3">
        <v>0</v>
      </c>
      <c r="O17759" s="3" t="s">
        <v>9</v>
      </c>
      <c r="P17759" s="3" t="s">
        <v>9</v>
      </c>
      <c r="Q17759" s="3"/>
    </row>
    <row r="17760" spans="1:17" ht="15" x14ac:dyDescent="0.25">
      <c r="A17760" s="3">
        <f>17753</f>
        <v>17753</v>
      </c>
      <c r="B17760" s="3" t="s">
        <v>17762</v>
      </c>
      <c r="C17760" s="3" t="s">
        <v>10</v>
      </c>
      <c r="D17760" s="3" t="s">
        <v>9</v>
      </c>
      <c r="E17760" s="3">
        <v>0</v>
      </c>
      <c r="F17760" s="3">
        <v>0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s="3">
        <v>0</v>
      </c>
      <c r="O17760" s="3" t="s">
        <v>10</v>
      </c>
      <c r="P17760" s="3" t="s">
        <v>9</v>
      </c>
      <c r="Q17760" s="3"/>
    </row>
    <row r="17761" spans="1:17" ht="15" x14ac:dyDescent="0.25">
      <c r="A17761" s="3">
        <f>17754</f>
        <v>17754</v>
      </c>
      <c r="B17761" s="3" t="s">
        <v>17763</v>
      </c>
      <c r="C17761" s="3" t="s">
        <v>10</v>
      </c>
      <c r="D17761" s="3" t="s">
        <v>9</v>
      </c>
      <c r="E17761" s="3">
        <v>0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>
        <v>0</v>
      </c>
      <c r="O17761" s="3" t="s">
        <v>10</v>
      </c>
      <c r="P17761" s="3" t="s">
        <v>9</v>
      </c>
      <c r="Q17761" s="3"/>
    </row>
    <row r="17762" spans="1:17" ht="15" x14ac:dyDescent="0.25">
      <c r="A17762" s="3">
        <f>17755</f>
        <v>17755</v>
      </c>
      <c r="B17762" s="3" t="s">
        <v>17764</v>
      </c>
      <c r="C17762" s="3" t="s">
        <v>10</v>
      </c>
      <c r="D17762" s="3" t="s">
        <v>9</v>
      </c>
      <c r="E17762" s="3">
        <v>0</v>
      </c>
      <c r="F17762" s="3">
        <v>0</v>
      </c>
      <c r="G17762" s="3">
        <v>0</v>
      </c>
      <c r="H17762" s="3">
        <v>0</v>
      </c>
      <c r="I17762" s="3">
        <v>0</v>
      </c>
      <c r="J17762" s="3">
        <v>0</v>
      </c>
      <c r="K17762" s="3">
        <v>0</v>
      </c>
      <c r="L17762" s="3">
        <v>0</v>
      </c>
      <c r="M17762" s="3">
        <v>0</v>
      </c>
      <c r="N17762" s="3">
        <v>0</v>
      </c>
      <c r="O17762" s="3" t="s">
        <v>10</v>
      </c>
      <c r="P17762" s="3" t="s">
        <v>9</v>
      </c>
      <c r="Q17762" s="3"/>
    </row>
    <row r="17763" spans="1:17" ht="15" x14ac:dyDescent="0.25">
      <c r="A17763" s="3">
        <f>17756</f>
        <v>17756</v>
      </c>
      <c r="B17763" s="3" t="s">
        <v>17765</v>
      </c>
      <c r="C17763" s="3" t="s">
        <v>10</v>
      </c>
      <c r="D17763" s="3" t="s">
        <v>9</v>
      </c>
      <c r="E17763" s="3">
        <v>0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3">
        <v>0</v>
      </c>
      <c r="N17763" s="3">
        <v>0</v>
      </c>
      <c r="O17763" s="3" t="s">
        <v>10</v>
      </c>
      <c r="P17763" s="3" t="s">
        <v>9</v>
      </c>
      <c r="Q17763" s="3"/>
    </row>
    <row r="17764" spans="1:17" ht="15" x14ac:dyDescent="0.25">
      <c r="A17764" s="3">
        <f>17757</f>
        <v>17757</v>
      </c>
      <c r="B17764" s="3" t="s">
        <v>17766</v>
      </c>
      <c r="C17764" s="3" t="s">
        <v>10</v>
      </c>
      <c r="D17764" s="3" t="s">
        <v>9</v>
      </c>
      <c r="E17764" s="3">
        <v>0</v>
      </c>
      <c r="F17764" s="3">
        <v>0</v>
      </c>
      <c r="G17764" s="3">
        <v>0</v>
      </c>
      <c r="H17764" s="3">
        <v>0</v>
      </c>
      <c r="I17764" s="3">
        <v>0</v>
      </c>
      <c r="J17764" s="3">
        <v>0</v>
      </c>
      <c r="K17764" s="3">
        <v>0</v>
      </c>
      <c r="L17764" s="3">
        <v>0</v>
      </c>
      <c r="M17764" s="3">
        <v>0</v>
      </c>
      <c r="N17764" s="3">
        <v>0</v>
      </c>
      <c r="O17764" s="3" t="s">
        <v>10</v>
      </c>
      <c r="P17764" s="3" t="s">
        <v>9</v>
      </c>
      <c r="Q17764" s="3"/>
    </row>
    <row r="17765" spans="1:17" ht="15" x14ac:dyDescent="0.25">
      <c r="A17765" s="3">
        <f>17758</f>
        <v>17758</v>
      </c>
      <c r="B17765" s="3" t="s">
        <v>17767</v>
      </c>
      <c r="C17765" s="3" t="s">
        <v>10</v>
      </c>
      <c r="D17765" s="3" t="s">
        <v>9</v>
      </c>
      <c r="E17765" s="3">
        <v>0</v>
      </c>
      <c r="F17765" s="3">
        <v>0</v>
      </c>
      <c r="G17765" s="3">
        <v>0</v>
      </c>
      <c r="H17765" s="3">
        <v>0</v>
      </c>
      <c r="I17765" s="3">
        <v>0</v>
      </c>
      <c r="J17765" s="3">
        <v>0</v>
      </c>
      <c r="K17765" s="3">
        <v>0</v>
      </c>
      <c r="L17765" s="3">
        <v>0</v>
      </c>
      <c r="M17765" s="3">
        <v>0</v>
      </c>
      <c r="N17765" s="3">
        <v>0</v>
      </c>
      <c r="O17765" s="3" t="s">
        <v>10</v>
      </c>
      <c r="P17765" s="3" t="s">
        <v>9</v>
      </c>
      <c r="Q17765" s="3"/>
    </row>
    <row r="17766" spans="1:17" ht="15" x14ac:dyDescent="0.25">
      <c r="A17766" s="3">
        <f>17759</f>
        <v>17759</v>
      </c>
      <c r="B17766" s="3" t="s">
        <v>17768</v>
      </c>
      <c r="C17766" s="3" t="s">
        <v>10</v>
      </c>
      <c r="D17766" s="3" t="s">
        <v>9</v>
      </c>
      <c r="E17766" s="3">
        <v>0</v>
      </c>
      <c r="F17766" s="3">
        <v>0</v>
      </c>
      <c r="G17766" s="3">
        <v>0</v>
      </c>
      <c r="H17766" s="3">
        <v>31</v>
      </c>
      <c r="I17766" s="3">
        <v>0</v>
      </c>
      <c r="J17766" s="3">
        <v>0</v>
      </c>
      <c r="K17766" s="3">
        <v>0</v>
      </c>
      <c r="L17766" s="3">
        <v>0</v>
      </c>
      <c r="M17766" s="3">
        <v>0</v>
      </c>
      <c r="N17766" s="3">
        <v>0</v>
      </c>
      <c r="O17766" s="3" t="s">
        <v>10</v>
      </c>
      <c r="P17766" s="3" t="s">
        <v>9</v>
      </c>
      <c r="Q17766" s="3"/>
    </row>
    <row r="17767" spans="1:17" ht="15" x14ac:dyDescent="0.25">
      <c r="A17767" s="3">
        <f>17760</f>
        <v>17760</v>
      </c>
      <c r="B17767" s="3" t="s">
        <v>17769</v>
      </c>
      <c r="C17767" s="3" t="s">
        <v>10</v>
      </c>
      <c r="D17767" s="3" t="s">
        <v>9</v>
      </c>
      <c r="E17767" s="3">
        <v>0</v>
      </c>
      <c r="F17767" s="3">
        <v>0</v>
      </c>
      <c r="G17767" s="3">
        <v>0</v>
      </c>
      <c r="H17767" s="3">
        <v>31</v>
      </c>
      <c r="I17767" s="3">
        <v>0</v>
      </c>
      <c r="J17767" s="3">
        <v>0</v>
      </c>
      <c r="K17767" s="3">
        <v>0</v>
      </c>
      <c r="L17767" s="3">
        <v>0</v>
      </c>
      <c r="M17767" s="3">
        <v>31</v>
      </c>
      <c r="N17767" s="3">
        <v>0</v>
      </c>
      <c r="O17767" s="3" t="s">
        <v>10</v>
      </c>
      <c r="P17767" s="3" t="s">
        <v>9</v>
      </c>
      <c r="Q17767" s="3"/>
    </row>
    <row r="17768" spans="1:17" ht="15" x14ac:dyDescent="0.25">
      <c r="A17768" s="3">
        <f>17761</f>
        <v>17761</v>
      </c>
      <c r="B17768" s="3" t="s">
        <v>17770</v>
      </c>
      <c r="C17768" s="3" t="s">
        <v>10</v>
      </c>
      <c r="D17768" s="3" t="s">
        <v>9</v>
      </c>
      <c r="E17768" s="3">
        <v>0</v>
      </c>
      <c r="F17768" s="3">
        <v>0</v>
      </c>
      <c r="G17768" s="3">
        <v>0</v>
      </c>
      <c r="H17768" s="3">
        <v>31</v>
      </c>
      <c r="I17768" s="3">
        <v>0</v>
      </c>
      <c r="J17768" s="3">
        <v>0</v>
      </c>
      <c r="K17768" s="3">
        <v>0</v>
      </c>
      <c r="L17768" s="3">
        <v>0</v>
      </c>
      <c r="M17768" s="3">
        <v>31</v>
      </c>
      <c r="N17768" s="3">
        <v>0</v>
      </c>
      <c r="O17768" s="3" t="s">
        <v>10</v>
      </c>
      <c r="P17768" s="3" t="s">
        <v>9</v>
      </c>
      <c r="Q17768" s="3"/>
    </row>
    <row r="17769" spans="1:17" ht="15" x14ac:dyDescent="0.25">
      <c r="A17769" s="3">
        <f>17762</f>
        <v>17762</v>
      </c>
      <c r="B17769" s="3" t="s">
        <v>17771</v>
      </c>
      <c r="C17769" s="3" t="s">
        <v>10</v>
      </c>
      <c r="D17769" s="3" t="s">
        <v>9</v>
      </c>
      <c r="E17769" s="3">
        <v>0</v>
      </c>
      <c r="F17769" s="3">
        <v>0</v>
      </c>
      <c r="G17769" s="3">
        <v>0</v>
      </c>
      <c r="H17769" s="3">
        <v>31</v>
      </c>
      <c r="I17769" s="3">
        <v>0</v>
      </c>
      <c r="J17769" s="3">
        <v>0</v>
      </c>
      <c r="K17769" s="3">
        <v>0</v>
      </c>
      <c r="L17769" s="3">
        <v>0</v>
      </c>
      <c r="M17769" s="3">
        <v>31</v>
      </c>
      <c r="N17769" s="3">
        <v>0</v>
      </c>
      <c r="O17769" s="3" t="s">
        <v>10</v>
      </c>
      <c r="P17769" s="3" t="s">
        <v>9</v>
      </c>
      <c r="Q17769" s="3"/>
    </row>
    <row r="17770" spans="1:17" ht="15" x14ac:dyDescent="0.25">
      <c r="A17770" s="3">
        <f>17763</f>
        <v>17763</v>
      </c>
      <c r="B17770" s="3" t="s">
        <v>17772</v>
      </c>
      <c r="C17770" s="3" t="s">
        <v>10</v>
      </c>
      <c r="D17770" s="3" t="s">
        <v>9</v>
      </c>
      <c r="E17770" s="3">
        <v>0</v>
      </c>
      <c r="F17770" s="3">
        <v>0</v>
      </c>
      <c r="G17770" s="3">
        <v>0</v>
      </c>
      <c r="H17770" s="3">
        <v>31</v>
      </c>
      <c r="I17770" s="3">
        <v>0</v>
      </c>
      <c r="J17770" s="3">
        <v>0</v>
      </c>
      <c r="K17770" s="3">
        <v>0</v>
      </c>
      <c r="L17770" s="3">
        <v>0</v>
      </c>
      <c r="M17770" s="3">
        <v>31</v>
      </c>
      <c r="N17770" s="3">
        <v>0</v>
      </c>
      <c r="O17770" s="3" t="s">
        <v>10</v>
      </c>
      <c r="P17770" s="3" t="s">
        <v>9</v>
      </c>
      <c r="Q17770" s="3"/>
    </row>
    <row r="17771" spans="1:17" ht="15" x14ac:dyDescent="0.25">
      <c r="A17771" s="3">
        <f>17764</f>
        <v>17764</v>
      </c>
      <c r="B17771" s="3" t="s">
        <v>17773</v>
      </c>
      <c r="C17771" s="3" t="s">
        <v>10</v>
      </c>
      <c r="D17771" s="3" t="s">
        <v>9</v>
      </c>
      <c r="E17771" s="3">
        <v>0</v>
      </c>
      <c r="F17771" s="3">
        <v>0</v>
      </c>
      <c r="G17771" s="3">
        <v>0</v>
      </c>
      <c r="H17771" s="3">
        <v>31</v>
      </c>
      <c r="I17771" s="3">
        <v>0</v>
      </c>
      <c r="J17771" s="3">
        <v>0</v>
      </c>
      <c r="K17771" s="3">
        <v>0</v>
      </c>
      <c r="L17771" s="3">
        <v>0</v>
      </c>
      <c r="M17771" s="3">
        <v>31</v>
      </c>
      <c r="N17771" s="3">
        <v>0</v>
      </c>
      <c r="O17771" s="3" t="s">
        <v>10</v>
      </c>
      <c r="P17771" s="3" t="s">
        <v>9</v>
      </c>
      <c r="Q17771" s="3"/>
    </row>
    <row r="17772" spans="1:17" ht="15" x14ac:dyDescent="0.25">
      <c r="A17772" s="3">
        <f>17765</f>
        <v>17765</v>
      </c>
      <c r="B17772" s="3" t="s">
        <v>17774</v>
      </c>
      <c r="C17772" s="3" t="s">
        <v>10</v>
      </c>
      <c r="D17772" s="3" t="s">
        <v>9</v>
      </c>
      <c r="E17772" s="3">
        <v>0</v>
      </c>
      <c r="F17772" s="3">
        <v>0</v>
      </c>
      <c r="G17772" s="3">
        <v>0</v>
      </c>
      <c r="H17772" s="3">
        <v>31</v>
      </c>
      <c r="I17772" s="3">
        <v>0</v>
      </c>
      <c r="J17772" s="3">
        <v>0</v>
      </c>
      <c r="K17772" s="3">
        <v>0</v>
      </c>
      <c r="L17772" s="3">
        <v>0</v>
      </c>
      <c r="M17772" s="3">
        <v>31</v>
      </c>
      <c r="N17772" s="3">
        <v>0</v>
      </c>
      <c r="O17772" s="3" t="s">
        <v>10</v>
      </c>
      <c r="P17772" s="3" t="s">
        <v>9</v>
      </c>
      <c r="Q17772" s="3"/>
    </row>
    <row r="17773" spans="1:17" ht="15" x14ac:dyDescent="0.25">
      <c r="A17773" s="3">
        <f>17766</f>
        <v>17766</v>
      </c>
      <c r="B17773" s="3" t="s">
        <v>17775</v>
      </c>
      <c r="C17773" s="3" t="s">
        <v>10</v>
      </c>
      <c r="D17773" s="3" t="s">
        <v>9</v>
      </c>
      <c r="E17773" s="3">
        <v>0</v>
      </c>
      <c r="F17773" s="3">
        <v>0</v>
      </c>
      <c r="G17773" s="3">
        <v>0</v>
      </c>
      <c r="H17773" s="3">
        <v>31</v>
      </c>
      <c r="I17773" s="3">
        <v>0</v>
      </c>
      <c r="J17773" s="3">
        <v>0</v>
      </c>
      <c r="K17773" s="3">
        <v>0</v>
      </c>
      <c r="L17773" s="3">
        <v>0</v>
      </c>
      <c r="M17773" s="3">
        <v>31</v>
      </c>
      <c r="N17773" s="3">
        <v>0</v>
      </c>
      <c r="O17773" s="3" t="s">
        <v>10</v>
      </c>
      <c r="P17773" s="3" t="s">
        <v>9</v>
      </c>
      <c r="Q17773" s="3"/>
    </row>
    <row r="17774" spans="1:17" ht="15" x14ac:dyDescent="0.25">
      <c r="A17774" s="3">
        <f>17767</f>
        <v>17767</v>
      </c>
      <c r="B17774" s="3" t="s">
        <v>17776</v>
      </c>
      <c r="C17774" s="3" t="s">
        <v>10</v>
      </c>
      <c r="D17774" s="3" t="s">
        <v>9</v>
      </c>
      <c r="E17774" s="3">
        <v>0</v>
      </c>
      <c r="F17774" s="3">
        <v>0</v>
      </c>
      <c r="G17774" s="3">
        <v>0</v>
      </c>
      <c r="H17774" s="3">
        <v>31</v>
      </c>
      <c r="I17774" s="3">
        <v>0</v>
      </c>
      <c r="J17774" s="3">
        <v>0</v>
      </c>
      <c r="K17774" s="3">
        <v>0</v>
      </c>
      <c r="L17774" s="3">
        <v>0</v>
      </c>
      <c r="M17774" s="3">
        <v>31</v>
      </c>
      <c r="N17774" s="3">
        <v>0</v>
      </c>
      <c r="O17774" s="3" t="s">
        <v>10</v>
      </c>
      <c r="P17774" s="3" t="s">
        <v>9</v>
      </c>
      <c r="Q17774" s="3"/>
    </row>
    <row r="17775" spans="1:17" ht="15" x14ac:dyDescent="0.25">
      <c r="A17775" s="3">
        <f>17768</f>
        <v>17768</v>
      </c>
      <c r="B17775" s="3" t="s">
        <v>17777</v>
      </c>
      <c r="C17775" s="3" t="s">
        <v>10</v>
      </c>
      <c r="D17775" s="3" t="s">
        <v>9</v>
      </c>
      <c r="E17775" s="3">
        <v>0</v>
      </c>
      <c r="F17775" s="3">
        <v>0</v>
      </c>
      <c r="G17775" s="3">
        <v>0</v>
      </c>
      <c r="H17775" s="3">
        <v>31</v>
      </c>
      <c r="I17775" s="3">
        <v>0</v>
      </c>
      <c r="J17775" s="3">
        <v>0</v>
      </c>
      <c r="K17775" s="3">
        <v>0</v>
      </c>
      <c r="L17775" s="3">
        <v>0</v>
      </c>
      <c r="M17775" s="3">
        <v>31</v>
      </c>
      <c r="N17775" s="3">
        <v>0</v>
      </c>
      <c r="O17775" s="3" t="s">
        <v>10</v>
      </c>
      <c r="P17775" s="3" t="s">
        <v>9</v>
      </c>
      <c r="Q17775" s="3"/>
    </row>
    <row r="17776" spans="1:17" ht="15" x14ac:dyDescent="0.25">
      <c r="A17776" s="3">
        <f>17769</f>
        <v>17769</v>
      </c>
      <c r="B17776" s="3" t="s">
        <v>17778</v>
      </c>
      <c r="C17776" s="3" t="s">
        <v>10</v>
      </c>
      <c r="D17776" s="3" t="s">
        <v>9</v>
      </c>
      <c r="E17776" s="3">
        <v>0</v>
      </c>
      <c r="F17776" s="3">
        <v>0</v>
      </c>
      <c r="G17776" s="3">
        <v>0</v>
      </c>
      <c r="H17776" s="3">
        <v>31</v>
      </c>
      <c r="I17776" s="3">
        <v>0</v>
      </c>
      <c r="J17776" s="3">
        <v>0</v>
      </c>
      <c r="K17776" s="3">
        <v>0</v>
      </c>
      <c r="L17776" s="3">
        <v>0</v>
      </c>
      <c r="M17776" s="3">
        <v>31</v>
      </c>
      <c r="N17776" s="3">
        <v>0</v>
      </c>
      <c r="O17776" s="3" t="s">
        <v>10</v>
      </c>
      <c r="P17776" s="3" t="s">
        <v>9</v>
      </c>
      <c r="Q17776" s="3"/>
    </row>
    <row r="17777" spans="1:17" ht="15" x14ac:dyDescent="0.25">
      <c r="A17777" s="3">
        <f>17770</f>
        <v>17770</v>
      </c>
      <c r="B17777" s="3" t="s">
        <v>17779</v>
      </c>
      <c r="C17777" s="3" t="s">
        <v>10</v>
      </c>
      <c r="D17777" s="3" t="s">
        <v>9</v>
      </c>
      <c r="E17777" s="3">
        <v>0</v>
      </c>
      <c r="F17777" s="3">
        <v>0</v>
      </c>
      <c r="G17777" s="3">
        <v>0</v>
      </c>
      <c r="H17777" s="3">
        <v>31</v>
      </c>
      <c r="I17777" s="3">
        <v>0</v>
      </c>
      <c r="J17777" s="3">
        <v>0</v>
      </c>
      <c r="K17777" s="3">
        <v>0</v>
      </c>
      <c r="L17777" s="3">
        <v>0</v>
      </c>
      <c r="M17777" s="3">
        <v>31</v>
      </c>
      <c r="N17777" s="3">
        <v>0</v>
      </c>
      <c r="O17777" s="3" t="s">
        <v>10</v>
      </c>
      <c r="P17777" s="3" t="s">
        <v>9</v>
      </c>
      <c r="Q17777" s="3"/>
    </row>
    <row r="17778" spans="1:17" ht="15" x14ac:dyDescent="0.25">
      <c r="A17778" s="3">
        <f>17771</f>
        <v>17771</v>
      </c>
      <c r="B17778" s="3" t="s">
        <v>17780</v>
      </c>
      <c r="C17778" s="3" t="s">
        <v>10</v>
      </c>
      <c r="D17778" s="3" t="s">
        <v>9</v>
      </c>
      <c r="E17778" s="3">
        <v>0</v>
      </c>
      <c r="F17778" s="3">
        <v>0</v>
      </c>
      <c r="G17778" s="3">
        <v>0</v>
      </c>
      <c r="H17778" s="3">
        <v>31</v>
      </c>
      <c r="I17778" s="3">
        <v>0</v>
      </c>
      <c r="J17778" s="3">
        <v>0</v>
      </c>
      <c r="K17778" s="3">
        <v>0</v>
      </c>
      <c r="L17778" s="3">
        <v>0</v>
      </c>
      <c r="M17778" s="3">
        <v>31</v>
      </c>
      <c r="N17778" s="3">
        <v>0</v>
      </c>
      <c r="O17778" s="3" t="s">
        <v>10</v>
      </c>
      <c r="P17778" s="3" t="s">
        <v>9</v>
      </c>
      <c r="Q17778" s="3"/>
    </row>
    <row r="17779" spans="1:17" ht="15" x14ac:dyDescent="0.25">
      <c r="A17779" s="3">
        <f>17772</f>
        <v>17772</v>
      </c>
      <c r="B17779" s="3" t="s">
        <v>17781</v>
      </c>
      <c r="C17779" s="3" t="s">
        <v>10</v>
      </c>
      <c r="D17779" s="3" t="s">
        <v>9</v>
      </c>
      <c r="E17779" s="3">
        <v>0</v>
      </c>
      <c r="F17779" s="3">
        <v>0</v>
      </c>
      <c r="G17779" s="3">
        <v>0</v>
      </c>
      <c r="H17779" s="3">
        <v>31</v>
      </c>
      <c r="I17779" s="3">
        <v>0</v>
      </c>
      <c r="J17779" s="3">
        <v>0</v>
      </c>
      <c r="K17779" s="3">
        <v>0</v>
      </c>
      <c r="L17779" s="3">
        <v>0</v>
      </c>
      <c r="M17779" s="3">
        <v>31</v>
      </c>
      <c r="N17779" s="3">
        <v>0</v>
      </c>
      <c r="O17779" s="3" t="s">
        <v>10</v>
      </c>
      <c r="P17779" s="3" t="s">
        <v>9</v>
      </c>
      <c r="Q17779" s="3"/>
    </row>
    <row r="17780" spans="1:17" ht="15" x14ac:dyDescent="0.25">
      <c r="A17780" s="3">
        <f>17773</f>
        <v>17773</v>
      </c>
      <c r="B17780" s="3" t="s">
        <v>17782</v>
      </c>
      <c r="C17780" s="3" t="s">
        <v>10</v>
      </c>
      <c r="D17780" s="3" t="s">
        <v>9</v>
      </c>
      <c r="E17780" s="3">
        <v>0</v>
      </c>
      <c r="F17780" s="3">
        <v>0</v>
      </c>
      <c r="G17780" s="3">
        <v>0</v>
      </c>
      <c r="H17780" s="3">
        <v>31</v>
      </c>
      <c r="I17780" s="3">
        <v>0</v>
      </c>
      <c r="J17780" s="3">
        <v>0</v>
      </c>
      <c r="K17780" s="3">
        <v>0</v>
      </c>
      <c r="L17780" s="3">
        <v>0</v>
      </c>
      <c r="M17780" s="3">
        <v>31</v>
      </c>
      <c r="N17780" s="3">
        <v>0</v>
      </c>
      <c r="O17780" s="3" t="s">
        <v>10</v>
      </c>
      <c r="P17780" s="3" t="s">
        <v>9</v>
      </c>
      <c r="Q17780" s="3"/>
    </row>
    <row r="17781" spans="1:17" ht="15" x14ac:dyDescent="0.25">
      <c r="A17781" s="3">
        <f>17774</f>
        <v>17774</v>
      </c>
      <c r="B17781" s="3" t="s">
        <v>17783</v>
      </c>
      <c r="C17781" s="3" t="s">
        <v>10</v>
      </c>
      <c r="D17781" s="3" t="s">
        <v>9</v>
      </c>
      <c r="E17781" s="3">
        <v>0</v>
      </c>
      <c r="F17781" s="3">
        <v>0</v>
      </c>
      <c r="G17781" s="3">
        <v>0</v>
      </c>
      <c r="H17781" s="3">
        <v>31</v>
      </c>
      <c r="I17781" s="3">
        <v>0</v>
      </c>
      <c r="J17781" s="3">
        <v>0</v>
      </c>
      <c r="K17781" s="3">
        <v>0</v>
      </c>
      <c r="L17781" s="3">
        <v>0</v>
      </c>
      <c r="M17781" s="3">
        <v>31</v>
      </c>
      <c r="N17781" s="3">
        <v>0</v>
      </c>
      <c r="O17781" s="3" t="s">
        <v>10</v>
      </c>
      <c r="P17781" s="3" t="s">
        <v>9</v>
      </c>
      <c r="Q17781" s="3"/>
    </row>
    <row r="17782" spans="1:17" ht="15" x14ac:dyDescent="0.25">
      <c r="A17782" s="3">
        <f>17775</f>
        <v>17775</v>
      </c>
      <c r="B17782" s="3" t="s">
        <v>17784</v>
      </c>
      <c r="C17782" s="3" t="s">
        <v>10</v>
      </c>
      <c r="D17782" s="3" t="s">
        <v>9</v>
      </c>
      <c r="E17782" s="3">
        <v>0</v>
      </c>
      <c r="F17782" s="3">
        <v>0</v>
      </c>
      <c r="G17782" s="3">
        <v>0</v>
      </c>
      <c r="H17782" s="3">
        <v>31</v>
      </c>
      <c r="I17782" s="3">
        <v>0</v>
      </c>
      <c r="J17782" s="3">
        <v>0</v>
      </c>
      <c r="K17782" s="3">
        <v>0</v>
      </c>
      <c r="L17782" s="3">
        <v>0</v>
      </c>
      <c r="M17782" s="3">
        <v>31</v>
      </c>
      <c r="N17782" s="3">
        <v>0</v>
      </c>
      <c r="O17782" s="3" t="s">
        <v>10</v>
      </c>
      <c r="P17782" s="3" t="s">
        <v>9</v>
      </c>
      <c r="Q17782" s="3"/>
    </row>
    <row r="17783" spans="1:17" ht="15" x14ac:dyDescent="0.25">
      <c r="A17783" s="3">
        <f>17776</f>
        <v>17776</v>
      </c>
      <c r="B17783" s="3" t="s">
        <v>17785</v>
      </c>
      <c r="C17783" s="3" t="s">
        <v>10</v>
      </c>
      <c r="D17783" s="3" t="s">
        <v>9</v>
      </c>
      <c r="E17783" s="3">
        <v>0</v>
      </c>
      <c r="F17783" s="3">
        <v>0</v>
      </c>
      <c r="G17783" s="3">
        <v>0</v>
      </c>
      <c r="H17783" s="3">
        <v>31</v>
      </c>
      <c r="I17783" s="3">
        <v>0</v>
      </c>
      <c r="J17783" s="3">
        <v>0</v>
      </c>
      <c r="K17783" s="3">
        <v>0</v>
      </c>
      <c r="L17783" s="3">
        <v>0</v>
      </c>
      <c r="M17783" s="3">
        <v>31</v>
      </c>
      <c r="N17783" s="3">
        <v>0</v>
      </c>
      <c r="O17783" s="3" t="s">
        <v>10</v>
      </c>
      <c r="P17783" s="3" t="s">
        <v>9</v>
      </c>
      <c r="Q17783" s="3"/>
    </row>
    <row r="17784" spans="1:17" ht="15" x14ac:dyDescent="0.25">
      <c r="A17784" s="3">
        <f>17777</f>
        <v>17777</v>
      </c>
      <c r="B17784" s="3" t="s">
        <v>17786</v>
      </c>
      <c r="C17784" s="3" t="s">
        <v>10</v>
      </c>
      <c r="D17784" s="3" t="s">
        <v>9</v>
      </c>
      <c r="E17784" s="3">
        <v>0</v>
      </c>
      <c r="F17784" s="3">
        <v>0</v>
      </c>
      <c r="G17784" s="3">
        <v>0</v>
      </c>
      <c r="H17784" s="3">
        <v>31</v>
      </c>
      <c r="I17784" s="3">
        <v>0</v>
      </c>
      <c r="J17784" s="3">
        <v>0</v>
      </c>
      <c r="K17784" s="3">
        <v>0</v>
      </c>
      <c r="L17784" s="3">
        <v>0</v>
      </c>
      <c r="M17784" s="3">
        <v>31</v>
      </c>
      <c r="N17784" s="3">
        <v>0</v>
      </c>
      <c r="O17784" s="3" t="s">
        <v>10</v>
      </c>
      <c r="P17784" s="3" t="s">
        <v>9</v>
      </c>
      <c r="Q17784" s="3"/>
    </row>
    <row r="17785" spans="1:17" ht="15" x14ac:dyDescent="0.25">
      <c r="A17785" s="3">
        <f>17778</f>
        <v>17778</v>
      </c>
      <c r="B17785" s="3" t="s">
        <v>17787</v>
      </c>
      <c r="C17785" s="3" t="s">
        <v>10</v>
      </c>
      <c r="D17785" s="3" t="s">
        <v>9</v>
      </c>
      <c r="E17785" s="3">
        <v>0</v>
      </c>
      <c r="F17785" s="3">
        <v>0</v>
      </c>
      <c r="G17785" s="3">
        <v>0</v>
      </c>
      <c r="H17785" s="3">
        <v>31</v>
      </c>
      <c r="I17785" s="3">
        <v>0</v>
      </c>
      <c r="J17785" s="3">
        <v>0</v>
      </c>
      <c r="K17785" s="3">
        <v>0</v>
      </c>
      <c r="L17785" s="3">
        <v>0</v>
      </c>
      <c r="M17785" s="3">
        <v>31</v>
      </c>
      <c r="N17785" s="3">
        <v>0</v>
      </c>
      <c r="O17785" s="3" t="s">
        <v>10</v>
      </c>
      <c r="P17785" s="3" t="s">
        <v>9</v>
      </c>
      <c r="Q17785" s="3"/>
    </row>
    <row r="17786" spans="1:17" ht="15" x14ac:dyDescent="0.25">
      <c r="A17786" s="3">
        <f>17779</f>
        <v>17779</v>
      </c>
      <c r="B17786" s="3" t="s">
        <v>17788</v>
      </c>
      <c r="C17786" s="3" t="s">
        <v>10</v>
      </c>
      <c r="D17786" s="3" t="s">
        <v>9</v>
      </c>
      <c r="E17786" s="3">
        <v>0</v>
      </c>
      <c r="F17786" s="3">
        <v>0</v>
      </c>
      <c r="G17786" s="3">
        <v>0</v>
      </c>
      <c r="H17786" s="3">
        <v>31</v>
      </c>
      <c r="I17786" s="3">
        <v>0</v>
      </c>
      <c r="J17786" s="3">
        <v>0</v>
      </c>
      <c r="K17786" s="3">
        <v>0</v>
      </c>
      <c r="L17786" s="3">
        <v>0</v>
      </c>
      <c r="M17786" s="3">
        <v>31</v>
      </c>
      <c r="N17786" s="3">
        <v>0</v>
      </c>
      <c r="O17786" s="3" t="s">
        <v>10</v>
      </c>
      <c r="P17786" s="3" t="s">
        <v>9</v>
      </c>
      <c r="Q17786" s="3"/>
    </row>
    <row r="17787" spans="1:17" ht="15" x14ac:dyDescent="0.25">
      <c r="A17787" s="3">
        <f>17780</f>
        <v>17780</v>
      </c>
      <c r="B17787" s="3" t="s">
        <v>17789</v>
      </c>
      <c r="C17787" s="3" t="s">
        <v>10</v>
      </c>
      <c r="D17787" s="3" t="s">
        <v>9</v>
      </c>
      <c r="E17787" s="3">
        <v>0</v>
      </c>
      <c r="F17787" s="3">
        <v>0</v>
      </c>
      <c r="G17787" s="3">
        <v>0</v>
      </c>
      <c r="H17787" s="3">
        <v>31</v>
      </c>
      <c r="I17787" s="3">
        <v>0</v>
      </c>
      <c r="J17787" s="3">
        <v>0</v>
      </c>
      <c r="K17787" s="3">
        <v>0</v>
      </c>
      <c r="L17787" s="3">
        <v>0</v>
      </c>
      <c r="M17787" s="3">
        <v>31</v>
      </c>
      <c r="N17787" s="3">
        <v>0</v>
      </c>
      <c r="O17787" s="3" t="s">
        <v>10</v>
      </c>
      <c r="P17787" s="3" t="s">
        <v>9</v>
      </c>
      <c r="Q17787" s="3"/>
    </row>
    <row r="17788" spans="1:17" ht="15" x14ac:dyDescent="0.25">
      <c r="A17788" s="3">
        <f>17781</f>
        <v>17781</v>
      </c>
      <c r="B17788" s="3" t="s">
        <v>17790</v>
      </c>
      <c r="C17788" s="3" t="s">
        <v>10</v>
      </c>
      <c r="D17788" s="3" t="s">
        <v>9</v>
      </c>
      <c r="E17788" s="3">
        <v>0</v>
      </c>
      <c r="F17788" s="3">
        <v>0</v>
      </c>
      <c r="G17788" s="3">
        <v>0</v>
      </c>
      <c r="H17788" s="3">
        <v>31</v>
      </c>
      <c r="I17788" s="3">
        <v>0</v>
      </c>
      <c r="J17788" s="3">
        <v>0</v>
      </c>
      <c r="K17788" s="3">
        <v>0</v>
      </c>
      <c r="L17788" s="3">
        <v>0</v>
      </c>
      <c r="M17788" s="3">
        <v>31</v>
      </c>
      <c r="N17788" s="3">
        <v>0</v>
      </c>
      <c r="O17788" s="3" t="s">
        <v>10</v>
      </c>
      <c r="P17788" s="3" t="s">
        <v>9</v>
      </c>
      <c r="Q17788" s="3"/>
    </row>
    <row r="17789" spans="1:17" ht="15" x14ac:dyDescent="0.25">
      <c r="A17789" s="3">
        <f>17782</f>
        <v>17782</v>
      </c>
      <c r="B17789" s="3" t="s">
        <v>17791</v>
      </c>
      <c r="C17789" s="3" t="s">
        <v>10</v>
      </c>
      <c r="D17789" s="3" t="s">
        <v>9</v>
      </c>
      <c r="E17789" s="3">
        <v>0</v>
      </c>
      <c r="F17789" s="3">
        <v>0</v>
      </c>
      <c r="G17789" s="3">
        <v>0</v>
      </c>
      <c r="H17789" s="3">
        <v>31</v>
      </c>
      <c r="I17789" s="3">
        <v>0</v>
      </c>
      <c r="J17789" s="3">
        <v>0</v>
      </c>
      <c r="K17789" s="3">
        <v>0</v>
      </c>
      <c r="L17789" s="3">
        <v>0</v>
      </c>
      <c r="M17789" s="3">
        <v>31</v>
      </c>
      <c r="N17789" s="3">
        <v>0</v>
      </c>
      <c r="O17789" s="3" t="s">
        <v>10</v>
      </c>
      <c r="P17789" s="3" t="s">
        <v>9</v>
      </c>
      <c r="Q17789" s="3"/>
    </row>
    <row r="17790" spans="1:17" ht="15" x14ac:dyDescent="0.25">
      <c r="A17790" s="3">
        <f>17783</f>
        <v>17783</v>
      </c>
      <c r="B17790" s="3" t="s">
        <v>17792</v>
      </c>
      <c r="C17790" s="3" t="s">
        <v>10</v>
      </c>
      <c r="D17790" s="3" t="s">
        <v>9</v>
      </c>
      <c r="E17790" s="3">
        <v>0</v>
      </c>
      <c r="F17790" s="3">
        <v>0</v>
      </c>
      <c r="G17790" s="3">
        <v>0</v>
      </c>
      <c r="H17790" s="3">
        <v>31</v>
      </c>
      <c r="I17790" s="3">
        <v>0</v>
      </c>
      <c r="J17790" s="3">
        <v>0</v>
      </c>
      <c r="K17790" s="3">
        <v>0</v>
      </c>
      <c r="L17790" s="3">
        <v>0</v>
      </c>
      <c r="M17790" s="3">
        <v>31</v>
      </c>
      <c r="N17790" s="3">
        <v>0</v>
      </c>
      <c r="O17790" s="3" t="s">
        <v>10</v>
      </c>
      <c r="P17790" s="3" t="s">
        <v>9</v>
      </c>
      <c r="Q17790" s="3"/>
    </row>
    <row r="17791" spans="1:17" ht="15" x14ac:dyDescent="0.25">
      <c r="A17791" s="3">
        <f>17784</f>
        <v>17784</v>
      </c>
      <c r="B17791" s="3" t="s">
        <v>17793</v>
      </c>
      <c r="C17791" s="3" t="s">
        <v>10</v>
      </c>
      <c r="D17791" s="3" t="s">
        <v>9</v>
      </c>
      <c r="E17791" s="3">
        <v>0</v>
      </c>
      <c r="F17791" s="3">
        <v>0</v>
      </c>
      <c r="G17791" s="3">
        <v>0</v>
      </c>
      <c r="H17791" s="3">
        <v>31</v>
      </c>
      <c r="I17791" s="3">
        <v>0</v>
      </c>
      <c r="J17791" s="3">
        <v>0</v>
      </c>
      <c r="K17791" s="3">
        <v>0</v>
      </c>
      <c r="L17791" s="3">
        <v>0</v>
      </c>
      <c r="M17791" s="3">
        <v>31</v>
      </c>
      <c r="N17791" s="3">
        <v>0</v>
      </c>
      <c r="O17791" s="3" t="s">
        <v>10</v>
      </c>
      <c r="P17791" s="3" t="s">
        <v>9</v>
      </c>
      <c r="Q17791" s="3"/>
    </row>
    <row r="17792" spans="1:17" ht="15" x14ac:dyDescent="0.25">
      <c r="A17792" s="3">
        <f>17785</f>
        <v>17785</v>
      </c>
      <c r="B17792" s="3" t="s">
        <v>17794</v>
      </c>
      <c r="C17792" s="3" t="s">
        <v>10</v>
      </c>
      <c r="D17792" s="3" t="s">
        <v>9</v>
      </c>
      <c r="E17792" s="3">
        <v>0</v>
      </c>
      <c r="F17792" s="3">
        <v>0</v>
      </c>
      <c r="G17792" s="3">
        <v>0</v>
      </c>
      <c r="H17792" s="3">
        <v>31</v>
      </c>
      <c r="I17792" s="3">
        <v>0</v>
      </c>
      <c r="J17792" s="3">
        <v>0</v>
      </c>
      <c r="K17792" s="3">
        <v>0</v>
      </c>
      <c r="L17792" s="3">
        <v>0</v>
      </c>
      <c r="M17792" s="3">
        <v>31</v>
      </c>
      <c r="N17792" s="3">
        <v>0</v>
      </c>
      <c r="O17792" s="3" t="s">
        <v>10</v>
      </c>
      <c r="P17792" s="3" t="s">
        <v>9</v>
      </c>
      <c r="Q17792" s="3"/>
    </row>
    <row r="17793" spans="1:17" ht="15" x14ac:dyDescent="0.25">
      <c r="A17793" s="3">
        <f>17786</f>
        <v>17786</v>
      </c>
      <c r="B17793" s="3" t="s">
        <v>17795</v>
      </c>
      <c r="C17793" s="3" t="s">
        <v>10</v>
      </c>
      <c r="D17793" s="3" t="s">
        <v>9</v>
      </c>
      <c r="E17793" s="3">
        <v>0</v>
      </c>
      <c r="F17793" s="3">
        <v>0</v>
      </c>
      <c r="G17793" s="3">
        <v>0</v>
      </c>
      <c r="H17793" s="3">
        <v>31</v>
      </c>
      <c r="I17793" s="3">
        <v>0</v>
      </c>
      <c r="J17793" s="3">
        <v>0</v>
      </c>
      <c r="K17793" s="3">
        <v>0</v>
      </c>
      <c r="L17793" s="3">
        <v>0</v>
      </c>
      <c r="M17793" s="3">
        <v>31</v>
      </c>
      <c r="N17793" s="3">
        <v>0</v>
      </c>
      <c r="O17793" s="3" t="s">
        <v>10</v>
      </c>
      <c r="P17793" s="3" t="s">
        <v>9</v>
      </c>
      <c r="Q17793" s="3"/>
    </row>
    <row r="17794" spans="1:17" ht="15" x14ac:dyDescent="0.25">
      <c r="A17794" s="3">
        <f>17787</f>
        <v>17787</v>
      </c>
      <c r="B17794" s="3" t="s">
        <v>17796</v>
      </c>
      <c r="C17794" s="3" t="s">
        <v>10</v>
      </c>
      <c r="D17794" s="3" t="s">
        <v>9</v>
      </c>
      <c r="E17794" s="3">
        <v>0</v>
      </c>
      <c r="F17794" s="3">
        <v>0</v>
      </c>
      <c r="G17794" s="3">
        <v>0</v>
      </c>
      <c r="H17794" s="3">
        <v>31</v>
      </c>
      <c r="I17794" s="3">
        <v>0</v>
      </c>
      <c r="J17794" s="3">
        <v>0</v>
      </c>
      <c r="K17794" s="3">
        <v>0</v>
      </c>
      <c r="L17794" s="3">
        <v>0</v>
      </c>
      <c r="M17794" s="3">
        <v>31</v>
      </c>
      <c r="N17794" s="3">
        <v>0</v>
      </c>
      <c r="O17794" s="3" t="s">
        <v>10</v>
      </c>
      <c r="P17794" s="3" t="s">
        <v>9</v>
      </c>
      <c r="Q17794" s="3"/>
    </row>
    <row r="17795" spans="1:17" ht="15" x14ac:dyDescent="0.25">
      <c r="A17795" s="3">
        <f>17788</f>
        <v>17788</v>
      </c>
      <c r="B17795" s="3" t="s">
        <v>17797</v>
      </c>
      <c r="C17795" s="3" t="s">
        <v>10</v>
      </c>
      <c r="D17795" s="3" t="s">
        <v>9</v>
      </c>
      <c r="E17795" s="3">
        <v>0</v>
      </c>
      <c r="F17795" s="3">
        <v>0</v>
      </c>
      <c r="G17795" s="3">
        <v>0</v>
      </c>
      <c r="H17795" s="3">
        <v>31</v>
      </c>
      <c r="I17795" s="3">
        <v>0</v>
      </c>
      <c r="J17795" s="3">
        <v>0</v>
      </c>
      <c r="K17795" s="3">
        <v>0</v>
      </c>
      <c r="L17795" s="3">
        <v>0</v>
      </c>
      <c r="M17795" s="3">
        <v>31</v>
      </c>
      <c r="N17795" s="3">
        <v>0</v>
      </c>
      <c r="O17795" s="3" t="s">
        <v>10</v>
      </c>
      <c r="P17795" s="3" t="s">
        <v>9</v>
      </c>
      <c r="Q17795" s="3"/>
    </row>
    <row r="17796" spans="1:17" ht="15" x14ac:dyDescent="0.25">
      <c r="A17796" s="3">
        <f>17789</f>
        <v>17789</v>
      </c>
      <c r="B17796" s="3" t="s">
        <v>17798</v>
      </c>
      <c r="C17796" s="3" t="s">
        <v>10</v>
      </c>
      <c r="D17796" s="3" t="s">
        <v>9</v>
      </c>
      <c r="E17796" s="3">
        <v>0</v>
      </c>
      <c r="F17796" s="3">
        <v>0</v>
      </c>
      <c r="G17796" s="3">
        <v>0</v>
      </c>
      <c r="H17796" s="3">
        <v>31</v>
      </c>
      <c r="I17796" s="3">
        <v>0</v>
      </c>
      <c r="J17796" s="3">
        <v>0</v>
      </c>
      <c r="K17796" s="3">
        <v>0</v>
      </c>
      <c r="L17796" s="3">
        <v>0</v>
      </c>
      <c r="M17796" s="3">
        <v>31</v>
      </c>
      <c r="N17796" s="3">
        <v>0</v>
      </c>
      <c r="O17796" s="3" t="s">
        <v>10</v>
      </c>
      <c r="P17796" s="3" t="s">
        <v>9</v>
      </c>
      <c r="Q17796" s="3"/>
    </row>
    <row r="17797" spans="1:17" ht="15" x14ac:dyDescent="0.25">
      <c r="A17797" s="3">
        <f>17790</f>
        <v>17790</v>
      </c>
      <c r="B17797" s="3" t="s">
        <v>17799</v>
      </c>
      <c r="C17797" s="3" t="s">
        <v>10</v>
      </c>
      <c r="D17797" s="3" t="s">
        <v>9</v>
      </c>
      <c r="E17797" s="3">
        <v>0</v>
      </c>
      <c r="F17797" s="3">
        <v>0</v>
      </c>
      <c r="G17797" s="3">
        <v>0</v>
      </c>
      <c r="H17797" s="3">
        <v>31</v>
      </c>
      <c r="I17797" s="3">
        <v>0</v>
      </c>
      <c r="J17797" s="3">
        <v>0</v>
      </c>
      <c r="K17797" s="3">
        <v>0</v>
      </c>
      <c r="L17797" s="3">
        <v>0</v>
      </c>
      <c r="M17797" s="3">
        <v>31</v>
      </c>
      <c r="N17797" s="3">
        <v>0</v>
      </c>
      <c r="O17797" s="3" t="s">
        <v>10</v>
      </c>
      <c r="P17797" s="3" t="s">
        <v>9</v>
      </c>
      <c r="Q17797" s="3"/>
    </row>
    <row r="17798" spans="1:17" ht="15" x14ac:dyDescent="0.25">
      <c r="A17798" s="3">
        <f>17791</f>
        <v>17791</v>
      </c>
      <c r="B17798" s="3" t="s">
        <v>17800</v>
      </c>
      <c r="C17798" s="3" t="s">
        <v>10</v>
      </c>
      <c r="D17798" s="3" t="s">
        <v>9</v>
      </c>
      <c r="E17798" s="3">
        <v>0</v>
      </c>
      <c r="F17798" s="3">
        <v>0</v>
      </c>
      <c r="G17798" s="3">
        <v>0</v>
      </c>
      <c r="H17798" s="3">
        <v>31</v>
      </c>
      <c r="I17798" s="3">
        <v>0</v>
      </c>
      <c r="J17798" s="3">
        <v>0</v>
      </c>
      <c r="K17798" s="3">
        <v>0</v>
      </c>
      <c r="L17798" s="3">
        <v>0</v>
      </c>
      <c r="M17798" s="3">
        <v>31</v>
      </c>
      <c r="N17798" s="3">
        <v>0</v>
      </c>
      <c r="O17798" s="3" t="s">
        <v>10</v>
      </c>
      <c r="P17798" s="3" t="s">
        <v>9</v>
      </c>
      <c r="Q17798" s="3"/>
    </row>
    <row r="17799" spans="1:17" ht="15" x14ac:dyDescent="0.25">
      <c r="A17799" s="3">
        <f>17792</f>
        <v>17792</v>
      </c>
      <c r="B17799" s="3" t="s">
        <v>17801</v>
      </c>
      <c r="C17799" s="3" t="s">
        <v>10</v>
      </c>
      <c r="D17799" s="3" t="s">
        <v>9</v>
      </c>
      <c r="E17799" s="3">
        <v>0</v>
      </c>
      <c r="F17799" s="3">
        <v>0</v>
      </c>
      <c r="G17799" s="3">
        <v>0</v>
      </c>
      <c r="H17799" s="3">
        <v>31</v>
      </c>
      <c r="I17799" s="3">
        <v>0</v>
      </c>
      <c r="J17799" s="3">
        <v>0</v>
      </c>
      <c r="K17799" s="3">
        <v>0</v>
      </c>
      <c r="L17799" s="3">
        <v>0</v>
      </c>
      <c r="M17799" s="3">
        <v>31</v>
      </c>
      <c r="N17799" s="3">
        <v>0</v>
      </c>
      <c r="O17799" s="3" t="s">
        <v>10</v>
      </c>
      <c r="P17799" s="3" t="s">
        <v>9</v>
      </c>
      <c r="Q17799" s="3"/>
    </row>
    <row r="17800" spans="1:17" ht="15" x14ac:dyDescent="0.25">
      <c r="A17800" s="3">
        <f>17793</f>
        <v>17793</v>
      </c>
      <c r="B17800" s="3" t="s">
        <v>17802</v>
      </c>
      <c r="C17800" s="3" t="s">
        <v>10</v>
      </c>
      <c r="D17800" s="3" t="s">
        <v>9</v>
      </c>
      <c r="E17800" s="3">
        <v>0</v>
      </c>
      <c r="F17800" s="3">
        <v>0</v>
      </c>
      <c r="G17800" s="3">
        <v>0</v>
      </c>
      <c r="H17800" s="3">
        <v>31</v>
      </c>
      <c r="I17800" s="3">
        <v>0</v>
      </c>
      <c r="J17800" s="3">
        <v>0</v>
      </c>
      <c r="K17800" s="3">
        <v>0</v>
      </c>
      <c r="L17800" s="3">
        <v>0</v>
      </c>
      <c r="M17800" s="3">
        <v>31</v>
      </c>
      <c r="N17800" s="3">
        <v>0</v>
      </c>
      <c r="O17800" s="3" t="s">
        <v>10</v>
      </c>
      <c r="P17800" s="3" t="s">
        <v>9</v>
      </c>
      <c r="Q17800" s="3"/>
    </row>
    <row r="17801" spans="1:17" ht="15" x14ac:dyDescent="0.25">
      <c r="A17801" s="3">
        <f>17794</f>
        <v>17794</v>
      </c>
      <c r="B17801" s="3" t="s">
        <v>17803</v>
      </c>
      <c r="C17801" s="3" t="s">
        <v>10</v>
      </c>
      <c r="D17801" s="3" t="s">
        <v>9</v>
      </c>
      <c r="E17801" s="3">
        <v>0</v>
      </c>
      <c r="F17801" s="3">
        <v>0</v>
      </c>
      <c r="G17801" s="3">
        <v>0</v>
      </c>
      <c r="H17801" s="3">
        <v>31</v>
      </c>
      <c r="I17801" s="3">
        <v>0</v>
      </c>
      <c r="J17801" s="3">
        <v>0</v>
      </c>
      <c r="K17801" s="3">
        <v>0</v>
      </c>
      <c r="L17801" s="3">
        <v>0</v>
      </c>
      <c r="M17801" s="3">
        <v>31</v>
      </c>
      <c r="N17801" s="3">
        <v>0</v>
      </c>
      <c r="O17801" s="3" t="s">
        <v>10</v>
      </c>
      <c r="P17801" s="3" t="s">
        <v>9</v>
      </c>
      <c r="Q17801" s="3"/>
    </row>
    <row r="17802" spans="1:17" ht="15" x14ac:dyDescent="0.25">
      <c r="A17802" s="3">
        <f>17795</f>
        <v>17795</v>
      </c>
      <c r="B17802" s="3" t="s">
        <v>17804</v>
      </c>
      <c r="C17802" s="3" t="s">
        <v>10</v>
      </c>
      <c r="D17802" s="3" t="s">
        <v>9</v>
      </c>
      <c r="E17802" s="3">
        <v>0</v>
      </c>
      <c r="F17802" s="3">
        <v>0</v>
      </c>
      <c r="G17802" s="3">
        <v>0</v>
      </c>
      <c r="H17802" s="3">
        <v>31</v>
      </c>
      <c r="I17802" s="3">
        <v>0</v>
      </c>
      <c r="J17802" s="3">
        <v>0</v>
      </c>
      <c r="K17802" s="3">
        <v>0</v>
      </c>
      <c r="L17802" s="3">
        <v>0</v>
      </c>
      <c r="M17802" s="3">
        <v>31</v>
      </c>
      <c r="N17802" s="3">
        <v>0</v>
      </c>
      <c r="O17802" s="3" t="s">
        <v>10</v>
      </c>
      <c r="P17802" s="3" t="s">
        <v>9</v>
      </c>
      <c r="Q17802" s="3"/>
    </row>
    <row r="17803" spans="1:17" ht="15" x14ac:dyDescent="0.25">
      <c r="A17803" s="3">
        <f>17796</f>
        <v>17796</v>
      </c>
      <c r="B17803" s="3" t="s">
        <v>17805</v>
      </c>
      <c r="C17803" s="3" t="s">
        <v>10</v>
      </c>
      <c r="D17803" s="3" t="s">
        <v>9</v>
      </c>
      <c r="E17803" s="3">
        <v>0</v>
      </c>
      <c r="F17803" s="3">
        <v>0</v>
      </c>
      <c r="G17803" s="3">
        <v>0</v>
      </c>
      <c r="H17803" s="3">
        <v>31</v>
      </c>
      <c r="I17803" s="3">
        <v>0</v>
      </c>
      <c r="J17803" s="3">
        <v>0</v>
      </c>
      <c r="K17803" s="3">
        <v>0</v>
      </c>
      <c r="L17803" s="3">
        <v>0</v>
      </c>
      <c r="M17803" s="3">
        <v>31</v>
      </c>
      <c r="N17803" s="3">
        <v>0</v>
      </c>
      <c r="O17803" s="3" t="s">
        <v>10</v>
      </c>
      <c r="P17803" s="3" t="s">
        <v>9</v>
      </c>
      <c r="Q17803" s="3"/>
    </row>
    <row r="17804" spans="1:17" ht="15" x14ac:dyDescent="0.25">
      <c r="A17804" s="3">
        <f>17797</f>
        <v>17797</v>
      </c>
      <c r="B17804" s="3" t="s">
        <v>17806</v>
      </c>
      <c r="C17804" s="3" t="s">
        <v>10</v>
      </c>
      <c r="D17804" s="3" t="s">
        <v>9</v>
      </c>
      <c r="E17804" s="3">
        <v>0</v>
      </c>
      <c r="F17804" s="3">
        <v>0</v>
      </c>
      <c r="G17804" s="3">
        <v>0</v>
      </c>
      <c r="H17804" s="3">
        <v>31</v>
      </c>
      <c r="I17804" s="3">
        <v>0</v>
      </c>
      <c r="J17804" s="3">
        <v>0</v>
      </c>
      <c r="K17804" s="3">
        <v>0</v>
      </c>
      <c r="L17804" s="3">
        <v>0</v>
      </c>
      <c r="M17804" s="3">
        <v>31</v>
      </c>
      <c r="N17804" s="3">
        <v>0</v>
      </c>
      <c r="O17804" s="3" t="s">
        <v>10</v>
      </c>
      <c r="P17804" s="3" t="s">
        <v>9</v>
      </c>
      <c r="Q17804" s="3"/>
    </row>
    <row r="17805" spans="1:17" ht="15" x14ac:dyDescent="0.25">
      <c r="A17805" s="3">
        <f>17798</f>
        <v>17798</v>
      </c>
      <c r="B17805" s="3" t="s">
        <v>17807</v>
      </c>
      <c r="C17805" s="3" t="s">
        <v>10</v>
      </c>
      <c r="D17805" s="3" t="s">
        <v>9</v>
      </c>
      <c r="E17805" s="3">
        <v>0</v>
      </c>
      <c r="F17805" s="3">
        <v>0</v>
      </c>
      <c r="G17805" s="3">
        <v>0</v>
      </c>
      <c r="H17805" s="3">
        <v>31</v>
      </c>
      <c r="I17805" s="3">
        <v>0</v>
      </c>
      <c r="J17805" s="3">
        <v>0</v>
      </c>
      <c r="K17805" s="3">
        <v>0</v>
      </c>
      <c r="L17805" s="3">
        <v>0</v>
      </c>
      <c r="M17805" s="3">
        <v>31</v>
      </c>
      <c r="N17805" s="3">
        <v>0</v>
      </c>
      <c r="O17805" s="3" t="s">
        <v>10</v>
      </c>
      <c r="P17805" s="3" t="s">
        <v>9</v>
      </c>
      <c r="Q17805" s="3"/>
    </row>
    <row r="17806" spans="1:17" ht="15" x14ac:dyDescent="0.25">
      <c r="A17806" s="3">
        <f>17799</f>
        <v>17799</v>
      </c>
      <c r="B17806" s="3" t="s">
        <v>17808</v>
      </c>
      <c r="C17806" s="3" t="s">
        <v>10</v>
      </c>
      <c r="D17806" s="3" t="s">
        <v>9</v>
      </c>
      <c r="E17806" s="3">
        <v>0</v>
      </c>
      <c r="F17806" s="3">
        <v>0</v>
      </c>
      <c r="G17806" s="3">
        <v>0</v>
      </c>
      <c r="H17806" s="3">
        <v>31</v>
      </c>
      <c r="I17806" s="3">
        <v>0</v>
      </c>
      <c r="J17806" s="3">
        <v>0</v>
      </c>
      <c r="K17806" s="3">
        <v>0</v>
      </c>
      <c r="L17806" s="3">
        <v>0</v>
      </c>
      <c r="M17806" s="3">
        <v>31</v>
      </c>
      <c r="N17806" s="3">
        <v>0</v>
      </c>
      <c r="O17806" s="3" t="s">
        <v>10</v>
      </c>
      <c r="P17806" s="3" t="s">
        <v>9</v>
      </c>
      <c r="Q17806" s="3"/>
    </row>
    <row r="17807" spans="1:17" ht="15" x14ac:dyDescent="0.25">
      <c r="A17807" s="3">
        <f>17800</f>
        <v>17800</v>
      </c>
      <c r="B17807" s="3" t="s">
        <v>17809</v>
      </c>
      <c r="C17807" s="3" t="s">
        <v>10</v>
      </c>
      <c r="D17807" s="3" t="s">
        <v>9</v>
      </c>
      <c r="E17807" s="3">
        <v>0</v>
      </c>
      <c r="F17807" s="3">
        <v>0</v>
      </c>
      <c r="G17807" s="3">
        <v>0</v>
      </c>
      <c r="H17807" s="3">
        <v>31</v>
      </c>
      <c r="I17807" s="3">
        <v>0</v>
      </c>
      <c r="J17807" s="3">
        <v>0</v>
      </c>
      <c r="K17807" s="3">
        <v>0</v>
      </c>
      <c r="L17807" s="3">
        <v>0</v>
      </c>
      <c r="M17807" s="3">
        <v>31</v>
      </c>
      <c r="N17807" s="3">
        <v>0</v>
      </c>
      <c r="O17807" s="3" t="s">
        <v>10</v>
      </c>
      <c r="P17807" s="3" t="s">
        <v>9</v>
      </c>
      <c r="Q17807" s="3"/>
    </row>
    <row r="17808" spans="1:17" ht="15" x14ac:dyDescent="0.25">
      <c r="A17808" s="3">
        <f>17801</f>
        <v>17801</v>
      </c>
      <c r="B17808" s="3" t="s">
        <v>17810</v>
      </c>
      <c r="C17808" s="3" t="s">
        <v>10</v>
      </c>
      <c r="D17808" s="3" t="s">
        <v>9</v>
      </c>
      <c r="E17808" s="3">
        <v>0</v>
      </c>
      <c r="F17808" s="3">
        <v>0</v>
      </c>
      <c r="G17808" s="3">
        <v>0</v>
      </c>
      <c r="H17808" s="3">
        <v>31</v>
      </c>
      <c r="I17808" s="3">
        <v>0</v>
      </c>
      <c r="J17808" s="3">
        <v>0</v>
      </c>
      <c r="K17808" s="3">
        <v>0</v>
      </c>
      <c r="L17808" s="3">
        <v>0</v>
      </c>
      <c r="M17808" s="3">
        <v>31</v>
      </c>
      <c r="N17808" s="3">
        <v>0</v>
      </c>
      <c r="O17808" s="3" t="s">
        <v>10</v>
      </c>
      <c r="P17808" s="3" t="s">
        <v>9</v>
      </c>
      <c r="Q17808" s="3"/>
    </row>
    <row r="17809" spans="1:17" ht="15" x14ac:dyDescent="0.25">
      <c r="A17809" s="3">
        <f>17802</f>
        <v>17802</v>
      </c>
      <c r="B17809" s="3" t="s">
        <v>17811</v>
      </c>
      <c r="C17809" s="3" t="s">
        <v>10</v>
      </c>
      <c r="D17809" s="3" t="s">
        <v>9</v>
      </c>
      <c r="E17809" s="3">
        <v>0</v>
      </c>
      <c r="F17809" s="3">
        <v>0</v>
      </c>
      <c r="G17809" s="3">
        <v>0</v>
      </c>
      <c r="H17809" s="3">
        <v>31</v>
      </c>
      <c r="I17809" s="3">
        <v>0</v>
      </c>
      <c r="J17809" s="3">
        <v>0</v>
      </c>
      <c r="K17809" s="3">
        <v>0</v>
      </c>
      <c r="L17809" s="3">
        <v>0</v>
      </c>
      <c r="M17809" s="3">
        <v>31</v>
      </c>
      <c r="N17809" s="3">
        <v>0</v>
      </c>
      <c r="O17809" s="3" t="s">
        <v>10</v>
      </c>
      <c r="P17809" s="3" t="s">
        <v>9</v>
      </c>
      <c r="Q17809" s="3"/>
    </row>
    <row r="17810" spans="1:17" ht="15" x14ac:dyDescent="0.25">
      <c r="A17810" s="3">
        <f>17803</f>
        <v>17803</v>
      </c>
      <c r="B17810" s="3" t="s">
        <v>17812</v>
      </c>
      <c r="C17810" s="3" t="s">
        <v>10</v>
      </c>
      <c r="D17810" s="3" t="s">
        <v>9</v>
      </c>
      <c r="E17810" s="3">
        <v>0</v>
      </c>
      <c r="F17810" s="3">
        <v>0</v>
      </c>
      <c r="G17810" s="3">
        <v>0</v>
      </c>
      <c r="H17810" s="3">
        <v>31</v>
      </c>
      <c r="I17810" s="3">
        <v>0</v>
      </c>
      <c r="J17810" s="3">
        <v>0</v>
      </c>
      <c r="K17810" s="3">
        <v>0</v>
      </c>
      <c r="L17810" s="3">
        <v>0</v>
      </c>
      <c r="M17810" s="3">
        <v>31</v>
      </c>
      <c r="N17810" s="3">
        <v>0</v>
      </c>
      <c r="O17810" s="3" t="s">
        <v>10</v>
      </c>
      <c r="P17810" s="3" t="s">
        <v>9</v>
      </c>
      <c r="Q17810" s="3"/>
    </row>
    <row r="17811" spans="1:17" ht="15" x14ac:dyDescent="0.25">
      <c r="A17811" s="3">
        <f>17804</f>
        <v>17804</v>
      </c>
      <c r="B17811" s="3" t="s">
        <v>17813</v>
      </c>
      <c r="C17811" s="3" t="s">
        <v>10</v>
      </c>
      <c r="D17811" s="3" t="s">
        <v>9</v>
      </c>
      <c r="E17811" s="3">
        <v>0</v>
      </c>
      <c r="F17811" s="3">
        <v>0</v>
      </c>
      <c r="G17811" s="3">
        <v>0</v>
      </c>
      <c r="H17811" s="3">
        <v>31</v>
      </c>
      <c r="I17811" s="3">
        <v>0</v>
      </c>
      <c r="J17811" s="3">
        <v>0</v>
      </c>
      <c r="K17811" s="3">
        <v>0</v>
      </c>
      <c r="L17811" s="3">
        <v>0</v>
      </c>
      <c r="M17811" s="3">
        <v>31</v>
      </c>
      <c r="N17811" s="3">
        <v>0</v>
      </c>
      <c r="O17811" s="3" t="s">
        <v>10</v>
      </c>
      <c r="P17811" s="3" t="s">
        <v>9</v>
      </c>
      <c r="Q17811" s="3"/>
    </row>
    <row r="17812" spans="1:17" ht="15" x14ac:dyDescent="0.25">
      <c r="A17812" s="3">
        <f>17805</f>
        <v>17805</v>
      </c>
      <c r="B17812" s="3" t="s">
        <v>17814</v>
      </c>
      <c r="C17812" s="3" t="s">
        <v>10</v>
      </c>
      <c r="D17812" s="3" t="s">
        <v>9</v>
      </c>
      <c r="E17812" s="3">
        <v>0</v>
      </c>
      <c r="F17812" s="3">
        <v>0</v>
      </c>
      <c r="G17812" s="3">
        <v>0</v>
      </c>
      <c r="H17812" s="3">
        <v>31</v>
      </c>
      <c r="I17812" s="3">
        <v>0</v>
      </c>
      <c r="J17812" s="3">
        <v>0</v>
      </c>
      <c r="K17812" s="3">
        <v>0</v>
      </c>
      <c r="L17812" s="3">
        <v>0</v>
      </c>
      <c r="M17812" s="3">
        <v>31</v>
      </c>
      <c r="N17812" s="3">
        <v>0</v>
      </c>
      <c r="O17812" s="3" t="s">
        <v>10</v>
      </c>
      <c r="P17812" s="3" t="s">
        <v>9</v>
      </c>
      <c r="Q17812" s="3"/>
    </row>
    <row r="17813" spans="1:17" ht="15" x14ac:dyDescent="0.25">
      <c r="A17813" s="3">
        <f>17806</f>
        <v>17806</v>
      </c>
      <c r="B17813" s="3" t="s">
        <v>17815</v>
      </c>
      <c r="C17813" s="3" t="s">
        <v>10</v>
      </c>
      <c r="D17813" s="3" t="s">
        <v>9</v>
      </c>
      <c r="E17813" s="3">
        <v>0</v>
      </c>
      <c r="F17813" s="3">
        <v>0</v>
      </c>
      <c r="G17813" s="3">
        <v>0</v>
      </c>
      <c r="H17813" s="3">
        <v>31</v>
      </c>
      <c r="I17813" s="3">
        <v>0</v>
      </c>
      <c r="J17813" s="3">
        <v>0</v>
      </c>
      <c r="K17813" s="3">
        <v>0</v>
      </c>
      <c r="L17813" s="3">
        <v>0</v>
      </c>
      <c r="M17813" s="3">
        <v>31</v>
      </c>
      <c r="N17813" s="3">
        <v>0</v>
      </c>
      <c r="O17813" s="3" t="s">
        <v>10</v>
      </c>
      <c r="P17813" s="3" t="s">
        <v>9</v>
      </c>
      <c r="Q17813" s="3"/>
    </row>
    <row r="17814" spans="1:17" ht="15" x14ac:dyDescent="0.25">
      <c r="A17814" s="3">
        <f>17807</f>
        <v>17807</v>
      </c>
      <c r="B17814" s="3" t="s">
        <v>17816</v>
      </c>
      <c r="C17814" s="3" t="s">
        <v>10</v>
      </c>
      <c r="D17814" s="3" t="s">
        <v>9</v>
      </c>
      <c r="E17814" s="3">
        <v>0</v>
      </c>
      <c r="F17814" s="3">
        <v>0</v>
      </c>
      <c r="G17814" s="3">
        <v>0</v>
      </c>
      <c r="H17814" s="3">
        <v>31</v>
      </c>
      <c r="I17814" s="3">
        <v>0</v>
      </c>
      <c r="J17814" s="3">
        <v>0</v>
      </c>
      <c r="K17814" s="3">
        <v>0</v>
      </c>
      <c r="L17814" s="3">
        <v>0</v>
      </c>
      <c r="M17814" s="3">
        <v>31</v>
      </c>
      <c r="N17814" s="3">
        <v>0</v>
      </c>
      <c r="O17814" s="3" t="s">
        <v>10</v>
      </c>
      <c r="P17814" s="3" t="s">
        <v>9</v>
      </c>
      <c r="Q17814" s="3"/>
    </row>
    <row r="17815" spans="1:17" ht="15" x14ac:dyDescent="0.25">
      <c r="A17815" s="3">
        <f>17808</f>
        <v>17808</v>
      </c>
      <c r="B17815" s="3" t="s">
        <v>17817</v>
      </c>
      <c r="C17815" s="3" t="s">
        <v>10</v>
      </c>
      <c r="D17815" s="3" t="s">
        <v>9</v>
      </c>
      <c r="E17815" s="3">
        <v>0</v>
      </c>
      <c r="F17815" s="3">
        <v>0</v>
      </c>
      <c r="G17815" s="3">
        <v>0</v>
      </c>
      <c r="H17815" s="3">
        <v>31</v>
      </c>
      <c r="I17815" s="3">
        <v>0</v>
      </c>
      <c r="J17815" s="3">
        <v>0</v>
      </c>
      <c r="K17815" s="3">
        <v>0</v>
      </c>
      <c r="L17815" s="3">
        <v>0</v>
      </c>
      <c r="M17815" s="3">
        <v>31</v>
      </c>
      <c r="N17815" s="3">
        <v>0</v>
      </c>
      <c r="O17815" s="3" t="s">
        <v>10</v>
      </c>
      <c r="P17815" s="3" t="s">
        <v>9</v>
      </c>
      <c r="Q17815" s="3"/>
    </row>
    <row r="17816" spans="1:17" ht="15" x14ac:dyDescent="0.25">
      <c r="A17816" s="3">
        <f>17809</f>
        <v>17809</v>
      </c>
      <c r="B17816" s="3" t="s">
        <v>17818</v>
      </c>
      <c r="C17816" s="3" t="s">
        <v>10</v>
      </c>
      <c r="D17816" s="3" t="s">
        <v>9</v>
      </c>
      <c r="E17816" s="3">
        <v>0</v>
      </c>
      <c r="F17816" s="3">
        <v>0</v>
      </c>
      <c r="G17816" s="3">
        <v>0</v>
      </c>
      <c r="H17816" s="3">
        <v>31</v>
      </c>
      <c r="I17816" s="3">
        <v>0</v>
      </c>
      <c r="J17816" s="3">
        <v>0</v>
      </c>
      <c r="K17816" s="3">
        <v>0</v>
      </c>
      <c r="L17816" s="3">
        <v>0</v>
      </c>
      <c r="M17816" s="3">
        <v>31</v>
      </c>
      <c r="N17816" s="3">
        <v>0</v>
      </c>
      <c r="O17816" s="3" t="s">
        <v>10</v>
      </c>
      <c r="P17816" s="3" t="s">
        <v>9</v>
      </c>
      <c r="Q17816" s="3"/>
    </row>
    <row r="17817" spans="1:17" ht="15" x14ac:dyDescent="0.25">
      <c r="A17817" s="3">
        <f>17810</f>
        <v>17810</v>
      </c>
      <c r="B17817" s="3" t="s">
        <v>17819</v>
      </c>
      <c r="C17817" s="3" t="s">
        <v>10</v>
      </c>
      <c r="D17817" s="3" t="s">
        <v>9</v>
      </c>
      <c r="E17817" s="3">
        <v>0</v>
      </c>
      <c r="F17817" s="3">
        <v>0</v>
      </c>
      <c r="G17817" s="3">
        <v>0</v>
      </c>
      <c r="H17817" s="3">
        <v>31</v>
      </c>
      <c r="I17817" s="3">
        <v>0</v>
      </c>
      <c r="J17817" s="3">
        <v>0</v>
      </c>
      <c r="K17817" s="3">
        <v>0</v>
      </c>
      <c r="L17817" s="3">
        <v>0</v>
      </c>
      <c r="M17817" s="3">
        <v>31</v>
      </c>
      <c r="N17817" s="3">
        <v>0</v>
      </c>
      <c r="O17817" s="3" t="s">
        <v>10</v>
      </c>
      <c r="P17817" s="3" t="s">
        <v>9</v>
      </c>
      <c r="Q17817" s="3"/>
    </row>
    <row r="17818" spans="1:17" ht="15" x14ac:dyDescent="0.25">
      <c r="A17818" s="3">
        <f>17811</f>
        <v>17811</v>
      </c>
      <c r="B17818" s="3" t="s">
        <v>17820</v>
      </c>
      <c r="C17818" s="3" t="s">
        <v>10</v>
      </c>
      <c r="D17818" s="3" t="s">
        <v>9</v>
      </c>
      <c r="E17818" s="3">
        <v>0</v>
      </c>
      <c r="F17818" s="3">
        <v>0</v>
      </c>
      <c r="G17818" s="3">
        <v>0</v>
      </c>
      <c r="H17818" s="3">
        <v>31</v>
      </c>
      <c r="I17818" s="3">
        <v>0</v>
      </c>
      <c r="J17818" s="3">
        <v>0</v>
      </c>
      <c r="K17818" s="3">
        <v>0</v>
      </c>
      <c r="L17818" s="3">
        <v>0</v>
      </c>
      <c r="M17818" s="3">
        <v>31</v>
      </c>
      <c r="N17818" s="3">
        <v>0</v>
      </c>
      <c r="O17818" s="3" t="s">
        <v>10</v>
      </c>
      <c r="P17818" s="3" t="s">
        <v>9</v>
      </c>
      <c r="Q17818" s="3"/>
    </row>
    <row r="17819" spans="1:17" ht="15" x14ac:dyDescent="0.25">
      <c r="A17819" s="3">
        <f>17812</f>
        <v>17812</v>
      </c>
      <c r="B17819" s="3" t="s">
        <v>17821</v>
      </c>
      <c r="C17819" s="3" t="s">
        <v>10</v>
      </c>
      <c r="D17819" s="3" t="s">
        <v>9</v>
      </c>
      <c r="E17819" s="3">
        <v>0</v>
      </c>
      <c r="F17819" s="3">
        <v>0</v>
      </c>
      <c r="G17819" s="3">
        <v>0</v>
      </c>
      <c r="H17819" s="3">
        <v>31</v>
      </c>
      <c r="I17819" s="3">
        <v>0</v>
      </c>
      <c r="J17819" s="3">
        <v>0</v>
      </c>
      <c r="K17819" s="3">
        <v>0</v>
      </c>
      <c r="L17819" s="3">
        <v>0</v>
      </c>
      <c r="M17819" s="3">
        <v>31</v>
      </c>
      <c r="N17819" s="3">
        <v>0</v>
      </c>
      <c r="O17819" s="3" t="s">
        <v>10</v>
      </c>
      <c r="P17819" s="3" t="s">
        <v>9</v>
      </c>
      <c r="Q17819" s="3"/>
    </row>
    <row r="17820" spans="1:17" ht="15" x14ac:dyDescent="0.25">
      <c r="A17820" s="3">
        <f>17813</f>
        <v>17813</v>
      </c>
      <c r="B17820" s="3" t="s">
        <v>17822</v>
      </c>
      <c r="C17820" s="3" t="s">
        <v>10</v>
      </c>
      <c r="D17820" s="3" t="s">
        <v>9</v>
      </c>
      <c r="E17820" s="3">
        <v>0</v>
      </c>
      <c r="F17820" s="3">
        <v>0</v>
      </c>
      <c r="G17820" s="3">
        <v>0</v>
      </c>
      <c r="H17820" s="3">
        <v>31</v>
      </c>
      <c r="I17820" s="3">
        <v>0</v>
      </c>
      <c r="J17820" s="3">
        <v>0</v>
      </c>
      <c r="K17820" s="3">
        <v>0</v>
      </c>
      <c r="L17820" s="3">
        <v>0</v>
      </c>
      <c r="M17820" s="3">
        <v>31</v>
      </c>
      <c r="N17820" s="3">
        <v>0</v>
      </c>
      <c r="O17820" s="3" t="s">
        <v>10</v>
      </c>
      <c r="P17820" s="3" t="s">
        <v>9</v>
      </c>
      <c r="Q17820" s="3"/>
    </row>
    <row r="17821" spans="1:17" ht="15" x14ac:dyDescent="0.25">
      <c r="A17821" s="3">
        <f>17814</f>
        <v>17814</v>
      </c>
      <c r="B17821" s="3" t="s">
        <v>17823</v>
      </c>
      <c r="C17821" s="3" t="s">
        <v>10</v>
      </c>
      <c r="D17821" s="3" t="s">
        <v>9</v>
      </c>
      <c r="E17821" s="3">
        <v>0</v>
      </c>
      <c r="F17821" s="3">
        <v>0</v>
      </c>
      <c r="G17821" s="3">
        <v>0</v>
      </c>
      <c r="H17821" s="3">
        <v>31</v>
      </c>
      <c r="I17821" s="3">
        <v>0</v>
      </c>
      <c r="J17821" s="3">
        <v>0</v>
      </c>
      <c r="K17821" s="3">
        <v>0</v>
      </c>
      <c r="L17821" s="3">
        <v>0</v>
      </c>
      <c r="M17821" s="3">
        <v>31</v>
      </c>
      <c r="N17821" s="3">
        <v>0</v>
      </c>
      <c r="O17821" s="3" t="s">
        <v>10</v>
      </c>
      <c r="P17821" s="3" t="s">
        <v>9</v>
      </c>
      <c r="Q17821" s="3"/>
    </row>
    <row r="17822" spans="1:17" ht="15" x14ac:dyDescent="0.25">
      <c r="A17822" s="3">
        <f>17815</f>
        <v>17815</v>
      </c>
      <c r="B17822" s="3" t="s">
        <v>17824</v>
      </c>
      <c r="C17822" s="3" t="s">
        <v>10</v>
      </c>
      <c r="D17822" s="3" t="s">
        <v>9</v>
      </c>
      <c r="E17822" s="3">
        <v>0</v>
      </c>
      <c r="F17822" s="3">
        <v>0</v>
      </c>
      <c r="G17822" s="3">
        <v>0</v>
      </c>
      <c r="H17822" s="3">
        <v>31</v>
      </c>
      <c r="I17822" s="3">
        <v>0</v>
      </c>
      <c r="J17822" s="3">
        <v>0</v>
      </c>
      <c r="K17822" s="3">
        <v>0</v>
      </c>
      <c r="L17822" s="3">
        <v>0</v>
      </c>
      <c r="M17822" s="3">
        <v>31</v>
      </c>
      <c r="N17822" s="3">
        <v>0</v>
      </c>
      <c r="O17822" s="3" t="s">
        <v>10</v>
      </c>
      <c r="P17822" s="3" t="s">
        <v>9</v>
      </c>
      <c r="Q17822" s="3"/>
    </row>
    <row r="17823" spans="1:17" ht="15" x14ac:dyDescent="0.25">
      <c r="A17823" s="3">
        <f>17816</f>
        <v>17816</v>
      </c>
      <c r="B17823" s="3" t="s">
        <v>17825</v>
      </c>
      <c r="C17823" s="3" t="s">
        <v>10</v>
      </c>
      <c r="D17823" s="3" t="s">
        <v>9</v>
      </c>
      <c r="E17823" s="3">
        <v>0</v>
      </c>
      <c r="F17823" s="3">
        <v>0</v>
      </c>
      <c r="G17823" s="3">
        <v>0</v>
      </c>
      <c r="H17823" s="3">
        <v>31</v>
      </c>
      <c r="I17823" s="3">
        <v>0</v>
      </c>
      <c r="J17823" s="3">
        <v>0</v>
      </c>
      <c r="K17823" s="3">
        <v>0</v>
      </c>
      <c r="L17823" s="3">
        <v>0</v>
      </c>
      <c r="M17823" s="3">
        <v>31</v>
      </c>
      <c r="N17823" s="3">
        <v>0</v>
      </c>
      <c r="O17823" s="3" t="s">
        <v>10</v>
      </c>
      <c r="P17823" s="3" t="s">
        <v>9</v>
      </c>
      <c r="Q17823" s="3"/>
    </row>
    <row r="17824" spans="1:17" ht="15" x14ac:dyDescent="0.25">
      <c r="A17824" s="3">
        <f>17817</f>
        <v>17817</v>
      </c>
      <c r="B17824" s="3" t="s">
        <v>17826</v>
      </c>
      <c r="C17824" s="3" t="s">
        <v>10</v>
      </c>
      <c r="D17824" s="3" t="s">
        <v>9</v>
      </c>
      <c r="E17824" s="3">
        <v>0</v>
      </c>
      <c r="F17824" s="3">
        <v>0</v>
      </c>
      <c r="G17824" s="3">
        <v>0</v>
      </c>
      <c r="H17824" s="3">
        <v>31</v>
      </c>
      <c r="I17824" s="3">
        <v>0</v>
      </c>
      <c r="J17824" s="3">
        <v>0</v>
      </c>
      <c r="K17824" s="3">
        <v>0</v>
      </c>
      <c r="L17824" s="3">
        <v>0</v>
      </c>
      <c r="M17824" s="3">
        <v>31</v>
      </c>
      <c r="N17824" s="3">
        <v>0</v>
      </c>
      <c r="O17824" s="3" t="s">
        <v>10</v>
      </c>
      <c r="P17824" s="3" t="s">
        <v>9</v>
      </c>
      <c r="Q17824" s="3"/>
    </row>
    <row r="17825" spans="1:17" ht="15" x14ac:dyDescent="0.25">
      <c r="A17825" s="3">
        <f>17818</f>
        <v>17818</v>
      </c>
      <c r="B17825" s="3" t="s">
        <v>17827</v>
      </c>
      <c r="C17825" s="3" t="s">
        <v>10</v>
      </c>
      <c r="D17825" s="3" t="s">
        <v>9</v>
      </c>
      <c r="E17825" s="3">
        <v>0</v>
      </c>
      <c r="F17825" s="3">
        <v>0</v>
      </c>
      <c r="G17825" s="3">
        <v>0</v>
      </c>
      <c r="H17825" s="3">
        <v>31</v>
      </c>
      <c r="I17825" s="3">
        <v>0</v>
      </c>
      <c r="J17825" s="3">
        <v>0</v>
      </c>
      <c r="K17825" s="3">
        <v>0</v>
      </c>
      <c r="L17825" s="3">
        <v>0</v>
      </c>
      <c r="M17825" s="3">
        <v>31</v>
      </c>
      <c r="N17825" s="3">
        <v>0</v>
      </c>
      <c r="O17825" s="3" t="s">
        <v>10</v>
      </c>
      <c r="P17825" s="3" t="s">
        <v>9</v>
      </c>
      <c r="Q17825" s="3"/>
    </row>
    <row r="17826" spans="1:17" ht="15" x14ac:dyDescent="0.25">
      <c r="A17826" s="3">
        <f>17819</f>
        <v>17819</v>
      </c>
      <c r="B17826" s="3" t="s">
        <v>17828</v>
      </c>
      <c r="C17826" s="3" t="s">
        <v>10</v>
      </c>
      <c r="D17826" s="3" t="s">
        <v>9</v>
      </c>
      <c r="E17826" s="3">
        <v>0</v>
      </c>
      <c r="F17826" s="3">
        <v>0</v>
      </c>
      <c r="G17826" s="3">
        <v>0</v>
      </c>
      <c r="H17826" s="3">
        <v>31</v>
      </c>
      <c r="I17826" s="3">
        <v>0</v>
      </c>
      <c r="J17826" s="3">
        <v>0</v>
      </c>
      <c r="K17826" s="3">
        <v>0</v>
      </c>
      <c r="L17826" s="3">
        <v>0</v>
      </c>
      <c r="M17826" s="3">
        <v>31</v>
      </c>
      <c r="N17826" s="3">
        <v>0</v>
      </c>
      <c r="O17826" s="3" t="s">
        <v>10</v>
      </c>
      <c r="P17826" s="3" t="s">
        <v>9</v>
      </c>
      <c r="Q17826" s="3"/>
    </row>
    <row r="17827" spans="1:17" ht="15" x14ac:dyDescent="0.25">
      <c r="A17827" s="3">
        <f>17820</f>
        <v>17820</v>
      </c>
      <c r="B17827" s="3" t="s">
        <v>17829</v>
      </c>
      <c r="C17827" s="3" t="s">
        <v>10</v>
      </c>
      <c r="D17827" s="3" t="s">
        <v>9</v>
      </c>
      <c r="E17827" s="3">
        <v>0</v>
      </c>
      <c r="F17827" s="3">
        <v>0</v>
      </c>
      <c r="G17827" s="3">
        <v>0</v>
      </c>
      <c r="H17827" s="3">
        <v>31</v>
      </c>
      <c r="I17827" s="3">
        <v>0</v>
      </c>
      <c r="J17827" s="3">
        <v>0</v>
      </c>
      <c r="K17827" s="3">
        <v>0</v>
      </c>
      <c r="L17827" s="3">
        <v>0</v>
      </c>
      <c r="M17827" s="3">
        <v>31</v>
      </c>
      <c r="N17827" s="3">
        <v>0</v>
      </c>
      <c r="O17827" s="3" t="s">
        <v>10</v>
      </c>
      <c r="P17827" s="3" t="s">
        <v>9</v>
      </c>
      <c r="Q17827" s="3"/>
    </row>
    <row r="17828" spans="1:17" ht="15" x14ac:dyDescent="0.25">
      <c r="A17828" s="3">
        <f>17821</f>
        <v>17821</v>
      </c>
      <c r="B17828" s="3" t="s">
        <v>17830</v>
      </c>
      <c r="C17828" s="3" t="s">
        <v>10</v>
      </c>
      <c r="D17828" s="3" t="s">
        <v>9</v>
      </c>
      <c r="E17828" s="3">
        <v>0</v>
      </c>
      <c r="F17828" s="3">
        <v>0</v>
      </c>
      <c r="G17828" s="3">
        <v>0</v>
      </c>
      <c r="H17828" s="3">
        <v>31</v>
      </c>
      <c r="I17828" s="3">
        <v>0</v>
      </c>
      <c r="J17828" s="3">
        <v>0</v>
      </c>
      <c r="K17828" s="3">
        <v>0</v>
      </c>
      <c r="L17828" s="3">
        <v>0</v>
      </c>
      <c r="M17828" s="3">
        <v>31</v>
      </c>
      <c r="N17828" s="3">
        <v>0</v>
      </c>
      <c r="O17828" s="3" t="s">
        <v>10</v>
      </c>
      <c r="P17828" s="3" t="s">
        <v>9</v>
      </c>
      <c r="Q17828" s="3"/>
    </row>
    <row r="17829" spans="1:17" ht="15" x14ac:dyDescent="0.25">
      <c r="A17829" s="3">
        <f>17822</f>
        <v>17822</v>
      </c>
      <c r="B17829" s="3" t="s">
        <v>17831</v>
      </c>
      <c r="C17829" s="3" t="s">
        <v>10</v>
      </c>
      <c r="D17829" s="3" t="s">
        <v>9</v>
      </c>
      <c r="E17829" s="3">
        <v>0</v>
      </c>
      <c r="F17829" s="3">
        <v>0</v>
      </c>
      <c r="G17829" s="3">
        <v>0</v>
      </c>
      <c r="H17829" s="3">
        <v>31</v>
      </c>
      <c r="I17829" s="3">
        <v>0</v>
      </c>
      <c r="J17829" s="3">
        <v>0</v>
      </c>
      <c r="K17829" s="3">
        <v>0</v>
      </c>
      <c r="L17829" s="3">
        <v>0</v>
      </c>
      <c r="M17829" s="3">
        <v>31</v>
      </c>
      <c r="N17829" s="3">
        <v>0</v>
      </c>
      <c r="O17829" s="3" t="s">
        <v>10</v>
      </c>
      <c r="P17829" s="3" t="s">
        <v>9</v>
      </c>
      <c r="Q17829" s="3"/>
    </row>
    <row r="17830" spans="1:17" ht="15" x14ac:dyDescent="0.25">
      <c r="A17830" s="3">
        <f>17823</f>
        <v>17823</v>
      </c>
      <c r="B17830" s="3" t="s">
        <v>17832</v>
      </c>
      <c r="C17830" s="3" t="s">
        <v>10</v>
      </c>
      <c r="D17830" s="3" t="s">
        <v>9</v>
      </c>
      <c r="E17830" s="3">
        <v>0</v>
      </c>
      <c r="F17830" s="3">
        <v>0</v>
      </c>
      <c r="G17830" s="3">
        <v>0</v>
      </c>
      <c r="H17830" s="3">
        <v>31</v>
      </c>
      <c r="I17830" s="3">
        <v>0</v>
      </c>
      <c r="J17830" s="3">
        <v>0</v>
      </c>
      <c r="K17830" s="3">
        <v>0</v>
      </c>
      <c r="L17830" s="3">
        <v>0</v>
      </c>
      <c r="M17830" s="3">
        <v>31</v>
      </c>
      <c r="N17830" s="3">
        <v>0</v>
      </c>
      <c r="O17830" s="3" t="s">
        <v>10</v>
      </c>
      <c r="P17830" s="3" t="s">
        <v>9</v>
      </c>
      <c r="Q17830" s="3"/>
    </row>
    <row r="17831" spans="1:17" ht="15" x14ac:dyDescent="0.25">
      <c r="A17831" s="3">
        <f>17824</f>
        <v>17824</v>
      </c>
      <c r="B17831" s="3" t="s">
        <v>17833</v>
      </c>
      <c r="C17831" s="3" t="s">
        <v>10</v>
      </c>
      <c r="D17831" s="3" t="s">
        <v>9</v>
      </c>
      <c r="E17831" s="3">
        <v>0</v>
      </c>
      <c r="F17831" s="3">
        <v>0</v>
      </c>
      <c r="G17831" s="3">
        <v>0</v>
      </c>
      <c r="H17831" s="3">
        <v>31</v>
      </c>
      <c r="I17831" s="3">
        <v>0</v>
      </c>
      <c r="J17831" s="3">
        <v>0</v>
      </c>
      <c r="K17831" s="3">
        <v>0</v>
      </c>
      <c r="L17831" s="3">
        <v>0</v>
      </c>
      <c r="M17831" s="3">
        <v>31</v>
      </c>
      <c r="N17831" s="3">
        <v>0</v>
      </c>
      <c r="O17831" s="3" t="s">
        <v>10</v>
      </c>
      <c r="P17831" s="3" t="s">
        <v>9</v>
      </c>
      <c r="Q17831" s="3"/>
    </row>
    <row r="17832" spans="1:17" ht="15" x14ac:dyDescent="0.25">
      <c r="A17832" s="3">
        <f>17825</f>
        <v>17825</v>
      </c>
      <c r="B17832" s="3" t="s">
        <v>17834</v>
      </c>
      <c r="C17832" s="3" t="s">
        <v>10</v>
      </c>
      <c r="D17832" s="3" t="s">
        <v>9</v>
      </c>
      <c r="E17832" s="3">
        <v>0</v>
      </c>
      <c r="F17832" s="3">
        <v>0</v>
      </c>
      <c r="G17832" s="3">
        <v>0</v>
      </c>
      <c r="H17832" s="3">
        <v>31</v>
      </c>
      <c r="I17832" s="3">
        <v>0</v>
      </c>
      <c r="J17832" s="3">
        <v>0</v>
      </c>
      <c r="K17832" s="3">
        <v>0</v>
      </c>
      <c r="L17832" s="3">
        <v>0</v>
      </c>
      <c r="M17832" s="3">
        <v>31</v>
      </c>
      <c r="N17832" s="3">
        <v>0</v>
      </c>
      <c r="O17832" s="3" t="s">
        <v>10</v>
      </c>
      <c r="P17832" s="3" t="s">
        <v>9</v>
      </c>
      <c r="Q17832" s="3"/>
    </row>
    <row r="17833" spans="1:17" ht="15" x14ac:dyDescent="0.25">
      <c r="A17833" s="3">
        <f>17826</f>
        <v>17826</v>
      </c>
      <c r="B17833" s="3" t="s">
        <v>17835</v>
      </c>
      <c r="C17833" s="3" t="s">
        <v>10</v>
      </c>
      <c r="D17833" s="3" t="s">
        <v>9</v>
      </c>
      <c r="E17833" s="3">
        <v>0</v>
      </c>
      <c r="F17833" s="3">
        <v>0</v>
      </c>
      <c r="G17833" s="3">
        <v>0</v>
      </c>
      <c r="H17833" s="3">
        <v>31</v>
      </c>
      <c r="I17833" s="3">
        <v>0</v>
      </c>
      <c r="J17833" s="3">
        <v>0</v>
      </c>
      <c r="K17833" s="3">
        <v>0</v>
      </c>
      <c r="L17833" s="3">
        <v>0</v>
      </c>
      <c r="M17833" s="3">
        <v>31</v>
      </c>
      <c r="N17833" s="3">
        <v>0</v>
      </c>
      <c r="O17833" s="3" t="s">
        <v>10</v>
      </c>
      <c r="P17833" s="3" t="s">
        <v>9</v>
      </c>
      <c r="Q17833" s="3"/>
    </row>
    <row r="17834" spans="1:17" ht="15" x14ac:dyDescent="0.25">
      <c r="A17834" s="3">
        <f>17827</f>
        <v>17827</v>
      </c>
      <c r="B17834" s="3" t="s">
        <v>17836</v>
      </c>
      <c r="C17834" s="3" t="s">
        <v>10</v>
      </c>
      <c r="D17834" s="3" t="s">
        <v>9</v>
      </c>
      <c r="E17834" s="3">
        <v>0</v>
      </c>
      <c r="F17834" s="3">
        <v>0</v>
      </c>
      <c r="G17834" s="3">
        <v>0</v>
      </c>
      <c r="H17834" s="3">
        <v>31</v>
      </c>
      <c r="I17834" s="3">
        <v>0</v>
      </c>
      <c r="J17834" s="3">
        <v>0</v>
      </c>
      <c r="K17834" s="3">
        <v>0</v>
      </c>
      <c r="L17834" s="3">
        <v>0</v>
      </c>
      <c r="M17834" s="3">
        <v>31</v>
      </c>
      <c r="N17834" s="3">
        <v>0</v>
      </c>
      <c r="O17834" s="3" t="s">
        <v>10</v>
      </c>
      <c r="P17834" s="3" t="s">
        <v>9</v>
      </c>
      <c r="Q17834" s="3"/>
    </row>
    <row r="17835" spans="1:17" ht="15" x14ac:dyDescent="0.25">
      <c r="A17835" s="3">
        <f>17828</f>
        <v>17828</v>
      </c>
      <c r="B17835" s="3" t="s">
        <v>17837</v>
      </c>
      <c r="C17835" s="3" t="s">
        <v>10</v>
      </c>
      <c r="D17835" s="3" t="s">
        <v>9</v>
      </c>
      <c r="E17835" s="3">
        <v>0</v>
      </c>
      <c r="F17835" s="3">
        <v>0</v>
      </c>
      <c r="G17835" s="3">
        <v>0</v>
      </c>
      <c r="H17835" s="3">
        <v>31</v>
      </c>
      <c r="I17835" s="3">
        <v>0</v>
      </c>
      <c r="J17835" s="3">
        <v>0</v>
      </c>
      <c r="K17835" s="3">
        <v>0</v>
      </c>
      <c r="L17835" s="3">
        <v>0</v>
      </c>
      <c r="M17835" s="3">
        <v>31</v>
      </c>
      <c r="N17835" s="3">
        <v>0</v>
      </c>
      <c r="O17835" s="3" t="s">
        <v>10</v>
      </c>
      <c r="P17835" s="3" t="s">
        <v>9</v>
      </c>
      <c r="Q17835" s="3"/>
    </row>
    <row r="17836" spans="1:17" ht="15" x14ac:dyDescent="0.25">
      <c r="A17836" s="3">
        <f>17829</f>
        <v>17829</v>
      </c>
      <c r="B17836" s="3" t="s">
        <v>17838</v>
      </c>
      <c r="C17836" s="3" t="s">
        <v>10</v>
      </c>
      <c r="D17836" s="3" t="s">
        <v>9</v>
      </c>
      <c r="E17836" s="3">
        <v>0</v>
      </c>
      <c r="F17836" s="3">
        <v>0</v>
      </c>
      <c r="G17836" s="3">
        <v>0</v>
      </c>
      <c r="H17836" s="3">
        <v>31</v>
      </c>
      <c r="I17836" s="3">
        <v>0</v>
      </c>
      <c r="J17836" s="3">
        <v>0</v>
      </c>
      <c r="K17836" s="3">
        <v>0</v>
      </c>
      <c r="L17836" s="3">
        <v>0</v>
      </c>
      <c r="M17836" s="3">
        <v>31</v>
      </c>
      <c r="N17836" s="3">
        <v>0</v>
      </c>
      <c r="O17836" s="3" t="s">
        <v>10</v>
      </c>
      <c r="P17836" s="3" t="s">
        <v>9</v>
      </c>
      <c r="Q17836" s="3"/>
    </row>
    <row r="17837" spans="1:17" ht="15" x14ac:dyDescent="0.25">
      <c r="A17837" s="3">
        <f>17830</f>
        <v>17830</v>
      </c>
      <c r="B17837" s="3" t="s">
        <v>17839</v>
      </c>
      <c r="C17837" s="3" t="s">
        <v>10</v>
      </c>
      <c r="D17837" s="3" t="s">
        <v>9</v>
      </c>
      <c r="E17837" s="3">
        <v>0</v>
      </c>
      <c r="F17837" s="3">
        <v>0</v>
      </c>
      <c r="G17837" s="3">
        <v>0</v>
      </c>
      <c r="H17837" s="3">
        <v>31</v>
      </c>
      <c r="I17837" s="3">
        <v>0</v>
      </c>
      <c r="J17837" s="3">
        <v>0</v>
      </c>
      <c r="K17837" s="3">
        <v>0</v>
      </c>
      <c r="L17837" s="3">
        <v>0</v>
      </c>
      <c r="M17837" s="3">
        <v>31</v>
      </c>
      <c r="N17837" s="3">
        <v>0</v>
      </c>
      <c r="O17837" s="3" t="s">
        <v>10</v>
      </c>
      <c r="P17837" s="3" t="s">
        <v>9</v>
      </c>
      <c r="Q17837" s="3"/>
    </row>
    <row r="17838" spans="1:17" ht="15" x14ac:dyDescent="0.25">
      <c r="A17838" s="3">
        <f>17831</f>
        <v>17831</v>
      </c>
      <c r="B17838" s="3" t="s">
        <v>17840</v>
      </c>
      <c r="C17838" s="3" t="s">
        <v>10</v>
      </c>
      <c r="D17838" s="3" t="s">
        <v>9</v>
      </c>
      <c r="E17838" s="3">
        <v>0</v>
      </c>
      <c r="F17838" s="3">
        <v>0</v>
      </c>
      <c r="G17838" s="3">
        <v>0</v>
      </c>
      <c r="H17838" s="3">
        <v>31</v>
      </c>
      <c r="I17838" s="3">
        <v>0</v>
      </c>
      <c r="J17838" s="3">
        <v>0</v>
      </c>
      <c r="K17838" s="3">
        <v>0</v>
      </c>
      <c r="L17838" s="3">
        <v>0</v>
      </c>
      <c r="M17838" s="3">
        <v>31</v>
      </c>
      <c r="N17838" s="3">
        <v>0</v>
      </c>
      <c r="O17838" s="3" t="s">
        <v>10</v>
      </c>
      <c r="P17838" s="3" t="s">
        <v>9</v>
      </c>
      <c r="Q17838" s="3"/>
    </row>
    <row r="17839" spans="1:17" ht="15" x14ac:dyDescent="0.25">
      <c r="A17839" s="3">
        <f>17832</f>
        <v>17832</v>
      </c>
      <c r="B17839" s="3" t="s">
        <v>17841</v>
      </c>
      <c r="C17839" s="3" t="s">
        <v>10</v>
      </c>
      <c r="D17839" s="3" t="s">
        <v>9</v>
      </c>
      <c r="E17839" s="3">
        <v>0</v>
      </c>
      <c r="F17839" s="3">
        <v>0</v>
      </c>
      <c r="G17839" s="3">
        <v>0</v>
      </c>
      <c r="H17839" s="3">
        <v>31</v>
      </c>
      <c r="I17839" s="3">
        <v>0</v>
      </c>
      <c r="J17839" s="3">
        <v>0</v>
      </c>
      <c r="K17839" s="3">
        <v>0</v>
      </c>
      <c r="L17839" s="3">
        <v>0</v>
      </c>
      <c r="M17839" s="3">
        <v>31</v>
      </c>
      <c r="N17839" s="3">
        <v>0</v>
      </c>
      <c r="O17839" s="3" t="s">
        <v>10</v>
      </c>
      <c r="P17839" s="3" t="s">
        <v>9</v>
      </c>
      <c r="Q17839" s="3"/>
    </row>
    <row r="17840" spans="1:17" ht="15" x14ac:dyDescent="0.25">
      <c r="A17840" s="3">
        <f>17833</f>
        <v>17833</v>
      </c>
      <c r="B17840" s="3" t="s">
        <v>17842</v>
      </c>
      <c r="C17840" s="3" t="s">
        <v>10</v>
      </c>
      <c r="D17840" s="3" t="s">
        <v>9</v>
      </c>
      <c r="E17840" s="3">
        <v>0</v>
      </c>
      <c r="F17840" s="3">
        <v>0</v>
      </c>
      <c r="G17840" s="3">
        <v>0</v>
      </c>
      <c r="H17840" s="3">
        <v>31</v>
      </c>
      <c r="I17840" s="3">
        <v>0</v>
      </c>
      <c r="J17840" s="3">
        <v>0</v>
      </c>
      <c r="K17840" s="3">
        <v>0</v>
      </c>
      <c r="L17840" s="3">
        <v>0</v>
      </c>
      <c r="M17840" s="3">
        <v>31</v>
      </c>
      <c r="N17840" s="3">
        <v>0</v>
      </c>
      <c r="O17840" s="3" t="s">
        <v>10</v>
      </c>
      <c r="P17840" s="3" t="s">
        <v>9</v>
      </c>
      <c r="Q17840" s="3"/>
    </row>
    <row r="17841" spans="1:17" ht="15" x14ac:dyDescent="0.25">
      <c r="A17841" s="3">
        <f>17834</f>
        <v>17834</v>
      </c>
      <c r="B17841" s="3" t="s">
        <v>17843</v>
      </c>
      <c r="C17841" s="3" t="s">
        <v>10</v>
      </c>
      <c r="D17841" s="3" t="s">
        <v>9</v>
      </c>
      <c r="E17841" s="3">
        <v>0</v>
      </c>
      <c r="F17841" s="3">
        <v>0</v>
      </c>
      <c r="G17841" s="3">
        <v>0</v>
      </c>
      <c r="H17841" s="3">
        <v>31</v>
      </c>
      <c r="I17841" s="3">
        <v>0</v>
      </c>
      <c r="J17841" s="3">
        <v>0</v>
      </c>
      <c r="K17841" s="3">
        <v>0</v>
      </c>
      <c r="L17841" s="3">
        <v>0</v>
      </c>
      <c r="M17841" s="3">
        <v>31</v>
      </c>
      <c r="N17841" s="3">
        <v>0</v>
      </c>
      <c r="O17841" s="3" t="s">
        <v>10</v>
      </c>
      <c r="P17841" s="3" t="s">
        <v>9</v>
      </c>
      <c r="Q17841" s="3"/>
    </row>
    <row r="17842" spans="1:17" ht="15" x14ac:dyDescent="0.25">
      <c r="A17842" s="3">
        <f>17835</f>
        <v>17835</v>
      </c>
      <c r="B17842" s="3" t="s">
        <v>17844</v>
      </c>
      <c r="C17842" s="3" t="s">
        <v>10</v>
      </c>
      <c r="D17842" s="3" t="s">
        <v>9</v>
      </c>
      <c r="E17842" s="3">
        <v>0</v>
      </c>
      <c r="F17842" s="3">
        <v>0</v>
      </c>
      <c r="G17842" s="3">
        <v>0</v>
      </c>
      <c r="H17842" s="3">
        <v>31</v>
      </c>
      <c r="I17842" s="3">
        <v>0</v>
      </c>
      <c r="J17842" s="3">
        <v>0</v>
      </c>
      <c r="K17842" s="3">
        <v>0</v>
      </c>
      <c r="L17842" s="3">
        <v>0</v>
      </c>
      <c r="M17842" s="3">
        <v>31</v>
      </c>
      <c r="N17842" s="3">
        <v>0</v>
      </c>
      <c r="O17842" s="3" t="s">
        <v>10</v>
      </c>
      <c r="P17842" s="3" t="s">
        <v>9</v>
      </c>
      <c r="Q17842" s="3"/>
    </row>
    <row r="17843" spans="1:17" ht="15" x14ac:dyDescent="0.25">
      <c r="A17843" s="3">
        <f>17836</f>
        <v>17836</v>
      </c>
      <c r="B17843" s="3" t="s">
        <v>17845</v>
      </c>
      <c r="C17843" s="3" t="s">
        <v>10</v>
      </c>
      <c r="D17843" s="3" t="s">
        <v>9</v>
      </c>
      <c r="E17843" s="3">
        <v>0</v>
      </c>
      <c r="F17843" s="3">
        <v>0</v>
      </c>
      <c r="G17843" s="3">
        <v>0</v>
      </c>
      <c r="H17843" s="3">
        <v>31</v>
      </c>
      <c r="I17843" s="3">
        <v>0</v>
      </c>
      <c r="J17843" s="3">
        <v>0</v>
      </c>
      <c r="K17843" s="3">
        <v>0</v>
      </c>
      <c r="L17843" s="3">
        <v>0</v>
      </c>
      <c r="M17843" s="3">
        <v>31</v>
      </c>
      <c r="N17843" s="3">
        <v>0</v>
      </c>
      <c r="O17843" s="3" t="s">
        <v>10</v>
      </c>
      <c r="P17843" s="3" t="s">
        <v>9</v>
      </c>
      <c r="Q17843" s="3"/>
    </row>
    <row r="17844" spans="1:17" ht="15" x14ac:dyDescent="0.25">
      <c r="A17844" s="3">
        <f>17837</f>
        <v>17837</v>
      </c>
      <c r="B17844" s="3" t="s">
        <v>17846</v>
      </c>
      <c r="C17844" s="3" t="s">
        <v>10</v>
      </c>
      <c r="D17844" s="3" t="s">
        <v>9</v>
      </c>
      <c r="E17844" s="3">
        <v>0</v>
      </c>
      <c r="F17844" s="3">
        <v>0</v>
      </c>
      <c r="G17844" s="3">
        <v>0</v>
      </c>
      <c r="H17844" s="3">
        <v>31</v>
      </c>
      <c r="I17844" s="3">
        <v>0</v>
      </c>
      <c r="J17844" s="3">
        <v>0</v>
      </c>
      <c r="K17844" s="3">
        <v>0</v>
      </c>
      <c r="L17844" s="3">
        <v>0</v>
      </c>
      <c r="M17844" s="3">
        <v>31</v>
      </c>
      <c r="N17844" s="3">
        <v>0</v>
      </c>
      <c r="O17844" s="3" t="s">
        <v>10</v>
      </c>
      <c r="P17844" s="3" t="s">
        <v>9</v>
      </c>
      <c r="Q17844" s="3"/>
    </row>
    <row r="17845" spans="1:17" ht="15" x14ac:dyDescent="0.25">
      <c r="A17845" s="3">
        <f>17838</f>
        <v>17838</v>
      </c>
      <c r="B17845" s="3" t="s">
        <v>17847</v>
      </c>
      <c r="C17845" s="3" t="s">
        <v>10</v>
      </c>
      <c r="D17845" s="3" t="s">
        <v>9</v>
      </c>
      <c r="E17845" s="3">
        <v>0</v>
      </c>
      <c r="F17845" s="3">
        <v>0</v>
      </c>
      <c r="G17845" s="3">
        <v>0</v>
      </c>
      <c r="H17845" s="3">
        <v>31</v>
      </c>
      <c r="I17845" s="3">
        <v>0</v>
      </c>
      <c r="J17845" s="3">
        <v>0</v>
      </c>
      <c r="K17845" s="3">
        <v>0</v>
      </c>
      <c r="L17845" s="3">
        <v>0</v>
      </c>
      <c r="M17845" s="3">
        <v>31</v>
      </c>
      <c r="N17845" s="3">
        <v>0</v>
      </c>
      <c r="O17845" s="3" t="s">
        <v>10</v>
      </c>
      <c r="P17845" s="3" t="s">
        <v>9</v>
      </c>
      <c r="Q17845" s="3"/>
    </row>
    <row r="17846" spans="1:17" ht="15" x14ac:dyDescent="0.25">
      <c r="A17846" s="3">
        <f>17839</f>
        <v>17839</v>
      </c>
      <c r="B17846" s="3" t="s">
        <v>17848</v>
      </c>
      <c r="C17846" s="3" t="s">
        <v>10</v>
      </c>
      <c r="D17846" s="3" t="s">
        <v>9</v>
      </c>
      <c r="E17846" s="3">
        <v>0</v>
      </c>
      <c r="F17846" s="3">
        <v>0</v>
      </c>
      <c r="G17846" s="3">
        <v>0</v>
      </c>
      <c r="H17846" s="3">
        <v>31</v>
      </c>
      <c r="I17846" s="3">
        <v>0</v>
      </c>
      <c r="J17846" s="3">
        <v>0</v>
      </c>
      <c r="K17846" s="3">
        <v>0</v>
      </c>
      <c r="L17846" s="3">
        <v>0</v>
      </c>
      <c r="M17846" s="3">
        <v>31</v>
      </c>
      <c r="N17846" s="3">
        <v>0</v>
      </c>
      <c r="O17846" s="3" t="s">
        <v>10</v>
      </c>
      <c r="P17846" s="3" t="s">
        <v>9</v>
      </c>
      <c r="Q17846" s="3"/>
    </row>
    <row r="17847" spans="1:17" ht="15" x14ac:dyDescent="0.25">
      <c r="A17847" s="3">
        <f>17840</f>
        <v>17840</v>
      </c>
      <c r="B17847" s="3" t="s">
        <v>17849</v>
      </c>
      <c r="C17847" s="3" t="s">
        <v>10</v>
      </c>
      <c r="D17847" s="3" t="s">
        <v>9</v>
      </c>
      <c r="E17847" s="3">
        <v>0</v>
      </c>
      <c r="F17847" s="3">
        <v>0</v>
      </c>
      <c r="G17847" s="3">
        <v>0</v>
      </c>
      <c r="H17847" s="3">
        <v>31</v>
      </c>
      <c r="I17847" s="3">
        <v>0</v>
      </c>
      <c r="J17847" s="3">
        <v>0</v>
      </c>
      <c r="K17847" s="3">
        <v>0</v>
      </c>
      <c r="L17847" s="3">
        <v>0</v>
      </c>
      <c r="M17847" s="3">
        <v>31</v>
      </c>
      <c r="N17847" s="3">
        <v>0</v>
      </c>
      <c r="O17847" s="3" t="s">
        <v>10</v>
      </c>
      <c r="P17847" s="3" t="s">
        <v>9</v>
      </c>
      <c r="Q17847" s="3"/>
    </row>
    <row r="17848" spans="1:17" ht="15" x14ac:dyDescent="0.25">
      <c r="A17848" s="3">
        <f>17841</f>
        <v>17841</v>
      </c>
      <c r="B17848" s="3" t="s">
        <v>17850</v>
      </c>
      <c r="C17848" s="3" t="s">
        <v>10</v>
      </c>
      <c r="D17848" s="3" t="s">
        <v>9</v>
      </c>
      <c r="E17848" s="3">
        <v>0</v>
      </c>
      <c r="F17848" s="3">
        <v>0</v>
      </c>
      <c r="G17848" s="3">
        <v>0</v>
      </c>
      <c r="H17848" s="3">
        <v>31</v>
      </c>
      <c r="I17848" s="3">
        <v>0</v>
      </c>
      <c r="J17848" s="3">
        <v>0</v>
      </c>
      <c r="K17848" s="3">
        <v>0</v>
      </c>
      <c r="L17848" s="3">
        <v>0</v>
      </c>
      <c r="M17848" s="3">
        <v>31</v>
      </c>
      <c r="N17848" s="3">
        <v>0</v>
      </c>
      <c r="O17848" s="3" t="s">
        <v>10</v>
      </c>
      <c r="P17848" s="3" t="s">
        <v>9</v>
      </c>
      <c r="Q17848" s="3"/>
    </row>
    <row r="17849" spans="1:17" ht="15" x14ac:dyDescent="0.25">
      <c r="A17849" s="3">
        <f>17842</f>
        <v>17842</v>
      </c>
      <c r="B17849" s="3" t="s">
        <v>17851</v>
      </c>
      <c r="C17849" s="3" t="s">
        <v>10</v>
      </c>
      <c r="D17849" s="3" t="s">
        <v>9</v>
      </c>
      <c r="E17849" s="3">
        <v>0</v>
      </c>
      <c r="F17849" s="3">
        <v>0</v>
      </c>
      <c r="G17849" s="3">
        <v>0</v>
      </c>
      <c r="H17849" s="3">
        <v>31</v>
      </c>
      <c r="I17849" s="3">
        <v>0</v>
      </c>
      <c r="J17849" s="3">
        <v>0</v>
      </c>
      <c r="K17849" s="3">
        <v>0</v>
      </c>
      <c r="L17849" s="3">
        <v>0</v>
      </c>
      <c r="M17849" s="3">
        <v>31</v>
      </c>
      <c r="N17849" s="3">
        <v>0</v>
      </c>
      <c r="O17849" s="3" t="s">
        <v>10</v>
      </c>
      <c r="P17849" s="3" t="s">
        <v>9</v>
      </c>
      <c r="Q17849" s="3"/>
    </row>
    <row r="17850" spans="1:17" ht="15" x14ac:dyDescent="0.25">
      <c r="A17850" s="3">
        <f>17843</f>
        <v>17843</v>
      </c>
      <c r="B17850" s="3" t="s">
        <v>17852</v>
      </c>
      <c r="C17850" s="3" t="s">
        <v>10</v>
      </c>
      <c r="D17850" s="3" t="s">
        <v>9</v>
      </c>
      <c r="E17850" s="3">
        <v>0</v>
      </c>
      <c r="F17850" s="3">
        <v>0</v>
      </c>
      <c r="G17850" s="3">
        <v>0</v>
      </c>
      <c r="H17850" s="3">
        <v>31</v>
      </c>
      <c r="I17850" s="3">
        <v>0</v>
      </c>
      <c r="J17850" s="3">
        <v>0</v>
      </c>
      <c r="K17850" s="3">
        <v>0</v>
      </c>
      <c r="L17850" s="3">
        <v>0</v>
      </c>
      <c r="M17850" s="3">
        <v>31</v>
      </c>
      <c r="N17850" s="3">
        <v>0</v>
      </c>
      <c r="O17850" s="3" t="s">
        <v>10</v>
      </c>
      <c r="P17850" s="3" t="s">
        <v>9</v>
      </c>
      <c r="Q17850" s="3"/>
    </row>
    <row r="17851" spans="1:17" ht="15" x14ac:dyDescent="0.25">
      <c r="A17851" s="3">
        <f>17844</f>
        <v>17844</v>
      </c>
      <c r="B17851" s="3" t="s">
        <v>17853</v>
      </c>
      <c r="C17851" s="3" t="s">
        <v>10</v>
      </c>
      <c r="D17851" s="3" t="s">
        <v>9</v>
      </c>
      <c r="E17851" s="3">
        <v>0</v>
      </c>
      <c r="F17851" s="3">
        <v>0</v>
      </c>
      <c r="G17851" s="3">
        <v>0</v>
      </c>
      <c r="H17851" s="3">
        <v>31</v>
      </c>
      <c r="I17851" s="3">
        <v>0</v>
      </c>
      <c r="J17851" s="3">
        <v>0</v>
      </c>
      <c r="K17851" s="3">
        <v>0</v>
      </c>
      <c r="L17851" s="3">
        <v>0</v>
      </c>
      <c r="M17851" s="3">
        <v>31</v>
      </c>
      <c r="N17851" s="3">
        <v>0</v>
      </c>
      <c r="O17851" s="3" t="s">
        <v>10</v>
      </c>
      <c r="P17851" s="3" t="s">
        <v>9</v>
      </c>
      <c r="Q17851" s="3"/>
    </row>
    <row r="17852" spans="1:17" ht="15" x14ac:dyDescent="0.25">
      <c r="A17852" s="3">
        <f>17845</f>
        <v>17845</v>
      </c>
      <c r="B17852" s="3" t="s">
        <v>17854</v>
      </c>
      <c r="C17852" s="3" t="s">
        <v>10</v>
      </c>
      <c r="D17852" s="3" t="s">
        <v>9</v>
      </c>
      <c r="E17852" s="3">
        <v>0</v>
      </c>
      <c r="F17852" s="3">
        <v>0</v>
      </c>
      <c r="G17852" s="3">
        <v>0</v>
      </c>
      <c r="H17852" s="3">
        <v>31</v>
      </c>
      <c r="I17852" s="3">
        <v>0</v>
      </c>
      <c r="J17852" s="3">
        <v>0</v>
      </c>
      <c r="K17852" s="3">
        <v>0</v>
      </c>
      <c r="L17852" s="3">
        <v>0</v>
      </c>
      <c r="M17852" s="3">
        <v>31</v>
      </c>
      <c r="N17852" s="3">
        <v>0</v>
      </c>
      <c r="O17852" s="3" t="s">
        <v>10</v>
      </c>
      <c r="P17852" s="3" t="s">
        <v>9</v>
      </c>
      <c r="Q17852" s="3"/>
    </row>
    <row r="17853" spans="1:17" ht="15" x14ac:dyDescent="0.25">
      <c r="A17853" s="3">
        <f>17846</f>
        <v>17846</v>
      </c>
      <c r="B17853" s="3" t="s">
        <v>17855</v>
      </c>
      <c r="C17853" s="3" t="s">
        <v>10</v>
      </c>
      <c r="D17853" s="3" t="s">
        <v>9</v>
      </c>
      <c r="E17853" s="3">
        <v>0</v>
      </c>
      <c r="F17853" s="3">
        <v>0</v>
      </c>
      <c r="G17853" s="3">
        <v>0</v>
      </c>
      <c r="H17853" s="3">
        <v>31</v>
      </c>
      <c r="I17853" s="3">
        <v>0</v>
      </c>
      <c r="J17853" s="3">
        <v>0</v>
      </c>
      <c r="K17853" s="3">
        <v>0</v>
      </c>
      <c r="L17853" s="3">
        <v>0</v>
      </c>
      <c r="M17853" s="3">
        <v>31</v>
      </c>
      <c r="N17853" s="3">
        <v>0</v>
      </c>
      <c r="O17853" s="3" t="s">
        <v>10</v>
      </c>
      <c r="P17853" s="3" t="s">
        <v>9</v>
      </c>
      <c r="Q17853" s="3"/>
    </row>
    <row r="17854" spans="1:17" ht="15" x14ac:dyDescent="0.25">
      <c r="A17854" s="3">
        <f>17847</f>
        <v>17847</v>
      </c>
      <c r="B17854" s="3" t="s">
        <v>17856</v>
      </c>
      <c r="C17854" s="3" t="s">
        <v>10</v>
      </c>
      <c r="D17854" s="3" t="s">
        <v>9</v>
      </c>
      <c r="E17854" s="3">
        <v>0</v>
      </c>
      <c r="F17854" s="3">
        <v>0</v>
      </c>
      <c r="G17854" s="3">
        <v>0</v>
      </c>
      <c r="H17854" s="3">
        <v>31</v>
      </c>
      <c r="I17854" s="3">
        <v>0</v>
      </c>
      <c r="J17854" s="3">
        <v>0</v>
      </c>
      <c r="K17854" s="3">
        <v>0</v>
      </c>
      <c r="L17854" s="3">
        <v>0</v>
      </c>
      <c r="M17854" s="3">
        <v>31</v>
      </c>
      <c r="N17854" s="3">
        <v>0</v>
      </c>
      <c r="O17854" s="3" t="s">
        <v>10</v>
      </c>
      <c r="P17854" s="3" t="s">
        <v>9</v>
      </c>
      <c r="Q17854" s="3"/>
    </row>
    <row r="17855" spans="1:17" ht="15" x14ac:dyDescent="0.25">
      <c r="A17855" s="3">
        <f>17848</f>
        <v>17848</v>
      </c>
      <c r="B17855" s="3" t="s">
        <v>17857</v>
      </c>
      <c r="C17855" s="3" t="s">
        <v>10</v>
      </c>
      <c r="D17855" s="3" t="s">
        <v>9</v>
      </c>
      <c r="E17855" s="3">
        <v>0</v>
      </c>
      <c r="F17855" s="3">
        <v>0</v>
      </c>
      <c r="G17855" s="3">
        <v>0</v>
      </c>
      <c r="H17855" s="3">
        <v>31</v>
      </c>
      <c r="I17855" s="3">
        <v>0</v>
      </c>
      <c r="J17855" s="3">
        <v>0</v>
      </c>
      <c r="K17855" s="3">
        <v>0</v>
      </c>
      <c r="L17855" s="3">
        <v>0</v>
      </c>
      <c r="M17855" s="3">
        <v>31</v>
      </c>
      <c r="N17855" s="3">
        <v>0</v>
      </c>
      <c r="O17855" s="3" t="s">
        <v>10</v>
      </c>
      <c r="P17855" s="3" t="s">
        <v>9</v>
      </c>
      <c r="Q17855" s="3"/>
    </row>
    <row r="17856" spans="1:17" ht="15" x14ac:dyDescent="0.25">
      <c r="A17856" s="3">
        <f>17849</f>
        <v>17849</v>
      </c>
      <c r="B17856" s="3" t="s">
        <v>17858</v>
      </c>
      <c r="C17856" s="3" t="s">
        <v>10</v>
      </c>
      <c r="D17856" s="3" t="s">
        <v>9</v>
      </c>
      <c r="E17856" s="3">
        <v>0</v>
      </c>
      <c r="F17856" s="3">
        <v>0</v>
      </c>
      <c r="G17856" s="3">
        <v>0</v>
      </c>
      <c r="H17856" s="3">
        <v>31</v>
      </c>
      <c r="I17856" s="3">
        <v>0</v>
      </c>
      <c r="J17856" s="3">
        <v>0</v>
      </c>
      <c r="K17856" s="3">
        <v>0</v>
      </c>
      <c r="L17856" s="3">
        <v>0</v>
      </c>
      <c r="M17856" s="3">
        <v>31</v>
      </c>
      <c r="N17856" s="3">
        <v>0</v>
      </c>
      <c r="O17856" s="3" t="s">
        <v>10</v>
      </c>
      <c r="P17856" s="3" t="s">
        <v>9</v>
      </c>
      <c r="Q17856" s="3"/>
    </row>
    <row r="17857" spans="1:17" ht="15" x14ac:dyDescent="0.25">
      <c r="A17857" s="3">
        <f>17850</f>
        <v>17850</v>
      </c>
      <c r="B17857" s="3" t="s">
        <v>17859</v>
      </c>
      <c r="C17857" s="3" t="s">
        <v>10</v>
      </c>
      <c r="D17857" s="3" t="s">
        <v>9</v>
      </c>
      <c r="E17857" s="3">
        <v>0</v>
      </c>
      <c r="F17857" s="3">
        <v>0</v>
      </c>
      <c r="G17857" s="3">
        <v>0</v>
      </c>
      <c r="H17857" s="3">
        <v>31</v>
      </c>
      <c r="I17857" s="3">
        <v>0</v>
      </c>
      <c r="J17857" s="3">
        <v>0</v>
      </c>
      <c r="K17857" s="3">
        <v>0</v>
      </c>
      <c r="L17857" s="3">
        <v>0</v>
      </c>
      <c r="M17857" s="3">
        <v>31</v>
      </c>
      <c r="N17857" s="3">
        <v>0</v>
      </c>
      <c r="O17857" s="3" t="s">
        <v>10</v>
      </c>
      <c r="P17857" s="3" t="s">
        <v>9</v>
      </c>
      <c r="Q17857" s="3"/>
    </row>
    <row r="17858" spans="1:17" ht="15" x14ac:dyDescent="0.25">
      <c r="A17858" s="3">
        <f>17851</f>
        <v>17851</v>
      </c>
      <c r="B17858" s="3" t="s">
        <v>17860</v>
      </c>
      <c r="C17858" s="3" t="s">
        <v>10</v>
      </c>
      <c r="D17858" s="3" t="s">
        <v>9</v>
      </c>
      <c r="E17858" s="3">
        <v>0</v>
      </c>
      <c r="F17858" s="3">
        <v>0</v>
      </c>
      <c r="G17858" s="3">
        <v>0</v>
      </c>
      <c r="H17858" s="3">
        <v>31</v>
      </c>
      <c r="I17858" s="3">
        <v>0</v>
      </c>
      <c r="J17858" s="3">
        <v>0</v>
      </c>
      <c r="K17858" s="3">
        <v>0</v>
      </c>
      <c r="L17858" s="3">
        <v>0</v>
      </c>
      <c r="M17858" s="3">
        <v>31</v>
      </c>
      <c r="N17858" s="3">
        <v>0</v>
      </c>
      <c r="O17858" s="3" t="s">
        <v>10</v>
      </c>
      <c r="P17858" s="3" t="s">
        <v>9</v>
      </c>
      <c r="Q17858" s="3"/>
    </row>
    <row r="17859" spans="1:17" ht="15" x14ac:dyDescent="0.25">
      <c r="A17859" s="3">
        <f>17852</f>
        <v>17852</v>
      </c>
      <c r="B17859" s="3" t="s">
        <v>17861</v>
      </c>
      <c r="C17859" s="3" t="s">
        <v>10</v>
      </c>
      <c r="D17859" s="3" t="s">
        <v>9</v>
      </c>
      <c r="E17859" s="3">
        <v>0</v>
      </c>
      <c r="F17859" s="3">
        <v>0</v>
      </c>
      <c r="G17859" s="3">
        <v>0</v>
      </c>
      <c r="H17859" s="3">
        <v>31</v>
      </c>
      <c r="I17859" s="3">
        <v>0</v>
      </c>
      <c r="J17859" s="3">
        <v>0</v>
      </c>
      <c r="K17859" s="3">
        <v>0</v>
      </c>
      <c r="L17859" s="3">
        <v>0</v>
      </c>
      <c r="M17859" s="3">
        <v>31</v>
      </c>
      <c r="N17859" s="3">
        <v>0</v>
      </c>
      <c r="O17859" s="3" t="s">
        <v>10</v>
      </c>
      <c r="P17859" s="3" t="s">
        <v>9</v>
      </c>
      <c r="Q17859" s="3"/>
    </row>
    <row r="17860" spans="1:17" ht="15" x14ac:dyDescent="0.25">
      <c r="A17860" s="3">
        <f>17853</f>
        <v>17853</v>
      </c>
      <c r="B17860" s="3" t="s">
        <v>17862</v>
      </c>
      <c r="C17860" s="3" t="s">
        <v>10</v>
      </c>
      <c r="D17860" s="3" t="s">
        <v>9</v>
      </c>
      <c r="E17860" s="3">
        <v>0</v>
      </c>
      <c r="F17860" s="3">
        <v>0</v>
      </c>
      <c r="G17860" s="3">
        <v>0</v>
      </c>
      <c r="H17860" s="3">
        <v>31</v>
      </c>
      <c r="I17860" s="3">
        <v>0</v>
      </c>
      <c r="J17860" s="3">
        <v>0</v>
      </c>
      <c r="K17860" s="3">
        <v>0</v>
      </c>
      <c r="L17860" s="3">
        <v>0</v>
      </c>
      <c r="M17860" s="3">
        <v>31</v>
      </c>
      <c r="N17860" s="3">
        <v>0</v>
      </c>
      <c r="O17860" s="3" t="s">
        <v>10</v>
      </c>
      <c r="P17860" s="3" t="s">
        <v>9</v>
      </c>
      <c r="Q17860" s="3"/>
    </row>
    <row r="17861" spans="1:17" ht="15" x14ac:dyDescent="0.25">
      <c r="A17861" s="3">
        <f>17854</f>
        <v>17854</v>
      </c>
      <c r="B17861" s="3" t="s">
        <v>17863</v>
      </c>
      <c r="C17861" s="3" t="s">
        <v>10</v>
      </c>
      <c r="D17861" s="3" t="s">
        <v>9</v>
      </c>
      <c r="E17861" s="3">
        <v>0</v>
      </c>
      <c r="F17861" s="3">
        <v>0</v>
      </c>
      <c r="G17861" s="3">
        <v>0</v>
      </c>
      <c r="H17861" s="3">
        <v>31</v>
      </c>
      <c r="I17861" s="3">
        <v>0</v>
      </c>
      <c r="J17861" s="3">
        <v>0</v>
      </c>
      <c r="K17861" s="3">
        <v>0</v>
      </c>
      <c r="L17861" s="3">
        <v>0</v>
      </c>
      <c r="M17861" s="3">
        <v>31</v>
      </c>
      <c r="N17861" s="3">
        <v>0</v>
      </c>
      <c r="O17861" s="3" t="s">
        <v>10</v>
      </c>
      <c r="P17861" s="3" t="s">
        <v>9</v>
      </c>
      <c r="Q17861" s="3"/>
    </row>
    <row r="17862" spans="1:17" ht="15" x14ac:dyDescent="0.25">
      <c r="A17862" s="3">
        <f>17855</f>
        <v>17855</v>
      </c>
      <c r="B17862" s="3" t="s">
        <v>17864</v>
      </c>
      <c r="C17862" s="3" t="s">
        <v>10</v>
      </c>
      <c r="D17862" s="3" t="s">
        <v>9</v>
      </c>
      <c r="E17862" s="3">
        <v>0</v>
      </c>
      <c r="F17862" s="3">
        <v>0</v>
      </c>
      <c r="G17862" s="3">
        <v>0</v>
      </c>
      <c r="H17862" s="3">
        <v>31</v>
      </c>
      <c r="I17862" s="3">
        <v>0</v>
      </c>
      <c r="J17862" s="3">
        <v>0</v>
      </c>
      <c r="K17862" s="3">
        <v>0</v>
      </c>
      <c r="L17862" s="3">
        <v>0</v>
      </c>
      <c r="M17862" s="3">
        <v>31</v>
      </c>
      <c r="N17862" s="3">
        <v>0</v>
      </c>
      <c r="O17862" s="3" t="s">
        <v>10</v>
      </c>
      <c r="P17862" s="3" t="s">
        <v>9</v>
      </c>
      <c r="Q17862" s="3"/>
    </row>
    <row r="17863" spans="1:17" ht="15" x14ac:dyDescent="0.25">
      <c r="A17863" s="3">
        <f>17856</f>
        <v>17856</v>
      </c>
      <c r="B17863" s="3" t="s">
        <v>17865</v>
      </c>
      <c r="C17863" s="3" t="s">
        <v>10</v>
      </c>
      <c r="D17863" s="3" t="s">
        <v>9</v>
      </c>
      <c r="E17863" s="3">
        <v>0</v>
      </c>
      <c r="F17863" s="3">
        <v>0</v>
      </c>
      <c r="G17863" s="3">
        <v>0</v>
      </c>
      <c r="H17863" s="3">
        <v>31</v>
      </c>
      <c r="I17863" s="3">
        <v>0</v>
      </c>
      <c r="J17863" s="3">
        <v>0</v>
      </c>
      <c r="K17863" s="3">
        <v>0</v>
      </c>
      <c r="L17863" s="3">
        <v>0</v>
      </c>
      <c r="M17863" s="3">
        <v>31</v>
      </c>
      <c r="N17863" s="3">
        <v>0</v>
      </c>
      <c r="O17863" s="3" t="s">
        <v>10</v>
      </c>
      <c r="P17863" s="3" t="s">
        <v>9</v>
      </c>
      <c r="Q17863" s="3"/>
    </row>
    <row r="17864" spans="1:17" ht="15" x14ac:dyDescent="0.25">
      <c r="A17864" s="3">
        <f>17857</f>
        <v>17857</v>
      </c>
      <c r="B17864" s="3" t="s">
        <v>17866</v>
      </c>
      <c r="C17864" s="3" t="s">
        <v>10</v>
      </c>
      <c r="D17864" s="3" t="s">
        <v>9</v>
      </c>
      <c r="E17864" s="3">
        <v>0</v>
      </c>
      <c r="F17864" s="3">
        <v>0</v>
      </c>
      <c r="G17864" s="3">
        <v>0</v>
      </c>
      <c r="H17864" s="3">
        <v>31</v>
      </c>
      <c r="I17864" s="3">
        <v>0</v>
      </c>
      <c r="J17864" s="3">
        <v>0</v>
      </c>
      <c r="K17864" s="3">
        <v>0</v>
      </c>
      <c r="L17864" s="3">
        <v>0</v>
      </c>
      <c r="M17864" s="3">
        <v>31</v>
      </c>
      <c r="N17864" s="3">
        <v>0</v>
      </c>
      <c r="O17864" s="3" t="s">
        <v>10</v>
      </c>
      <c r="P17864" s="3" t="s">
        <v>9</v>
      </c>
      <c r="Q17864" s="3"/>
    </row>
    <row r="17865" spans="1:17" ht="15" x14ac:dyDescent="0.25">
      <c r="A17865" s="3">
        <f>17858</f>
        <v>17858</v>
      </c>
      <c r="B17865" s="3" t="s">
        <v>17867</v>
      </c>
      <c r="C17865" s="3" t="s">
        <v>10</v>
      </c>
      <c r="D17865" s="3" t="s">
        <v>9</v>
      </c>
      <c r="E17865" s="3">
        <v>0</v>
      </c>
      <c r="F17865" s="3">
        <v>0</v>
      </c>
      <c r="G17865" s="3">
        <v>0</v>
      </c>
      <c r="H17865" s="3">
        <v>31</v>
      </c>
      <c r="I17865" s="3">
        <v>0</v>
      </c>
      <c r="J17865" s="3">
        <v>0</v>
      </c>
      <c r="K17865" s="3">
        <v>0</v>
      </c>
      <c r="L17865" s="3">
        <v>0</v>
      </c>
      <c r="M17865" s="3">
        <v>31</v>
      </c>
      <c r="N17865" s="3">
        <v>0</v>
      </c>
      <c r="O17865" s="3" t="s">
        <v>10</v>
      </c>
      <c r="P17865" s="3" t="s">
        <v>9</v>
      </c>
      <c r="Q17865" s="3"/>
    </row>
    <row r="17866" spans="1:17" ht="15" x14ac:dyDescent="0.25">
      <c r="A17866" s="3">
        <f>17859</f>
        <v>17859</v>
      </c>
      <c r="B17866" s="3" t="s">
        <v>17868</v>
      </c>
      <c r="C17866" s="3" t="s">
        <v>10</v>
      </c>
      <c r="D17866" s="3" t="s">
        <v>9</v>
      </c>
      <c r="E17866" s="3">
        <v>0</v>
      </c>
      <c r="F17866" s="3">
        <v>0</v>
      </c>
      <c r="G17866" s="3">
        <v>0</v>
      </c>
      <c r="H17866" s="3">
        <v>31</v>
      </c>
      <c r="I17866" s="3">
        <v>0</v>
      </c>
      <c r="J17866" s="3">
        <v>0</v>
      </c>
      <c r="K17866" s="3">
        <v>0</v>
      </c>
      <c r="L17866" s="3">
        <v>0</v>
      </c>
      <c r="M17866" s="3">
        <v>31</v>
      </c>
      <c r="N17866" s="3">
        <v>0</v>
      </c>
      <c r="O17866" s="3" t="s">
        <v>10</v>
      </c>
      <c r="P17866" s="3" t="s">
        <v>9</v>
      </c>
      <c r="Q17866" s="3"/>
    </row>
    <row r="17867" spans="1:17" ht="15" x14ac:dyDescent="0.25">
      <c r="A17867" s="3">
        <f>17860</f>
        <v>17860</v>
      </c>
      <c r="B17867" s="3" t="s">
        <v>17869</v>
      </c>
      <c r="C17867" s="3" t="s">
        <v>10</v>
      </c>
      <c r="D17867" s="3" t="s">
        <v>9</v>
      </c>
      <c r="E17867" s="3">
        <v>0</v>
      </c>
      <c r="F17867" s="3">
        <v>0</v>
      </c>
      <c r="G17867" s="3">
        <v>0</v>
      </c>
      <c r="H17867" s="3">
        <v>31</v>
      </c>
      <c r="I17867" s="3">
        <v>0</v>
      </c>
      <c r="J17867" s="3">
        <v>0</v>
      </c>
      <c r="K17867" s="3">
        <v>0</v>
      </c>
      <c r="L17867" s="3">
        <v>0</v>
      </c>
      <c r="M17867" s="3">
        <v>31</v>
      </c>
      <c r="N17867" s="3">
        <v>0</v>
      </c>
      <c r="O17867" s="3" t="s">
        <v>10</v>
      </c>
      <c r="P17867" s="3" t="s">
        <v>9</v>
      </c>
      <c r="Q17867" s="3"/>
    </row>
    <row r="17868" spans="1:17" ht="15" x14ac:dyDescent="0.25">
      <c r="A17868" s="3">
        <f>17861</f>
        <v>17861</v>
      </c>
      <c r="B17868" s="3" t="s">
        <v>17870</v>
      </c>
      <c r="C17868" s="3" t="s">
        <v>10</v>
      </c>
      <c r="D17868" s="3" t="s">
        <v>9</v>
      </c>
      <c r="E17868" s="3">
        <v>0</v>
      </c>
      <c r="F17868" s="3">
        <v>0</v>
      </c>
      <c r="G17868" s="3">
        <v>0</v>
      </c>
      <c r="H17868" s="3">
        <v>31</v>
      </c>
      <c r="I17868" s="3">
        <v>0</v>
      </c>
      <c r="J17868" s="3">
        <v>0</v>
      </c>
      <c r="K17868" s="3">
        <v>0</v>
      </c>
      <c r="L17868" s="3">
        <v>0</v>
      </c>
      <c r="M17868" s="3">
        <v>31</v>
      </c>
      <c r="N17868" s="3">
        <v>0</v>
      </c>
      <c r="O17868" s="3" t="s">
        <v>10</v>
      </c>
      <c r="P17868" s="3" t="s">
        <v>9</v>
      </c>
      <c r="Q17868" s="3"/>
    </row>
    <row r="17869" spans="1:17" ht="15" x14ac:dyDescent="0.25">
      <c r="A17869" s="3">
        <f>17862</f>
        <v>17862</v>
      </c>
      <c r="B17869" s="3" t="s">
        <v>17871</v>
      </c>
      <c r="C17869" s="3" t="s">
        <v>10</v>
      </c>
      <c r="D17869" s="3" t="s">
        <v>9</v>
      </c>
      <c r="E17869" s="3">
        <v>0</v>
      </c>
      <c r="F17869" s="3">
        <v>0</v>
      </c>
      <c r="G17869" s="3">
        <v>0</v>
      </c>
      <c r="H17869" s="3">
        <v>31</v>
      </c>
      <c r="I17869" s="3">
        <v>0</v>
      </c>
      <c r="J17869" s="3">
        <v>0</v>
      </c>
      <c r="K17869" s="3">
        <v>0</v>
      </c>
      <c r="L17869" s="3">
        <v>0</v>
      </c>
      <c r="M17869" s="3">
        <v>31</v>
      </c>
      <c r="N17869" s="3">
        <v>0</v>
      </c>
      <c r="O17869" s="3" t="s">
        <v>10</v>
      </c>
      <c r="P17869" s="3" t="s">
        <v>9</v>
      </c>
      <c r="Q17869" s="3"/>
    </row>
    <row r="17870" spans="1:17" ht="15" x14ac:dyDescent="0.25">
      <c r="A17870" s="3">
        <f>17863</f>
        <v>17863</v>
      </c>
      <c r="B17870" s="3" t="s">
        <v>17872</v>
      </c>
      <c r="C17870" s="3" t="s">
        <v>10</v>
      </c>
      <c r="D17870" s="3" t="s">
        <v>9</v>
      </c>
      <c r="E17870" s="3">
        <v>0</v>
      </c>
      <c r="F17870" s="3">
        <v>0</v>
      </c>
      <c r="G17870" s="3">
        <v>0</v>
      </c>
      <c r="H17870" s="3">
        <v>31</v>
      </c>
      <c r="I17870" s="3">
        <v>0</v>
      </c>
      <c r="J17870" s="3">
        <v>0</v>
      </c>
      <c r="K17870" s="3">
        <v>0</v>
      </c>
      <c r="L17870" s="3">
        <v>0</v>
      </c>
      <c r="M17870" s="3">
        <v>31</v>
      </c>
      <c r="N17870" s="3">
        <v>0</v>
      </c>
      <c r="O17870" s="3" t="s">
        <v>10</v>
      </c>
      <c r="P17870" s="3" t="s">
        <v>9</v>
      </c>
      <c r="Q17870" s="3"/>
    </row>
    <row r="17871" spans="1:17" ht="15" x14ac:dyDescent="0.25">
      <c r="A17871" s="3">
        <f>17864</f>
        <v>17864</v>
      </c>
      <c r="B17871" s="3" t="s">
        <v>17873</v>
      </c>
      <c r="C17871" s="3" t="s">
        <v>10</v>
      </c>
      <c r="D17871" s="3" t="s">
        <v>9</v>
      </c>
      <c r="E17871" s="3">
        <v>0</v>
      </c>
      <c r="F17871" s="3">
        <v>0</v>
      </c>
      <c r="G17871" s="3">
        <v>0</v>
      </c>
      <c r="H17871" s="3">
        <v>31</v>
      </c>
      <c r="I17871" s="3">
        <v>0</v>
      </c>
      <c r="J17871" s="3">
        <v>0</v>
      </c>
      <c r="K17871" s="3">
        <v>0</v>
      </c>
      <c r="L17871" s="3">
        <v>0</v>
      </c>
      <c r="M17871" s="3">
        <v>31</v>
      </c>
      <c r="N17871" s="3">
        <v>0</v>
      </c>
      <c r="O17871" s="3" t="s">
        <v>10</v>
      </c>
      <c r="P17871" s="3" t="s">
        <v>9</v>
      </c>
      <c r="Q17871" s="3"/>
    </row>
    <row r="17872" spans="1:17" ht="15" x14ac:dyDescent="0.25">
      <c r="A17872" s="3">
        <f>17865</f>
        <v>17865</v>
      </c>
      <c r="B17872" s="3" t="s">
        <v>17874</v>
      </c>
      <c r="C17872" s="3" t="s">
        <v>10</v>
      </c>
      <c r="D17872" s="3" t="s">
        <v>9</v>
      </c>
      <c r="E17872" s="3">
        <v>0</v>
      </c>
      <c r="F17872" s="3">
        <v>0</v>
      </c>
      <c r="G17872" s="3">
        <v>0</v>
      </c>
      <c r="H17872" s="3">
        <v>31</v>
      </c>
      <c r="I17872" s="3">
        <v>0</v>
      </c>
      <c r="J17872" s="3">
        <v>0</v>
      </c>
      <c r="K17872" s="3">
        <v>0</v>
      </c>
      <c r="L17872" s="3">
        <v>0</v>
      </c>
      <c r="M17872" s="3">
        <v>31</v>
      </c>
      <c r="N17872" s="3">
        <v>0</v>
      </c>
      <c r="O17872" s="3" t="s">
        <v>10</v>
      </c>
      <c r="P17872" s="3" t="s">
        <v>9</v>
      </c>
      <c r="Q17872" s="3"/>
    </row>
    <row r="17873" spans="1:17" ht="15" x14ac:dyDescent="0.25">
      <c r="A17873" s="3">
        <f>17866</f>
        <v>17866</v>
      </c>
      <c r="B17873" s="3" t="s">
        <v>17875</v>
      </c>
      <c r="C17873" s="3" t="s">
        <v>10</v>
      </c>
      <c r="D17873" s="3" t="s">
        <v>9</v>
      </c>
      <c r="E17873" s="3">
        <v>0</v>
      </c>
      <c r="F17873" s="3">
        <v>0</v>
      </c>
      <c r="G17873" s="3">
        <v>0</v>
      </c>
      <c r="H17873" s="3">
        <v>31</v>
      </c>
      <c r="I17873" s="3">
        <v>0</v>
      </c>
      <c r="J17873" s="3">
        <v>0</v>
      </c>
      <c r="K17873" s="3">
        <v>0</v>
      </c>
      <c r="L17873" s="3">
        <v>0</v>
      </c>
      <c r="M17873" s="3">
        <v>31</v>
      </c>
      <c r="N17873" s="3">
        <v>0</v>
      </c>
      <c r="O17873" s="3" t="s">
        <v>10</v>
      </c>
      <c r="P17873" s="3" t="s">
        <v>9</v>
      </c>
      <c r="Q17873" s="3"/>
    </row>
    <row r="17874" spans="1:17" ht="15" x14ac:dyDescent="0.25">
      <c r="A17874" s="3">
        <f>17867</f>
        <v>17867</v>
      </c>
      <c r="B17874" s="3" t="s">
        <v>17876</v>
      </c>
      <c r="C17874" s="3" t="s">
        <v>10</v>
      </c>
      <c r="D17874" s="3" t="s">
        <v>9</v>
      </c>
      <c r="E17874" s="3">
        <v>0</v>
      </c>
      <c r="F17874" s="3">
        <v>0</v>
      </c>
      <c r="G17874" s="3">
        <v>0</v>
      </c>
      <c r="H17874" s="3">
        <v>31</v>
      </c>
      <c r="I17874" s="3">
        <v>0</v>
      </c>
      <c r="J17874" s="3">
        <v>0</v>
      </c>
      <c r="K17874" s="3">
        <v>0</v>
      </c>
      <c r="L17874" s="3">
        <v>0</v>
      </c>
      <c r="M17874" s="3">
        <v>31</v>
      </c>
      <c r="N17874" s="3">
        <v>0</v>
      </c>
      <c r="O17874" s="3" t="s">
        <v>10</v>
      </c>
      <c r="P17874" s="3" t="s">
        <v>9</v>
      </c>
      <c r="Q17874" s="3"/>
    </row>
    <row r="17875" spans="1:17" ht="15" x14ac:dyDescent="0.25">
      <c r="A17875" s="3">
        <f>17868</f>
        <v>17868</v>
      </c>
      <c r="B17875" s="3" t="s">
        <v>17877</v>
      </c>
      <c r="C17875" s="3" t="s">
        <v>10</v>
      </c>
      <c r="D17875" s="3" t="s">
        <v>9</v>
      </c>
      <c r="E17875" s="3">
        <v>0</v>
      </c>
      <c r="F17875" s="3">
        <v>0</v>
      </c>
      <c r="G17875" s="3">
        <v>0</v>
      </c>
      <c r="H17875" s="3">
        <v>31</v>
      </c>
      <c r="I17875" s="3">
        <v>0</v>
      </c>
      <c r="J17875" s="3">
        <v>0</v>
      </c>
      <c r="K17875" s="3">
        <v>0</v>
      </c>
      <c r="L17875" s="3">
        <v>0</v>
      </c>
      <c r="M17875" s="3">
        <v>31</v>
      </c>
      <c r="N17875" s="3">
        <v>0</v>
      </c>
      <c r="O17875" s="3" t="s">
        <v>10</v>
      </c>
      <c r="P17875" s="3" t="s">
        <v>9</v>
      </c>
      <c r="Q17875" s="3"/>
    </row>
    <row r="17876" spans="1:17" ht="15" x14ac:dyDescent="0.25">
      <c r="A17876" s="3">
        <f>17869</f>
        <v>17869</v>
      </c>
      <c r="B17876" s="3" t="s">
        <v>17878</v>
      </c>
      <c r="C17876" s="3" t="s">
        <v>10</v>
      </c>
      <c r="D17876" s="3" t="s">
        <v>9</v>
      </c>
      <c r="E17876" s="3">
        <v>0</v>
      </c>
      <c r="F17876" s="3">
        <v>0</v>
      </c>
      <c r="G17876" s="3">
        <v>0</v>
      </c>
      <c r="H17876" s="3">
        <v>31</v>
      </c>
      <c r="I17876" s="3">
        <v>0</v>
      </c>
      <c r="J17876" s="3">
        <v>0</v>
      </c>
      <c r="K17876" s="3">
        <v>0</v>
      </c>
      <c r="L17876" s="3">
        <v>0</v>
      </c>
      <c r="M17876" s="3">
        <v>31</v>
      </c>
      <c r="N17876" s="3">
        <v>0</v>
      </c>
      <c r="O17876" s="3" t="s">
        <v>10</v>
      </c>
      <c r="P17876" s="3" t="s">
        <v>9</v>
      </c>
      <c r="Q17876" s="3"/>
    </row>
    <row r="17877" spans="1:17" ht="15" x14ac:dyDescent="0.25">
      <c r="A17877" s="3">
        <f>17870</f>
        <v>17870</v>
      </c>
      <c r="B17877" s="3" t="s">
        <v>17879</v>
      </c>
      <c r="C17877" s="3" t="s">
        <v>10</v>
      </c>
      <c r="D17877" s="3" t="s">
        <v>9</v>
      </c>
      <c r="E17877" s="3">
        <v>0</v>
      </c>
      <c r="F17877" s="3">
        <v>0</v>
      </c>
      <c r="G17877" s="3">
        <v>0</v>
      </c>
      <c r="H17877" s="3">
        <v>31</v>
      </c>
      <c r="I17877" s="3">
        <v>0</v>
      </c>
      <c r="J17877" s="3">
        <v>0</v>
      </c>
      <c r="K17877" s="3">
        <v>0</v>
      </c>
      <c r="L17877" s="3">
        <v>0</v>
      </c>
      <c r="M17877" s="3">
        <v>31</v>
      </c>
      <c r="N17877" s="3">
        <v>0</v>
      </c>
      <c r="O17877" s="3" t="s">
        <v>10</v>
      </c>
      <c r="P17877" s="3" t="s">
        <v>9</v>
      </c>
      <c r="Q17877" s="3"/>
    </row>
    <row r="17878" spans="1:17" ht="15" x14ac:dyDescent="0.25">
      <c r="A17878" s="3">
        <f>17871</f>
        <v>17871</v>
      </c>
      <c r="B17878" s="3" t="s">
        <v>17880</v>
      </c>
      <c r="C17878" s="3" t="s">
        <v>10</v>
      </c>
      <c r="D17878" s="3" t="s">
        <v>9</v>
      </c>
      <c r="E17878" s="3">
        <v>0</v>
      </c>
      <c r="F17878" s="3">
        <v>0</v>
      </c>
      <c r="G17878" s="3">
        <v>0</v>
      </c>
      <c r="H17878" s="3">
        <v>31</v>
      </c>
      <c r="I17878" s="3">
        <v>0</v>
      </c>
      <c r="J17878" s="3">
        <v>0</v>
      </c>
      <c r="K17878" s="3">
        <v>0</v>
      </c>
      <c r="L17878" s="3">
        <v>0</v>
      </c>
      <c r="M17878" s="3">
        <v>31</v>
      </c>
      <c r="N17878" s="3">
        <v>0</v>
      </c>
      <c r="O17878" s="3" t="s">
        <v>10</v>
      </c>
      <c r="P17878" s="3" t="s">
        <v>9</v>
      </c>
      <c r="Q17878" s="3"/>
    </row>
    <row r="17879" spans="1:17" ht="15" x14ac:dyDescent="0.25">
      <c r="A17879" s="3">
        <f>17872</f>
        <v>17872</v>
      </c>
      <c r="B17879" s="3" t="s">
        <v>17881</v>
      </c>
      <c r="C17879" s="3" t="s">
        <v>10</v>
      </c>
      <c r="D17879" s="3" t="s">
        <v>9</v>
      </c>
      <c r="E17879" s="3">
        <v>0</v>
      </c>
      <c r="F17879" s="3">
        <v>0</v>
      </c>
      <c r="G17879" s="3">
        <v>0</v>
      </c>
      <c r="H17879" s="3">
        <v>31</v>
      </c>
      <c r="I17879" s="3">
        <v>0</v>
      </c>
      <c r="J17879" s="3">
        <v>0</v>
      </c>
      <c r="K17879" s="3">
        <v>0</v>
      </c>
      <c r="L17879" s="3">
        <v>0</v>
      </c>
      <c r="M17879" s="3">
        <v>31</v>
      </c>
      <c r="N17879" s="3">
        <v>0</v>
      </c>
      <c r="O17879" s="3" t="s">
        <v>10</v>
      </c>
      <c r="P17879" s="3" t="s">
        <v>9</v>
      </c>
      <c r="Q17879" s="3"/>
    </row>
    <row r="17880" spans="1:17" ht="15" x14ac:dyDescent="0.25">
      <c r="A17880" s="3">
        <f>17873</f>
        <v>17873</v>
      </c>
      <c r="B17880" s="3" t="s">
        <v>17882</v>
      </c>
      <c r="C17880" s="3" t="s">
        <v>10</v>
      </c>
      <c r="D17880" s="3" t="s">
        <v>9</v>
      </c>
      <c r="E17880" s="3">
        <v>0</v>
      </c>
      <c r="F17880" s="3">
        <v>0</v>
      </c>
      <c r="G17880" s="3">
        <v>0</v>
      </c>
      <c r="H17880" s="3">
        <v>31</v>
      </c>
      <c r="I17880" s="3">
        <v>0</v>
      </c>
      <c r="J17880" s="3">
        <v>0</v>
      </c>
      <c r="K17880" s="3">
        <v>0</v>
      </c>
      <c r="L17880" s="3">
        <v>0</v>
      </c>
      <c r="M17880" s="3">
        <v>31</v>
      </c>
      <c r="N17880" s="3">
        <v>0</v>
      </c>
      <c r="O17880" s="3" t="s">
        <v>10</v>
      </c>
      <c r="P17880" s="3" t="s">
        <v>9</v>
      </c>
      <c r="Q17880" s="3"/>
    </row>
    <row r="17881" spans="1:17" ht="15" x14ac:dyDescent="0.25">
      <c r="A17881" s="3">
        <f>17874</f>
        <v>17874</v>
      </c>
      <c r="B17881" s="3" t="s">
        <v>17883</v>
      </c>
      <c r="C17881" s="3" t="s">
        <v>10</v>
      </c>
      <c r="D17881" s="3" t="s">
        <v>9</v>
      </c>
      <c r="E17881" s="3">
        <v>0</v>
      </c>
      <c r="F17881" s="3">
        <v>0</v>
      </c>
      <c r="G17881" s="3">
        <v>0</v>
      </c>
      <c r="H17881" s="3">
        <v>31</v>
      </c>
      <c r="I17881" s="3">
        <v>0</v>
      </c>
      <c r="J17881" s="3">
        <v>0</v>
      </c>
      <c r="K17881" s="3">
        <v>0</v>
      </c>
      <c r="L17881" s="3">
        <v>0</v>
      </c>
      <c r="M17881" s="3">
        <v>31</v>
      </c>
      <c r="N17881" s="3">
        <v>0</v>
      </c>
      <c r="O17881" s="3" t="s">
        <v>10</v>
      </c>
      <c r="P17881" s="3" t="s">
        <v>9</v>
      </c>
      <c r="Q17881" s="3"/>
    </row>
    <row r="17882" spans="1:17" ht="15" x14ac:dyDescent="0.25">
      <c r="A17882" s="3">
        <f>17875</f>
        <v>17875</v>
      </c>
      <c r="B17882" s="3" t="s">
        <v>17884</v>
      </c>
      <c r="C17882" s="3" t="s">
        <v>10</v>
      </c>
      <c r="D17882" s="3" t="s">
        <v>9</v>
      </c>
      <c r="E17882" s="3">
        <v>0</v>
      </c>
      <c r="F17882" s="3">
        <v>0</v>
      </c>
      <c r="G17882" s="3">
        <v>0</v>
      </c>
      <c r="H17882" s="3">
        <v>31</v>
      </c>
      <c r="I17882" s="3">
        <v>0</v>
      </c>
      <c r="J17882" s="3">
        <v>0</v>
      </c>
      <c r="K17882" s="3">
        <v>0</v>
      </c>
      <c r="L17882" s="3">
        <v>0</v>
      </c>
      <c r="M17882" s="3">
        <v>31</v>
      </c>
      <c r="N17882" s="3">
        <v>0</v>
      </c>
      <c r="O17882" s="3" t="s">
        <v>10</v>
      </c>
      <c r="P17882" s="3" t="s">
        <v>9</v>
      </c>
      <c r="Q17882" s="3"/>
    </row>
    <row r="17883" spans="1:17" ht="15" x14ac:dyDescent="0.25">
      <c r="A17883" s="3">
        <f>17876</f>
        <v>17876</v>
      </c>
      <c r="B17883" s="3" t="s">
        <v>17885</v>
      </c>
      <c r="C17883" s="3" t="s">
        <v>10</v>
      </c>
      <c r="D17883" s="3" t="s">
        <v>9</v>
      </c>
      <c r="E17883" s="3">
        <v>0</v>
      </c>
      <c r="F17883" s="3">
        <v>0</v>
      </c>
      <c r="G17883" s="3">
        <v>0</v>
      </c>
      <c r="H17883" s="3">
        <v>31</v>
      </c>
      <c r="I17883" s="3">
        <v>0</v>
      </c>
      <c r="J17883" s="3">
        <v>0</v>
      </c>
      <c r="K17883" s="3">
        <v>0</v>
      </c>
      <c r="L17883" s="3">
        <v>0</v>
      </c>
      <c r="M17883" s="3">
        <v>31</v>
      </c>
      <c r="N17883" s="3">
        <v>0</v>
      </c>
      <c r="O17883" s="3" t="s">
        <v>10</v>
      </c>
      <c r="P17883" s="3" t="s">
        <v>9</v>
      </c>
      <c r="Q17883" s="3"/>
    </row>
    <row r="17884" spans="1:17" ht="15" x14ac:dyDescent="0.25">
      <c r="A17884" s="3">
        <f>17877</f>
        <v>17877</v>
      </c>
      <c r="B17884" s="3" t="s">
        <v>17886</v>
      </c>
      <c r="C17884" s="3" t="s">
        <v>10</v>
      </c>
      <c r="D17884" s="3" t="s">
        <v>9</v>
      </c>
      <c r="E17884" s="3">
        <v>0</v>
      </c>
      <c r="F17884" s="3">
        <v>0</v>
      </c>
      <c r="G17884" s="3">
        <v>0</v>
      </c>
      <c r="H17884" s="3">
        <v>31</v>
      </c>
      <c r="I17884" s="3">
        <v>0</v>
      </c>
      <c r="J17884" s="3">
        <v>0</v>
      </c>
      <c r="K17884" s="3">
        <v>0</v>
      </c>
      <c r="L17884" s="3">
        <v>0</v>
      </c>
      <c r="M17884" s="3">
        <v>31</v>
      </c>
      <c r="N17884" s="3">
        <v>0</v>
      </c>
      <c r="O17884" s="3" t="s">
        <v>10</v>
      </c>
      <c r="P17884" s="3" t="s">
        <v>9</v>
      </c>
      <c r="Q17884" s="3"/>
    </row>
    <row r="17885" spans="1:17" ht="15" x14ac:dyDescent="0.25">
      <c r="A17885" s="3">
        <f>17878</f>
        <v>17878</v>
      </c>
      <c r="B17885" s="3" t="s">
        <v>17887</v>
      </c>
      <c r="C17885" s="3" t="s">
        <v>10</v>
      </c>
      <c r="D17885" s="3" t="s">
        <v>9</v>
      </c>
      <c r="E17885" s="3">
        <v>0</v>
      </c>
      <c r="F17885" s="3">
        <v>0</v>
      </c>
      <c r="G17885" s="3">
        <v>0</v>
      </c>
      <c r="H17885" s="3">
        <v>31</v>
      </c>
      <c r="I17885" s="3">
        <v>0</v>
      </c>
      <c r="J17885" s="3">
        <v>0</v>
      </c>
      <c r="K17885" s="3">
        <v>0</v>
      </c>
      <c r="L17885" s="3">
        <v>0</v>
      </c>
      <c r="M17885" s="3">
        <v>31</v>
      </c>
      <c r="N17885" s="3">
        <v>0</v>
      </c>
      <c r="O17885" s="3" t="s">
        <v>10</v>
      </c>
      <c r="P17885" s="3" t="s">
        <v>9</v>
      </c>
      <c r="Q17885" s="3"/>
    </row>
    <row r="17886" spans="1:17" ht="15" x14ac:dyDescent="0.25">
      <c r="A17886" s="3">
        <f>17879</f>
        <v>17879</v>
      </c>
      <c r="B17886" s="3" t="s">
        <v>17888</v>
      </c>
      <c r="C17886" s="3" t="s">
        <v>10</v>
      </c>
      <c r="D17886" s="3" t="s">
        <v>9</v>
      </c>
      <c r="E17886" s="3">
        <v>0</v>
      </c>
      <c r="F17886" s="3">
        <v>0</v>
      </c>
      <c r="G17886" s="3">
        <v>0</v>
      </c>
      <c r="H17886" s="3">
        <v>31</v>
      </c>
      <c r="I17886" s="3">
        <v>0</v>
      </c>
      <c r="J17886" s="3">
        <v>0</v>
      </c>
      <c r="K17886" s="3">
        <v>0</v>
      </c>
      <c r="L17886" s="3">
        <v>0</v>
      </c>
      <c r="M17886" s="3">
        <v>31</v>
      </c>
      <c r="N17886" s="3">
        <v>0</v>
      </c>
      <c r="O17886" s="3" t="s">
        <v>10</v>
      </c>
      <c r="P17886" s="3" t="s">
        <v>9</v>
      </c>
      <c r="Q17886" s="3"/>
    </row>
    <row r="17887" spans="1:17" ht="15" x14ac:dyDescent="0.25">
      <c r="A17887" s="3">
        <f>17880</f>
        <v>17880</v>
      </c>
      <c r="B17887" s="3" t="s">
        <v>17889</v>
      </c>
      <c r="C17887" s="3" t="s">
        <v>10</v>
      </c>
      <c r="D17887" s="3" t="s">
        <v>9</v>
      </c>
      <c r="E17887" s="3">
        <v>0</v>
      </c>
      <c r="F17887" s="3">
        <v>0</v>
      </c>
      <c r="G17887" s="3">
        <v>0</v>
      </c>
      <c r="H17887" s="3">
        <v>31</v>
      </c>
      <c r="I17887" s="3">
        <v>0</v>
      </c>
      <c r="J17887" s="3">
        <v>0</v>
      </c>
      <c r="K17887" s="3">
        <v>0</v>
      </c>
      <c r="L17887" s="3">
        <v>0</v>
      </c>
      <c r="M17887" s="3">
        <v>31</v>
      </c>
      <c r="N17887" s="3">
        <v>0</v>
      </c>
      <c r="O17887" s="3" t="s">
        <v>10</v>
      </c>
      <c r="P17887" s="3" t="s">
        <v>9</v>
      </c>
      <c r="Q17887" s="3"/>
    </row>
    <row r="17888" spans="1:17" ht="15" x14ac:dyDescent="0.25">
      <c r="A17888" s="3">
        <f>17881</f>
        <v>17881</v>
      </c>
      <c r="B17888" s="3" t="s">
        <v>17890</v>
      </c>
      <c r="C17888" s="3" t="s">
        <v>10</v>
      </c>
      <c r="D17888" s="3" t="s">
        <v>9</v>
      </c>
      <c r="E17888" s="3">
        <v>0</v>
      </c>
      <c r="F17888" s="3">
        <v>0</v>
      </c>
      <c r="G17888" s="3">
        <v>0</v>
      </c>
      <c r="H17888" s="3">
        <v>31</v>
      </c>
      <c r="I17888" s="3">
        <v>0</v>
      </c>
      <c r="J17888" s="3">
        <v>0</v>
      </c>
      <c r="K17888" s="3">
        <v>0</v>
      </c>
      <c r="L17888" s="3">
        <v>0</v>
      </c>
      <c r="M17888" s="3">
        <v>31</v>
      </c>
      <c r="N17888" s="3">
        <v>0</v>
      </c>
      <c r="O17888" s="3" t="s">
        <v>10</v>
      </c>
      <c r="P17888" s="3" t="s">
        <v>9</v>
      </c>
      <c r="Q17888" s="3"/>
    </row>
    <row r="17889" spans="1:17" ht="15" x14ac:dyDescent="0.25">
      <c r="A17889" s="3">
        <f>17882</f>
        <v>17882</v>
      </c>
      <c r="B17889" s="3" t="s">
        <v>17891</v>
      </c>
      <c r="C17889" s="3" t="s">
        <v>10</v>
      </c>
      <c r="D17889" s="3" t="s">
        <v>9</v>
      </c>
      <c r="E17889" s="3">
        <v>0</v>
      </c>
      <c r="F17889" s="3">
        <v>0</v>
      </c>
      <c r="G17889" s="3">
        <v>0</v>
      </c>
      <c r="H17889" s="3">
        <v>31</v>
      </c>
      <c r="I17889" s="3">
        <v>0</v>
      </c>
      <c r="J17889" s="3">
        <v>0</v>
      </c>
      <c r="K17889" s="3">
        <v>0</v>
      </c>
      <c r="L17889" s="3">
        <v>0</v>
      </c>
      <c r="M17889" s="3">
        <v>31</v>
      </c>
      <c r="N17889" s="3">
        <v>0</v>
      </c>
      <c r="O17889" s="3" t="s">
        <v>10</v>
      </c>
      <c r="P17889" s="3" t="s">
        <v>9</v>
      </c>
      <c r="Q17889" s="3"/>
    </row>
    <row r="17890" spans="1:17" ht="15" x14ac:dyDescent="0.25">
      <c r="A17890" s="3">
        <f>17883</f>
        <v>17883</v>
      </c>
      <c r="B17890" s="3" t="s">
        <v>17892</v>
      </c>
      <c r="C17890" s="3" t="s">
        <v>10</v>
      </c>
      <c r="D17890" s="3" t="s">
        <v>9</v>
      </c>
      <c r="E17890" s="3">
        <v>0</v>
      </c>
      <c r="F17890" s="3">
        <v>0</v>
      </c>
      <c r="G17890" s="3">
        <v>0</v>
      </c>
      <c r="H17890" s="3">
        <v>31</v>
      </c>
      <c r="I17890" s="3">
        <v>0</v>
      </c>
      <c r="J17890" s="3">
        <v>0</v>
      </c>
      <c r="K17890" s="3">
        <v>0</v>
      </c>
      <c r="L17890" s="3">
        <v>0</v>
      </c>
      <c r="M17890" s="3">
        <v>31</v>
      </c>
      <c r="N17890" s="3">
        <v>0</v>
      </c>
      <c r="O17890" s="3" t="s">
        <v>10</v>
      </c>
      <c r="P17890" s="3" t="s">
        <v>9</v>
      </c>
      <c r="Q17890" s="3"/>
    </row>
    <row r="17891" spans="1:17" ht="15" x14ac:dyDescent="0.25">
      <c r="A17891" s="3">
        <f>17884</f>
        <v>17884</v>
      </c>
      <c r="B17891" s="3" t="s">
        <v>17893</v>
      </c>
      <c r="C17891" s="3" t="s">
        <v>10</v>
      </c>
      <c r="D17891" s="3" t="s">
        <v>9</v>
      </c>
      <c r="E17891" s="3">
        <v>0</v>
      </c>
      <c r="F17891" s="3">
        <v>0</v>
      </c>
      <c r="G17891" s="3">
        <v>0</v>
      </c>
      <c r="H17891" s="3">
        <v>31</v>
      </c>
      <c r="I17891" s="3">
        <v>0</v>
      </c>
      <c r="J17891" s="3">
        <v>0</v>
      </c>
      <c r="K17891" s="3">
        <v>0</v>
      </c>
      <c r="L17891" s="3">
        <v>0</v>
      </c>
      <c r="M17891" s="3">
        <v>31</v>
      </c>
      <c r="N17891" s="3">
        <v>0</v>
      </c>
      <c r="O17891" s="3" t="s">
        <v>10</v>
      </c>
      <c r="P17891" s="3" t="s">
        <v>9</v>
      </c>
      <c r="Q17891" s="3"/>
    </row>
    <row r="17892" spans="1:17" ht="15" x14ac:dyDescent="0.25">
      <c r="A17892" s="3">
        <f>17885</f>
        <v>17885</v>
      </c>
      <c r="B17892" s="3" t="s">
        <v>17894</v>
      </c>
      <c r="C17892" s="3" t="s">
        <v>10</v>
      </c>
      <c r="D17892" s="3" t="s">
        <v>9</v>
      </c>
      <c r="E17892" s="3">
        <v>0</v>
      </c>
      <c r="F17892" s="3">
        <v>0</v>
      </c>
      <c r="G17892" s="3">
        <v>0</v>
      </c>
      <c r="H17892" s="3">
        <v>31</v>
      </c>
      <c r="I17892" s="3">
        <v>0</v>
      </c>
      <c r="J17892" s="3">
        <v>0</v>
      </c>
      <c r="K17892" s="3">
        <v>0</v>
      </c>
      <c r="L17892" s="3">
        <v>0</v>
      </c>
      <c r="M17892" s="3">
        <v>31</v>
      </c>
      <c r="N17892" s="3">
        <v>0</v>
      </c>
      <c r="O17892" s="3" t="s">
        <v>10</v>
      </c>
      <c r="P17892" s="3" t="s">
        <v>9</v>
      </c>
      <c r="Q17892" s="3"/>
    </row>
    <row r="17893" spans="1:17" ht="15" x14ac:dyDescent="0.25">
      <c r="A17893" s="3">
        <f>17886</f>
        <v>17886</v>
      </c>
      <c r="B17893" s="3" t="s">
        <v>17895</v>
      </c>
      <c r="C17893" s="3" t="s">
        <v>10</v>
      </c>
      <c r="D17893" s="3" t="s">
        <v>9</v>
      </c>
      <c r="E17893" s="3">
        <v>0</v>
      </c>
      <c r="F17893" s="3">
        <v>0</v>
      </c>
      <c r="G17893" s="3">
        <v>0</v>
      </c>
      <c r="H17893" s="3">
        <v>31</v>
      </c>
      <c r="I17893" s="3">
        <v>0</v>
      </c>
      <c r="J17893" s="3">
        <v>0</v>
      </c>
      <c r="K17893" s="3">
        <v>0</v>
      </c>
      <c r="L17893" s="3">
        <v>0</v>
      </c>
      <c r="M17893" s="3">
        <v>31</v>
      </c>
      <c r="N17893" s="3">
        <v>0</v>
      </c>
      <c r="O17893" s="3" t="s">
        <v>10</v>
      </c>
      <c r="P17893" s="3" t="s">
        <v>9</v>
      </c>
      <c r="Q17893" s="3"/>
    </row>
    <row r="17894" spans="1:17" ht="15" x14ac:dyDescent="0.25">
      <c r="A17894" s="3">
        <f>17887</f>
        <v>17887</v>
      </c>
      <c r="B17894" s="3" t="s">
        <v>17896</v>
      </c>
      <c r="C17894" s="3" t="s">
        <v>10</v>
      </c>
      <c r="D17894" s="3" t="s">
        <v>9</v>
      </c>
      <c r="E17894" s="3">
        <v>0</v>
      </c>
      <c r="F17894" s="3">
        <v>0</v>
      </c>
      <c r="G17894" s="3">
        <v>0</v>
      </c>
      <c r="H17894" s="3">
        <v>31</v>
      </c>
      <c r="I17894" s="3">
        <v>0</v>
      </c>
      <c r="J17894" s="3">
        <v>0</v>
      </c>
      <c r="K17894" s="3">
        <v>0</v>
      </c>
      <c r="L17894" s="3">
        <v>0</v>
      </c>
      <c r="M17894" s="3">
        <v>31</v>
      </c>
      <c r="N17894" s="3">
        <v>0</v>
      </c>
      <c r="O17894" s="3" t="s">
        <v>10</v>
      </c>
      <c r="P17894" s="3" t="s">
        <v>9</v>
      </c>
      <c r="Q17894" s="3"/>
    </row>
    <row r="17895" spans="1:17" ht="15" x14ac:dyDescent="0.25">
      <c r="A17895" s="3">
        <f>17888</f>
        <v>17888</v>
      </c>
      <c r="B17895" s="3" t="s">
        <v>17897</v>
      </c>
      <c r="C17895" s="3" t="s">
        <v>10</v>
      </c>
      <c r="D17895" s="3" t="s">
        <v>9</v>
      </c>
      <c r="E17895" s="3">
        <v>0</v>
      </c>
      <c r="F17895" s="3">
        <v>0</v>
      </c>
      <c r="G17895" s="3">
        <v>0</v>
      </c>
      <c r="H17895" s="3">
        <v>31</v>
      </c>
      <c r="I17895" s="3">
        <v>0</v>
      </c>
      <c r="J17895" s="3">
        <v>0</v>
      </c>
      <c r="K17895" s="3">
        <v>0</v>
      </c>
      <c r="L17895" s="3">
        <v>0</v>
      </c>
      <c r="M17895" s="3">
        <v>31</v>
      </c>
      <c r="N17895" s="3">
        <v>0</v>
      </c>
      <c r="O17895" s="3" t="s">
        <v>10</v>
      </c>
      <c r="P17895" s="3" t="s">
        <v>9</v>
      </c>
      <c r="Q17895" s="3"/>
    </row>
    <row r="17896" spans="1:17" ht="15" x14ac:dyDescent="0.25">
      <c r="A17896" s="3">
        <f>17889</f>
        <v>17889</v>
      </c>
      <c r="B17896" s="3" t="s">
        <v>17898</v>
      </c>
      <c r="C17896" s="3" t="s">
        <v>10</v>
      </c>
      <c r="D17896" s="3" t="s">
        <v>9</v>
      </c>
      <c r="E17896" s="3">
        <v>0</v>
      </c>
      <c r="F17896" s="3">
        <v>0</v>
      </c>
      <c r="G17896" s="3">
        <v>0</v>
      </c>
      <c r="H17896" s="3">
        <v>31</v>
      </c>
      <c r="I17896" s="3">
        <v>0</v>
      </c>
      <c r="J17896" s="3">
        <v>0</v>
      </c>
      <c r="K17896" s="3">
        <v>0</v>
      </c>
      <c r="L17896" s="3">
        <v>0</v>
      </c>
      <c r="M17896" s="3">
        <v>31</v>
      </c>
      <c r="N17896" s="3">
        <v>0</v>
      </c>
      <c r="O17896" s="3" t="s">
        <v>10</v>
      </c>
      <c r="P17896" s="3" t="s">
        <v>9</v>
      </c>
      <c r="Q17896" s="3"/>
    </row>
    <row r="17897" spans="1:17" ht="15" x14ac:dyDescent="0.25">
      <c r="A17897" s="3">
        <f>17890</f>
        <v>17890</v>
      </c>
      <c r="B17897" s="3" t="s">
        <v>17899</v>
      </c>
      <c r="C17897" s="3" t="s">
        <v>10</v>
      </c>
      <c r="D17897" s="3" t="s">
        <v>9</v>
      </c>
      <c r="E17897" s="3">
        <v>0</v>
      </c>
      <c r="F17897" s="3">
        <v>0</v>
      </c>
      <c r="G17897" s="3">
        <v>0</v>
      </c>
      <c r="H17897" s="3">
        <v>31</v>
      </c>
      <c r="I17897" s="3">
        <v>0</v>
      </c>
      <c r="J17897" s="3">
        <v>0</v>
      </c>
      <c r="K17897" s="3">
        <v>0</v>
      </c>
      <c r="L17897" s="3">
        <v>0</v>
      </c>
      <c r="M17897" s="3">
        <v>31</v>
      </c>
      <c r="N17897" s="3">
        <v>0</v>
      </c>
      <c r="O17897" s="3" t="s">
        <v>10</v>
      </c>
      <c r="P17897" s="3" t="s">
        <v>9</v>
      </c>
      <c r="Q17897" s="3"/>
    </row>
    <row r="17898" spans="1:17" ht="15" x14ac:dyDescent="0.25">
      <c r="A17898" s="3">
        <f>17891</f>
        <v>17891</v>
      </c>
      <c r="B17898" s="3" t="s">
        <v>17900</v>
      </c>
      <c r="C17898" s="3" t="s">
        <v>10</v>
      </c>
      <c r="D17898" s="3" t="s">
        <v>9</v>
      </c>
      <c r="E17898" s="3">
        <v>0</v>
      </c>
      <c r="F17898" s="3">
        <v>0</v>
      </c>
      <c r="G17898" s="3">
        <v>0</v>
      </c>
      <c r="H17898" s="3">
        <v>31</v>
      </c>
      <c r="I17898" s="3">
        <v>0</v>
      </c>
      <c r="J17898" s="3">
        <v>0</v>
      </c>
      <c r="K17898" s="3">
        <v>0</v>
      </c>
      <c r="L17898" s="3">
        <v>0</v>
      </c>
      <c r="M17898" s="3">
        <v>31</v>
      </c>
      <c r="N17898" s="3">
        <v>0</v>
      </c>
      <c r="O17898" s="3" t="s">
        <v>10</v>
      </c>
      <c r="P17898" s="3" t="s">
        <v>9</v>
      </c>
      <c r="Q17898" s="3"/>
    </row>
    <row r="17899" spans="1:17" ht="15" x14ac:dyDescent="0.25">
      <c r="A17899" s="3">
        <f>17892</f>
        <v>17892</v>
      </c>
      <c r="B17899" s="3" t="s">
        <v>17901</v>
      </c>
      <c r="C17899" s="3" t="s">
        <v>10</v>
      </c>
      <c r="D17899" s="3" t="s">
        <v>9</v>
      </c>
      <c r="E17899" s="3">
        <v>0</v>
      </c>
      <c r="F17899" s="3">
        <v>0</v>
      </c>
      <c r="G17899" s="3">
        <v>0</v>
      </c>
      <c r="H17899" s="3">
        <v>31</v>
      </c>
      <c r="I17899" s="3">
        <v>0</v>
      </c>
      <c r="J17899" s="3">
        <v>0</v>
      </c>
      <c r="K17899" s="3">
        <v>0</v>
      </c>
      <c r="L17899" s="3">
        <v>0</v>
      </c>
      <c r="M17899" s="3">
        <v>31</v>
      </c>
      <c r="N17899" s="3">
        <v>0</v>
      </c>
      <c r="O17899" s="3" t="s">
        <v>10</v>
      </c>
      <c r="P17899" s="3" t="s">
        <v>9</v>
      </c>
      <c r="Q17899" s="3"/>
    </row>
    <row r="17900" spans="1:17" ht="15" x14ac:dyDescent="0.25">
      <c r="A17900" s="3">
        <f>17893</f>
        <v>17893</v>
      </c>
      <c r="B17900" s="3" t="s">
        <v>17902</v>
      </c>
      <c r="C17900" s="3" t="s">
        <v>10</v>
      </c>
      <c r="D17900" s="3" t="s">
        <v>9</v>
      </c>
      <c r="E17900" s="3">
        <v>0</v>
      </c>
      <c r="F17900" s="3">
        <v>0</v>
      </c>
      <c r="G17900" s="3">
        <v>0</v>
      </c>
      <c r="H17900" s="3">
        <v>31</v>
      </c>
      <c r="I17900" s="3">
        <v>0</v>
      </c>
      <c r="J17900" s="3">
        <v>0</v>
      </c>
      <c r="K17900" s="3">
        <v>0</v>
      </c>
      <c r="L17900" s="3">
        <v>0</v>
      </c>
      <c r="M17900" s="3">
        <v>31</v>
      </c>
      <c r="N17900" s="3">
        <v>0</v>
      </c>
      <c r="O17900" s="3" t="s">
        <v>10</v>
      </c>
      <c r="P17900" s="3" t="s">
        <v>9</v>
      </c>
      <c r="Q17900" s="3"/>
    </row>
    <row r="17901" spans="1:17" ht="15" x14ac:dyDescent="0.25">
      <c r="A17901" s="3">
        <f>17894</f>
        <v>17894</v>
      </c>
      <c r="B17901" s="3" t="s">
        <v>17903</v>
      </c>
      <c r="C17901" s="3" t="s">
        <v>10</v>
      </c>
      <c r="D17901" s="3" t="s">
        <v>9</v>
      </c>
      <c r="E17901" s="3">
        <v>0</v>
      </c>
      <c r="F17901" s="3">
        <v>0</v>
      </c>
      <c r="G17901" s="3">
        <v>0</v>
      </c>
      <c r="H17901" s="3">
        <v>31</v>
      </c>
      <c r="I17901" s="3">
        <v>0</v>
      </c>
      <c r="J17901" s="3">
        <v>0</v>
      </c>
      <c r="K17901" s="3">
        <v>0</v>
      </c>
      <c r="L17901" s="3">
        <v>0</v>
      </c>
      <c r="M17901" s="3">
        <v>31</v>
      </c>
      <c r="N17901" s="3">
        <v>0</v>
      </c>
      <c r="O17901" s="3" t="s">
        <v>10</v>
      </c>
      <c r="P17901" s="3" t="s">
        <v>9</v>
      </c>
      <c r="Q17901" s="3"/>
    </row>
    <row r="17902" spans="1:17" ht="15" x14ac:dyDescent="0.25">
      <c r="A17902" s="3">
        <f>17895</f>
        <v>17895</v>
      </c>
      <c r="B17902" s="3" t="s">
        <v>17904</v>
      </c>
      <c r="C17902" s="3" t="s">
        <v>10</v>
      </c>
      <c r="D17902" s="3" t="s">
        <v>9</v>
      </c>
      <c r="E17902" s="3">
        <v>0</v>
      </c>
      <c r="F17902" s="3">
        <v>0</v>
      </c>
      <c r="G17902" s="3">
        <v>0</v>
      </c>
      <c r="H17902" s="3">
        <v>31</v>
      </c>
      <c r="I17902" s="3">
        <v>0</v>
      </c>
      <c r="J17902" s="3">
        <v>0</v>
      </c>
      <c r="K17902" s="3">
        <v>0</v>
      </c>
      <c r="L17902" s="3">
        <v>0</v>
      </c>
      <c r="M17902" s="3">
        <v>31</v>
      </c>
      <c r="N17902" s="3">
        <v>0</v>
      </c>
      <c r="O17902" s="3" t="s">
        <v>10</v>
      </c>
      <c r="P17902" s="3" t="s">
        <v>9</v>
      </c>
      <c r="Q17902" s="3"/>
    </row>
    <row r="17903" spans="1:17" ht="15" x14ac:dyDescent="0.25">
      <c r="A17903" s="3">
        <f>17896</f>
        <v>17896</v>
      </c>
      <c r="B17903" s="3" t="s">
        <v>17905</v>
      </c>
      <c r="C17903" s="3" t="s">
        <v>10</v>
      </c>
      <c r="D17903" s="3" t="s">
        <v>9</v>
      </c>
      <c r="E17903" s="3">
        <v>0</v>
      </c>
      <c r="F17903" s="3">
        <v>0</v>
      </c>
      <c r="G17903" s="3">
        <v>0</v>
      </c>
      <c r="H17903" s="3">
        <v>31</v>
      </c>
      <c r="I17903" s="3">
        <v>0</v>
      </c>
      <c r="J17903" s="3">
        <v>0</v>
      </c>
      <c r="K17903" s="3">
        <v>0</v>
      </c>
      <c r="L17903" s="3">
        <v>0</v>
      </c>
      <c r="M17903" s="3">
        <v>31</v>
      </c>
      <c r="N17903" s="3">
        <v>0</v>
      </c>
      <c r="O17903" s="3" t="s">
        <v>10</v>
      </c>
      <c r="P17903" s="3" t="s">
        <v>9</v>
      </c>
      <c r="Q17903" s="3"/>
    </row>
    <row r="17904" spans="1:17" ht="15" x14ac:dyDescent="0.25">
      <c r="A17904" s="3">
        <f>17897</f>
        <v>17897</v>
      </c>
      <c r="B17904" s="3" t="s">
        <v>17906</v>
      </c>
      <c r="C17904" s="3" t="s">
        <v>10</v>
      </c>
      <c r="D17904" s="3" t="s">
        <v>9</v>
      </c>
      <c r="E17904" s="3">
        <v>0</v>
      </c>
      <c r="F17904" s="3">
        <v>0</v>
      </c>
      <c r="G17904" s="3">
        <v>0</v>
      </c>
      <c r="H17904" s="3">
        <v>31</v>
      </c>
      <c r="I17904" s="3">
        <v>0</v>
      </c>
      <c r="J17904" s="3">
        <v>0</v>
      </c>
      <c r="K17904" s="3">
        <v>0</v>
      </c>
      <c r="L17904" s="3">
        <v>0</v>
      </c>
      <c r="M17904" s="3">
        <v>31</v>
      </c>
      <c r="N17904" s="3">
        <v>0</v>
      </c>
      <c r="O17904" s="3" t="s">
        <v>10</v>
      </c>
      <c r="P17904" s="3" t="s">
        <v>9</v>
      </c>
      <c r="Q17904" s="3"/>
    </row>
    <row r="17905" spans="1:17" ht="15" x14ac:dyDescent="0.25">
      <c r="A17905" s="3">
        <f>17898</f>
        <v>17898</v>
      </c>
      <c r="B17905" s="3" t="s">
        <v>17907</v>
      </c>
      <c r="C17905" s="3" t="s">
        <v>10</v>
      </c>
      <c r="D17905" s="3" t="s">
        <v>9</v>
      </c>
      <c r="E17905" s="3">
        <v>0</v>
      </c>
      <c r="F17905" s="3">
        <v>0</v>
      </c>
      <c r="G17905" s="3">
        <v>0</v>
      </c>
      <c r="H17905" s="3">
        <v>31</v>
      </c>
      <c r="I17905" s="3">
        <v>0</v>
      </c>
      <c r="J17905" s="3">
        <v>0</v>
      </c>
      <c r="K17905" s="3">
        <v>0</v>
      </c>
      <c r="L17905" s="3">
        <v>0</v>
      </c>
      <c r="M17905" s="3">
        <v>31</v>
      </c>
      <c r="N17905" s="3">
        <v>0</v>
      </c>
      <c r="O17905" s="3" t="s">
        <v>10</v>
      </c>
      <c r="P17905" s="3" t="s">
        <v>9</v>
      </c>
      <c r="Q17905" s="3"/>
    </row>
    <row r="17906" spans="1:17" ht="15" x14ac:dyDescent="0.25">
      <c r="A17906" s="3">
        <f>17899</f>
        <v>17899</v>
      </c>
      <c r="B17906" s="3" t="s">
        <v>17908</v>
      </c>
      <c r="C17906" s="3" t="s">
        <v>10</v>
      </c>
      <c r="D17906" s="3" t="s">
        <v>9</v>
      </c>
      <c r="E17906" s="3">
        <v>0</v>
      </c>
      <c r="F17906" s="3">
        <v>0</v>
      </c>
      <c r="G17906" s="3">
        <v>0</v>
      </c>
      <c r="H17906" s="3">
        <v>31</v>
      </c>
      <c r="I17906" s="3">
        <v>0</v>
      </c>
      <c r="J17906" s="3">
        <v>0</v>
      </c>
      <c r="K17906" s="3">
        <v>0</v>
      </c>
      <c r="L17906" s="3">
        <v>0</v>
      </c>
      <c r="M17906" s="3">
        <v>31</v>
      </c>
      <c r="N17906" s="3">
        <v>0</v>
      </c>
      <c r="O17906" s="3" t="s">
        <v>10</v>
      </c>
      <c r="P17906" s="3" t="s">
        <v>9</v>
      </c>
      <c r="Q17906" s="3"/>
    </row>
    <row r="17907" spans="1:17" ht="15" x14ac:dyDescent="0.25">
      <c r="A17907" s="3">
        <f>17900</f>
        <v>17900</v>
      </c>
      <c r="B17907" s="3" t="s">
        <v>17909</v>
      </c>
      <c r="C17907" s="3" t="s">
        <v>10</v>
      </c>
      <c r="D17907" s="3" t="s">
        <v>9</v>
      </c>
      <c r="E17907" s="3">
        <v>0</v>
      </c>
      <c r="F17907" s="3">
        <v>0</v>
      </c>
      <c r="G17907" s="3">
        <v>0</v>
      </c>
      <c r="H17907" s="3">
        <v>31</v>
      </c>
      <c r="I17907" s="3">
        <v>0</v>
      </c>
      <c r="J17907" s="3">
        <v>0</v>
      </c>
      <c r="K17907" s="3">
        <v>0</v>
      </c>
      <c r="L17907" s="3">
        <v>0</v>
      </c>
      <c r="M17907" s="3">
        <v>31</v>
      </c>
      <c r="N17907" s="3">
        <v>0</v>
      </c>
      <c r="O17907" s="3" t="s">
        <v>10</v>
      </c>
      <c r="P17907" s="3" t="s">
        <v>9</v>
      </c>
      <c r="Q17907" s="3"/>
    </row>
    <row r="17908" spans="1:17" ht="15" x14ac:dyDescent="0.25">
      <c r="A17908" s="3">
        <f>17901</f>
        <v>17901</v>
      </c>
      <c r="B17908" s="3" t="s">
        <v>17910</v>
      </c>
      <c r="C17908" s="3" t="s">
        <v>10</v>
      </c>
      <c r="D17908" s="3" t="s">
        <v>9</v>
      </c>
      <c r="E17908" s="3">
        <v>0</v>
      </c>
      <c r="F17908" s="3">
        <v>0</v>
      </c>
      <c r="G17908" s="3">
        <v>0</v>
      </c>
      <c r="H17908" s="3">
        <v>31</v>
      </c>
      <c r="I17908" s="3">
        <v>0</v>
      </c>
      <c r="J17908" s="3">
        <v>0</v>
      </c>
      <c r="K17908" s="3">
        <v>0</v>
      </c>
      <c r="L17908" s="3">
        <v>0</v>
      </c>
      <c r="M17908" s="3">
        <v>31</v>
      </c>
      <c r="N17908" s="3">
        <v>0</v>
      </c>
      <c r="O17908" s="3" t="s">
        <v>10</v>
      </c>
      <c r="P17908" s="3" t="s">
        <v>9</v>
      </c>
      <c r="Q17908" s="3"/>
    </row>
    <row r="17909" spans="1:17" ht="15" x14ac:dyDescent="0.25">
      <c r="A17909" s="3">
        <f>17902</f>
        <v>17902</v>
      </c>
      <c r="B17909" s="3" t="s">
        <v>17911</v>
      </c>
      <c r="C17909" s="3" t="s">
        <v>10</v>
      </c>
      <c r="D17909" s="3" t="s">
        <v>9</v>
      </c>
      <c r="E17909" s="3">
        <v>0</v>
      </c>
      <c r="F17909" s="3">
        <v>0</v>
      </c>
      <c r="G17909" s="3">
        <v>0</v>
      </c>
      <c r="H17909" s="3">
        <v>31</v>
      </c>
      <c r="I17909" s="3">
        <v>0</v>
      </c>
      <c r="J17909" s="3">
        <v>0</v>
      </c>
      <c r="K17909" s="3">
        <v>0</v>
      </c>
      <c r="L17909" s="3">
        <v>0</v>
      </c>
      <c r="M17909" s="3">
        <v>31</v>
      </c>
      <c r="N17909" s="3">
        <v>0</v>
      </c>
      <c r="O17909" s="3" t="s">
        <v>10</v>
      </c>
      <c r="P17909" s="3" t="s">
        <v>9</v>
      </c>
      <c r="Q17909" s="3"/>
    </row>
    <row r="17910" spans="1:17" ht="15" x14ac:dyDescent="0.25">
      <c r="A17910" s="3">
        <f>17903</f>
        <v>17903</v>
      </c>
      <c r="B17910" s="3" t="s">
        <v>17912</v>
      </c>
      <c r="C17910" s="3" t="s">
        <v>10</v>
      </c>
      <c r="D17910" s="3" t="s">
        <v>9</v>
      </c>
      <c r="E17910" s="3">
        <v>0</v>
      </c>
      <c r="F17910" s="3">
        <v>0</v>
      </c>
      <c r="G17910" s="3">
        <v>0</v>
      </c>
      <c r="H17910" s="3">
        <v>31</v>
      </c>
      <c r="I17910" s="3">
        <v>0</v>
      </c>
      <c r="J17910" s="3">
        <v>0</v>
      </c>
      <c r="K17910" s="3">
        <v>0</v>
      </c>
      <c r="L17910" s="3">
        <v>0</v>
      </c>
      <c r="M17910" s="3">
        <v>31</v>
      </c>
      <c r="N17910" s="3">
        <v>0</v>
      </c>
      <c r="O17910" s="3" t="s">
        <v>10</v>
      </c>
      <c r="P17910" s="3" t="s">
        <v>9</v>
      </c>
      <c r="Q17910" s="3"/>
    </row>
    <row r="17911" spans="1:17" ht="15" x14ac:dyDescent="0.25">
      <c r="A17911" s="3">
        <f>17904</f>
        <v>17904</v>
      </c>
      <c r="B17911" s="3" t="s">
        <v>17913</v>
      </c>
      <c r="C17911" s="3" t="s">
        <v>10</v>
      </c>
      <c r="D17911" s="3" t="s">
        <v>9</v>
      </c>
      <c r="E17911" s="3">
        <v>0</v>
      </c>
      <c r="F17911" s="3">
        <v>0</v>
      </c>
      <c r="G17911" s="3">
        <v>0</v>
      </c>
      <c r="H17911" s="3">
        <v>31</v>
      </c>
      <c r="I17911" s="3">
        <v>0</v>
      </c>
      <c r="J17911" s="3">
        <v>0</v>
      </c>
      <c r="K17911" s="3">
        <v>0</v>
      </c>
      <c r="L17911" s="3">
        <v>0</v>
      </c>
      <c r="M17911" s="3">
        <v>31</v>
      </c>
      <c r="N17911" s="3">
        <v>0</v>
      </c>
      <c r="O17911" s="3" t="s">
        <v>10</v>
      </c>
      <c r="P17911" s="3" t="s">
        <v>9</v>
      </c>
      <c r="Q17911" s="3"/>
    </row>
    <row r="17912" spans="1:17" ht="15" x14ac:dyDescent="0.25">
      <c r="A17912" s="3">
        <f>17905</f>
        <v>17905</v>
      </c>
      <c r="B17912" s="3" t="s">
        <v>17914</v>
      </c>
      <c r="C17912" s="3" t="s">
        <v>10</v>
      </c>
      <c r="D17912" s="3" t="s">
        <v>9</v>
      </c>
      <c r="E17912" s="3">
        <v>0</v>
      </c>
      <c r="F17912" s="3">
        <v>0</v>
      </c>
      <c r="G17912" s="3">
        <v>0</v>
      </c>
      <c r="H17912" s="3">
        <v>31</v>
      </c>
      <c r="I17912" s="3">
        <v>0</v>
      </c>
      <c r="J17912" s="3">
        <v>0</v>
      </c>
      <c r="K17912" s="3">
        <v>0</v>
      </c>
      <c r="L17912" s="3">
        <v>0</v>
      </c>
      <c r="M17912" s="3">
        <v>31</v>
      </c>
      <c r="N17912" s="3">
        <v>0</v>
      </c>
      <c r="O17912" s="3" t="s">
        <v>10</v>
      </c>
      <c r="P17912" s="3" t="s">
        <v>9</v>
      </c>
      <c r="Q17912" s="3"/>
    </row>
    <row r="17913" spans="1:17" ht="15" x14ac:dyDescent="0.25">
      <c r="A17913" s="3">
        <f>17906</f>
        <v>17906</v>
      </c>
      <c r="B17913" s="3" t="s">
        <v>17915</v>
      </c>
      <c r="C17913" s="3" t="s">
        <v>10</v>
      </c>
      <c r="D17913" s="3" t="s">
        <v>9</v>
      </c>
      <c r="E17913" s="3">
        <v>0</v>
      </c>
      <c r="F17913" s="3">
        <v>0</v>
      </c>
      <c r="G17913" s="3">
        <v>0</v>
      </c>
      <c r="H17913" s="3">
        <v>31</v>
      </c>
      <c r="I17913" s="3">
        <v>0</v>
      </c>
      <c r="J17913" s="3">
        <v>0</v>
      </c>
      <c r="K17913" s="3">
        <v>0</v>
      </c>
      <c r="L17913" s="3">
        <v>0</v>
      </c>
      <c r="M17913" s="3">
        <v>31</v>
      </c>
      <c r="N17913" s="3">
        <v>0</v>
      </c>
      <c r="O17913" s="3" t="s">
        <v>10</v>
      </c>
      <c r="P17913" s="3" t="s">
        <v>9</v>
      </c>
      <c r="Q17913" s="3"/>
    </row>
    <row r="17914" spans="1:17" ht="15" x14ac:dyDescent="0.25">
      <c r="A17914" s="3">
        <f>17907</f>
        <v>17907</v>
      </c>
      <c r="B17914" s="3" t="s">
        <v>17916</v>
      </c>
      <c r="C17914" s="3" t="s">
        <v>10</v>
      </c>
      <c r="D17914" s="3" t="s">
        <v>9</v>
      </c>
      <c r="E17914" s="3">
        <v>0</v>
      </c>
      <c r="F17914" s="3">
        <v>0</v>
      </c>
      <c r="G17914" s="3">
        <v>0</v>
      </c>
      <c r="H17914" s="3">
        <v>31</v>
      </c>
      <c r="I17914" s="3">
        <v>0</v>
      </c>
      <c r="J17914" s="3">
        <v>0</v>
      </c>
      <c r="K17914" s="3">
        <v>0</v>
      </c>
      <c r="L17914" s="3">
        <v>0</v>
      </c>
      <c r="M17914" s="3">
        <v>31</v>
      </c>
      <c r="N17914" s="3">
        <v>0</v>
      </c>
      <c r="O17914" s="3" t="s">
        <v>10</v>
      </c>
      <c r="P17914" s="3" t="s">
        <v>9</v>
      </c>
      <c r="Q17914" s="3"/>
    </row>
    <row r="17915" spans="1:17" ht="15" x14ac:dyDescent="0.25">
      <c r="A17915" s="3">
        <f>17908</f>
        <v>17908</v>
      </c>
      <c r="B17915" s="3" t="s">
        <v>17917</v>
      </c>
      <c r="C17915" s="3" t="s">
        <v>10</v>
      </c>
      <c r="D17915" s="3" t="s">
        <v>9</v>
      </c>
      <c r="E17915" s="3">
        <v>0</v>
      </c>
      <c r="F17915" s="3">
        <v>0</v>
      </c>
      <c r="G17915" s="3">
        <v>0</v>
      </c>
      <c r="H17915" s="3">
        <v>31</v>
      </c>
      <c r="I17915" s="3">
        <v>0</v>
      </c>
      <c r="J17915" s="3">
        <v>0</v>
      </c>
      <c r="K17915" s="3">
        <v>0</v>
      </c>
      <c r="L17915" s="3">
        <v>0</v>
      </c>
      <c r="M17915" s="3">
        <v>31</v>
      </c>
      <c r="N17915" s="3">
        <v>0</v>
      </c>
      <c r="O17915" s="3" t="s">
        <v>10</v>
      </c>
      <c r="P17915" s="3" t="s">
        <v>9</v>
      </c>
      <c r="Q17915" s="3"/>
    </row>
    <row r="17916" spans="1:17" ht="15" x14ac:dyDescent="0.25">
      <c r="A17916" s="3">
        <f>17909</f>
        <v>17909</v>
      </c>
      <c r="B17916" s="3" t="s">
        <v>17918</v>
      </c>
      <c r="C17916" s="3" t="s">
        <v>10</v>
      </c>
      <c r="D17916" s="3" t="s">
        <v>9</v>
      </c>
      <c r="E17916" s="3">
        <v>0</v>
      </c>
      <c r="F17916" s="3">
        <v>0</v>
      </c>
      <c r="G17916" s="3">
        <v>0</v>
      </c>
      <c r="H17916" s="3">
        <v>31</v>
      </c>
      <c r="I17916" s="3">
        <v>0</v>
      </c>
      <c r="J17916" s="3">
        <v>0</v>
      </c>
      <c r="K17916" s="3">
        <v>0</v>
      </c>
      <c r="L17916" s="3">
        <v>0</v>
      </c>
      <c r="M17916" s="3">
        <v>31</v>
      </c>
      <c r="N17916" s="3">
        <v>0</v>
      </c>
      <c r="O17916" s="3" t="s">
        <v>10</v>
      </c>
      <c r="P17916" s="3" t="s">
        <v>9</v>
      </c>
      <c r="Q17916" s="3"/>
    </row>
    <row r="17917" spans="1:17" ht="15" x14ac:dyDescent="0.25">
      <c r="A17917" s="3">
        <f>17910</f>
        <v>17910</v>
      </c>
      <c r="B17917" s="3" t="s">
        <v>17919</v>
      </c>
      <c r="C17917" s="3" t="s">
        <v>10</v>
      </c>
      <c r="D17917" s="3" t="s">
        <v>9</v>
      </c>
      <c r="E17917" s="3">
        <v>0</v>
      </c>
      <c r="F17917" s="3">
        <v>0</v>
      </c>
      <c r="G17917" s="3">
        <v>0</v>
      </c>
      <c r="H17917" s="3">
        <v>31</v>
      </c>
      <c r="I17917" s="3">
        <v>0</v>
      </c>
      <c r="J17917" s="3">
        <v>0</v>
      </c>
      <c r="K17917" s="3">
        <v>0</v>
      </c>
      <c r="L17917" s="3">
        <v>0</v>
      </c>
      <c r="M17917" s="3">
        <v>31</v>
      </c>
      <c r="N17917" s="3">
        <v>0</v>
      </c>
      <c r="O17917" s="3" t="s">
        <v>10</v>
      </c>
      <c r="P17917" s="3" t="s">
        <v>9</v>
      </c>
      <c r="Q17917" s="3"/>
    </row>
    <row r="17918" spans="1:17" ht="15" x14ac:dyDescent="0.25">
      <c r="A17918" s="3">
        <f>17911</f>
        <v>17911</v>
      </c>
      <c r="B17918" s="3" t="s">
        <v>17920</v>
      </c>
      <c r="C17918" s="3" t="s">
        <v>10</v>
      </c>
      <c r="D17918" s="3" t="s">
        <v>9</v>
      </c>
      <c r="E17918" s="3">
        <v>0</v>
      </c>
      <c r="F17918" s="3">
        <v>0</v>
      </c>
      <c r="G17918" s="3">
        <v>0</v>
      </c>
      <c r="H17918" s="3">
        <v>31</v>
      </c>
      <c r="I17918" s="3">
        <v>0</v>
      </c>
      <c r="J17918" s="3">
        <v>0</v>
      </c>
      <c r="K17918" s="3">
        <v>0</v>
      </c>
      <c r="L17918" s="3">
        <v>0</v>
      </c>
      <c r="M17918" s="3">
        <v>31</v>
      </c>
      <c r="N17918" s="3">
        <v>0</v>
      </c>
      <c r="O17918" s="3" t="s">
        <v>10</v>
      </c>
      <c r="P17918" s="3" t="s">
        <v>9</v>
      </c>
      <c r="Q17918" s="3"/>
    </row>
    <row r="17919" spans="1:17" ht="15" x14ac:dyDescent="0.25">
      <c r="A17919" s="3">
        <f>17912</f>
        <v>17912</v>
      </c>
      <c r="B17919" s="3" t="s">
        <v>17921</v>
      </c>
      <c r="C17919" s="3" t="s">
        <v>10</v>
      </c>
      <c r="D17919" s="3" t="s">
        <v>9</v>
      </c>
      <c r="E17919" s="3">
        <v>0</v>
      </c>
      <c r="F17919" s="3">
        <v>0</v>
      </c>
      <c r="G17919" s="3">
        <v>0</v>
      </c>
      <c r="H17919" s="3">
        <v>31</v>
      </c>
      <c r="I17919" s="3">
        <v>0</v>
      </c>
      <c r="J17919" s="3">
        <v>0</v>
      </c>
      <c r="K17919" s="3">
        <v>0</v>
      </c>
      <c r="L17919" s="3">
        <v>0</v>
      </c>
      <c r="M17919" s="3">
        <v>31</v>
      </c>
      <c r="N17919" s="3">
        <v>0</v>
      </c>
      <c r="O17919" s="3" t="s">
        <v>10</v>
      </c>
      <c r="P17919" s="3" t="s">
        <v>9</v>
      </c>
      <c r="Q17919" s="3"/>
    </row>
    <row r="17920" spans="1:17" ht="15" x14ac:dyDescent="0.25">
      <c r="A17920" s="3">
        <f>17913</f>
        <v>17913</v>
      </c>
      <c r="B17920" s="3" t="s">
        <v>17922</v>
      </c>
      <c r="C17920" s="3" t="s">
        <v>10</v>
      </c>
      <c r="D17920" s="3" t="s">
        <v>9</v>
      </c>
      <c r="E17920" s="3">
        <v>0</v>
      </c>
      <c r="F17920" s="3">
        <v>0</v>
      </c>
      <c r="G17920" s="3">
        <v>0</v>
      </c>
      <c r="H17920" s="3">
        <v>31</v>
      </c>
      <c r="I17920" s="3">
        <v>0</v>
      </c>
      <c r="J17920" s="3">
        <v>0</v>
      </c>
      <c r="K17920" s="3">
        <v>0</v>
      </c>
      <c r="L17920" s="3">
        <v>0</v>
      </c>
      <c r="M17920" s="3">
        <v>31</v>
      </c>
      <c r="N17920" s="3">
        <v>0</v>
      </c>
      <c r="O17920" s="3" t="s">
        <v>10</v>
      </c>
      <c r="P17920" s="3" t="s">
        <v>9</v>
      </c>
      <c r="Q17920" s="3"/>
    </row>
    <row r="17921" spans="1:17" ht="15" x14ac:dyDescent="0.25">
      <c r="A17921" s="3">
        <f>17914</f>
        <v>17914</v>
      </c>
      <c r="B17921" s="3" t="s">
        <v>17923</v>
      </c>
      <c r="C17921" s="3" t="s">
        <v>10</v>
      </c>
      <c r="D17921" s="3" t="s">
        <v>9</v>
      </c>
      <c r="E17921" s="3">
        <v>0</v>
      </c>
      <c r="F17921" s="3">
        <v>0</v>
      </c>
      <c r="G17921" s="3">
        <v>0</v>
      </c>
      <c r="H17921" s="3">
        <v>31</v>
      </c>
      <c r="I17921" s="3">
        <v>0</v>
      </c>
      <c r="J17921" s="3">
        <v>0</v>
      </c>
      <c r="K17921" s="3">
        <v>0</v>
      </c>
      <c r="L17921" s="3">
        <v>0</v>
      </c>
      <c r="M17921" s="3">
        <v>31</v>
      </c>
      <c r="N17921" s="3">
        <v>0</v>
      </c>
      <c r="O17921" s="3" t="s">
        <v>10</v>
      </c>
      <c r="P17921" s="3" t="s">
        <v>9</v>
      </c>
      <c r="Q17921" s="3"/>
    </row>
    <row r="17922" spans="1:17" ht="15" x14ac:dyDescent="0.25">
      <c r="A17922" s="3">
        <f>17915</f>
        <v>17915</v>
      </c>
      <c r="B17922" s="3" t="s">
        <v>17924</v>
      </c>
      <c r="C17922" s="3" t="s">
        <v>10</v>
      </c>
      <c r="D17922" s="3" t="s">
        <v>9</v>
      </c>
      <c r="E17922" s="3">
        <v>0</v>
      </c>
      <c r="F17922" s="3">
        <v>0</v>
      </c>
      <c r="G17922" s="3">
        <v>0</v>
      </c>
      <c r="H17922" s="3">
        <v>31</v>
      </c>
      <c r="I17922" s="3">
        <v>0</v>
      </c>
      <c r="J17922" s="3">
        <v>0</v>
      </c>
      <c r="K17922" s="3">
        <v>0</v>
      </c>
      <c r="L17922" s="3">
        <v>0</v>
      </c>
      <c r="M17922" s="3">
        <v>31</v>
      </c>
      <c r="N17922" s="3">
        <v>0</v>
      </c>
      <c r="O17922" s="3" t="s">
        <v>10</v>
      </c>
      <c r="P17922" s="3" t="s">
        <v>9</v>
      </c>
      <c r="Q17922" s="3"/>
    </row>
    <row r="17923" spans="1:17" ht="15" x14ac:dyDescent="0.25">
      <c r="A17923" s="3">
        <f>17916</f>
        <v>17916</v>
      </c>
      <c r="B17923" s="3" t="s">
        <v>17925</v>
      </c>
      <c r="C17923" s="3" t="s">
        <v>10</v>
      </c>
      <c r="D17923" s="3" t="s">
        <v>9</v>
      </c>
      <c r="E17923" s="3">
        <v>0</v>
      </c>
      <c r="F17923" s="3">
        <v>0</v>
      </c>
      <c r="G17923" s="3">
        <v>0</v>
      </c>
      <c r="H17923" s="3">
        <v>31</v>
      </c>
      <c r="I17923" s="3">
        <v>0</v>
      </c>
      <c r="J17923" s="3">
        <v>0</v>
      </c>
      <c r="K17923" s="3">
        <v>0</v>
      </c>
      <c r="L17923" s="3">
        <v>0</v>
      </c>
      <c r="M17923" s="3">
        <v>31</v>
      </c>
      <c r="N17923" s="3">
        <v>0</v>
      </c>
      <c r="O17923" s="3" t="s">
        <v>10</v>
      </c>
      <c r="P17923" s="3" t="s">
        <v>9</v>
      </c>
      <c r="Q17923" s="3"/>
    </row>
    <row r="17924" spans="1:17" ht="15" x14ac:dyDescent="0.25">
      <c r="A17924" s="3">
        <f>17917</f>
        <v>17917</v>
      </c>
      <c r="B17924" s="3" t="s">
        <v>17926</v>
      </c>
      <c r="C17924" s="3" t="s">
        <v>10</v>
      </c>
      <c r="D17924" s="3" t="s">
        <v>9</v>
      </c>
      <c r="E17924" s="3">
        <v>0</v>
      </c>
      <c r="F17924" s="3">
        <v>0</v>
      </c>
      <c r="G17924" s="3">
        <v>0</v>
      </c>
      <c r="H17924" s="3">
        <v>31</v>
      </c>
      <c r="I17924" s="3">
        <v>0</v>
      </c>
      <c r="J17924" s="3">
        <v>0</v>
      </c>
      <c r="K17924" s="3">
        <v>0</v>
      </c>
      <c r="L17924" s="3">
        <v>0</v>
      </c>
      <c r="M17924" s="3">
        <v>31</v>
      </c>
      <c r="N17924" s="3">
        <v>0</v>
      </c>
      <c r="O17924" s="3" t="s">
        <v>10</v>
      </c>
      <c r="P17924" s="3" t="s">
        <v>9</v>
      </c>
      <c r="Q17924" s="3"/>
    </row>
    <row r="17925" spans="1:17" ht="15" x14ac:dyDescent="0.25">
      <c r="A17925" s="3">
        <f>17918</f>
        <v>17918</v>
      </c>
      <c r="B17925" s="3" t="s">
        <v>17927</v>
      </c>
      <c r="C17925" s="3" t="s">
        <v>10</v>
      </c>
      <c r="D17925" s="3" t="s">
        <v>9</v>
      </c>
      <c r="E17925" s="3">
        <v>0</v>
      </c>
      <c r="F17925" s="3">
        <v>0</v>
      </c>
      <c r="G17925" s="3">
        <v>0</v>
      </c>
      <c r="H17925" s="3">
        <v>31</v>
      </c>
      <c r="I17925" s="3">
        <v>0</v>
      </c>
      <c r="J17925" s="3">
        <v>0</v>
      </c>
      <c r="K17925" s="3">
        <v>0</v>
      </c>
      <c r="L17925" s="3">
        <v>0</v>
      </c>
      <c r="M17925" s="3">
        <v>31</v>
      </c>
      <c r="N17925" s="3">
        <v>0</v>
      </c>
      <c r="O17925" s="3" t="s">
        <v>10</v>
      </c>
      <c r="P17925" s="3" t="s">
        <v>9</v>
      </c>
      <c r="Q17925" s="3"/>
    </row>
    <row r="17926" spans="1:17" ht="15" x14ac:dyDescent="0.25">
      <c r="A17926" s="3">
        <f>17919</f>
        <v>17919</v>
      </c>
      <c r="B17926" s="3" t="s">
        <v>17928</v>
      </c>
      <c r="C17926" s="3" t="s">
        <v>10</v>
      </c>
      <c r="D17926" s="3" t="s">
        <v>9</v>
      </c>
      <c r="E17926" s="3">
        <v>0</v>
      </c>
      <c r="F17926" s="3">
        <v>0</v>
      </c>
      <c r="G17926" s="3">
        <v>0</v>
      </c>
      <c r="H17926" s="3">
        <v>31</v>
      </c>
      <c r="I17926" s="3">
        <v>0</v>
      </c>
      <c r="J17926" s="3">
        <v>0</v>
      </c>
      <c r="K17926" s="3">
        <v>0</v>
      </c>
      <c r="L17926" s="3">
        <v>0</v>
      </c>
      <c r="M17926" s="3">
        <v>31</v>
      </c>
      <c r="N17926" s="3">
        <v>0</v>
      </c>
      <c r="O17926" s="3" t="s">
        <v>10</v>
      </c>
      <c r="P17926" s="3" t="s">
        <v>9</v>
      </c>
      <c r="Q17926" s="3"/>
    </row>
    <row r="17927" spans="1:17" ht="15" x14ac:dyDescent="0.25">
      <c r="A17927" s="3">
        <f>17920</f>
        <v>17920</v>
      </c>
      <c r="B17927" s="3" t="s">
        <v>17929</v>
      </c>
      <c r="C17927" s="3" t="s">
        <v>10</v>
      </c>
      <c r="D17927" s="3" t="s">
        <v>9</v>
      </c>
      <c r="E17927" s="3">
        <v>0</v>
      </c>
      <c r="F17927" s="3">
        <v>0</v>
      </c>
      <c r="G17927" s="3">
        <v>0</v>
      </c>
      <c r="H17927" s="3">
        <v>31</v>
      </c>
      <c r="I17927" s="3">
        <v>0</v>
      </c>
      <c r="J17927" s="3">
        <v>0</v>
      </c>
      <c r="K17927" s="3">
        <v>0</v>
      </c>
      <c r="L17927" s="3">
        <v>0</v>
      </c>
      <c r="M17927" s="3">
        <v>31</v>
      </c>
      <c r="N17927" s="3">
        <v>0</v>
      </c>
      <c r="O17927" s="3" t="s">
        <v>10</v>
      </c>
      <c r="P17927" s="3" t="s">
        <v>9</v>
      </c>
      <c r="Q17927" s="3"/>
    </row>
    <row r="17928" spans="1:17" ht="15" x14ac:dyDescent="0.25">
      <c r="A17928" s="3">
        <f>17921</f>
        <v>17921</v>
      </c>
      <c r="B17928" s="3" t="s">
        <v>17930</v>
      </c>
      <c r="C17928" s="3" t="s">
        <v>10</v>
      </c>
      <c r="D17928" s="3" t="s">
        <v>9</v>
      </c>
      <c r="E17928" s="3">
        <v>0</v>
      </c>
      <c r="F17928" s="3">
        <v>0</v>
      </c>
      <c r="G17928" s="3">
        <v>0</v>
      </c>
      <c r="H17928" s="3">
        <v>31</v>
      </c>
      <c r="I17928" s="3">
        <v>0</v>
      </c>
      <c r="J17928" s="3">
        <v>0</v>
      </c>
      <c r="K17928" s="3">
        <v>0</v>
      </c>
      <c r="L17928" s="3">
        <v>0</v>
      </c>
      <c r="M17928" s="3">
        <v>31</v>
      </c>
      <c r="N17928" s="3">
        <v>0</v>
      </c>
      <c r="O17928" s="3" t="s">
        <v>10</v>
      </c>
      <c r="P17928" s="3" t="s">
        <v>9</v>
      </c>
      <c r="Q17928" s="3"/>
    </row>
    <row r="17929" spans="1:17" ht="15" x14ac:dyDescent="0.25">
      <c r="A17929" s="3">
        <f>17922</f>
        <v>17922</v>
      </c>
      <c r="B17929" s="3" t="s">
        <v>17931</v>
      </c>
      <c r="C17929" s="3" t="s">
        <v>10</v>
      </c>
      <c r="D17929" s="3" t="s">
        <v>9</v>
      </c>
      <c r="E17929" s="3">
        <v>0</v>
      </c>
      <c r="F17929" s="3">
        <v>0</v>
      </c>
      <c r="G17929" s="3">
        <v>0</v>
      </c>
      <c r="H17929" s="3">
        <v>31</v>
      </c>
      <c r="I17929" s="3">
        <v>0</v>
      </c>
      <c r="J17929" s="3">
        <v>0</v>
      </c>
      <c r="K17929" s="3">
        <v>0</v>
      </c>
      <c r="L17929" s="3">
        <v>0</v>
      </c>
      <c r="M17929" s="3">
        <v>31</v>
      </c>
      <c r="N17929" s="3">
        <v>0</v>
      </c>
      <c r="O17929" s="3" t="s">
        <v>10</v>
      </c>
      <c r="P17929" s="3" t="s">
        <v>9</v>
      </c>
      <c r="Q17929" s="3"/>
    </row>
    <row r="17930" spans="1:17" ht="15" x14ac:dyDescent="0.25">
      <c r="A17930" s="3">
        <f>17923</f>
        <v>17923</v>
      </c>
      <c r="B17930" s="3" t="s">
        <v>17932</v>
      </c>
      <c r="C17930" s="3" t="s">
        <v>10</v>
      </c>
      <c r="D17930" s="3" t="s">
        <v>9</v>
      </c>
      <c r="E17930" s="3">
        <v>0</v>
      </c>
      <c r="F17930" s="3">
        <v>0</v>
      </c>
      <c r="G17930" s="3">
        <v>0</v>
      </c>
      <c r="H17930" s="3">
        <v>31</v>
      </c>
      <c r="I17930" s="3">
        <v>0</v>
      </c>
      <c r="J17930" s="3">
        <v>0</v>
      </c>
      <c r="K17930" s="3">
        <v>0</v>
      </c>
      <c r="L17930" s="3">
        <v>0</v>
      </c>
      <c r="M17930" s="3">
        <v>31</v>
      </c>
      <c r="N17930" s="3">
        <v>0</v>
      </c>
      <c r="O17930" s="3" t="s">
        <v>10</v>
      </c>
      <c r="P17930" s="3" t="s">
        <v>9</v>
      </c>
      <c r="Q17930" s="3"/>
    </row>
    <row r="17931" spans="1:17" ht="15" x14ac:dyDescent="0.25">
      <c r="A17931" s="3">
        <f>17924</f>
        <v>17924</v>
      </c>
      <c r="B17931" s="3" t="s">
        <v>17933</v>
      </c>
      <c r="C17931" s="3" t="s">
        <v>10</v>
      </c>
      <c r="D17931" s="3" t="s">
        <v>9</v>
      </c>
      <c r="E17931" s="3">
        <v>0</v>
      </c>
      <c r="F17931" s="3">
        <v>0</v>
      </c>
      <c r="G17931" s="3">
        <v>0</v>
      </c>
      <c r="H17931" s="3">
        <v>31</v>
      </c>
      <c r="I17931" s="3">
        <v>0</v>
      </c>
      <c r="J17931" s="3">
        <v>0</v>
      </c>
      <c r="K17931" s="3">
        <v>0</v>
      </c>
      <c r="L17931" s="3">
        <v>0</v>
      </c>
      <c r="M17931" s="3">
        <v>31</v>
      </c>
      <c r="N17931" s="3">
        <v>0</v>
      </c>
      <c r="O17931" s="3" t="s">
        <v>10</v>
      </c>
      <c r="P17931" s="3" t="s">
        <v>9</v>
      </c>
      <c r="Q17931" s="3"/>
    </row>
    <row r="17932" spans="1:17" ht="15" x14ac:dyDescent="0.25">
      <c r="A17932" s="3">
        <f>17925</f>
        <v>17925</v>
      </c>
      <c r="B17932" s="3" t="s">
        <v>17934</v>
      </c>
      <c r="C17932" s="3" t="s">
        <v>10</v>
      </c>
      <c r="D17932" s="3" t="s">
        <v>9</v>
      </c>
      <c r="E17932" s="3">
        <v>0</v>
      </c>
      <c r="F17932" s="3">
        <v>0</v>
      </c>
      <c r="G17932" s="3">
        <v>0</v>
      </c>
      <c r="H17932" s="3">
        <v>31</v>
      </c>
      <c r="I17932" s="3">
        <v>0</v>
      </c>
      <c r="J17932" s="3">
        <v>0</v>
      </c>
      <c r="K17932" s="3">
        <v>0</v>
      </c>
      <c r="L17932" s="3">
        <v>0</v>
      </c>
      <c r="M17932" s="3">
        <v>31</v>
      </c>
      <c r="N17932" s="3">
        <v>0</v>
      </c>
      <c r="O17932" s="3" t="s">
        <v>10</v>
      </c>
      <c r="P17932" s="3" t="s">
        <v>9</v>
      </c>
      <c r="Q17932" s="3"/>
    </row>
    <row r="17933" spans="1:17" ht="15" x14ac:dyDescent="0.25">
      <c r="A17933" s="3">
        <f>17926</f>
        <v>17926</v>
      </c>
      <c r="B17933" s="3" t="s">
        <v>17935</v>
      </c>
      <c r="C17933" s="3" t="s">
        <v>10</v>
      </c>
      <c r="D17933" s="3" t="s">
        <v>9</v>
      </c>
      <c r="E17933" s="3">
        <v>0</v>
      </c>
      <c r="F17933" s="3">
        <v>0</v>
      </c>
      <c r="G17933" s="3">
        <v>0</v>
      </c>
      <c r="H17933" s="3">
        <v>31</v>
      </c>
      <c r="I17933" s="3">
        <v>0</v>
      </c>
      <c r="J17933" s="3">
        <v>0</v>
      </c>
      <c r="K17933" s="3">
        <v>0</v>
      </c>
      <c r="L17933" s="3">
        <v>0</v>
      </c>
      <c r="M17933" s="3">
        <v>31</v>
      </c>
      <c r="N17933" s="3">
        <v>0</v>
      </c>
      <c r="O17933" s="3" t="s">
        <v>10</v>
      </c>
      <c r="P17933" s="3" t="s">
        <v>9</v>
      </c>
      <c r="Q17933" s="3"/>
    </row>
    <row r="17934" spans="1:17" ht="15" x14ac:dyDescent="0.25">
      <c r="A17934" s="3">
        <f>17927</f>
        <v>17927</v>
      </c>
      <c r="B17934" s="3" t="s">
        <v>17936</v>
      </c>
      <c r="C17934" s="3" t="s">
        <v>10</v>
      </c>
      <c r="D17934" s="3" t="s">
        <v>9</v>
      </c>
      <c r="E17934" s="3">
        <v>0</v>
      </c>
      <c r="F17934" s="3">
        <v>0</v>
      </c>
      <c r="G17934" s="3">
        <v>0</v>
      </c>
      <c r="H17934" s="3">
        <v>31</v>
      </c>
      <c r="I17934" s="3">
        <v>0</v>
      </c>
      <c r="J17934" s="3">
        <v>0</v>
      </c>
      <c r="K17934" s="3">
        <v>0</v>
      </c>
      <c r="L17934" s="3">
        <v>0</v>
      </c>
      <c r="M17934" s="3">
        <v>31</v>
      </c>
      <c r="N17934" s="3">
        <v>0</v>
      </c>
      <c r="O17934" s="3" t="s">
        <v>10</v>
      </c>
      <c r="P17934" s="3" t="s">
        <v>9</v>
      </c>
      <c r="Q17934" s="3"/>
    </row>
    <row r="17935" spans="1:17" ht="15" x14ac:dyDescent="0.25">
      <c r="A17935" s="3">
        <f>17928</f>
        <v>17928</v>
      </c>
      <c r="B17935" s="3" t="s">
        <v>17937</v>
      </c>
      <c r="C17935" s="3" t="s">
        <v>10</v>
      </c>
      <c r="D17935" s="3" t="s">
        <v>9</v>
      </c>
      <c r="E17935" s="3">
        <v>0</v>
      </c>
      <c r="F17935" s="3">
        <v>0</v>
      </c>
      <c r="G17935" s="3">
        <v>0</v>
      </c>
      <c r="H17935" s="3">
        <v>31</v>
      </c>
      <c r="I17935" s="3">
        <v>0</v>
      </c>
      <c r="J17935" s="3">
        <v>0</v>
      </c>
      <c r="K17935" s="3">
        <v>0</v>
      </c>
      <c r="L17935" s="3">
        <v>0</v>
      </c>
      <c r="M17935" s="3">
        <v>31</v>
      </c>
      <c r="N17935" s="3">
        <v>0</v>
      </c>
      <c r="O17935" s="3" t="s">
        <v>10</v>
      </c>
      <c r="P17935" s="3" t="s">
        <v>9</v>
      </c>
      <c r="Q17935" s="3"/>
    </row>
    <row r="17936" spans="1:17" ht="15" x14ac:dyDescent="0.25">
      <c r="A17936" s="3">
        <f>17929</f>
        <v>17929</v>
      </c>
      <c r="B17936" s="3" t="s">
        <v>17938</v>
      </c>
      <c r="C17936" s="3" t="s">
        <v>10</v>
      </c>
      <c r="D17936" s="3" t="s">
        <v>9</v>
      </c>
      <c r="E17936" s="3">
        <v>0</v>
      </c>
      <c r="F17936" s="3">
        <v>0</v>
      </c>
      <c r="G17936" s="3">
        <v>0</v>
      </c>
      <c r="H17936" s="3">
        <v>31</v>
      </c>
      <c r="I17936" s="3">
        <v>0</v>
      </c>
      <c r="J17936" s="3">
        <v>0</v>
      </c>
      <c r="K17936" s="3">
        <v>0</v>
      </c>
      <c r="L17936" s="3">
        <v>0</v>
      </c>
      <c r="M17936" s="3">
        <v>31</v>
      </c>
      <c r="N17936" s="3">
        <v>0</v>
      </c>
      <c r="O17936" s="3" t="s">
        <v>10</v>
      </c>
      <c r="P17936" s="3" t="s">
        <v>9</v>
      </c>
      <c r="Q17936" s="3"/>
    </row>
    <row r="17937" spans="1:17" ht="15" x14ac:dyDescent="0.25">
      <c r="A17937" s="3">
        <f>17930</f>
        <v>17930</v>
      </c>
      <c r="B17937" s="3" t="s">
        <v>17939</v>
      </c>
      <c r="C17937" s="3" t="s">
        <v>10</v>
      </c>
      <c r="D17937" s="3" t="s">
        <v>9</v>
      </c>
      <c r="E17937" s="3">
        <v>0</v>
      </c>
      <c r="F17937" s="3">
        <v>0</v>
      </c>
      <c r="G17937" s="3">
        <v>0</v>
      </c>
      <c r="H17937" s="3">
        <v>31</v>
      </c>
      <c r="I17937" s="3">
        <v>0</v>
      </c>
      <c r="J17937" s="3">
        <v>0</v>
      </c>
      <c r="K17937" s="3">
        <v>0</v>
      </c>
      <c r="L17937" s="3">
        <v>0</v>
      </c>
      <c r="M17937" s="3">
        <v>31</v>
      </c>
      <c r="N17937" s="3">
        <v>0</v>
      </c>
      <c r="O17937" s="3" t="s">
        <v>10</v>
      </c>
      <c r="P17937" s="3" t="s">
        <v>9</v>
      </c>
      <c r="Q17937" s="3"/>
    </row>
    <row r="17938" spans="1:17" ht="15" x14ac:dyDescent="0.25">
      <c r="A17938" s="3">
        <f>17931</f>
        <v>17931</v>
      </c>
      <c r="B17938" s="3" t="s">
        <v>17940</v>
      </c>
      <c r="C17938" s="3" t="s">
        <v>10</v>
      </c>
      <c r="D17938" s="3" t="s">
        <v>9</v>
      </c>
      <c r="E17938" s="3">
        <v>0</v>
      </c>
      <c r="F17938" s="3">
        <v>0</v>
      </c>
      <c r="G17938" s="3">
        <v>0</v>
      </c>
      <c r="H17938" s="3">
        <v>31</v>
      </c>
      <c r="I17938" s="3">
        <v>0</v>
      </c>
      <c r="J17938" s="3">
        <v>0</v>
      </c>
      <c r="K17938" s="3">
        <v>0</v>
      </c>
      <c r="L17938" s="3">
        <v>0</v>
      </c>
      <c r="M17938" s="3">
        <v>31</v>
      </c>
      <c r="N17938" s="3">
        <v>0</v>
      </c>
      <c r="O17938" s="3" t="s">
        <v>10</v>
      </c>
      <c r="P17938" s="3" t="s">
        <v>9</v>
      </c>
      <c r="Q17938" s="3"/>
    </row>
    <row r="17939" spans="1:17" ht="15" x14ac:dyDescent="0.25">
      <c r="A17939" s="3">
        <f>17932</f>
        <v>17932</v>
      </c>
      <c r="B17939" s="3" t="s">
        <v>17941</v>
      </c>
      <c r="C17939" s="3" t="s">
        <v>10</v>
      </c>
      <c r="D17939" s="3" t="s">
        <v>9</v>
      </c>
      <c r="E17939" s="3">
        <v>0</v>
      </c>
      <c r="F17939" s="3">
        <v>0</v>
      </c>
      <c r="G17939" s="3">
        <v>0</v>
      </c>
      <c r="H17939" s="3">
        <v>31</v>
      </c>
      <c r="I17939" s="3">
        <v>0</v>
      </c>
      <c r="J17939" s="3">
        <v>0</v>
      </c>
      <c r="K17939" s="3">
        <v>0</v>
      </c>
      <c r="L17939" s="3">
        <v>0</v>
      </c>
      <c r="M17939" s="3">
        <v>31</v>
      </c>
      <c r="N17939" s="3">
        <v>0</v>
      </c>
      <c r="O17939" s="3" t="s">
        <v>10</v>
      </c>
      <c r="P17939" s="3" t="s">
        <v>9</v>
      </c>
      <c r="Q17939" s="3"/>
    </row>
    <row r="17940" spans="1:17" ht="15" x14ac:dyDescent="0.25">
      <c r="A17940" s="3">
        <f>17933</f>
        <v>17933</v>
      </c>
      <c r="B17940" s="3" t="s">
        <v>17942</v>
      </c>
      <c r="C17940" s="3" t="s">
        <v>10</v>
      </c>
      <c r="D17940" s="3" t="s">
        <v>9</v>
      </c>
      <c r="E17940" s="3">
        <v>0</v>
      </c>
      <c r="F17940" s="3">
        <v>0</v>
      </c>
      <c r="G17940" s="3">
        <v>0</v>
      </c>
      <c r="H17940" s="3">
        <v>31</v>
      </c>
      <c r="I17940" s="3">
        <v>0</v>
      </c>
      <c r="J17940" s="3">
        <v>0</v>
      </c>
      <c r="K17940" s="3">
        <v>0</v>
      </c>
      <c r="L17940" s="3">
        <v>0</v>
      </c>
      <c r="M17940" s="3">
        <v>31</v>
      </c>
      <c r="N17940" s="3">
        <v>0</v>
      </c>
      <c r="O17940" s="3" t="s">
        <v>10</v>
      </c>
      <c r="P17940" s="3" t="s">
        <v>9</v>
      </c>
      <c r="Q17940" s="3"/>
    </row>
    <row r="17941" spans="1:17" ht="15" x14ac:dyDescent="0.25">
      <c r="A17941" s="3">
        <f>17934</f>
        <v>17934</v>
      </c>
      <c r="B17941" s="3" t="s">
        <v>17943</v>
      </c>
      <c r="C17941" s="3" t="s">
        <v>10</v>
      </c>
      <c r="D17941" s="3" t="s">
        <v>9</v>
      </c>
      <c r="E17941" s="3">
        <v>0</v>
      </c>
      <c r="F17941" s="3">
        <v>0</v>
      </c>
      <c r="G17941" s="3">
        <v>0</v>
      </c>
      <c r="H17941" s="3">
        <v>31</v>
      </c>
      <c r="I17941" s="3">
        <v>0</v>
      </c>
      <c r="J17941" s="3">
        <v>0</v>
      </c>
      <c r="K17941" s="3">
        <v>0</v>
      </c>
      <c r="L17941" s="3">
        <v>0</v>
      </c>
      <c r="M17941" s="3">
        <v>31</v>
      </c>
      <c r="N17941" s="3">
        <v>0</v>
      </c>
      <c r="O17941" s="3" t="s">
        <v>10</v>
      </c>
      <c r="P17941" s="3" t="s">
        <v>9</v>
      </c>
      <c r="Q17941" s="3"/>
    </row>
    <row r="17942" spans="1:17" ht="15" x14ac:dyDescent="0.25">
      <c r="A17942" s="3">
        <f>17935</f>
        <v>17935</v>
      </c>
      <c r="B17942" s="3" t="s">
        <v>17944</v>
      </c>
      <c r="C17942" s="3" t="s">
        <v>10</v>
      </c>
      <c r="D17942" s="3" t="s">
        <v>9</v>
      </c>
      <c r="E17942" s="3">
        <v>0</v>
      </c>
      <c r="F17942" s="3">
        <v>0</v>
      </c>
      <c r="G17942" s="3">
        <v>0</v>
      </c>
      <c r="H17942" s="3">
        <v>31</v>
      </c>
      <c r="I17942" s="3">
        <v>0</v>
      </c>
      <c r="J17942" s="3">
        <v>0</v>
      </c>
      <c r="K17942" s="3">
        <v>0</v>
      </c>
      <c r="L17942" s="3">
        <v>0</v>
      </c>
      <c r="M17942" s="3">
        <v>31</v>
      </c>
      <c r="N17942" s="3">
        <v>0</v>
      </c>
      <c r="O17942" s="3" t="s">
        <v>10</v>
      </c>
      <c r="P17942" s="3" t="s">
        <v>9</v>
      </c>
      <c r="Q17942" s="3"/>
    </row>
    <row r="17943" spans="1:17" ht="15" x14ac:dyDescent="0.25">
      <c r="A17943" s="3">
        <f>17936</f>
        <v>17936</v>
      </c>
      <c r="B17943" s="3" t="s">
        <v>17945</v>
      </c>
      <c r="C17943" s="3" t="s">
        <v>10</v>
      </c>
      <c r="D17943" s="3" t="s">
        <v>9</v>
      </c>
      <c r="E17943" s="3">
        <v>0</v>
      </c>
      <c r="F17943" s="3">
        <v>0</v>
      </c>
      <c r="G17943" s="3">
        <v>0</v>
      </c>
      <c r="H17943" s="3">
        <v>31</v>
      </c>
      <c r="I17943" s="3">
        <v>0</v>
      </c>
      <c r="J17943" s="3">
        <v>0</v>
      </c>
      <c r="K17943" s="3">
        <v>0</v>
      </c>
      <c r="L17943" s="3">
        <v>0</v>
      </c>
      <c r="M17943" s="3">
        <v>31</v>
      </c>
      <c r="N17943" s="3">
        <v>0</v>
      </c>
      <c r="O17943" s="3" t="s">
        <v>10</v>
      </c>
      <c r="P17943" s="3" t="s">
        <v>9</v>
      </c>
      <c r="Q17943" s="3"/>
    </row>
    <row r="17944" spans="1:17" ht="15" x14ac:dyDescent="0.25">
      <c r="A17944" s="3">
        <f>17937</f>
        <v>17937</v>
      </c>
      <c r="B17944" s="3" t="s">
        <v>17946</v>
      </c>
      <c r="C17944" s="3" t="s">
        <v>10</v>
      </c>
      <c r="D17944" s="3" t="s">
        <v>9</v>
      </c>
      <c r="E17944" s="3">
        <v>0</v>
      </c>
      <c r="F17944" s="3">
        <v>0</v>
      </c>
      <c r="G17944" s="3">
        <v>0</v>
      </c>
      <c r="H17944" s="3">
        <v>31</v>
      </c>
      <c r="I17944" s="3">
        <v>0</v>
      </c>
      <c r="J17944" s="3">
        <v>0</v>
      </c>
      <c r="K17944" s="3">
        <v>0</v>
      </c>
      <c r="L17944" s="3">
        <v>0</v>
      </c>
      <c r="M17944" s="3">
        <v>31</v>
      </c>
      <c r="N17944" s="3">
        <v>0</v>
      </c>
      <c r="O17944" s="3" t="s">
        <v>10</v>
      </c>
      <c r="P17944" s="3" t="s">
        <v>9</v>
      </c>
      <c r="Q17944" s="3"/>
    </row>
    <row r="17945" spans="1:17" ht="15" x14ac:dyDescent="0.25">
      <c r="A17945" s="3">
        <f>17938</f>
        <v>17938</v>
      </c>
      <c r="B17945" s="3" t="s">
        <v>17947</v>
      </c>
      <c r="C17945" s="3" t="s">
        <v>10</v>
      </c>
      <c r="D17945" s="3" t="s">
        <v>9</v>
      </c>
      <c r="E17945" s="3">
        <v>0</v>
      </c>
      <c r="F17945" s="3">
        <v>0</v>
      </c>
      <c r="G17945" s="3">
        <v>0</v>
      </c>
      <c r="H17945" s="3">
        <v>31</v>
      </c>
      <c r="I17945" s="3">
        <v>0</v>
      </c>
      <c r="J17945" s="3">
        <v>0</v>
      </c>
      <c r="K17945" s="3">
        <v>0</v>
      </c>
      <c r="L17945" s="3">
        <v>0</v>
      </c>
      <c r="M17945" s="3">
        <v>31</v>
      </c>
      <c r="N17945" s="3">
        <v>0</v>
      </c>
      <c r="O17945" s="3" t="s">
        <v>10</v>
      </c>
      <c r="P17945" s="3" t="s">
        <v>9</v>
      </c>
      <c r="Q17945" s="3"/>
    </row>
    <row r="17946" spans="1:17" ht="15" x14ac:dyDescent="0.25">
      <c r="A17946" s="3">
        <f>17939</f>
        <v>17939</v>
      </c>
      <c r="B17946" s="3" t="s">
        <v>17948</v>
      </c>
      <c r="C17946" s="3" t="s">
        <v>10</v>
      </c>
      <c r="D17946" s="3" t="s">
        <v>9</v>
      </c>
      <c r="E17946" s="3">
        <v>0</v>
      </c>
      <c r="F17946" s="3">
        <v>0</v>
      </c>
      <c r="G17946" s="3">
        <v>0</v>
      </c>
      <c r="H17946" s="3">
        <v>31</v>
      </c>
      <c r="I17946" s="3">
        <v>0</v>
      </c>
      <c r="J17946" s="3">
        <v>0</v>
      </c>
      <c r="K17946" s="3">
        <v>0</v>
      </c>
      <c r="L17946" s="3">
        <v>0</v>
      </c>
      <c r="M17946" s="3">
        <v>31</v>
      </c>
      <c r="N17946" s="3">
        <v>0</v>
      </c>
      <c r="O17946" s="3" t="s">
        <v>10</v>
      </c>
      <c r="P17946" s="3" t="s">
        <v>9</v>
      </c>
      <c r="Q17946" s="3"/>
    </row>
    <row r="17947" spans="1:17" ht="15" x14ac:dyDescent="0.25">
      <c r="A17947" s="3">
        <f>17940</f>
        <v>17940</v>
      </c>
      <c r="B17947" s="3" t="s">
        <v>17949</v>
      </c>
      <c r="C17947" s="3" t="s">
        <v>10</v>
      </c>
      <c r="D17947" s="3" t="s">
        <v>9</v>
      </c>
      <c r="E17947" s="3">
        <v>0</v>
      </c>
      <c r="F17947" s="3">
        <v>0</v>
      </c>
      <c r="G17947" s="3">
        <v>0</v>
      </c>
      <c r="H17947" s="3">
        <v>31</v>
      </c>
      <c r="I17947" s="3">
        <v>0</v>
      </c>
      <c r="J17947" s="3">
        <v>0</v>
      </c>
      <c r="K17947" s="3">
        <v>0</v>
      </c>
      <c r="L17947" s="3">
        <v>0</v>
      </c>
      <c r="M17947" s="3">
        <v>31</v>
      </c>
      <c r="N17947" s="3">
        <v>0</v>
      </c>
      <c r="O17947" s="3" t="s">
        <v>10</v>
      </c>
      <c r="P17947" s="3" t="s">
        <v>9</v>
      </c>
      <c r="Q17947" s="3"/>
    </row>
    <row r="17948" spans="1:17" ht="15" x14ac:dyDescent="0.25">
      <c r="A17948" s="3">
        <f>17941</f>
        <v>17941</v>
      </c>
      <c r="B17948" s="3" t="s">
        <v>17950</v>
      </c>
      <c r="C17948" s="3" t="s">
        <v>10</v>
      </c>
      <c r="D17948" s="3" t="s">
        <v>9</v>
      </c>
      <c r="E17948" s="3">
        <v>0</v>
      </c>
      <c r="F17948" s="3">
        <v>0</v>
      </c>
      <c r="G17948" s="3">
        <v>0</v>
      </c>
      <c r="H17948" s="3">
        <v>31</v>
      </c>
      <c r="I17948" s="3">
        <v>0</v>
      </c>
      <c r="J17948" s="3">
        <v>0</v>
      </c>
      <c r="K17948" s="3">
        <v>0</v>
      </c>
      <c r="L17948" s="3">
        <v>0</v>
      </c>
      <c r="M17948" s="3">
        <v>31</v>
      </c>
      <c r="N17948" s="3">
        <v>0</v>
      </c>
      <c r="O17948" s="3" t="s">
        <v>10</v>
      </c>
      <c r="P17948" s="3" t="s">
        <v>9</v>
      </c>
      <c r="Q17948" s="3"/>
    </row>
    <row r="17949" spans="1:17" ht="15" x14ac:dyDescent="0.25">
      <c r="A17949" s="3">
        <f>17942</f>
        <v>17942</v>
      </c>
      <c r="B17949" s="3" t="s">
        <v>17951</v>
      </c>
      <c r="C17949" s="3" t="s">
        <v>10</v>
      </c>
      <c r="D17949" s="3" t="s">
        <v>9</v>
      </c>
      <c r="E17949" s="3">
        <v>0</v>
      </c>
      <c r="F17949" s="3">
        <v>0</v>
      </c>
      <c r="G17949" s="3">
        <v>0</v>
      </c>
      <c r="H17949" s="3">
        <v>31</v>
      </c>
      <c r="I17949" s="3">
        <v>0</v>
      </c>
      <c r="J17949" s="3">
        <v>0</v>
      </c>
      <c r="K17949" s="3">
        <v>0</v>
      </c>
      <c r="L17949" s="3">
        <v>0</v>
      </c>
      <c r="M17949" s="3">
        <v>31</v>
      </c>
      <c r="N17949" s="3">
        <v>0</v>
      </c>
      <c r="O17949" s="3" t="s">
        <v>10</v>
      </c>
      <c r="P17949" s="3" t="s">
        <v>9</v>
      </c>
      <c r="Q17949" s="3"/>
    </row>
    <row r="17950" spans="1:17" ht="15" x14ac:dyDescent="0.25">
      <c r="A17950" s="3">
        <f>17943</f>
        <v>17943</v>
      </c>
      <c r="B17950" s="3" t="s">
        <v>17952</v>
      </c>
      <c r="C17950" s="3" t="s">
        <v>10</v>
      </c>
      <c r="D17950" s="3" t="s">
        <v>9</v>
      </c>
      <c r="E17950" s="3">
        <v>0</v>
      </c>
      <c r="F17950" s="3">
        <v>0</v>
      </c>
      <c r="G17950" s="3">
        <v>0</v>
      </c>
      <c r="H17950" s="3">
        <v>31</v>
      </c>
      <c r="I17950" s="3">
        <v>0</v>
      </c>
      <c r="J17950" s="3">
        <v>0</v>
      </c>
      <c r="K17950" s="3">
        <v>0</v>
      </c>
      <c r="L17950" s="3">
        <v>0</v>
      </c>
      <c r="M17950" s="3">
        <v>31</v>
      </c>
      <c r="N17950" s="3">
        <v>0</v>
      </c>
      <c r="O17950" s="3" t="s">
        <v>10</v>
      </c>
      <c r="P17950" s="3" t="s">
        <v>9</v>
      </c>
      <c r="Q17950" s="3"/>
    </row>
    <row r="17951" spans="1:17" ht="15" x14ac:dyDescent="0.25">
      <c r="A17951" s="3">
        <f>17944</f>
        <v>17944</v>
      </c>
      <c r="B17951" s="3" t="s">
        <v>17953</v>
      </c>
      <c r="C17951" s="3" t="s">
        <v>10</v>
      </c>
      <c r="D17951" s="3" t="s">
        <v>9</v>
      </c>
      <c r="E17951" s="3">
        <v>0</v>
      </c>
      <c r="F17951" s="3">
        <v>0</v>
      </c>
      <c r="G17951" s="3">
        <v>0</v>
      </c>
      <c r="H17951" s="3">
        <v>31</v>
      </c>
      <c r="I17951" s="3">
        <v>0</v>
      </c>
      <c r="J17951" s="3">
        <v>0</v>
      </c>
      <c r="K17951" s="3">
        <v>0</v>
      </c>
      <c r="L17951" s="3">
        <v>0</v>
      </c>
      <c r="M17951" s="3">
        <v>31</v>
      </c>
      <c r="N17951" s="3">
        <v>0</v>
      </c>
      <c r="O17951" s="3" t="s">
        <v>10</v>
      </c>
      <c r="P17951" s="3" t="s">
        <v>9</v>
      </c>
      <c r="Q17951" s="3"/>
    </row>
    <row r="17952" spans="1:17" ht="15" x14ac:dyDescent="0.25">
      <c r="A17952" s="3">
        <f>17945</f>
        <v>17945</v>
      </c>
      <c r="B17952" s="3" t="s">
        <v>17954</v>
      </c>
      <c r="C17952" s="3" t="s">
        <v>10</v>
      </c>
      <c r="D17952" s="3" t="s">
        <v>9</v>
      </c>
      <c r="E17952" s="3">
        <v>0</v>
      </c>
      <c r="F17952" s="3">
        <v>0</v>
      </c>
      <c r="G17952" s="3">
        <v>0</v>
      </c>
      <c r="H17952" s="3">
        <v>31</v>
      </c>
      <c r="I17952" s="3">
        <v>0</v>
      </c>
      <c r="J17952" s="3">
        <v>0</v>
      </c>
      <c r="K17952" s="3">
        <v>0</v>
      </c>
      <c r="L17952" s="3">
        <v>0</v>
      </c>
      <c r="M17952" s="3">
        <v>31</v>
      </c>
      <c r="N17952" s="3">
        <v>0</v>
      </c>
      <c r="O17952" s="3" t="s">
        <v>10</v>
      </c>
      <c r="P17952" s="3" t="s">
        <v>9</v>
      </c>
      <c r="Q17952" s="3"/>
    </row>
    <row r="17953" spans="1:17" ht="15" x14ac:dyDescent="0.25">
      <c r="A17953" s="3">
        <f>17946</f>
        <v>17946</v>
      </c>
      <c r="B17953" s="3" t="s">
        <v>17955</v>
      </c>
      <c r="C17953" s="3" t="s">
        <v>10</v>
      </c>
      <c r="D17953" s="3" t="s">
        <v>9</v>
      </c>
      <c r="E17953" s="3">
        <v>0</v>
      </c>
      <c r="F17953" s="3">
        <v>0</v>
      </c>
      <c r="G17953" s="3">
        <v>0</v>
      </c>
      <c r="H17953" s="3">
        <v>31</v>
      </c>
      <c r="I17953" s="3">
        <v>0</v>
      </c>
      <c r="J17953" s="3">
        <v>0</v>
      </c>
      <c r="K17953" s="3">
        <v>0</v>
      </c>
      <c r="L17953" s="3">
        <v>0</v>
      </c>
      <c r="M17953" s="3">
        <v>31</v>
      </c>
      <c r="N17953" s="3">
        <v>0</v>
      </c>
      <c r="O17953" s="3" t="s">
        <v>10</v>
      </c>
      <c r="P17953" s="3" t="s">
        <v>9</v>
      </c>
      <c r="Q17953" s="3"/>
    </row>
    <row r="17954" spans="1:17" ht="15" x14ac:dyDescent="0.25">
      <c r="A17954" s="3">
        <f>17947</f>
        <v>17947</v>
      </c>
      <c r="B17954" s="3" t="s">
        <v>17956</v>
      </c>
      <c r="C17954" s="3" t="s">
        <v>10</v>
      </c>
      <c r="D17954" s="3" t="s">
        <v>9</v>
      </c>
      <c r="E17954" s="3">
        <v>0</v>
      </c>
      <c r="F17954" s="3">
        <v>0</v>
      </c>
      <c r="G17954" s="3">
        <v>0</v>
      </c>
      <c r="H17954" s="3">
        <v>31</v>
      </c>
      <c r="I17954" s="3">
        <v>0</v>
      </c>
      <c r="J17954" s="3">
        <v>0</v>
      </c>
      <c r="K17954" s="3">
        <v>0</v>
      </c>
      <c r="L17954" s="3">
        <v>0</v>
      </c>
      <c r="M17954" s="3">
        <v>31</v>
      </c>
      <c r="N17954" s="3">
        <v>0</v>
      </c>
      <c r="O17954" s="3" t="s">
        <v>10</v>
      </c>
      <c r="P17954" s="3" t="s">
        <v>9</v>
      </c>
      <c r="Q17954" s="3"/>
    </row>
    <row r="17955" spans="1:17" ht="15" x14ac:dyDescent="0.25">
      <c r="A17955" s="3">
        <f>17948</f>
        <v>17948</v>
      </c>
      <c r="B17955" s="3" t="s">
        <v>17957</v>
      </c>
      <c r="C17955" s="3" t="s">
        <v>10</v>
      </c>
      <c r="D17955" s="3" t="s">
        <v>9</v>
      </c>
      <c r="E17955" s="3">
        <v>0</v>
      </c>
      <c r="F17955" s="3">
        <v>0</v>
      </c>
      <c r="G17955" s="3">
        <v>0</v>
      </c>
      <c r="H17955" s="3">
        <v>31</v>
      </c>
      <c r="I17955" s="3">
        <v>0</v>
      </c>
      <c r="J17955" s="3">
        <v>0</v>
      </c>
      <c r="K17955" s="3">
        <v>0</v>
      </c>
      <c r="L17955" s="3">
        <v>0</v>
      </c>
      <c r="M17955" s="3">
        <v>31</v>
      </c>
      <c r="N17955" s="3">
        <v>0</v>
      </c>
      <c r="O17955" s="3" t="s">
        <v>10</v>
      </c>
      <c r="P17955" s="3" t="s">
        <v>9</v>
      </c>
      <c r="Q17955" s="3"/>
    </row>
    <row r="17956" spans="1:17" ht="15" x14ac:dyDescent="0.25">
      <c r="A17956" s="3">
        <f>17949</f>
        <v>17949</v>
      </c>
      <c r="B17956" s="3" t="s">
        <v>17958</v>
      </c>
      <c r="C17956" s="3" t="s">
        <v>10</v>
      </c>
      <c r="D17956" s="3" t="s">
        <v>9</v>
      </c>
      <c r="E17956" s="3">
        <v>0</v>
      </c>
      <c r="F17956" s="3">
        <v>0</v>
      </c>
      <c r="G17956" s="3">
        <v>0</v>
      </c>
      <c r="H17956" s="3">
        <v>31</v>
      </c>
      <c r="I17956" s="3">
        <v>0</v>
      </c>
      <c r="J17956" s="3">
        <v>0</v>
      </c>
      <c r="K17956" s="3">
        <v>0</v>
      </c>
      <c r="L17956" s="3">
        <v>0</v>
      </c>
      <c r="M17956" s="3">
        <v>31</v>
      </c>
      <c r="N17956" s="3">
        <v>0</v>
      </c>
      <c r="O17956" s="3" t="s">
        <v>10</v>
      </c>
      <c r="P17956" s="3" t="s">
        <v>9</v>
      </c>
      <c r="Q17956" s="3"/>
    </row>
    <row r="17957" spans="1:17" ht="15" x14ac:dyDescent="0.25">
      <c r="A17957" s="3">
        <f>17950</f>
        <v>17950</v>
      </c>
      <c r="B17957" s="3" t="s">
        <v>17959</v>
      </c>
      <c r="C17957" s="3" t="s">
        <v>10</v>
      </c>
      <c r="D17957" s="3" t="s">
        <v>9</v>
      </c>
      <c r="E17957" s="3">
        <v>0</v>
      </c>
      <c r="F17957" s="3">
        <v>0</v>
      </c>
      <c r="G17957" s="3">
        <v>0</v>
      </c>
      <c r="H17957" s="3">
        <v>31</v>
      </c>
      <c r="I17957" s="3">
        <v>0</v>
      </c>
      <c r="J17957" s="3">
        <v>0</v>
      </c>
      <c r="K17957" s="3">
        <v>0</v>
      </c>
      <c r="L17957" s="3">
        <v>0</v>
      </c>
      <c r="M17957" s="3">
        <v>31</v>
      </c>
      <c r="N17957" s="3">
        <v>0</v>
      </c>
      <c r="O17957" s="3" t="s">
        <v>10</v>
      </c>
      <c r="P17957" s="3" t="s">
        <v>9</v>
      </c>
      <c r="Q17957" s="3"/>
    </row>
    <row r="17958" spans="1:17" ht="15" x14ac:dyDescent="0.25">
      <c r="A17958" s="3">
        <f>17951</f>
        <v>17951</v>
      </c>
      <c r="B17958" s="3" t="s">
        <v>17960</v>
      </c>
      <c r="C17958" s="3" t="s">
        <v>10</v>
      </c>
      <c r="D17958" s="3" t="s">
        <v>9</v>
      </c>
      <c r="E17958" s="3">
        <v>0</v>
      </c>
      <c r="F17958" s="3">
        <v>0</v>
      </c>
      <c r="G17958" s="3">
        <v>0</v>
      </c>
      <c r="H17958" s="3">
        <v>31</v>
      </c>
      <c r="I17958" s="3">
        <v>0</v>
      </c>
      <c r="J17958" s="3">
        <v>0</v>
      </c>
      <c r="K17958" s="3">
        <v>0</v>
      </c>
      <c r="L17958" s="3">
        <v>0</v>
      </c>
      <c r="M17958" s="3">
        <v>31</v>
      </c>
      <c r="N17958" s="3">
        <v>0</v>
      </c>
      <c r="O17958" s="3" t="s">
        <v>10</v>
      </c>
      <c r="P17958" s="3" t="s">
        <v>9</v>
      </c>
      <c r="Q17958" s="3"/>
    </row>
    <row r="17959" spans="1:17" ht="15" x14ac:dyDescent="0.25">
      <c r="A17959" s="3">
        <f>17952</f>
        <v>17952</v>
      </c>
      <c r="B17959" s="3" t="s">
        <v>17961</v>
      </c>
      <c r="C17959" s="3" t="s">
        <v>10</v>
      </c>
      <c r="D17959" s="3" t="s">
        <v>9</v>
      </c>
      <c r="E17959" s="3">
        <v>0</v>
      </c>
      <c r="F17959" s="3">
        <v>0</v>
      </c>
      <c r="G17959" s="3">
        <v>0</v>
      </c>
      <c r="H17959" s="3">
        <v>31</v>
      </c>
      <c r="I17959" s="3">
        <v>0</v>
      </c>
      <c r="J17959" s="3">
        <v>0</v>
      </c>
      <c r="K17959" s="3">
        <v>0</v>
      </c>
      <c r="L17959" s="3">
        <v>0</v>
      </c>
      <c r="M17959" s="3">
        <v>31</v>
      </c>
      <c r="N17959" s="3">
        <v>0</v>
      </c>
      <c r="O17959" s="3" t="s">
        <v>10</v>
      </c>
      <c r="P17959" s="3" t="s">
        <v>9</v>
      </c>
      <c r="Q17959" s="3"/>
    </row>
    <row r="17960" spans="1:17" ht="15" x14ac:dyDescent="0.25">
      <c r="A17960" s="3">
        <f>17953</f>
        <v>17953</v>
      </c>
      <c r="B17960" s="3" t="s">
        <v>17962</v>
      </c>
      <c r="C17960" s="3" t="s">
        <v>10</v>
      </c>
      <c r="D17960" s="3" t="s">
        <v>9</v>
      </c>
      <c r="E17960" s="3">
        <v>0</v>
      </c>
      <c r="F17960" s="3">
        <v>0</v>
      </c>
      <c r="G17960" s="3">
        <v>0</v>
      </c>
      <c r="H17960" s="3">
        <v>31</v>
      </c>
      <c r="I17960" s="3">
        <v>0</v>
      </c>
      <c r="J17960" s="3">
        <v>0</v>
      </c>
      <c r="K17960" s="3">
        <v>0</v>
      </c>
      <c r="L17960" s="3">
        <v>0</v>
      </c>
      <c r="M17960" s="3">
        <v>31</v>
      </c>
      <c r="N17960" s="3">
        <v>0</v>
      </c>
      <c r="O17960" s="3" t="s">
        <v>10</v>
      </c>
      <c r="P17960" s="3" t="s">
        <v>9</v>
      </c>
      <c r="Q17960" s="3"/>
    </row>
    <row r="17961" spans="1:17" ht="15" x14ac:dyDescent="0.25">
      <c r="A17961" s="3">
        <f>17954</f>
        <v>17954</v>
      </c>
      <c r="B17961" s="3" t="s">
        <v>17963</v>
      </c>
      <c r="C17961" s="3" t="s">
        <v>10</v>
      </c>
      <c r="D17961" s="3" t="s">
        <v>9</v>
      </c>
      <c r="E17961" s="3">
        <v>0</v>
      </c>
      <c r="F17961" s="3">
        <v>0</v>
      </c>
      <c r="G17961" s="3">
        <v>0</v>
      </c>
      <c r="H17961" s="3">
        <v>31</v>
      </c>
      <c r="I17961" s="3">
        <v>0</v>
      </c>
      <c r="J17961" s="3">
        <v>0</v>
      </c>
      <c r="K17961" s="3">
        <v>0</v>
      </c>
      <c r="L17961" s="3">
        <v>0</v>
      </c>
      <c r="M17961" s="3">
        <v>31</v>
      </c>
      <c r="N17961" s="3">
        <v>0</v>
      </c>
      <c r="O17961" s="3" t="s">
        <v>10</v>
      </c>
      <c r="P17961" s="3" t="s">
        <v>9</v>
      </c>
      <c r="Q17961" s="3"/>
    </row>
    <row r="17962" spans="1:17" ht="15" x14ac:dyDescent="0.25">
      <c r="A17962" s="3">
        <f>17955</f>
        <v>17955</v>
      </c>
      <c r="B17962" s="3" t="s">
        <v>17964</v>
      </c>
      <c r="C17962" s="3" t="s">
        <v>10</v>
      </c>
      <c r="D17962" s="3" t="s">
        <v>9</v>
      </c>
      <c r="E17962" s="3">
        <v>0</v>
      </c>
      <c r="F17962" s="3">
        <v>0</v>
      </c>
      <c r="G17962" s="3">
        <v>0</v>
      </c>
      <c r="H17962" s="3">
        <v>31</v>
      </c>
      <c r="I17962" s="3">
        <v>0</v>
      </c>
      <c r="J17962" s="3">
        <v>0</v>
      </c>
      <c r="K17962" s="3">
        <v>0</v>
      </c>
      <c r="L17962" s="3">
        <v>0</v>
      </c>
      <c r="M17962" s="3">
        <v>31</v>
      </c>
      <c r="N17962" s="3">
        <v>0</v>
      </c>
      <c r="O17962" s="3" t="s">
        <v>10</v>
      </c>
      <c r="P17962" s="3" t="s">
        <v>9</v>
      </c>
      <c r="Q17962" s="3"/>
    </row>
    <row r="17963" spans="1:17" ht="15" x14ac:dyDescent="0.25">
      <c r="A17963" s="3">
        <f>17956</f>
        <v>17956</v>
      </c>
      <c r="B17963" s="3" t="s">
        <v>17965</v>
      </c>
      <c r="C17963" s="3" t="s">
        <v>10</v>
      </c>
      <c r="D17963" s="3" t="s">
        <v>9</v>
      </c>
      <c r="E17963" s="3">
        <v>0</v>
      </c>
      <c r="F17963" s="3">
        <v>0</v>
      </c>
      <c r="G17963" s="3">
        <v>0</v>
      </c>
      <c r="H17963" s="3">
        <v>31</v>
      </c>
      <c r="I17963" s="3">
        <v>0</v>
      </c>
      <c r="J17963" s="3">
        <v>0</v>
      </c>
      <c r="K17963" s="3">
        <v>0</v>
      </c>
      <c r="L17963" s="3">
        <v>0</v>
      </c>
      <c r="M17963" s="3">
        <v>31</v>
      </c>
      <c r="N17963" s="3">
        <v>0</v>
      </c>
      <c r="O17963" s="3" t="s">
        <v>10</v>
      </c>
      <c r="P17963" s="3" t="s">
        <v>9</v>
      </c>
      <c r="Q17963" s="3"/>
    </row>
    <row r="17964" spans="1:17" ht="15" x14ac:dyDescent="0.25">
      <c r="A17964" s="3">
        <f>17957</f>
        <v>17957</v>
      </c>
      <c r="B17964" s="3" t="s">
        <v>17966</v>
      </c>
      <c r="C17964" s="3" t="s">
        <v>10</v>
      </c>
      <c r="D17964" s="3" t="s">
        <v>9</v>
      </c>
      <c r="E17964" s="3">
        <v>0</v>
      </c>
      <c r="F17964" s="3">
        <v>0</v>
      </c>
      <c r="G17964" s="3">
        <v>0</v>
      </c>
      <c r="H17964" s="3">
        <v>31</v>
      </c>
      <c r="I17964" s="3">
        <v>0</v>
      </c>
      <c r="J17964" s="3">
        <v>0</v>
      </c>
      <c r="K17964" s="3">
        <v>0</v>
      </c>
      <c r="L17964" s="3">
        <v>0</v>
      </c>
      <c r="M17964" s="3">
        <v>31</v>
      </c>
      <c r="N17964" s="3">
        <v>0</v>
      </c>
      <c r="O17964" s="3" t="s">
        <v>10</v>
      </c>
      <c r="P17964" s="3" t="s">
        <v>9</v>
      </c>
      <c r="Q17964" s="3"/>
    </row>
    <row r="17965" spans="1:17" ht="15" x14ac:dyDescent="0.25">
      <c r="A17965" s="3">
        <f>17958</f>
        <v>17958</v>
      </c>
      <c r="B17965" s="3" t="s">
        <v>17967</v>
      </c>
      <c r="C17965" s="3" t="s">
        <v>10</v>
      </c>
      <c r="D17965" s="3" t="s">
        <v>9</v>
      </c>
      <c r="E17965" s="3">
        <v>0</v>
      </c>
      <c r="F17965" s="3">
        <v>0</v>
      </c>
      <c r="G17965" s="3">
        <v>0</v>
      </c>
      <c r="H17965" s="3">
        <v>31</v>
      </c>
      <c r="I17965" s="3">
        <v>0</v>
      </c>
      <c r="J17965" s="3">
        <v>0</v>
      </c>
      <c r="K17965" s="3">
        <v>0</v>
      </c>
      <c r="L17965" s="3">
        <v>0</v>
      </c>
      <c r="M17965" s="3">
        <v>31</v>
      </c>
      <c r="N17965" s="3">
        <v>0</v>
      </c>
      <c r="O17965" s="3" t="s">
        <v>10</v>
      </c>
      <c r="P17965" s="3" t="s">
        <v>9</v>
      </c>
      <c r="Q17965" s="3"/>
    </row>
    <row r="17966" spans="1:17" ht="15" x14ac:dyDescent="0.25">
      <c r="A17966" s="3">
        <f>17959</f>
        <v>17959</v>
      </c>
      <c r="B17966" s="3" t="s">
        <v>17968</v>
      </c>
      <c r="C17966" s="3" t="s">
        <v>10</v>
      </c>
      <c r="D17966" s="3" t="s">
        <v>9</v>
      </c>
      <c r="E17966" s="3">
        <v>0</v>
      </c>
      <c r="F17966" s="3">
        <v>0</v>
      </c>
      <c r="G17966" s="3">
        <v>0</v>
      </c>
      <c r="H17966" s="3">
        <v>31</v>
      </c>
      <c r="I17966" s="3">
        <v>0</v>
      </c>
      <c r="J17966" s="3">
        <v>0</v>
      </c>
      <c r="K17966" s="3">
        <v>0</v>
      </c>
      <c r="L17966" s="3">
        <v>0</v>
      </c>
      <c r="M17966" s="3">
        <v>31</v>
      </c>
      <c r="N17966" s="3">
        <v>0</v>
      </c>
      <c r="O17966" s="3" t="s">
        <v>10</v>
      </c>
      <c r="P17966" s="3" t="s">
        <v>9</v>
      </c>
      <c r="Q17966" s="3"/>
    </row>
    <row r="17967" spans="1:17" ht="15" x14ac:dyDescent="0.25">
      <c r="A17967" s="3">
        <f>17960</f>
        <v>17960</v>
      </c>
      <c r="B17967" s="3" t="s">
        <v>17969</v>
      </c>
      <c r="C17967" s="3" t="s">
        <v>10</v>
      </c>
      <c r="D17967" s="3" t="s">
        <v>9</v>
      </c>
      <c r="E17967" s="3">
        <v>0</v>
      </c>
      <c r="F17967" s="3">
        <v>0</v>
      </c>
      <c r="G17967" s="3">
        <v>0</v>
      </c>
      <c r="H17967" s="3">
        <v>31</v>
      </c>
      <c r="I17967" s="3">
        <v>0</v>
      </c>
      <c r="J17967" s="3">
        <v>0</v>
      </c>
      <c r="K17967" s="3">
        <v>0</v>
      </c>
      <c r="L17967" s="3">
        <v>0</v>
      </c>
      <c r="M17967" s="3">
        <v>31</v>
      </c>
      <c r="N17967" s="3">
        <v>0</v>
      </c>
      <c r="O17967" s="3" t="s">
        <v>10</v>
      </c>
      <c r="P17967" s="3" t="s">
        <v>9</v>
      </c>
      <c r="Q17967" s="3"/>
    </row>
    <row r="17968" spans="1:17" ht="15" x14ac:dyDescent="0.25">
      <c r="A17968" s="3">
        <f>17961</f>
        <v>17961</v>
      </c>
      <c r="B17968" s="3" t="s">
        <v>17970</v>
      </c>
      <c r="C17968" s="3" t="s">
        <v>10</v>
      </c>
      <c r="D17968" s="3" t="s">
        <v>9</v>
      </c>
      <c r="E17968" s="3">
        <v>0</v>
      </c>
      <c r="F17968" s="3">
        <v>0</v>
      </c>
      <c r="G17968" s="3">
        <v>0</v>
      </c>
      <c r="H17968" s="3">
        <v>31</v>
      </c>
      <c r="I17968" s="3">
        <v>0</v>
      </c>
      <c r="J17968" s="3">
        <v>0</v>
      </c>
      <c r="K17968" s="3">
        <v>0</v>
      </c>
      <c r="L17968" s="3">
        <v>0</v>
      </c>
      <c r="M17968" s="3">
        <v>31</v>
      </c>
      <c r="N17968" s="3">
        <v>0</v>
      </c>
      <c r="O17968" s="3" t="s">
        <v>10</v>
      </c>
      <c r="P17968" s="3" t="s">
        <v>9</v>
      </c>
      <c r="Q17968" s="3"/>
    </row>
    <row r="17969" spans="1:17" ht="15" x14ac:dyDescent="0.25">
      <c r="A17969" s="3">
        <f>17962</f>
        <v>17962</v>
      </c>
      <c r="B17969" s="3" t="s">
        <v>17971</v>
      </c>
      <c r="C17969" s="3" t="s">
        <v>10</v>
      </c>
      <c r="D17969" s="3" t="s">
        <v>9</v>
      </c>
      <c r="E17969" s="3">
        <v>0</v>
      </c>
      <c r="F17969" s="3">
        <v>0</v>
      </c>
      <c r="G17969" s="3">
        <v>0</v>
      </c>
      <c r="H17969" s="3">
        <v>31</v>
      </c>
      <c r="I17969" s="3">
        <v>0</v>
      </c>
      <c r="J17969" s="3">
        <v>0</v>
      </c>
      <c r="K17969" s="3">
        <v>0</v>
      </c>
      <c r="L17969" s="3">
        <v>0</v>
      </c>
      <c r="M17969" s="3">
        <v>31</v>
      </c>
      <c r="N17969" s="3">
        <v>0</v>
      </c>
      <c r="O17969" s="3" t="s">
        <v>10</v>
      </c>
      <c r="P17969" s="3" t="s">
        <v>9</v>
      </c>
      <c r="Q17969" s="3"/>
    </row>
    <row r="17970" spans="1:17" ht="15" x14ac:dyDescent="0.25">
      <c r="A17970" s="3">
        <f>17963</f>
        <v>17963</v>
      </c>
      <c r="B17970" s="3" t="s">
        <v>17972</v>
      </c>
      <c r="C17970" s="3" t="s">
        <v>10</v>
      </c>
      <c r="D17970" s="3" t="s">
        <v>9</v>
      </c>
      <c r="E17970" s="3">
        <v>0</v>
      </c>
      <c r="F17970" s="3">
        <v>0</v>
      </c>
      <c r="G17970" s="3">
        <v>0</v>
      </c>
      <c r="H17970" s="3">
        <v>31</v>
      </c>
      <c r="I17970" s="3">
        <v>0</v>
      </c>
      <c r="J17970" s="3">
        <v>0</v>
      </c>
      <c r="K17970" s="3">
        <v>0</v>
      </c>
      <c r="L17970" s="3">
        <v>0</v>
      </c>
      <c r="M17970" s="3">
        <v>31</v>
      </c>
      <c r="N17970" s="3">
        <v>0</v>
      </c>
      <c r="O17970" s="3" t="s">
        <v>10</v>
      </c>
      <c r="P17970" s="3" t="s">
        <v>9</v>
      </c>
      <c r="Q17970" s="3"/>
    </row>
    <row r="17971" spans="1:17" ht="15" x14ac:dyDescent="0.25">
      <c r="A17971" s="3">
        <f>17964</f>
        <v>17964</v>
      </c>
      <c r="B17971" s="3" t="s">
        <v>17973</v>
      </c>
      <c r="C17971" s="3" t="s">
        <v>10</v>
      </c>
      <c r="D17971" s="3" t="s">
        <v>9</v>
      </c>
      <c r="E17971" s="3">
        <v>0</v>
      </c>
      <c r="F17971" s="3">
        <v>0</v>
      </c>
      <c r="G17971" s="3">
        <v>0</v>
      </c>
      <c r="H17971" s="3">
        <v>31</v>
      </c>
      <c r="I17971" s="3">
        <v>0</v>
      </c>
      <c r="J17971" s="3">
        <v>0</v>
      </c>
      <c r="K17971" s="3">
        <v>0</v>
      </c>
      <c r="L17971" s="3">
        <v>0</v>
      </c>
      <c r="M17971" s="3">
        <v>31</v>
      </c>
      <c r="N17971" s="3">
        <v>0</v>
      </c>
      <c r="O17971" s="3" t="s">
        <v>10</v>
      </c>
      <c r="P17971" s="3" t="s">
        <v>9</v>
      </c>
      <c r="Q17971" s="3"/>
    </row>
    <row r="17972" spans="1:17" ht="15" x14ac:dyDescent="0.25">
      <c r="A17972" s="3">
        <f>17965</f>
        <v>17965</v>
      </c>
      <c r="B17972" s="3" t="s">
        <v>17974</v>
      </c>
      <c r="C17972" s="3" t="s">
        <v>10</v>
      </c>
      <c r="D17972" s="3" t="s">
        <v>9</v>
      </c>
      <c r="E17972" s="3">
        <v>0</v>
      </c>
      <c r="F17972" s="3">
        <v>0</v>
      </c>
      <c r="G17972" s="3">
        <v>0</v>
      </c>
      <c r="H17972" s="3">
        <v>31</v>
      </c>
      <c r="I17972" s="3">
        <v>0</v>
      </c>
      <c r="J17972" s="3">
        <v>0</v>
      </c>
      <c r="K17972" s="3">
        <v>0</v>
      </c>
      <c r="L17972" s="3">
        <v>0</v>
      </c>
      <c r="M17972" s="3">
        <v>31</v>
      </c>
      <c r="N17972" s="3">
        <v>0</v>
      </c>
      <c r="O17972" s="3" t="s">
        <v>10</v>
      </c>
      <c r="P17972" s="3" t="s">
        <v>9</v>
      </c>
      <c r="Q17972" s="3"/>
    </row>
    <row r="17973" spans="1:17" ht="15" x14ac:dyDescent="0.25">
      <c r="A17973" s="3">
        <f>17966</f>
        <v>17966</v>
      </c>
      <c r="B17973" s="3" t="s">
        <v>17975</v>
      </c>
      <c r="C17973" s="3" t="s">
        <v>10</v>
      </c>
      <c r="D17973" s="3" t="s">
        <v>9</v>
      </c>
      <c r="E17973" s="3">
        <v>0</v>
      </c>
      <c r="F17973" s="3">
        <v>0</v>
      </c>
      <c r="G17973" s="3">
        <v>0</v>
      </c>
      <c r="H17973" s="3">
        <v>31</v>
      </c>
      <c r="I17973" s="3">
        <v>0</v>
      </c>
      <c r="J17973" s="3">
        <v>0</v>
      </c>
      <c r="K17973" s="3">
        <v>0</v>
      </c>
      <c r="L17973" s="3">
        <v>0</v>
      </c>
      <c r="M17973" s="3">
        <v>31</v>
      </c>
      <c r="N17973" s="3">
        <v>0</v>
      </c>
      <c r="O17973" s="3" t="s">
        <v>10</v>
      </c>
      <c r="P17973" s="3" t="s">
        <v>9</v>
      </c>
      <c r="Q17973" s="3"/>
    </row>
    <row r="17974" spans="1:17" ht="15" x14ac:dyDescent="0.25">
      <c r="A17974" s="3">
        <f>17967</f>
        <v>17967</v>
      </c>
      <c r="B17974" s="3" t="s">
        <v>17976</v>
      </c>
      <c r="C17974" s="3" t="s">
        <v>10</v>
      </c>
      <c r="D17974" s="3" t="s">
        <v>9</v>
      </c>
      <c r="E17974" s="3">
        <v>0</v>
      </c>
      <c r="F17974" s="3">
        <v>0</v>
      </c>
      <c r="G17974" s="3">
        <v>0</v>
      </c>
      <c r="H17974" s="3">
        <v>31</v>
      </c>
      <c r="I17974" s="3">
        <v>0</v>
      </c>
      <c r="J17974" s="3">
        <v>0</v>
      </c>
      <c r="K17974" s="3">
        <v>0</v>
      </c>
      <c r="L17974" s="3">
        <v>0</v>
      </c>
      <c r="M17974" s="3">
        <v>31</v>
      </c>
      <c r="N17974" s="3">
        <v>0</v>
      </c>
      <c r="O17974" s="3" t="s">
        <v>10</v>
      </c>
      <c r="P17974" s="3" t="s">
        <v>9</v>
      </c>
      <c r="Q17974" s="3"/>
    </row>
    <row r="17975" spans="1:17" ht="15" x14ac:dyDescent="0.25">
      <c r="A17975" s="3">
        <f>17968</f>
        <v>17968</v>
      </c>
      <c r="B17975" s="3" t="s">
        <v>17977</v>
      </c>
      <c r="C17975" s="3" t="s">
        <v>10</v>
      </c>
      <c r="D17975" s="3" t="s">
        <v>9</v>
      </c>
      <c r="E17975" s="3">
        <v>0</v>
      </c>
      <c r="F17975" s="3">
        <v>0</v>
      </c>
      <c r="G17975" s="3">
        <v>0</v>
      </c>
      <c r="H17975" s="3">
        <v>31</v>
      </c>
      <c r="I17975" s="3">
        <v>0</v>
      </c>
      <c r="J17975" s="3">
        <v>0</v>
      </c>
      <c r="K17975" s="3">
        <v>0</v>
      </c>
      <c r="L17975" s="3">
        <v>0</v>
      </c>
      <c r="M17975" s="3">
        <v>31</v>
      </c>
      <c r="N17975" s="3">
        <v>0</v>
      </c>
      <c r="O17975" s="3" t="s">
        <v>10</v>
      </c>
      <c r="P17975" s="3" t="s">
        <v>9</v>
      </c>
      <c r="Q17975" s="3"/>
    </row>
    <row r="17976" spans="1:17" ht="15" x14ac:dyDescent="0.25">
      <c r="A17976" s="3">
        <f>17969</f>
        <v>17969</v>
      </c>
      <c r="B17976" s="3" t="s">
        <v>17978</v>
      </c>
      <c r="C17976" s="3" t="s">
        <v>10</v>
      </c>
      <c r="D17976" s="3" t="s">
        <v>9</v>
      </c>
      <c r="E17976" s="3">
        <v>0</v>
      </c>
      <c r="F17976" s="3">
        <v>0</v>
      </c>
      <c r="G17976" s="3">
        <v>0</v>
      </c>
      <c r="H17976" s="3">
        <v>31</v>
      </c>
      <c r="I17976" s="3">
        <v>0</v>
      </c>
      <c r="J17976" s="3">
        <v>0</v>
      </c>
      <c r="K17976" s="3">
        <v>0</v>
      </c>
      <c r="L17976" s="3">
        <v>0</v>
      </c>
      <c r="M17976" s="3">
        <v>31</v>
      </c>
      <c r="N17976" s="3">
        <v>0</v>
      </c>
      <c r="O17976" s="3" t="s">
        <v>10</v>
      </c>
      <c r="P17976" s="3" t="s">
        <v>9</v>
      </c>
      <c r="Q17976" s="3"/>
    </row>
    <row r="17977" spans="1:17" ht="15" x14ac:dyDescent="0.25">
      <c r="A17977" s="3">
        <f>17970</f>
        <v>17970</v>
      </c>
      <c r="B17977" s="3" t="s">
        <v>17979</v>
      </c>
      <c r="C17977" s="3" t="s">
        <v>10</v>
      </c>
      <c r="D17977" s="3" t="s">
        <v>9</v>
      </c>
      <c r="E17977" s="3">
        <v>0</v>
      </c>
      <c r="F17977" s="3">
        <v>0</v>
      </c>
      <c r="G17977" s="3">
        <v>0</v>
      </c>
      <c r="H17977" s="3">
        <v>31</v>
      </c>
      <c r="I17977" s="3">
        <v>0</v>
      </c>
      <c r="J17977" s="3">
        <v>0</v>
      </c>
      <c r="K17977" s="3">
        <v>0</v>
      </c>
      <c r="L17977" s="3">
        <v>0</v>
      </c>
      <c r="M17977" s="3">
        <v>31</v>
      </c>
      <c r="N17977" s="3">
        <v>0</v>
      </c>
      <c r="O17977" s="3" t="s">
        <v>10</v>
      </c>
      <c r="P17977" s="3" t="s">
        <v>9</v>
      </c>
      <c r="Q17977" s="3"/>
    </row>
    <row r="17978" spans="1:17" ht="15" x14ac:dyDescent="0.25">
      <c r="A17978" s="3">
        <f>17971</f>
        <v>17971</v>
      </c>
      <c r="B17978" s="3" t="s">
        <v>17980</v>
      </c>
      <c r="C17978" s="3" t="s">
        <v>10</v>
      </c>
      <c r="D17978" s="3" t="s">
        <v>9</v>
      </c>
      <c r="E17978" s="3">
        <v>0</v>
      </c>
      <c r="F17978" s="3">
        <v>0</v>
      </c>
      <c r="G17978" s="3">
        <v>0</v>
      </c>
      <c r="H17978" s="3">
        <v>31</v>
      </c>
      <c r="I17978" s="3">
        <v>0</v>
      </c>
      <c r="J17978" s="3">
        <v>0</v>
      </c>
      <c r="K17978" s="3">
        <v>0</v>
      </c>
      <c r="L17978" s="3">
        <v>0</v>
      </c>
      <c r="M17978" s="3">
        <v>31</v>
      </c>
      <c r="N17978" s="3">
        <v>0</v>
      </c>
      <c r="O17978" s="3" t="s">
        <v>10</v>
      </c>
      <c r="P17978" s="3" t="s">
        <v>9</v>
      </c>
      <c r="Q17978" s="3"/>
    </row>
    <row r="17979" spans="1:17" ht="15" x14ac:dyDescent="0.25">
      <c r="A17979" s="3">
        <f>17972</f>
        <v>17972</v>
      </c>
      <c r="B17979" s="3" t="s">
        <v>17981</v>
      </c>
      <c r="C17979" s="3" t="s">
        <v>10</v>
      </c>
      <c r="D17979" s="3" t="s">
        <v>9</v>
      </c>
      <c r="E17979" s="3">
        <v>0</v>
      </c>
      <c r="F17979" s="3">
        <v>0</v>
      </c>
      <c r="G17979" s="3">
        <v>0</v>
      </c>
      <c r="H17979" s="3">
        <v>31</v>
      </c>
      <c r="I17979" s="3">
        <v>0</v>
      </c>
      <c r="J17979" s="3">
        <v>0</v>
      </c>
      <c r="K17979" s="3">
        <v>0</v>
      </c>
      <c r="L17979" s="3">
        <v>0</v>
      </c>
      <c r="M17979" s="3">
        <v>31</v>
      </c>
      <c r="N17979" s="3">
        <v>0</v>
      </c>
      <c r="O17979" s="3" t="s">
        <v>10</v>
      </c>
      <c r="P17979" s="3" t="s">
        <v>9</v>
      </c>
      <c r="Q17979" s="3"/>
    </row>
    <row r="17980" spans="1:17" ht="15" x14ac:dyDescent="0.25">
      <c r="A17980" s="3">
        <f>17973</f>
        <v>17973</v>
      </c>
      <c r="B17980" s="3" t="s">
        <v>17982</v>
      </c>
      <c r="C17980" s="3" t="s">
        <v>10</v>
      </c>
      <c r="D17980" s="3" t="s">
        <v>9</v>
      </c>
      <c r="E17980" s="3">
        <v>0</v>
      </c>
      <c r="F17980" s="3">
        <v>0</v>
      </c>
      <c r="G17980" s="3">
        <v>0</v>
      </c>
      <c r="H17980" s="3">
        <v>31</v>
      </c>
      <c r="I17980" s="3">
        <v>0</v>
      </c>
      <c r="J17980" s="3">
        <v>0</v>
      </c>
      <c r="K17980" s="3">
        <v>0</v>
      </c>
      <c r="L17980" s="3">
        <v>0</v>
      </c>
      <c r="M17980" s="3">
        <v>31</v>
      </c>
      <c r="N17980" s="3">
        <v>0</v>
      </c>
      <c r="O17980" s="3" t="s">
        <v>10</v>
      </c>
      <c r="P17980" s="3" t="s">
        <v>9</v>
      </c>
      <c r="Q17980" s="3"/>
    </row>
    <row r="17981" spans="1:17" ht="15" x14ac:dyDescent="0.25">
      <c r="A17981" s="3">
        <f>17974</f>
        <v>17974</v>
      </c>
      <c r="B17981" s="3" t="s">
        <v>17983</v>
      </c>
      <c r="C17981" s="3" t="s">
        <v>10</v>
      </c>
      <c r="D17981" s="3" t="s">
        <v>9</v>
      </c>
      <c r="E17981" s="3">
        <v>0</v>
      </c>
      <c r="F17981" s="3">
        <v>0</v>
      </c>
      <c r="G17981" s="3">
        <v>0</v>
      </c>
      <c r="H17981" s="3">
        <v>31</v>
      </c>
      <c r="I17981" s="3">
        <v>0</v>
      </c>
      <c r="J17981" s="3">
        <v>0</v>
      </c>
      <c r="K17981" s="3">
        <v>0</v>
      </c>
      <c r="L17981" s="3">
        <v>0</v>
      </c>
      <c r="M17981" s="3">
        <v>31</v>
      </c>
      <c r="N17981" s="3">
        <v>0</v>
      </c>
      <c r="O17981" s="3" t="s">
        <v>10</v>
      </c>
      <c r="P17981" s="3" t="s">
        <v>9</v>
      </c>
      <c r="Q17981" s="3"/>
    </row>
    <row r="17982" spans="1:17" ht="15" x14ac:dyDescent="0.25">
      <c r="A17982" s="3">
        <f>17975</f>
        <v>17975</v>
      </c>
      <c r="B17982" s="3" t="s">
        <v>17984</v>
      </c>
      <c r="C17982" s="3" t="s">
        <v>10</v>
      </c>
      <c r="D17982" s="3" t="s">
        <v>9</v>
      </c>
      <c r="E17982" s="3">
        <v>0</v>
      </c>
      <c r="F17982" s="3">
        <v>0</v>
      </c>
      <c r="G17982" s="3">
        <v>0</v>
      </c>
      <c r="H17982" s="3">
        <v>31</v>
      </c>
      <c r="I17982" s="3">
        <v>0</v>
      </c>
      <c r="J17982" s="3">
        <v>0</v>
      </c>
      <c r="K17982" s="3">
        <v>0</v>
      </c>
      <c r="L17982" s="3">
        <v>0</v>
      </c>
      <c r="M17982" s="3">
        <v>31</v>
      </c>
      <c r="N17982" s="3">
        <v>0</v>
      </c>
      <c r="O17982" s="3" t="s">
        <v>10</v>
      </c>
      <c r="P17982" s="3" t="s">
        <v>9</v>
      </c>
      <c r="Q17982" s="3"/>
    </row>
    <row r="17983" spans="1:17" ht="15" x14ac:dyDescent="0.25">
      <c r="A17983" s="3">
        <f>17976</f>
        <v>17976</v>
      </c>
      <c r="B17983" s="3" t="s">
        <v>17985</v>
      </c>
      <c r="C17983" s="3" t="s">
        <v>10</v>
      </c>
      <c r="D17983" s="3" t="s">
        <v>9</v>
      </c>
      <c r="E17983" s="3">
        <v>0</v>
      </c>
      <c r="F17983" s="3">
        <v>0</v>
      </c>
      <c r="G17983" s="3">
        <v>0</v>
      </c>
      <c r="H17983" s="3">
        <v>31</v>
      </c>
      <c r="I17983" s="3">
        <v>0</v>
      </c>
      <c r="J17983" s="3">
        <v>0</v>
      </c>
      <c r="K17983" s="3">
        <v>0</v>
      </c>
      <c r="L17983" s="3">
        <v>0</v>
      </c>
      <c r="M17983" s="3">
        <v>31</v>
      </c>
      <c r="N17983" s="3">
        <v>0</v>
      </c>
      <c r="O17983" s="3" t="s">
        <v>10</v>
      </c>
      <c r="P17983" s="3" t="s">
        <v>9</v>
      </c>
      <c r="Q17983" s="3"/>
    </row>
    <row r="17984" spans="1:17" ht="15" x14ac:dyDescent="0.25">
      <c r="A17984" s="3">
        <f>17977</f>
        <v>17977</v>
      </c>
      <c r="B17984" s="3" t="s">
        <v>17986</v>
      </c>
      <c r="C17984" s="3" t="s">
        <v>10</v>
      </c>
      <c r="D17984" s="3" t="s">
        <v>9</v>
      </c>
      <c r="E17984" s="3">
        <v>0</v>
      </c>
      <c r="F17984" s="3">
        <v>0</v>
      </c>
      <c r="G17984" s="3">
        <v>0</v>
      </c>
      <c r="H17984" s="3">
        <v>31</v>
      </c>
      <c r="I17984" s="3">
        <v>0</v>
      </c>
      <c r="J17984" s="3">
        <v>0</v>
      </c>
      <c r="K17984" s="3">
        <v>0</v>
      </c>
      <c r="L17984" s="3">
        <v>0</v>
      </c>
      <c r="M17984" s="3">
        <v>31</v>
      </c>
      <c r="N17984" s="3">
        <v>0</v>
      </c>
      <c r="O17984" s="3" t="s">
        <v>10</v>
      </c>
      <c r="P17984" s="3" t="s">
        <v>9</v>
      </c>
      <c r="Q17984" s="3"/>
    </row>
    <row r="17985" spans="1:17" ht="15" x14ac:dyDescent="0.25">
      <c r="A17985" s="3">
        <f>17978</f>
        <v>17978</v>
      </c>
      <c r="B17985" s="3" t="s">
        <v>17987</v>
      </c>
      <c r="C17985" s="3" t="s">
        <v>10</v>
      </c>
      <c r="D17985" s="3" t="s">
        <v>9</v>
      </c>
      <c r="E17985" s="3">
        <v>0</v>
      </c>
      <c r="F17985" s="3">
        <v>0</v>
      </c>
      <c r="G17985" s="3">
        <v>0</v>
      </c>
      <c r="H17985" s="3">
        <v>31</v>
      </c>
      <c r="I17985" s="3">
        <v>0</v>
      </c>
      <c r="J17985" s="3">
        <v>0</v>
      </c>
      <c r="K17985" s="3">
        <v>0</v>
      </c>
      <c r="L17985" s="3">
        <v>0</v>
      </c>
      <c r="M17985" s="3">
        <v>31</v>
      </c>
      <c r="N17985" s="3">
        <v>0</v>
      </c>
      <c r="O17985" s="3" t="s">
        <v>10</v>
      </c>
      <c r="P17985" s="3" t="s">
        <v>9</v>
      </c>
      <c r="Q17985" s="3"/>
    </row>
    <row r="17986" spans="1:17" ht="15" x14ac:dyDescent="0.25">
      <c r="A17986" s="3">
        <f>17979</f>
        <v>17979</v>
      </c>
      <c r="B17986" s="3" t="s">
        <v>17988</v>
      </c>
      <c r="C17986" s="3" t="s">
        <v>10</v>
      </c>
      <c r="D17986" s="3" t="s">
        <v>9</v>
      </c>
      <c r="E17986" s="3">
        <v>0</v>
      </c>
      <c r="F17986" s="3">
        <v>0</v>
      </c>
      <c r="G17986" s="3">
        <v>0</v>
      </c>
      <c r="H17986" s="3">
        <v>31</v>
      </c>
      <c r="I17986" s="3">
        <v>0</v>
      </c>
      <c r="J17986" s="3">
        <v>0</v>
      </c>
      <c r="K17986" s="3">
        <v>0</v>
      </c>
      <c r="L17986" s="3">
        <v>0</v>
      </c>
      <c r="M17986" s="3">
        <v>31</v>
      </c>
      <c r="N17986" s="3">
        <v>0</v>
      </c>
      <c r="O17986" s="3" t="s">
        <v>10</v>
      </c>
      <c r="P17986" s="3" t="s">
        <v>9</v>
      </c>
      <c r="Q17986" s="3"/>
    </row>
    <row r="17987" spans="1:17" ht="15" x14ac:dyDescent="0.25">
      <c r="A17987" s="3">
        <f>17980</f>
        <v>17980</v>
      </c>
      <c r="B17987" s="3" t="s">
        <v>17989</v>
      </c>
      <c r="C17987" s="3" t="s">
        <v>10</v>
      </c>
      <c r="D17987" s="3" t="s">
        <v>9</v>
      </c>
      <c r="E17987" s="3">
        <v>0</v>
      </c>
      <c r="F17987" s="3">
        <v>0</v>
      </c>
      <c r="G17987" s="3">
        <v>0</v>
      </c>
      <c r="H17987" s="3">
        <v>31</v>
      </c>
      <c r="I17987" s="3">
        <v>0</v>
      </c>
      <c r="J17987" s="3">
        <v>0</v>
      </c>
      <c r="K17987" s="3">
        <v>0</v>
      </c>
      <c r="L17987" s="3">
        <v>0</v>
      </c>
      <c r="M17987" s="3">
        <v>31</v>
      </c>
      <c r="N17987" s="3">
        <v>0</v>
      </c>
      <c r="O17987" s="3" t="s">
        <v>10</v>
      </c>
      <c r="P17987" s="3" t="s">
        <v>9</v>
      </c>
      <c r="Q17987" s="3"/>
    </row>
    <row r="17988" spans="1:17" ht="15" x14ac:dyDescent="0.25">
      <c r="A17988" s="3">
        <f>17981</f>
        <v>17981</v>
      </c>
      <c r="B17988" s="3" t="s">
        <v>17990</v>
      </c>
      <c r="C17988" s="3" t="s">
        <v>10</v>
      </c>
      <c r="D17988" s="3" t="s">
        <v>9</v>
      </c>
      <c r="E17988" s="3">
        <v>0</v>
      </c>
      <c r="F17988" s="3">
        <v>0</v>
      </c>
      <c r="G17988" s="3">
        <v>0</v>
      </c>
      <c r="H17988" s="3">
        <v>31</v>
      </c>
      <c r="I17988" s="3">
        <v>0</v>
      </c>
      <c r="J17988" s="3">
        <v>0</v>
      </c>
      <c r="K17988" s="3">
        <v>0</v>
      </c>
      <c r="L17988" s="3">
        <v>0</v>
      </c>
      <c r="M17988" s="3">
        <v>31</v>
      </c>
      <c r="N17988" s="3">
        <v>0</v>
      </c>
      <c r="O17988" s="3" t="s">
        <v>10</v>
      </c>
      <c r="P17988" s="3" t="s">
        <v>9</v>
      </c>
      <c r="Q17988" s="3"/>
    </row>
    <row r="17989" spans="1:17" ht="15" x14ac:dyDescent="0.25">
      <c r="A17989" s="3">
        <f>17982</f>
        <v>17982</v>
      </c>
      <c r="B17989" s="3" t="s">
        <v>17991</v>
      </c>
      <c r="C17989" s="3" t="s">
        <v>10</v>
      </c>
      <c r="D17989" s="3" t="s">
        <v>9</v>
      </c>
      <c r="E17989" s="3">
        <v>0</v>
      </c>
      <c r="F17989" s="3">
        <v>0</v>
      </c>
      <c r="G17989" s="3">
        <v>0</v>
      </c>
      <c r="H17989" s="3">
        <v>31</v>
      </c>
      <c r="I17989" s="3">
        <v>0</v>
      </c>
      <c r="J17989" s="3">
        <v>0</v>
      </c>
      <c r="K17989" s="3">
        <v>0</v>
      </c>
      <c r="L17989" s="3">
        <v>0</v>
      </c>
      <c r="M17989" s="3">
        <v>31</v>
      </c>
      <c r="N17989" s="3">
        <v>0</v>
      </c>
      <c r="O17989" s="3" t="s">
        <v>10</v>
      </c>
      <c r="P17989" s="3" t="s">
        <v>9</v>
      </c>
      <c r="Q17989" s="3"/>
    </row>
    <row r="17990" spans="1:17" ht="15" x14ac:dyDescent="0.25">
      <c r="A17990" s="3">
        <f>17983</f>
        <v>17983</v>
      </c>
      <c r="B17990" s="3" t="s">
        <v>17992</v>
      </c>
      <c r="C17990" s="3" t="s">
        <v>10</v>
      </c>
      <c r="D17990" s="3" t="s">
        <v>9</v>
      </c>
      <c r="E17990" s="3">
        <v>0</v>
      </c>
      <c r="F17990" s="3">
        <v>0</v>
      </c>
      <c r="G17990" s="3">
        <v>0</v>
      </c>
      <c r="H17990" s="3">
        <v>31</v>
      </c>
      <c r="I17990" s="3">
        <v>0</v>
      </c>
      <c r="J17990" s="3">
        <v>0</v>
      </c>
      <c r="K17990" s="3">
        <v>0</v>
      </c>
      <c r="L17990" s="3">
        <v>0</v>
      </c>
      <c r="M17990" s="3">
        <v>31</v>
      </c>
      <c r="N17990" s="3">
        <v>0</v>
      </c>
      <c r="O17990" s="3" t="s">
        <v>10</v>
      </c>
      <c r="P17990" s="3" t="s">
        <v>9</v>
      </c>
      <c r="Q17990" s="3"/>
    </row>
    <row r="17991" spans="1:17" ht="15" x14ac:dyDescent="0.25">
      <c r="A17991" s="3">
        <f>17984</f>
        <v>17984</v>
      </c>
      <c r="B17991" s="3" t="s">
        <v>17993</v>
      </c>
      <c r="C17991" s="3" t="s">
        <v>10</v>
      </c>
      <c r="D17991" s="3" t="s">
        <v>9</v>
      </c>
      <c r="E17991" s="3">
        <v>0</v>
      </c>
      <c r="F17991" s="3">
        <v>0</v>
      </c>
      <c r="G17991" s="3">
        <v>0</v>
      </c>
      <c r="H17991" s="3">
        <v>31</v>
      </c>
      <c r="I17991" s="3">
        <v>0</v>
      </c>
      <c r="J17991" s="3">
        <v>0</v>
      </c>
      <c r="K17991" s="3">
        <v>0</v>
      </c>
      <c r="L17991" s="3">
        <v>0</v>
      </c>
      <c r="M17991" s="3">
        <v>31</v>
      </c>
      <c r="N17991" s="3">
        <v>0</v>
      </c>
      <c r="O17991" s="3" t="s">
        <v>10</v>
      </c>
      <c r="P17991" s="3" t="s">
        <v>9</v>
      </c>
      <c r="Q17991" s="3"/>
    </row>
    <row r="17992" spans="1:17" ht="15" x14ac:dyDescent="0.25">
      <c r="A17992" s="3">
        <f>17985</f>
        <v>17985</v>
      </c>
      <c r="B17992" s="3" t="s">
        <v>17994</v>
      </c>
      <c r="C17992" s="3" t="s">
        <v>10</v>
      </c>
      <c r="D17992" s="3" t="s">
        <v>9</v>
      </c>
      <c r="E17992" s="3">
        <v>0</v>
      </c>
      <c r="F17992" s="3">
        <v>0</v>
      </c>
      <c r="G17992" s="3">
        <v>0</v>
      </c>
      <c r="H17992" s="3">
        <v>31</v>
      </c>
      <c r="I17992" s="3">
        <v>0</v>
      </c>
      <c r="J17992" s="3">
        <v>0</v>
      </c>
      <c r="K17992" s="3">
        <v>0</v>
      </c>
      <c r="L17992" s="3">
        <v>0</v>
      </c>
      <c r="M17992" s="3">
        <v>31</v>
      </c>
      <c r="N17992" s="3">
        <v>0</v>
      </c>
      <c r="O17992" s="3" t="s">
        <v>10</v>
      </c>
      <c r="P17992" s="3" t="s">
        <v>9</v>
      </c>
      <c r="Q17992" s="3"/>
    </row>
    <row r="17993" spans="1:17" ht="15" x14ac:dyDescent="0.25">
      <c r="A17993" s="3">
        <f>17986</f>
        <v>17986</v>
      </c>
      <c r="B17993" s="3" t="s">
        <v>17995</v>
      </c>
      <c r="C17993" s="3" t="s">
        <v>10</v>
      </c>
      <c r="D17993" s="3" t="s">
        <v>9</v>
      </c>
      <c r="E17993" s="3">
        <v>0</v>
      </c>
      <c r="F17993" s="3">
        <v>0</v>
      </c>
      <c r="G17993" s="3">
        <v>0</v>
      </c>
      <c r="H17993" s="3">
        <v>31</v>
      </c>
      <c r="I17993" s="3">
        <v>0</v>
      </c>
      <c r="J17993" s="3">
        <v>0</v>
      </c>
      <c r="K17993" s="3">
        <v>0</v>
      </c>
      <c r="L17993" s="3">
        <v>0</v>
      </c>
      <c r="M17993" s="3">
        <v>31</v>
      </c>
      <c r="N17993" s="3">
        <v>0</v>
      </c>
      <c r="O17993" s="3" t="s">
        <v>10</v>
      </c>
      <c r="P17993" s="3" t="s">
        <v>9</v>
      </c>
      <c r="Q17993" s="3"/>
    </row>
    <row r="17994" spans="1:17" ht="15" x14ac:dyDescent="0.25">
      <c r="A17994" s="3">
        <f>17987</f>
        <v>17987</v>
      </c>
      <c r="B17994" s="3" t="s">
        <v>17996</v>
      </c>
      <c r="C17994" s="3" t="s">
        <v>10</v>
      </c>
      <c r="D17994" s="3" t="s">
        <v>9</v>
      </c>
      <c r="E17994" s="3">
        <v>0</v>
      </c>
      <c r="F17994" s="3">
        <v>0</v>
      </c>
      <c r="G17994" s="3">
        <v>0</v>
      </c>
      <c r="H17994" s="3">
        <v>31</v>
      </c>
      <c r="I17994" s="3">
        <v>0</v>
      </c>
      <c r="J17994" s="3">
        <v>0</v>
      </c>
      <c r="K17994" s="3">
        <v>0</v>
      </c>
      <c r="L17994" s="3">
        <v>0</v>
      </c>
      <c r="M17994" s="3">
        <v>31</v>
      </c>
      <c r="N17994" s="3">
        <v>0</v>
      </c>
      <c r="O17994" s="3" t="s">
        <v>10</v>
      </c>
      <c r="P17994" s="3" t="s">
        <v>9</v>
      </c>
      <c r="Q17994" s="3"/>
    </row>
    <row r="17995" spans="1:17" ht="15" x14ac:dyDescent="0.25">
      <c r="A17995" s="3">
        <f>17988</f>
        <v>17988</v>
      </c>
      <c r="B17995" s="3" t="s">
        <v>17997</v>
      </c>
      <c r="C17995" s="3" t="s">
        <v>10</v>
      </c>
      <c r="D17995" s="3" t="s">
        <v>9</v>
      </c>
      <c r="E17995" s="3">
        <v>0</v>
      </c>
      <c r="F17995" s="3">
        <v>0</v>
      </c>
      <c r="G17995" s="3">
        <v>0</v>
      </c>
      <c r="H17995" s="3">
        <v>31</v>
      </c>
      <c r="I17995" s="3">
        <v>0</v>
      </c>
      <c r="J17995" s="3">
        <v>0</v>
      </c>
      <c r="K17995" s="3">
        <v>0</v>
      </c>
      <c r="L17995" s="3">
        <v>0</v>
      </c>
      <c r="M17995" s="3">
        <v>31</v>
      </c>
      <c r="N17995" s="3">
        <v>0</v>
      </c>
      <c r="O17995" s="3" t="s">
        <v>10</v>
      </c>
      <c r="P17995" s="3" t="s">
        <v>9</v>
      </c>
      <c r="Q17995" s="3"/>
    </row>
    <row r="17996" spans="1:17" ht="15" x14ac:dyDescent="0.25">
      <c r="A17996" s="3">
        <f>17989</f>
        <v>17989</v>
      </c>
      <c r="B17996" s="3" t="s">
        <v>17998</v>
      </c>
      <c r="C17996" s="3" t="s">
        <v>10</v>
      </c>
      <c r="D17996" s="3" t="s">
        <v>9</v>
      </c>
      <c r="E17996" s="3">
        <v>0</v>
      </c>
      <c r="F17996" s="3">
        <v>0</v>
      </c>
      <c r="G17996" s="3">
        <v>0</v>
      </c>
      <c r="H17996" s="3">
        <v>31</v>
      </c>
      <c r="I17996" s="3">
        <v>0</v>
      </c>
      <c r="J17996" s="3">
        <v>0</v>
      </c>
      <c r="K17996" s="3">
        <v>0</v>
      </c>
      <c r="L17996" s="3">
        <v>0</v>
      </c>
      <c r="M17996" s="3">
        <v>31</v>
      </c>
      <c r="N17996" s="3">
        <v>0</v>
      </c>
      <c r="O17996" s="3" t="s">
        <v>10</v>
      </c>
      <c r="P17996" s="3" t="s">
        <v>9</v>
      </c>
      <c r="Q17996" s="3"/>
    </row>
    <row r="17997" spans="1:17" ht="15" x14ac:dyDescent="0.25">
      <c r="A17997" s="3">
        <f>17990</f>
        <v>17990</v>
      </c>
      <c r="B17997" s="3" t="s">
        <v>17999</v>
      </c>
      <c r="C17997" s="3" t="s">
        <v>10</v>
      </c>
      <c r="D17997" s="3" t="s">
        <v>9</v>
      </c>
      <c r="E17997" s="3">
        <v>0</v>
      </c>
      <c r="F17997" s="3">
        <v>0</v>
      </c>
      <c r="G17997" s="3">
        <v>0</v>
      </c>
      <c r="H17997" s="3">
        <v>31</v>
      </c>
      <c r="I17997" s="3">
        <v>0</v>
      </c>
      <c r="J17997" s="3">
        <v>0</v>
      </c>
      <c r="K17997" s="3">
        <v>0</v>
      </c>
      <c r="L17997" s="3">
        <v>0</v>
      </c>
      <c r="M17997" s="3">
        <v>31</v>
      </c>
      <c r="N17997" s="3">
        <v>0</v>
      </c>
      <c r="O17997" s="3" t="s">
        <v>10</v>
      </c>
      <c r="P17997" s="3" t="s">
        <v>9</v>
      </c>
      <c r="Q17997" s="3"/>
    </row>
    <row r="17998" spans="1:17" ht="15" x14ac:dyDescent="0.25">
      <c r="A17998" s="3">
        <f>17991</f>
        <v>17991</v>
      </c>
      <c r="B17998" s="3" t="s">
        <v>18000</v>
      </c>
      <c r="C17998" s="3" t="s">
        <v>10</v>
      </c>
      <c r="D17998" s="3" t="s">
        <v>9</v>
      </c>
      <c r="E17998" s="3">
        <v>0</v>
      </c>
      <c r="F17998" s="3">
        <v>0</v>
      </c>
      <c r="G17998" s="3">
        <v>0</v>
      </c>
      <c r="H17998" s="3">
        <v>31</v>
      </c>
      <c r="I17998" s="3">
        <v>0</v>
      </c>
      <c r="J17998" s="3">
        <v>0</v>
      </c>
      <c r="K17998" s="3">
        <v>0</v>
      </c>
      <c r="L17998" s="3">
        <v>0</v>
      </c>
      <c r="M17998" s="3">
        <v>31</v>
      </c>
      <c r="N17998" s="3">
        <v>0</v>
      </c>
      <c r="O17998" s="3" t="s">
        <v>10</v>
      </c>
      <c r="P17998" s="3" t="s">
        <v>9</v>
      </c>
      <c r="Q17998" s="3"/>
    </row>
    <row r="17999" spans="1:17" ht="15" x14ac:dyDescent="0.25">
      <c r="A17999" s="3">
        <f>17992</f>
        <v>17992</v>
      </c>
      <c r="B17999" s="3" t="s">
        <v>18001</v>
      </c>
      <c r="C17999" s="3" t="s">
        <v>10</v>
      </c>
      <c r="D17999" s="3" t="s">
        <v>9</v>
      </c>
      <c r="E17999" s="3">
        <v>0</v>
      </c>
      <c r="F17999" s="3">
        <v>0</v>
      </c>
      <c r="G17999" s="3">
        <v>0</v>
      </c>
      <c r="H17999" s="3">
        <v>31</v>
      </c>
      <c r="I17999" s="3">
        <v>0</v>
      </c>
      <c r="J17999" s="3">
        <v>0</v>
      </c>
      <c r="K17999" s="3">
        <v>0</v>
      </c>
      <c r="L17999" s="3">
        <v>0</v>
      </c>
      <c r="M17999" s="3">
        <v>31</v>
      </c>
      <c r="N17999" s="3">
        <v>0</v>
      </c>
      <c r="O17999" s="3" t="s">
        <v>10</v>
      </c>
      <c r="P17999" s="3" t="s">
        <v>9</v>
      </c>
      <c r="Q17999" s="3"/>
    </row>
    <row r="18000" spans="1:17" ht="15" x14ac:dyDescent="0.25">
      <c r="A18000" s="3">
        <f>17993</f>
        <v>17993</v>
      </c>
      <c r="B18000" s="3" t="s">
        <v>18002</v>
      </c>
      <c r="C18000" s="3" t="s">
        <v>10</v>
      </c>
      <c r="D18000" s="3" t="s">
        <v>9</v>
      </c>
      <c r="E18000" s="3">
        <v>0</v>
      </c>
      <c r="F18000" s="3">
        <v>0</v>
      </c>
      <c r="G18000" s="3">
        <v>0</v>
      </c>
      <c r="H18000" s="3">
        <v>31</v>
      </c>
      <c r="I18000" s="3">
        <v>0</v>
      </c>
      <c r="J18000" s="3">
        <v>0</v>
      </c>
      <c r="K18000" s="3">
        <v>0</v>
      </c>
      <c r="L18000" s="3">
        <v>0</v>
      </c>
      <c r="M18000" s="3">
        <v>31</v>
      </c>
      <c r="N18000" s="3">
        <v>0</v>
      </c>
      <c r="O18000" s="3" t="s">
        <v>10</v>
      </c>
      <c r="P18000" s="3" t="s">
        <v>9</v>
      </c>
      <c r="Q18000" s="3"/>
    </row>
    <row r="18001" spans="1:17" ht="15" x14ac:dyDescent="0.25">
      <c r="A18001" s="3">
        <f>17994</f>
        <v>17994</v>
      </c>
      <c r="B18001" s="3" t="s">
        <v>18003</v>
      </c>
      <c r="C18001" s="3" t="s">
        <v>10</v>
      </c>
      <c r="D18001" s="3" t="s">
        <v>9</v>
      </c>
      <c r="E18001" s="3">
        <v>0</v>
      </c>
      <c r="F18001" s="3">
        <v>0</v>
      </c>
      <c r="G18001" s="3">
        <v>0</v>
      </c>
      <c r="H18001" s="3">
        <v>31</v>
      </c>
      <c r="I18001" s="3">
        <v>0</v>
      </c>
      <c r="J18001" s="3">
        <v>0</v>
      </c>
      <c r="K18001" s="3">
        <v>0</v>
      </c>
      <c r="L18001" s="3">
        <v>0</v>
      </c>
      <c r="M18001" s="3">
        <v>31</v>
      </c>
      <c r="N18001" s="3">
        <v>0</v>
      </c>
      <c r="O18001" s="3" t="s">
        <v>10</v>
      </c>
      <c r="P18001" s="3" t="s">
        <v>9</v>
      </c>
      <c r="Q18001" s="3"/>
    </row>
    <row r="18002" spans="1:17" ht="15" x14ac:dyDescent="0.25">
      <c r="A18002" s="3">
        <f>17995</f>
        <v>17995</v>
      </c>
      <c r="B18002" s="3" t="s">
        <v>18004</v>
      </c>
      <c r="C18002" s="3" t="s">
        <v>10</v>
      </c>
      <c r="D18002" s="3" t="s">
        <v>9</v>
      </c>
      <c r="E18002" s="3">
        <v>0</v>
      </c>
      <c r="F18002" s="3">
        <v>0</v>
      </c>
      <c r="G18002" s="3">
        <v>0</v>
      </c>
      <c r="H18002" s="3">
        <v>31</v>
      </c>
      <c r="I18002" s="3">
        <v>0</v>
      </c>
      <c r="J18002" s="3">
        <v>0</v>
      </c>
      <c r="K18002" s="3">
        <v>0</v>
      </c>
      <c r="L18002" s="3">
        <v>0</v>
      </c>
      <c r="M18002" s="3">
        <v>31</v>
      </c>
      <c r="N18002" s="3">
        <v>0</v>
      </c>
      <c r="O18002" s="3" t="s">
        <v>10</v>
      </c>
      <c r="P18002" s="3" t="s">
        <v>9</v>
      </c>
      <c r="Q18002" s="3"/>
    </row>
    <row r="18003" spans="1:17" ht="15" x14ac:dyDescent="0.25">
      <c r="A18003" s="3">
        <f>17996</f>
        <v>17996</v>
      </c>
      <c r="B18003" s="3" t="s">
        <v>18005</v>
      </c>
      <c r="C18003" s="3" t="s">
        <v>10</v>
      </c>
      <c r="D18003" s="3" t="s">
        <v>9</v>
      </c>
      <c r="E18003" s="3">
        <v>0</v>
      </c>
      <c r="F18003" s="3">
        <v>0</v>
      </c>
      <c r="G18003" s="3">
        <v>0</v>
      </c>
      <c r="H18003" s="3">
        <v>31</v>
      </c>
      <c r="I18003" s="3">
        <v>0</v>
      </c>
      <c r="J18003" s="3">
        <v>0</v>
      </c>
      <c r="K18003" s="3">
        <v>0</v>
      </c>
      <c r="L18003" s="3">
        <v>0</v>
      </c>
      <c r="M18003" s="3">
        <v>31</v>
      </c>
      <c r="N18003" s="3">
        <v>0</v>
      </c>
      <c r="O18003" s="3" t="s">
        <v>10</v>
      </c>
      <c r="P18003" s="3" t="s">
        <v>9</v>
      </c>
      <c r="Q18003" s="3"/>
    </row>
    <row r="18004" spans="1:17" ht="15" x14ac:dyDescent="0.25">
      <c r="A18004" s="3">
        <f>17997</f>
        <v>17997</v>
      </c>
      <c r="B18004" s="3" t="s">
        <v>18006</v>
      </c>
      <c r="C18004" s="3" t="s">
        <v>10</v>
      </c>
      <c r="D18004" s="3" t="s">
        <v>9</v>
      </c>
      <c r="E18004" s="3">
        <v>0</v>
      </c>
      <c r="F18004" s="3">
        <v>0</v>
      </c>
      <c r="G18004" s="3">
        <v>0</v>
      </c>
      <c r="H18004" s="3">
        <v>31</v>
      </c>
      <c r="I18004" s="3">
        <v>0</v>
      </c>
      <c r="J18004" s="3">
        <v>0</v>
      </c>
      <c r="K18004" s="3">
        <v>0</v>
      </c>
      <c r="L18004" s="3">
        <v>0</v>
      </c>
      <c r="M18004" s="3">
        <v>31</v>
      </c>
      <c r="N18004" s="3">
        <v>0</v>
      </c>
      <c r="O18004" s="3" t="s">
        <v>10</v>
      </c>
      <c r="P18004" s="3" t="s">
        <v>9</v>
      </c>
      <c r="Q18004" s="3"/>
    </row>
    <row r="18005" spans="1:17" ht="15" x14ac:dyDescent="0.25">
      <c r="A18005" s="3">
        <f>17998</f>
        <v>17998</v>
      </c>
      <c r="B18005" s="3" t="s">
        <v>18007</v>
      </c>
      <c r="C18005" s="3" t="s">
        <v>10</v>
      </c>
      <c r="D18005" s="3" t="s">
        <v>9</v>
      </c>
      <c r="E18005" s="3">
        <v>0</v>
      </c>
      <c r="F18005" s="3">
        <v>0</v>
      </c>
      <c r="G18005" s="3">
        <v>0</v>
      </c>
      <c r="H18005" s="3">
        <v>31</v>
      </c>
      <c r="I18005" s="3">
        <v>0</v>
      </c>
      <c r="J18005" s="3">
        <v>0</v>
      </c>
      <c r="K18005" s="3">
        <v>0</v>
      </c>
      <c r="L18005" s="3">
        <v>0</v>
      </c>
      <c r="M18005" s="3">
        <v>31</v>
      </c>
      <c r="N18005" s="3">
        <v>0</v>
      </c>
      <c r="O18005" s="3" t="s">
        <v>10</v>
      </c>
      <c r="P18005" s="3" t="s">
        <v>9</v>
      </c>
      <c r="Q18005" s="3"/>
    </row>
    <row r="18006" spans="1:17" ht="15" x14ac:dyDescent="0.25">
      <c r="A18006" s="3">
        <f>17999</f>
        <v>17999</v>
      </c>
      <c r="B18006" s="3" t="s">
        <v>18008</v>
      </c>
      <c r="C18006" s="3" t="s">
        <v>10</v>
      </c>
      <c r="D18006" s="3" t="s">
        <v>9</v>
      </c>
      <c r="E18006" s="3">
        <v>0</v>
      </c>
      <c r="F18006" s="3">
        <v>0</v>
      </c>
      <c r="G18006" s="3">
        <v>0</v>
      </c>
      <c r="H18006" s="3">
        <v>31</v>
      </c>
      <c r="I18006" s="3">
        <v>0</v>
      </c>
      <c r="J18006" s="3">
        <v>0</v>
      </c>
      <c r="K18006" s="3">
        <v>0</v>
      </c>
      <c r="L18006" s="3">
        <v>0</v>
      </c>
      <c r="M18006" s="3">
        <v>31</v>
      </c>
      <c r="N18006" s="3">
        <v>0</v>
      </c>
      <c r="O18006" s="3" t="s">
        <v>10</v>
      </c>
      <c r="P18006" s="3" t="s">
        <v>9</v>
      </c>
      <c r="Q18006" s="3"/>
    </row>
    <row r="18007" spans="1:17" ht="15" x14ac:dyDescent="0.25">
      <c r="A18007" s="3">
        <f>18000</f>
        <v>18000</v>
      </c>
      <c r="B18007" s="3" t="s">
        <v>18009</v>
      </c>
      <c r="C18007" s="3" t="s">
        <v>10</v>
      </c>
      <c r="D18007" s="3" t="s">
        <v>9</v>
      </c>
      <c r="E18007" s="3">
        <v>0</v>
      </c>
      <c r="F18007" s="3">
        <v>0</v>
      </c>
      <c r="G18007" s="3">
        <v>0</v>
      </c>
      <c r="H18007" s="3">
        <v>31</v>
      </c>
      <c r="I18007" s="3">
        <v>0</v>
      </c>
      <c r="J18007" s="3">
        <v>0</v>
      </c>
      <c r="K18007" s="3">
        <v>0</v>
      </c>
      <c r="L18007" s="3">
        <v>0</v>
      </c>
      <c r="M18007" s="3">
        <v>31</v>
      </c>
      <c r="N18007" s="3">
        <v>0</v>
      </c>
      <c r="O18007" s="3" t="s">
        <v>10</v>
      </c>
      <c r="P18007" s="3" t="s">
        <v>9</v>
      </c>
      <c r="Q18007" s="3"/>
    </row>
    <row r="18008" spans="1:17" ht="15" x14ac:dyDescent="0.25">
      <c r="A18008" s="3">
        <f>18001</f>
        <v>18001</v>
      </c>
      <c r="B18008" s="3" t="s">
        <v>18010</v>
      </c>
      <c r="C18008" s="3" t="s">
        <v>10</v>
      </c>
      <c r="D18008" s="3" t="s">
        <v>9</v>
      </c>
      <c r="E18008" s="3">
        <v>0</v>
      </c>
      <c r="F18008" s="3">
        <v>0</v>
      </c>
      <c r="G18008" s="3">
        <v>0</v>
      </c>
      <c r="H18008" s="3">
        <v>31</v>
      </c>
      <c r="I18008" s="3">
        <v>0</v>
      </c>
      <c r="J18008" s="3">
        <v>0</v>
      </c>
      <c r="K18008" s="3">
        <v>0</v>
      </c>
      <c r="L18008" s="3">
        <v>0</v>
      </c>
      <c r="M18008" s="3">
        <v>31</v>
      </c>
      <c r="N18008" s="3">
        <v>0</v>
      </c>
      <c r="O18008" s="3" t="s">
        <v>10</v>
      </c>
      <c r="P18008" s="3" t="s">
        <v>9</v>
      </c>
      <c r="Q18008" s="3"/>
    </row>
    <row r="18009" spans="1:17" ht="15" x14ac:dyDescent="0.25">
      <c r="A18009" s="3">
        <f>18002</f>
        <v>18002</v>
      </c>
      <c r="B18009" s="3" t="s">
        <v>18011</v>
      </c>
      <c r="C18009" s="3" t="s">
        <v>10</v>
      </c>
      <c r="D18009" s="3" t="s">
        <v>9</v>
      </c>
      <c r="E18009" s="3">
        <v>0</v>
      </c>
      <c r="F18009" s="3">
        <v>0</v>
      </c>
      <c r="G18009" s="3">
        <v>0</v>
      </c>
      <c r="H18009" s="3">
        <v>31</v>
      </c>
      <c r="I18009" s="3">
        <v>0</v>
      </c>
      <c r="J18009" s="3">
        <v>0</v>
      </c>
      <c r="K18009" s="3">
        <v>0</v>
      </c>
      <c r="L18009" s="3">
        <v>0</v>
      </c>
      <c r="M18009" s="3">
        <v>31</v>
      </c>
      <c r="N18009" s="3">
        <v>0</v>
      </c>
      <c r="O18009" s="3" t="s">
        <v>10</v>
      </c>
      <c r="P18009" s="3" t="s">
        <v>9</v>
      </c>
      <c r="Q18009" s="3"/>
    </row>
    <row r="18010" spans="1:17" ht="15" x14ac:dyDescent="0.25">
      <c r="A18010" s="3">
        <f>18003</f>
        <v>18003</v>
      </c>
      <c r="B18010" s="3" t="s">
        <v>18012</v>
      </c>
      <c r="C18010" s="3" t="s">
        <v>10</v>
      </c>
      <c r="D18010" s="3" t="s">
        <v>9</v>
      </c>
      <c r="E18010" s="3">
        <v>0</v>
      </c>
      <c r="F18010" s="3">
        <v>0</v>
      </c>
      <c r="G18010" s="3">
        <v>0</v>
      </c>
      <c r="H18010" s="3">
        <v>31</v>
      </c>
      <c r="I18010" s="3">
        <v>0</v>
      </c>
      <c r="J18010" s="3">
        <v>0</v>
      </c>
      <c r="K18010" s="3">
        <v>0</v>
      </c>
      <c r="L18010" s="3">
        <v>0</v>
      </c>
      <c r="M18010" s="3">
        <v>31</v>
      </c>
      <c r="N18010" s="3">
        <v>0</v>
      </c>
      <c r="O18010" s="3" t="s">
        <v>10</v>
      </c>
      <c r="P18010" s="3" t="s">
        <v>9</v>
      </c>
      <c r="Q18010" s="3"/>
    </row>
    <row r="18011" spans="1:17" ht="15" x14ac:dyDescent="0.25">
      <c r="A18011" s="3">
        <f>18004</f>
        <v>18004</v>
      </c>
      <c r="B18011" s="3" t="s">
        <v>18013</v>
      </c>
      <c r="C18011" s="3" t="s">
        <v>10</v>
      </c>
      <c r="D18011" s="3" t="s">
        <v>9</v>
      </c>
      <c r="E18011" s="3">
        <v>0</v>
      </c>
      <c r="F18011" s="3">
        <v>0</v>
      </c>
      <c r="G18011" s="3">
        <v>0</v>
      </c>
      <c r="H18011" s="3">
        <v>31</v>
      </c>
      <c r="I18011" s="3">
        <v>0</v>
      </c>
      <c r="J18011" s="3">
        <v>0</v>
      </c>
      <c r="K18011" s="3">
        <v>0</v>
      </c>
      <c r="L18011" s="3">
        <v>0</v>
      </c>
      <c r="M18011" s="3">
        <v>31</v>
      </c>
      <c r="N18011" s="3">
        <v>0</v>
      </c>
      <c r="O18011" s="3" t="s">
        <v>10</v>
      </c>
      <c r="P18011" s="3" t="s">
        <v>9</v>
      </c>
      <c r="Q18011" s="3"/>
    </row>
    <row r="18012" spans="1:17" ht="15" x14ac:dyDescent="0.25">
      <c r="A18012" s="3">
        <f>18005</f>
        <v>18005</v>
      </c>
      <c r="B18012" s="3" t="s">
        <v>18014</v>
      </c>
      <c r="C18012" s="3" t="s">
        <v>10</v>
      </c>
      <c r="D18012" s="3" t="s">
        <v>9</v>
      </c>
      <c r="E18012" s="3">
        <v>0</v>
      </c>
      <c r="F18012" s="3">
        <v>0</v>
      </c>
      <c r="G18012" s="3">
        <v>0</v>
      </c>
      <c r="H18012" s="3">
        <v>31</v>
      </c>
      <c r="I18012" s="3">
        <v>0</v>
      </c>
      <c r="J18012" s="3">
        <v>0</v>
      </c>
      <c r="K18012" s="3">
        <v>0</v>
      </c>
      <c r="L18012" s="3">
        <v>0</v>
      </c>
      <c r="M18012" s="3">
        <v>31</v>
      </c>
      <c r="N18012" s="3">
        <v>0</v>
      </c>
      <c r="O18012" s="3" t="s">
        <v>10</v>
      </c>
      <c r="P18012" s="3" t="s">
        <v>9</v>
      </c>
      <c r="Q18012" s="3"/>
    </row>
    <row r="18013" spans="1:17" ht="15" x14ac:dyDescent="0.25">
      <c r="A18013" s="3">
        <f>18006</f>
        <v>18006</v>
      </c>
      <c r="B18013" s="3" t="s">
        <v>18015</v>
      </c>
      <c r="C18013" s="3" t="s">
        <v>10</v>
      </c>
      <c r="D18013" s="3" t="s">
        <v>9</v>
      </c>
      <c r="E18013" s="3">
        <v>0</v>
      </c>
      <c r="F18013" s="3">
        <v>0</v>
      </c>
      <c r="G18013" s="3">
        <v>0</v>
      </c>
      <c r="H18013" s="3">
        <v>31</v>
      </c>
      <c r="I18013" s="3">
        <v>0</v>
      </c>
      <c r="J18013" s="3">
        <v>0</v>
      </c>
      <c r="K18013" s="3">
        <v>0</v>
      </c>
      <c r="L18013" s="3">
        <v>0</v>
      </c>
      <c r="M18013" s="3">
        <v>31</v>
      </c>
      <c r="N18013" s="3">
        <v>0</v>
      </c>
      <c r="O18013" s="3" t="s">
        <v>10</v>
      </c>
      <c r="P18013" s="3" t="s">
        <v>9</v>
      </c>
      <c r="Q18013" s="3"/>
    </row>
    <row r="18014" spans="1:17" ht="15" x14ac:dyDescent="0.25">
      <c r="A18014" s="3">
        <f>18007</f>
        <v>18007</v>
      </c>
      <c r="B18014" s="3" t="s">
        <v>18016</v>
      </c>
      <c r="C18014" s="3" t="s">
        <v>10</v>
      </c>
      <c r="D18014" s="3" t="s">
        <v>9</v>
      </c>
      <c r="E18014" s="3">
        <v>0</v>
      </c>
      <c r="F18014" s="3">
        <v>0</v>
      </c>
      <c r="G18014" s="3">
        <v>0</v>
      </c>
      <c r="H18014" s="3">
        <v>31</v>
      </c>
      <c r="I18014" s="3">
        <v>0</v>
      </c>
      <c r="J18014" s="3">
        <v>0</v>
      </c>
      <c r="K18014" s="3">
        <v>0</v>
      </c>
      <c r="L18014" s="3">
        <v>0</v>
      </c>
      <c r="M18014" s="3">
        <v>31</v>
      </c>
      <c r="N18014" s="3">
        <v>0</v>
      </c>
      <c r="O18014" s="3" t="s">
        <v>10</v>
      </c>
      <c r="P18014" s="3" t="s">
        <v>9</v>
      </c>
      <c r="Q18014" s="3"/>
    </row>
    <row r="18015" spans="1:17" ht="15" x14ac:dyDescent="0.25">
      <c r="A18015" s="3">
        <f>18008</f>
        <v>18008</v>
      </c>
      <c r="B18015" s="3" t="s">
        <v>18017</v>
      </c>
      <c r="C18015" s="3" t="s">
        <v>10</v>
      </c>
      <c r="D18015" s="3" t="s">
        <v>9</v>
      </c>
      <c r="E18015" s="3">
        <v>0</v>
      </c>
      <c r="F18015" s="3">
        <v>0</v>
      </c>
      <c r="G18015" s="3">
        <v>0</v>
      </c>
      <c r="H18015" s="3">
        <v>31</v>
      </c>
      <c r="I18015" s="3">
        <v>0</v>
      </c>
      <c r="J18015" s="3">
        <v>0</v>
      </c>
      <c r="K18015" s="3">
        <v>0</v>
      </c>
      <c r="L18015" s="3">
        <v>0</v>
      </c>
      <c r="M18015" s="3">
        <v>31</v>
      </c>
      <c r="N18015" s="3">
        <v>0</v>
      </c>
      <c r="O18015" s="3" t="s">
        <v>10</v>
      </c>
      <c r="P18015" s="3" t="s">
        <v>9</v>
      </c>
      <c r="Q18015" s="3"/>
    </row>
    <row r="18016" spans="1:17" ht="15" x14ac:dyDescent="0.25">
      <c r="A18016" s="3">
        <f>18009</f>
        <v>18009</v>
      </c>
      <c r="B18016" s="3" t="s">
        <v>18018</v>
      </c>
      <c r="C18016" s="3" t="s">
        <v>10</v>
      </c>
      <c r="D18016" s="3" t="s">
        <v>9</v>
      </c>
      <c r="E18016" s="3">
        <v>0</v>
      </c>
      <c r="F18016" s="3">
        <v>0</v>
      </c>
      <c r="G18016" s="3">
        <v>0</v>
      </c>
      <c r="H18016" s="3">
        <v>31</v>
      </c>
      <c r="I18016" s="3">
        <v>0</v>
      </c>
      <c r="J18016" s="3">
        <v>0</v>
      </c>
      <c r="K18016" s="3">
        <v>0</v>
      </c>
      <c r="L18016" s="3">
        <v>0</v>
      </c>
      <c r="M18016" s="3">
        <v>31</v>
      </c>
      <c r="N18016" s="3">
        <v>0</v>
      </c>
      <c r="O18016" s="3" t="s">
        <v>10</v>
      </c>
      <c r="P18016" s="3" t="s">
        <v>9</v>
      </c>
      <c r="Q18016" s="3"/>
    </row>
    <row r="18017" spans="1:17" ht="15" x14ac:dyDescent="0.25">
      <c r="A18017" s="3">
        <f>18010</f>
        <v>18010</v>
      </c>
      <c r="B18017" s="3" t="s">
        <v>18019</v>
      </c>
      <c r="C18017" s="3" t="s">
        <v>10</v>
      </c>
      <c r="D18017" s="3" t="s">
        <v>9</v>
      </c>
      <c r="E18017" s="3">
        <v>0</v>
      </c>
      <c r="F18017" s="3">
        <v>0</v>
      </c>
      <c r="G18017" s="3">
        <v>0</v>
      </c>
      <c r="H18017" s="3">
        <v>31</v>
      </c>
      <c r="I18017" s="3">
        <v>0</v>
      </c>
      <c r="J18017" s="3">
        <v>0</v>
      </c>
      <c r="K18017" s="3">
        <v>0</v>
      </c>
      <c r="L18017" s="3">
        <v>0</v>
      </c>
      <c r="M18017" s="3">
        <v>31</v>
      </c>
      <c r="N18017" s="3">
        <v>0</v>
      </c>
      <c r="O18017" s="3" t="s">
        <v>10</v>
      </c>
      <c r="P18017" s="3" t="s">
        <v>9</v>
      </c>
      <c r="Q18017" s="3"/>
    </row>
    <row r="18018" spans="1:17" ht="15" x14ac:dyDescent="0.25">
      <c r="A18018" s="3">
        <f>18011</f>
        <v>18011</v>
      </c>
      <c r="B18018" s="3" t="s">
        <v>18020</v>
      </c>
      <c r="C18018" s="3" t="s">
        <v>10</v>
      </c>
      <c r="D18018" s="3" t="s">
        <v>9</v>
      </c>
      <c r="E18018" s="3">
        <v>0</v>
      </c>
      <c r="F18018" s="3">
        <v>0</v>
      </c>
      <c r="G18018" s="3">
        <v>0</v>
      </c>
      <c r="H18018" s="3">
        <v>31</v>
      </c>
      <c r="I18018" s="3">
        <v>0</v>
      </c>
      <c r="J18018" s="3">
        <v>0</v>
      </c>
      <c r="K18018" s="3">
        <v>0</v>
      </c>
      <c r="L18018" s="3">
        <v>0</v>
      </c>
      <c r="M18018" s="3">
        <v>31</v>
      </c>
      <c r="N18018" s="3">
        <v>0</v>
      </c>
      <c r="O18018" s="3" t="s">
        <v>10</v>
      </c>
      <c r="P18018" s="3" t="s">
        <v>9</v>
      </c>
      <c r="Q18018" s="3"/>
    </row>
    <row r="18019" spans="1:17" ht="15" x14ac:dyDescent="0.25">
      <c r="A18019" s="3">
        <f>18012</f>
        <v>18012</v>
      </c>
      <c r="B18019" s="3" t="s">
        <v>18021</v>
      </c>
      <c r="C18019" s="3" t="s">
        <v>10</v>
      </c>
      <c r="D18019" s="3" t="s">
        <v>9</v>
      </c>
      <c r="E18019" s="3">
        <v>0</v>
      </c>
      <c r="F18019" s="3">
        <v>0</v>
      </c>
      <c r="G18019" s="3">
        <v>0</v>
      </c>
      <c r="H18019" s="3">
        <v>31</v>
      </c>
      <c r="I18019" s="3">
        <v>0</v>
      </c>
      <c r="J18019" s="3">
        <v>0</v>
      </c>
      <c r="K18019" s="3">
        <v>0</v>
      </c>
      <c r="L18019" s="3">
        <v>0</v>
      </c>
      <c r="M18019" s="3">
        <v>31</v>
      </c>
      <c r="N18019" s="3">
        <v>0</v>
      </c>
      <c r="O18019" s="3" t="s">
        <v>10</v>
      </c>
      <c r="P18019" s="3" t="s">
        <v>9</v>
      </c>
      <c r="Q18019" s="3"/>
    </row>
    <row r="18020" spans="1:17" ht="15" x14ac:dyDescent="0.25">
      <c r="A18020" s="3">
        <f>18013</f>
        <v>18013</v>
      </c>
      <c r="B18020" s="3" t="s">
        <v>18022</v>
      </c>
      <c r="C18020" s="3" t="s">
        <v>10</v>
      </c>
      <c r="D18020" s="3" t="s">
        <v>9</v>
      </c>
      <c r="E18020" s="3">
        <v>0</v>
      </c>
      <c r="F18020" s="3">
        <v>0</v>
      </c>
      <c r="G18020" s="3">
        <v>0</v>
      </c>
      <c r="H18020" s="3">
        <v>31</v>
      </c>
      <c r="I18020" s="3">
        <v>0</v>
      </c>
      <c r="J18020" s="3">
        <v>0</v>
      </c>
      <c r="K18020" s="3">
        <v>0</v>
      </c>
      <c r="L18020" s="3">
        <v>0</v>
      </c>
      <c r="M18020" s="3">
        <v>31</v>
      </c>
      <c r="N18020" s="3">
        <v>0</v>
      </c>
      <c r="O18020" s="3" t="s">
        <v>10</v>
      </c>
      <c r="P18020" s="3" t="s">
        <v>9</v>
      </c>
      <c r="Q18020" s="3"/>
    </row>
    <row r="18021" spans="1:17" ht="15" x14ac:dyDescent="0.25">
      <c r="A18021" s="3">
        <f>18014</f>
        <v>18014</v>
      </c>
      <c r="B18021" s="3" t="s">
        <v>18023</v>
      </c>
      <c r="C18021" s="3" t="s">
        <v>10</v>
      </c>
      <c r="D18021" s="3" t="s">
        <v>9</v>
      </c>
      <c r="E18021" s="3">
        <v>0</v>
      </c>
      <c r="F18021" s="3">
        <v>0</v>
      </c>
      <c r="G18021" s="3">
        <v>0</v>
      </c>
      <c r="H18021" s="3">
        <v>31</v>
      </c>
      <c r="I18021" s="3">
        <v>0</v>
      </c>
      <c r="J18021" s="3">
        <v>0</v>
      </c>
      <c r="K18021" s="3">
        <v>0</v>
      </c>
      <c r="L18021" s="3">
        <v>0</v>
      </c>
      <c r="M18021" s="3">
        <v>31</v>
      </c>
      <c r="N18021" s="3">
        <v>0</v>
      </c>
      <c r="O18021" s="3" t="s">
        <v>10</v>
      </c>
      <c r="P18021" s="3" t="s">
        <v>9</v>
      </c>
      <c r="Q18021" s="3"/>
    </row>
    <row r="18022" spans="1:17" ht="15" x14ac:dyDescent="0.25">
      <c r="A18022" s="3">
        <f>18015</f>
        <v>18015</v>
      </c>
      <c r="B18022" s="3" t="s">
        <v>18024</v>
      </c>
      <c r="C18022" s="3" t="s">
        <v>10</v>
      </c>
      <c r="D18022" s="3" t="s">
        <v>9</v>
      </c>
      <c r="E18022" s="3">
        <v>0</v>
      </c>
      <c r="F18022" s="3">
        <v>0</v>
      </c>
      <c r="G18022" s="3">
        <v>0</v>
      </c>
      <c r="H18022" s="3">
        <v>31</v>
      </c>
      <c r="I18022" s="3">
        <v>0</v>
      </c>
      <c r="J18022" s="3">
        <v>0</v>
      </c>
      <c r="K18022" s="3">
        <v>0</v>
      </c>
      <c r="L18022" s="3">
        <v>0</v>
      </c>
      <c r="M18022" s="3">
        <v>31</v>
      </c>
      <c r="N18022" s="3">
        <v>0</v>
      </c>
      <c r="O18022" s="3" t="s">
        <v>10</v>
      </c>
      <c r="P18022" s="3" t="s">
        <v>9</v>
      </c>
      <c r="Q18022" s="3"/>
    </row>
    <row r="18023" spans="1:17" ht="15" x14ac:dyDescent="0.25">
      <c r="A18023" s="3">
        <f>18016</f>
        <v>18016</v>
      </c>
      <c r="B18023" s="3" t="s">
        <v>18025</v>
      </c>
      <c r="C18023" s="3" t="s">
        <v>10</v>
      </c>
      <c r="D18023" s="3" t="s">
        <v>9</v>
      </c>
      <c r="E18023" s="3">
        <v>0</v>
      </c>
      <c r="F18023" s="3">
        <v>0</v>
      </c>
      <c r="G18023" s="3">
        <v>0</v>
      </c>
      <c r="H18023" s="3">
        <v>31</v>
      </c>
      <c r="I18023" s="3">
        <v>0</v>
      </c>
      <c r="J18023" s="3">
        <v>0</v>
      </c>
      <c r="K18023" s="3">
        <v>0</v>
      </c>
      <c r="L18023" s="3">
        <v>0</v>
      </c>
      <c r="M18023" s="3">
        <v>31</v>
      </c>
      <c r="N18023" s="3">
        <v>0</v>
      </c>
      <c r="O18023" s="3" t="s">
        <v>10</v>
      </c>
      <c r="P18023" s="3" t="s">
        <v>9</v>
      </c>
      <c r="Q18023" s="3"/>
    </row>
    <row r="18024" spans="1:17" ht="15" x14ac:dyDescent="0.25">
      <c r="A18024" s="3">
        <f>18017</f>
        <v>18017</v>
      </c>
      <c r="B18024" s="3" t="s">
        <v>18026</v>
      </c>
      <c r="C18024" s="3" t="s">
        <v>10</v>
      </c>
      <c r="D18024" s="3" t="s">
        <v>9</v>
      </c>
      <c r="E18024" s="3">
        <v>0</v>
      </c>
      <c r="F18024" s="3">
        <v>0</v>
      </c>
      <c r="G18024" s="3">
        <v>0</v>
      </c>
      <c r="H18024" s="3">
        <v>31</v>
      </c>
      <c r="I18024" s="3">
        <v>0</v>
      </c>
      <c r="J18024" s="3">
        <v>0</v>
      </c>
      <c r="K18024" s="3">
        <v>0</v>
      </c>
      <c r="L18024" s="3">
        <v>0</v>
      </c>
      <c r="M18024" s="3">
        <v>31</v>
      </c>
      <c r="N18024" s="3">
        <v>0</v>
      </c>
      <c r="O18024" s="3" t="s">
        <v>10</v>
      </c>
      <c r="P18024" s="3" t="s">
        <v>9</v>
      </c>
      <c r="Q18024" s="3"/>
    </row>
    <row r="18025" spans="1:17" ht="15" x14ac:dyDescent="0.25">
      <c r="A18025" s="3">
        <f>18018</f>
        <v>18018</v>
      </c>
      <c r="B18025" s="3" t="s">
        <v>18027</v>
      </c>
      <c r="C18025" s="3" t="s">
        <v>10</v>
      </c>
      <c r="D18025" s="3" t="s">
        <v>9</v>
      </c>
      <c r="E18025" s="3">
        <v>0</v>
      </c>
      <c r="F18025" s="3">
        <v>0</v>
      </c>
      <c r="G18025" s="3">
        <v>0</v>
      </c>
      <c r="H18025" s="3">
        <v>31</v>
      </c>
      <c r="I18025" s="3">
        <v>0</v>
      </c>
      <c r="J18025" s="3">
        <v>0</v>
      </c>
      <c r="K18025" s="3">
        <v>0</v>
      </c>
      <c r="L18025" s="3">
        <v>0</v>
      </c>
      <c r="M18025" s="3">
        <v>31</v>
      </c>
      <c r="N18025" s="3">
        <v>0</v>
      </c>
      <c r="O18025" s="3" t="s">
        <v>10</v>
      </c>
      <c r="P18025" s="3" t="s">
        <v>9</v>
      </c>
      <c r="Q18025" s="3"/>
    </row>
    <row r="18026" spans="1:17" ht="15" x14ac:dyDescent="0.25">
      <c r="A18026" s="3">
        <f>18019</f>
        <v>18019</v>
      </c>
      <c r="B18026" s="3" t="s">
        <v>18028</v>
      </c>
      <c r="C18026" s="3" t="s">
        <v>10</v>
      </c>
      <c r="D18026" s="3" t="s">
        <v>9</v>
      </c>
      <c r="E18026" s="3">
        <v>0</v>
      </c>
      <c r="F18026" s="3">
        <v>0</v>
      </c>
      <c r="G18026" s="3">
        <v>0</v>
      </c>
      <c r="H18026" s="3">
        <v>31</v>
      </c>
      <c r="I18026" s="3">
        <v>0</v>
      </c>
      <c r="J18026" s="3">
        <v>0</v>
      </c>
      <c r="K18026" s="3">
        <v>0</v>
      </c>
      <c r="L18026" s="3">
        <v>0</v>
      </c>
      <c r="M18026" s="3">
        <v>31</v>
      </c>
      <c r="N18026" s="3">
        <v>0</v>
      </c>
      <c r="O18026" s="3" t="s">
        <v>10</v>
      </c>
      <c r="P18026" s="3" t="s">
        <v>9</v>
      </c>
      <c r="Q18026" s="3"/>
    </row>
    <row r="18027" spans="1:17" ht="15" x14ac:dyDescent="0.25">
      <c r="A18027" s="3">
        <f>18020</f>
        <v>18020</v>
      </c>
      <c r="B18027" s="3" t="s">
        <v>18029</v>
      </c>
      <c r="C18027" s="3" t="s">
        <v>10</v>
      </c>
      <c r="D18027" s="3" t="s">
        <v>9</v>
      </c>
      <c r="E18027" s="3">
        <v>0</v>
      </c>
      <c r="F18027" s="3">
        <v>0</v>
      </c>
      <c r="G18027" s="3">
        <v>0</v>
      </c>
      <c r="H18027" s="3">
        <v>31</v>
      </c>
      <c r="I18027" s="3">
        <v>0</v>
      </c>
      <c r="J18027" s="3">
        <v>0</v>
      </c>
      <c r="K18027" s="3">
        <v>0</v>
      </c>
      <c r="L18027" s="3">
        <v>0</v>
      </c>
      <c r="M18027" s="3">
        <v>31</v>
      </c>
      <c r="N18027" s="3">
        <v>0</v>
      </c>
      <c r="O18027" s="3" t="s">
        <v>10</v>
      </c>
      <c r="P18027" s="3" t="s">
        <v>9</v>
      </c>
      <c r="Q18027" s="3"/>
    </row>
    <row r="18028" spans="1:17" ht="15" x14ac:dyDescent="0.25">
      <c r="A18028" s="3">
        <f>18021</f>
        <v>18021</v>
      </c>
      <c r="B18028" s="3" t="s">
        <v>18030</v>
      </c>
      <c r="C18028" s="3" t="s">
        <v>10</v>
      </c>
      <c r="D18028" s="3" t="s">
        <v>9</v>
      </c>
      <c r="E18028" s="3">
        <v>0</v>
      </c>
      <c r="F18028" s="3">
        <v>0</v>
      </c>
      <c r="G18028" s="3">
        <v>0</v>
      </c>
      <c r="H18028" s="3">
        <v>31</v>
      </c>
      <c r="I18028" s="3">
        <v>0</v>
      </c>
      <c r="J18028" s="3">
        <v>0</v>
      </c>
      <c r="K18028" s="3">
        <v>0</v>
      </c>
      <c r="L18028" s="3">
        <v>0</v>
      </c>
      <c r="M18028" s="3">
        <v>31</v>
      </c>
      <c r="N18028" s="3">
        <v>0</v>
      </c>
      <c r="O18028" s="3" t="s">
        <v>10</v>
      </c>
      <c r="P18028" s="3" t="s">
        <v>9</v>
      </c>
      <c r="Q18028" s="3"/>
    </row>
    <row r="18029" spans="1:17" ht="15" x14ac:dyDescent="0.25">
      <c r="A18029" s="3">
        <f>18022</f>
        <v>18022</v>
      </c>
      <c r="B18029" s="3" t="s">
        <v>18031</v>
      </c>
      <c r="C18029" s="3" t="s">
        <v>10</v>
      </c>
      <c r="D18029" s="3" t="s">
        <v>9</v>
      </c>
      <c r="E18029" s="3">
        <v>0</v>
      </c>
      <c r="F18029" s="3">
        <v>0</v>
      </c>
      <c r="G18029" s="3">
        <v>0</v>
      </c>
      <c r="H18029" s="3">
        <v>31</v>
      </c>
      <c r="I18029" s="3">
        <v>0</v>
      </c>
      <c r="J18029" s="3">
        <v>0</v>
      </c>
      <c r="K18029" s="3">
        <v>0</v>
      </c>
      <c r="L18029" s="3">
        <v>0</v>
      </c>
      <c r="M18029" s="3">
        <v>31</v>
      </c>
      <c r="N18029" s="3">
        <v>0</v>
      </c>
      <c r="O18029" s="3" t="s">
        <v>10</v>
      </c>
      <c r="P18029" s="3" t="s">
        <v>9</v>
      </c>
      <c r="Q18029" s="3"/>
    </row>
    <row r="18030" spans="1:17" ht="15" x14ac:dyDescent="0.25">
      <c r="A18030" s="3">
        <f>18023</f>
        <v>18023</v>
      </c>
      <c r="B18030" s="3" t="s">
        <v>18032</v>
      </c>
      <c r="C18030" s="3" t="s">
        <v>10</v>
      </c>
      <c r="D18030" s="3" t="s">
        <v>9</v>
      </c>
      <c r="E18030" s="3">
        <v>0</v>
      </c>
      <c r="F18030" s="3">
        <v>0</v>
      </c>
      <c r="G18030" s="3">
        <v>0</v>
      </c>
      <c r="H18030" s="3">
        <v>31</v>
      </c>
      <c r="I18030" s="3">
        <v>0</v>
      </c>
      <c r="J18030" s="3">
        <v>0</v>
      </c>
      <c r="K18030" s="3">
        <v>0</v>
      </c>
      <c r="L18030" s="3">
        <v>0</v>
      </c>
      <c r="M18030" s="3">
        <v>31</v>
      </c>
      <c r="N18030" s="3">
        <v>0</v>
      </c>
      <c r="O18030" s="3" t="s">
        <v>10</v>
      </c>
      <c r="P18030" s="3" t="s">
        <v>9</v>
      </c>
      <c r="Q18030" s="3"/>
    </row>
    <row r="18031" spans="1:17" ht="15" x14ac:dyDescent="0.25">
      <c r="A18031" s="3">
        <f>18024</f>
        <v>18024</v>
      </c>
      <c r="B18031" s="3" t="s">
        <v>18033</v>
      </c>
      <c r="C18031" s="3" t="s">
        <v>10</v>
      </c>
      <c r="D18031" s="3" t="s">
        <v>9</v>
      </c>
      <c r="E18031" s="3">
        <v>0</v>
      </c>
      <c r="F18031" s="3">
        <v>0</v>
      </c>
      <c r="G18031" s="3">
        <v>0</v>
      </c>
      <c r="H18031" s="3">
        <v>31</v>
      </c>
      <c r="I18031" s="3">
        <v>0</v>
      </c>
      <c r="J18031" s="3">
        <v>0</v>
      </c>
      <c r="K18031" s="3">
        <v>0</v>
      </c>
      <c r="L18031" s="3">
        <v>0</v>
      </c>
      <c r="M18031" s="3">
        <v>31</v>
      </c>
      <c r="N18031" s="3">
        <v>0</v>
      </c>
      <c r="O18031" s="3" t="s">
        <v>10</v>
      </c>
      <c r="P18031" s="3" t="s">
        <v>9</v>
      </c>
      <c r="Q18031" s="3"/>
    </row>
    <row r="18032" spans="1:17" ht="15" x14ac:dyDescent="0.25">
      <c r="A18032" s="3">
        <f>18025</f>
        <v>18025</v>
      </c>
      <c r="B18032" s="3" t="s">
        <v>18034</v>
      </c>
      <c r="C18032" s="3" t="s">
        <v>10</v>
      </c>
      <c r="D18032" s="3" t="s">
        <v>9</v>
      </c>
      <c r="E18032" s="3">
        <v>0</v>
      </c>
      <c r="F18032" s="3">
        <v>0</v>
      </c>
      <c r="G18032" s="3">
        <v>0</v>
      </c>
      <c r="H18032" s="3">
        <v>31</v>
      </c>
      <c r="I18032" s="3">
        <v>0</v>
      </c>
      <c r="J18032" s="3">
        <v>0</v>
      </c>
      <c r="K18032" s="3">
        <v>0</v>
      </c>
      <c r="L18032" s="3">
        <v>0</v>
      </c>
      <c r="M18032" s="3">
        <v>31</v>
      </c>
      <c r="N18032" s="3">
        <v>0</v>
      </c>
      <c r="O18032" s="3" t="s">
        <v>10</v>
      </c>
      <c r="P18032" s="3" t="s">
        <v>9</v>
      </c>
      <c r="Q18032" s="3"/>
    </row>
    <row r="18033" spans="1:17" ht="15" x14ac:dyDescent="0.25">
      <c r="A18033" s="3">
        <f>18026</f>
        <v>18026</v>
      </c>
      <c r="B18033" s="3" t="s">
        <v>18035</v>
      </c>
      <c r="C18033" s="3" t="s">
        <v>10</v>
      </c>
      <c r="D18033" s="3" t="s">
        <v>9</v>
      </c>
      <c r="E18033" s="3">
        <v>0</v>
      </c>
      <c r="F18033" s="3">
        <v>0</v>
      </c>
      <c r="G18033" s="3">
        <v>0</v>
      </c>
      <c r="H18033" s="3">
        <v>31</v>
      </c>
      <c r="I18033" s="3">
        <v>0</v>
      </c>
      <c r="J18033" s="3">
        <v>0</v>
      </c>
      <c r="K18033" s="3">
        <v>0</v>
      </c>
      <c r="L18033" s="3">
        <v>0</v>
      </c>
      <c r="M18033" s="3">
        <v>31</v>
      </c>
      <c r="N18033" s="3">
        <v>0</v>
      </c>
      <c r="O18033" s="3" t="s">
        <v>10</v>
      </c>
      <c r="P18033" s="3" t="s">
        <v>9</v>
      </c>
      <c r="Q18033" s="3"/>
    </row>
    <row r="18034" spans="1:17" ht="15" x14ac:dyDescent="0.25">
      <c r="A18034" s="3">
        <f>18027</f>
        <v>18027</v>
      </c>
      <c r="B18034" s="3" t="s">
        <v>18036</v>
      </c>
      <c r="C18034" s="3" t="s">
        <v>10</v>
      </c>
      <c r="D18034" s="3" t="s">
        <v>9</v>
      </c>
      <c r="E18034" s="3">
        <v>0</v>
      </c>
      <c r="F18034" s="3">
        <v>0</v>
      </c>
      <c r="G18034" s="3">
        <v>0</v>
      </c>
      <c r="H18034" s="3">
        <v>31</v>
      </c>
      <c r="I18034" s="3">
        <v>0</v>
      </c>
      <c r="J18034" s="3">
        <v>0</v>
      </c>
      <c r="K18034" s="3">
        <v>0</v>
      </c>
      <c r="L18034" s="3">
        <v>0</v>
      </c>
      <c r="M18034" s="3">
        <v>31</v>
      </c>
      <c r="N18034" s="3">
        <v>0</v>
      </c>
      <c r="O18034" s="3" t="s">
        <v>10</v>
      </c>
      <c r="P18034" s="3" t="s">
        <v>9</v>
      </c>
      <c r="Q18034" s="3"/>
    </row>
    <row r="18035" spans="1:17" ht="15" x14ac:dyDescent="0.25">
      <c r="A18035" s="3">
        <f>18028</f>
        <v>18028</v>
      </c>
      <c r="B18035" s="3" t="s">
        <v>18037</v>
      </c>
      <c r="C18035" s="3" t="s">
        <v>10</v>
      </c>
      <c r="D18035" s="3" t="s">
        <v>9</v>
      </c>
      <c r="E18035" s="3">
        <v>0</v>
      </c>
      <c r="F18035" s="3">
        <v>0</v>
      </c>
      <c r="G18035" s="3">
        <v>0</v>
      </c>
      <c r="H18035" s="3">
        <v>31</v>
      </c>
      <c r="I18035" s="3">
        <v>0</v>
      </c>
      <c r="J18035" s="3">
        <v>0</v>
      </c>
      <c r="K18035" s="3">
        <v>0</v>
      </c>
      <c r="L18035" s="3">
        <v>0</v>
      </c>
      <c r="M18035" s="3">
        <v>31</v>
      </c>
      <c r="N18035" s="3">
        <v>0</v>
      </c>
      <c r="O18035" s="3" t="s">
        <v>10</v>
      </c>
      <c r="P18035" s="3" t="s">
        <v>9</v>
      </c>
      <c r="Q18035" s="3"/>
    </row>
    <row r="18036" spans="1:17" ht="15" x14ac:dyDescent="0.25">
      <c r="A18036" s="3">
        <f>18029</f>
        <v>18029</v>
      </c>
      <c r="B18036" s="3" t="s">
        <v>18038</v>
      </c>
      <c r="C18036" s="3" t="s">
        <v>10</v>
      </c>
      <c r="D18036" s="3" t="s">
        <v>9</v>
      </c>
      <c r="E18036" s="3">
        <v>0</v>
      </c>
      <c r="F18036" s="3">
        <v>0</v>
      </c>
      <c r="G18036" s="3">
        <v>0</v>
      </c>
      <c r="H18036" s="3">
        <v>31</v>
      </c>
      <c r="I18036" s="3">
        <v>0</v>
      </c>
      <c r="J18036" s="3">
        <v>0</v>
      </c>
      <c r="K18036" s="3">
        <v>0</v>
      </c>
      <c r="L18036" s="3">
        <v>0</v>
      </c>
      <c r="M18036" s="3">
        <v>31</v>
      </c>
      <c r="N18036" s="3">
        <v>0</v>
      </c>
      <c r="O18036" s="3" t="s">
        <v>10</v>
      </c>
      <c r="P18036" s="3" t="s">
        <v>9</v>
      </c>
      <c r="Q18036" s="3"/>
    </row>
    <row r="18037" spans="1:17" ht="15" x14ac:dyDescent="0.25">
      <c r="A18037" s="3">
        <f>18030</f>
        <v>18030</v>
      </c>
      <c r="B18037" s="3" t="s">
        <v>18039</v>
      </c>
      <c r="C18037" s="3" t="s">
        <v>10</v>
      </c>
      <c r="D18037" s="3" t="s">
        <v>9</v>
      </c>
      <c r="E18037" s="3">
        <v>0</v>
      </c>
      <c r="F18037" s="3">
        <v>0</v>
      </c>
      <c r="G18037" s="3">
        <v>0</v>
      </c>
      <c r="H18037" s="3">
        <v>31</v>
      </c>
      <c r="I18037" s="3">
        <v>0</v>
      </c>
      <c r="J18037" s="3">
        <v>0</v>
      </c>
      <c r="K18037" s="3">
        <v>0</v>
      </c>
      <c r="L18037" s="3">
        <v>0</v>
      </c>
      <c r="M18037" s="3">
        <v>31</v>
      </c>
      <c r="N18037" s="3">
        <v>0</v>
      </c>
      <c r="O18037" s="3" t="s">
        <v>10</v>
      </c>
      <c r="P18037" s="3" t="s">
        <v>9</v>
      </c>
      <c r="Q18037" s="3"/>
    </row>
    <row r="18038" spans="1:17" ht="15" x14ac:dyDescent="0.25">
      <c r="A18038" s="3">
        <f>18031</f>
        <v>18031</v>
      </c>
      <c r="B18038" s="3" t="s">
        <v>18040</v>
      </c>
      <c r="C18038" s="3" t="s">
        <v>10</v>
      </c>
      <c r="D18038" s="3" t="s">
        <v>9</v>
      </c>
      <c r="E18038" s="3">
        <v>0</v>
      </c>
      <c r="F18038" s="3">
        <v>0</v>
      </c>
      <c r="G18038" s="3">
        <v>0</v>
      </c>
      <c r="H18038" s="3">
        <v>31</v>
      </c>
      <c r="I18038" s="3">
        <v>0</v>
      </c>
      <c r="J18038" s="3">
        <v>0</v>
      </c>
      <c r="K18038" s="3">
        <v>0</v>
      </c>
      <c r="L18038" s="3">
        <v>0</v>
      </c>
      <c r="M18038" s="3">
        <v>31</v>
      </c>
      <c r="N18038" s="3">
        <v>0</v>
      </c>
      <c r="O18038" s="3" t="s">
        <v>10</v>
      </c>
      <c r="P18038" s="3" t="s">
        <v>9</v>
      </c>
      <c r="Q18038" s="3"/>
    </row>
    <row r="18039" spans="1:17" ht="15" x14ac:dyDescent="0.25">
      <c r="A18039" s="3">
        <f>18032</f>
        <v>18032</v>
      </c>
      <c r="B18039" s="3" t="s">
        <v>18041</v>
      </c>
      <c r="C18039" s="3" t="s">
        <v>10</v>
      </c>
      <c r="D18039" s="3" t="s">
        <v>9</v>
      </c>
      <c r="E18039" s="3">
        <v>0</v>
      </c>
      <c r="F18039" s="3">
        <v>0</v>
      </c>
      <c r="G18039" s="3">
        <v>0</v>
      </c>
      <c r="H18039" s="3">
        <v>31</v>
      </c>
      <c r="I18039" s="3">
        <v>0</v>
      </c>
      <c r="J18039" s="3">
        <v>0</v>
      </c>
      <c r="K18039" s="3">
        <v>0</v>
      </c>
      <c r="L18039" s="3">
        <v>0</v>
      </c>
      <c r="M18039" s="3">
        <v>31</v>
      </c>
      <c r="N18039" s="3">
        <v>0</v>
      </c>
      <c r="O18039" s="3" t="s">
        <v>10</v>
      </c>
      <c r="P18039" s="3" t="s">
        <v>9</v>
      </c>
      <c r="Q18039" s="3"/>
    </row>
    <row r="18040" spans="1:17" ht="15" x14ac:dyDescent="0.25">
      <c r="A18040" s="3">
        <f>18033</f>
        <v>18033</v>
      </c>
      <c r="B18040" s="3" t="s">
        <v>18042</v>
      </c>
      <c r="C18040" s="3" t="s">
        <v>10</v>
      </c>
      <c r="D18040" s="3" t="s">
        <v>9</v>
      </c>
      <c r="E18040" s="3">
        <v>0</v>
      </c>
      <c r="F18040" s="3">
        <v>0</v>
      </c>
      <c r="G18040" s="3">
        <v>0</v>
      </c>
      <c r="H18040" s="3">
        <v>31</v>
      </c>
      <c r="I18040" s="3">
        <v>0</v>
      </c>
      <c r="J18040" s="3">
        <v>0</v>
      </c>
      <c r="K18040" s="3">
        <v>0</v>
      </c>
      <c r="L18040" s="3">
        <v>0</v>
      </c>
      <c r="M18040" s="3">
        <v>31</v>
      </c>
      <c r="N18040" s="3">
        <v>0</v>
      </c>
      <c r="O18040" s="3" t="s">
        <v>10</v>
      </c>
      <c r="P18040" s="3" t="s">
        <v>9</v>
      </c>
      <c r="Q18040" s="3"/>
    </row>
    <row r="18041" spans="1:17" ht="15" x14ac:dyDescent="0.25">
      <c r="A18041" s="3">
        <f>18034</f>
        <v>18034</v>
      </c>
      <c r="B18041" s="3" t="s">
        <v>18043</v>
      </c>
      <c r="C18041" s="3" t="s">
        <v>10</v>
      </c>
      <c r="D18041" s="3" t="s">
        <v>9</v>
      </c>
      <c r="E18041" s="3">
        <v>0</v>
      </c>
      <c r="F18041" s="3">
        <v>0</v>
      </c>
      <c r="G18041" s="3">
        <v>0</v>
      </c>
      <c r="H18041" s="3">
        <v>31</v>
      </c>
      <c r="I18041" s="3">
        <v>0</v>
      </c>
      <c r="J18041" s="3">
        <v>0</v>
      </c>
      <c r="K18041" s="3">
        <v>0</v>
      </c>
      <c r="L18041" s="3">
        <v>0</v>
      </c>
      <c r="M18041" s="3">
        <v>31</v>
      </c>
      <c r="N18041" s="3">
        <v>0</v>
      </c>
      <c r="O18041" s="3" t="s">
        <v>10</v>
      </c>
      <c r="P18041" s="3" t="s">
        <v>9</v>
      </c>
      <c r="Q18041" s="3"/>
    </row>
    <row r="18042" spans="1:17" ht="15" x14ac:dyDescent="0.25">
      <c r="A18042" s="3">
        <f>18035</f>
        <v>18035</v>
      </c>
      <c r="B18042" s="3" t="s">
        <v>18044</v>
      </c>
      <c r="C18042" s="3" t="s">
        <v>10</v>
      </c>
      <c r="D18042" s="3" t="s">
        <v>9</v>
      </c>
      <c r="E18042" s="3">
        <v>0</v>
      </c>
      <c r="F18042" s="3">
        <v>0</v>
      </c>
      <c r="G18042" s="3">
        <v>0</v>
      </c>
      <c r="H18042" s="3">
        <v>31</v>
      </c>
      <c r="I18042" s="3">
        <v>0</v>
      </c>
      <c r="J18042" s="3">
        <v>0</v>
      </c>
      <c r="K18042" s="3">
        <v>0</v>
      </c>
      <c r="L18042" s="3">
        <v>0</v>
      </c>
      <c r="M18042" s="3">
        <v>31</v>
      </c>
      <c r="N18042" s="3">
        <v>0</v>
      </c>
      <c r="O18042" s="3" t="s">
        <v>10</v>
      </c>
      <c r="P18042" s="3" t="s">
        <v>9</v>
      </c>
      <c r="Q18042" s="3"/>
    </row>
    <row r="18043" spans="1:17" ht="15" x14ac:dyDescent="0.25">
      <c r="A18043" s="3">
        <f>18036</f>
        <v>18036</v>
      </c>
      <c r="B18043" s="3" t="s">
        <v>18045</v>
      </c>
      <c r="C18043" s="3" t="s">
        <v>10</v>
      </c>
      <c r="D18043" s="3" t="s">
        <v>9</v>
      </c>
      <c r="E18043" s="3">
        <v>0</v>
      </c>
      <c r="F18043" s="3">
        <v>0</v>
      </c>
      <c r="G18043" s="3">
        <v>0</v>
      </c>
      <c r="H18043" s="3">
        <v>31</v>
      </c>
      <c r="I18043" s="3">
        <v>0</v>
      </c>
      <c r="J18043" s="3">
        <v>0</v>
      </c>
      <c r="K18043" s="3">
        <v>0</v>
      </c>
      <c r="L18043" s="3">
        <v>0</v>
      </c>
      <c r="M18043" s="3">
        <v>31</v>
      </c>
      <c r="N18043" s="3">
        <v>0</v>
      </c>
      <c r="O18043" s="3" t="s">
        <v>10</v>
      </c>
      <c r="P18043" s="3" t="s">
        <v>9</v>
      </c>
      <c r="Q18043" s="3"/>
    </row>
    <row r="18044" spans="1:17" ht="15" x14ac:dyDescent="0.25">
      <c r="A18044" s="3">
        <f>18037</f>
        <v>18037</v>
      </c>
      <c r="B18044" s="3" t="s">
        <v>18046</v>
      </c>
      <c r="C18044" s="3" t="s">
        <v>10</v>
      </c>
      <c r="D18044" s="3" t="s">
        <v>9</v>
      </c>
      <c r="E18044" s="3">
        <v>0</v>
      </c>
      <c r="F18044" s="3">
        <v>0</v>
      </c>
      <c r="G18044" s="3">
        <v>0</v>
      </c>
      <c r="H18044" s="3">
        <v>31</v>
      </c>
      <c r="I18044" s="3">
        <v>0</v>
      </c>
      <c r="J18044" s="3">
        <v>0</v>
      </c>
      <c r="K18044" s="3">
        <v>0</v>
      </c>
      <c r="L18044" s="3">
        <v>0</v>
      </c>
      <c r="M18044" s="3">
        <v>31</v>
      </c>
      <c r="N18044" s="3">
        <v>0</v>
      </c>
      <c r="O18044" s="3" t="s">
        <v>10</v>
      </c>
      <c r="P18044" s="3" t="s">
        <v>9</v>
      </c>
      <c r="Q18044" s="3"/>
    </row>
    <row r="18045" spans="1:17" ht="15" x14ac:dyDescent="0.25">
      <c r="A18045" s="3">
        <f>18038</f>
        <v>18038</v>
      </c>
      <c r="B18045" s="3" t="s">
        <v>18047</v>
      </c>
      <c r="C18045" s="3" t="s">
        <v>10</v>
      </c>
      <c r="D18045" s="3" t="s">
        <v>9</v>
      </c>
      <c r="E18045" s="3">
        <v>0</v>
      </c>
      <c r="F18045" s="3">
        <v>0</v>
      </c>
      <c r="G18045" s="3">
        <v>0</v>
      </c>
      <c r="H18045" s="3">
        <v>31</v>
      </c>
      <c r="I18045" s="3">
        <v>0</v>
      </c>
      <c r="J18045" s="3">
        <v>0</v>
      </c>
      <c r="K18045" s="3">
        <v>0</v>
      </c>
      <c r="L18045" s="3">
        <v>0</v>
      </c>
      <c r="M18045" s="3">
        <v>31</v>
      </c>
      <c r="N18045" s="3">
        <v>0</v>
      </c>
      <c r="O18045" s="3" t="s">
        <v>10</v>
      </c>
      <c r="P18045" s="3" t="s">
        <v>9</v>
      </c>
      <c r="Q18045" s="3"/>
    </row>
    <row r="18046" spans="1:17" ht="15" x14ac:dyDescent="0.25">
      <c r="A18046" s="3">
        <f>18039</f>
        <v>18039</v>
      </c>
      <c r="B18046" s="3" t="s">
        <v>18048</v>
      </c>
      <c r="C18046" s="3" t="s">
        <v>10</v>
      </c>
      <c r="D18046" s="3" t="s">
        <v>9</v>
      </c>
      <c r="E18046" s="3">
        <v>0</v>
      </c>
      <c r="F18046" s="3">
        <v>0</v>
      </c>
      <c r="G18046" s="3">
        <v>0</v>
      </c>
      <c r="H18046" s="3">
        <v>31</v>
      </c>
      <c r="I18046" s="3">
        <v>0</v>
      </c>
      <c r="J18046" s="3">
        <v>0</v>
      </c>
      <c r="K18046" s="3">
        <v>0</v>
      </c>
      <c r="L18046" s="3">
        <v>0</v>
      </c>
      <c r="M18046" s="3">
        <v>31</v>
      </c>
      <c r="N18046" s="3">
        <v>0</v>
      </c>
      <c r="O18046" s="3" t="s">
        <v>10</v>
      </c>
      <c r="P18046" s="3" t="s">
        <v>9</v>
      </c>
      <c r="Q18046" s="3"/>
    </row>
    <row r="18047" spans="1:17" ht="15" x14ac:dyDescent="0.25">
      <c r="A18047" s="3">
        <f>18040</f>
        <v>18040</v>
      </c>
      <c r="B18047" s="3" t="s">
        <v>18049</v>
      </c>
      <c r="C18047" s="3" t="s">
        <v>10</v>
      </c>
      <c r="D18047" s="3" t="s">
        <v>9</v>
      </c>
      <c r="E18047" s="3">
        <v>0</v>
      </c>
      <c r="F18047" s="3">
        <v>0</v>
      </c>
      <c r="G18047" s="3">
        <v>0</v>
      </c>
      <c r="H18047" s="3">
        <v>31</v>
      </c>
      <c r="I18047" s="3">
        <v>0</v>
      </c>
      <c r="J18047" s="3">
        <v>0</v>
      </c>
      <c r="K18047" s="3">
        <v>0</v>
      </c>
      <c r="L18047" s="3">
        <v>0</v>
      </c>
      <c r="M18047" s="3">
        <v>31</v>
      </c>
      <c r="N18047" s="3">
        <v>0</v>
      </c>
      <c r="O18047" s="3" t="s">
        <v>10</v>
      </c>
      <c r="P18047" s="3" t="s">
        <v>9</v>
      </c>
      <c r="Q18047" s="3"/>
    </row>
    <row r="18048" spans="1:17" ht="15" x14ac:dyDescent="0.25">
      <c r="A18048" s="3">
        <f>18041</f>
        <v>18041</v>
      </c>
      <c r="B18048" s="3" t="s">
        <v>18050</v>
      </c>
      <c r="C18048" s="3" t="s">
        <v>10</v>
      </c>
      <c r="D18048" s="3" t="s">
        <v>9</v>
      </c>
      <c r="E18048" s="3">
        <v>0</v>
      </c>
      <c r="F18048" s="3">
        <v>0</v>
      </c>
      <c r="G18048" s="3">
        <v>0</v>
      </c>
      <c r="H18048" s="3">
        <v>31</v>
      </c>
      <c r="I18048" s="3">
        <v>0</v>
      </c>
      <c r="J18048" s="3">
        <v>0</v>
      </c>
      <c r="K18048" s="3">
        <v>0</v>
      </c>
      <c r="L18048" s="3">
        <v>0</v>
      </c>
      <c r="M18048" s="3">
        <v>31</v>
      </c>
      <c r="N18048" s="3">
        <v>0</v>
      </c>
      <c r="O18048" s="3" t="s">
        <v>10</v>
      </c>
      <c r="P18048" s="3" t="s">
        <v>9</v>
      </c>
      <c r="Q18048" s="3"/>
    </row>
    <row r="18049" spans="1:17" ht="15" x14ac:dyDescent="0.25">
      <c r="A18049" s="3">
        <f>18042</f>
        <v>18042</v>
      </c>
      <c r="B18049" s="3" t="s">
        <v>18051</v>
      </c>
      <c r="C18049" s="3" t="s">
        <v>10</v>
      </c>
      <c r="D18049" s="3" t="s">
        <v>9</v>
      </c>
      <c r="E18049" s="3">
        <v>0</v>
      </c>
      <c r="F18049" s="3">
        <v>0</v>
      </c>
      <c r="G18049" s="3">
        <v>0</v>
      </c>
      <c r="H18049" s="3">
        <v>31</v>
      </c>
      <c r="I18049" s="3">
        <v>0</v>
      </c>
      <c r="J18049" s="3">
        <v>0</v>
      </c>
      <c r="K18049" s="3">
        <v>0</v>
      </c>
      <c r="L18049" s="3">
        <v>0</v>
      </c>
      <c r="M18049" s="3">
        <v>31</v>
      </c>
      <c r="N18049" s="3">
        <v>0</v>
      </c>
      <c r="O18049" s="3" t="s">
        <v>10</v>
      </c>
      <c r="P18049" s="3" t="s">
        <v>9</v>
      </c>
      <c r="Q18049" s="3"/>
    </row>
    <row r="18050" spans="1:17" ht="15" x14ac:dyDescent="0.25">
      <c r="A18050" s="3">
        <f>18043</f>
        <v>18043</v>
      </c>
      <c r="B18050" s="3" t="s">
        <v>18052</v>
      </c>
      <c r="C18050" s="3" t="s">
        <v>10</v>
      </c>
      <c r="D18050" s="3" t="s">
        <v>9</v>
      </c>
      <c r="E18050" s="3">
        <v>0</v>
      </c>
      <c r="F18050" s="3">
        <v>0</v>
      </c>
      <c r="G18050" s="3">
        <v>0</v>
      </c>
      <c r="H18050" s="3">
        <v>31</v>
      </c>
      <c r="I18050" s="3">
        <v>0</v>
      </c>
      <c r="J18050" s="3">
        <v>0</v>
      </c>
      <c r="K18050" s="3">
        <v>0</v>
      </c>
      <c r="L18050" s="3">
        <v>0</v>
      </c>
      <c r="M18050" s="3">
        <v>31</v>
      </c>
      <c r="N18050" s="3">
        <v>0</v>
      </c>
      <c r="O18050" s="3" t="s">
        <v>10</v>
      </c>
      <c r="P18050" s="3" t="s">
        <v>9</v>
      </c>
      <c r="Q18050" s="3"/>
    </row>
    <row r="18051" spans="1:17" ht="15" x14ac:dyDescent="0.25">
      <c r="A18051" s="3">
        <f>18044</f>
        <v>18044</v>
      </c>
      <c r="B18051" s="3" t="s">
        <v>18053</v>
      </c>
      <c r="C18051" s="3" t="s">
        <v>10</v>
      </c>
      <c r="D18051" s="3" t="s">
        <v>9</v>
      </c>
      <c r="E18051" s="3">
        <v>0</v>
      </c>
      <c r="F18051" s="3">
        <v>0</v>
      </c>
      <c r="G18051" s="3">
        <v>0</v>
      </c>
      <c r="H18051" s="3">
        <v>31</v>
      </c>
      <c r="I18051" s="3">
        <v>0</v>
      </c>
      <c r="J18051" s="3">
        <v>0</v>
      </c>
      <c r="K18051" s="3">
        <v>0</v>
      </c>
      <c r="L18051" s="3">
        <v>0</v>
      </c>
      <c r="M18051" s="3">
        <v>31</v>
      </c>
      <c r="N18051" s="3">
        <v>0</v>
      </c>
      <c r="O18051" s="3" t="s">
        <v>10</v>
      </c>
      <c r="P18051" s="3" t="s">
        <v>9</v>
      </c>
      <c r="Q18051" s="3"/>
    </row>
    <row r="18052" spans="1:17" ht="15" x14ac:dyDescent="0.25">
      <c r="A18052" s="3">
        <f>18045</f>
        <v>18045</v>
      </c>
      <c r="B18052" s="3" t="s">
        <v>18054</v>
      </c>
      <c r="C18052" s="3" t="s">
        <v>10</v>
      </c>
      <c r="D18052" s="3" t="s">
        <v>9</v>
      </c>
      <c r="E18052" s="3">
        <v>0</v>
      </c>
      <c r="F18052" s="3">
        <v>0</v>
      </c>
      <c r="G18052" s="3">
        <v>0</v>
      </c>
      <c r="H18052" s="3">
        <v>31</v>
      </c>
      <c r="I18052" s="3">
        <v>0</v>
      </c>
      <c r="J18052" s="3">
        <v>0</v>
      </c>
      <c r="K18052" s="3">
        <v>0</v>
      </c>
      <c r="L18052" s="3">
        <v>0</v>
      </c>
      <c r="M18052" s="3">
        <v>31</v>
      </c>
      <c r="N18052" s="3">
        <v>0</v>
      </c>
      <c r="O18052" s="3" t="s">
        <v>10</v>
      </c>
      <c r="P18052" s="3" t="s">
        <v>9</v>
      </c>
      <c r="Q18052" s="3"/>
    </row>
    <row r="18053" spans="1:17" ht="15" x14ac:dyDescent="0.25">
      <c r="A18053" s="3">
        <f>18046</f>
        <v>18046</v>
      </c>
      <c r="B18053" s="3" t="s">
        <v>18055</v>
      </c>
      <c r="C18053" s="3" t="s">
        <v>10</v>
      </c>
      <c r="D18053" s="3" t="s">
        <v>9</v>
      </c>
      <c r="E18053" s="3">
        <v>0</v>
      </c>
      <c r="F18053" s="3">
        <v>0</v>
      </c>
      <c r="G18053" s="3">
        <v>0</v>
      </c>
      <c r="H18053" s="3">
        <v>31</v>
      </c>
      <c r="I18053" s="3">
        <v>0</v>
      </c>
      <c r="J18053" s="3">
        <v>0</v>
      </c>
      <c r="K18053" s="3">
        <v>0</v>
      </c>
      <c r="L18053" s="3">
        <v>0</v>
      </c>
      <c r="M18053" s="3">
        <v>31</v>
      </c>
      <c r="N18053" s="3">
        <v>0</v>
      </c>
      <c r="O18053" s="3" t="s">
        <v>10</v>
      </c>
      <c r="P18053" s="3" t="s">
        <v>9</v>
      </c>
      <c r="Q18053" s="3"/>
    </row>
    <row r="18054" spans="1:17" ht="15" x14ac:dyDescent="0.25">
      <c r="A18054" s="3">
        <f>18047</f>
        <v>18047</v>
      </c>
      <c r="B18054" s="3" t="s">
        <v>18056</v>
      </c>
      <c r="C18054" s="3" t="s">
        <v>10</v>
      </c>
      <c r="D18054" s="3" t="s">
        <v>9</v>
      </c>
      <c r="E18054" s="3">
        <v>0</v>
      </c>
      <c r="F18054" s="3">
        <v>0</v>
      </c>
      <c r="G18054" s="3">
        <v>0</v>
      </c>
      <c r="H18054" s="3">
        <v>31</v>
      </c>
      <c r="I18054" s="3">
        <v>0</v>
      </c>
      <c r="J18054" s="3">
        <v>0</v>
      </c>
      <c r="K18054" s="3">
        <v>0</v>
      </c>
      <c r="L18054" s="3">
        <v>0</v>
      </c>
      <c r="M18054" s="3">
        <v>31</v>
      </c>
      <c r="N18054" s="3">
        <v>0</v>
      </c>
      <c r="O18054" s="3" t="s">
        <v>10</v>
      </c>
      <c r="P18054" s="3" t="s">
        <v>9</v>
      </c>
      <c r="Q18054" s="3"/>
    </row>
    <row r="18055" spans="1:17" ht="15" x14ac:dyDescent="0.25">
      <c r="A18055" s="3">
        <f>18048</f>
        <v>18048</v>
      </c>
      <c r="B18055" s="3" t="s">
        <v>18057</v>
      </c>
      <c r="C18055" s="3" t="s">
        <v>10</v>
      </c>
      <c r="D18055" s="3" t="s">
        <v>9</v>
      </c>
      <c r="E18055" s="3">
        <v>0</v>
      </c>
      <c r="F18055" s="3">
        <v>0</v>
      </c>
      <c r="G18055" s="3">
        <v>0</v>
      </c>
      <c r="H18055" s="3">
        <v>31</v>
      </c>
      <c r="I18055" s="3">
        <v>0</v>
      </c>
      <c r="J18055" s="3">
        <v>0</v>
      </c>
      <c r="K18055" s="3">
        <v>0</v>
      </c>
      <c r="L18055" s="3">
        <v>0</v>
      </c>
      <c r="M18055" s="3">
        <v>31</v>
      </c>
      <c r="N18055" s="3">
        <v>0</v>
      </c>
      <c r="O18055" s="3" t="s">
        <v>10</v>
      </c>
      <c r="P18055" s="3" t="s">
        <v>9</v>
      </c>
      <c r="Q18055" s="3"/>
    </row>
    <row r="18056" spans="1:17" ht="15" x14ac:dyDescent="0.25">
      <c r="A18056" s="3">
        <f>18049</f>
        <v>18049</v>
      </c>
      <c r="B18056" s="3" t="s">
        <v>18058</v>
      </c>
      <c r="C18056" s="3" t="s">
        <v>10</v>
      </c>
      <c r="D18056" s="3" t="s">
        <v>9</v>
      </c>
      <c r="E18056" s="3">
        <v>0</v>
      </c>
      <c r="F18056" s="3">
        <v>0</v>
      </c>
      <c r="G18056" s="3">
        <v>0</v>
      </c>
      <c r="H18056" s="3">
        <v>31</v>
      </c>
      <c r="I18056" s="3">
        <v>0</v>
      </c>
      <c r="J18056" s="3">
        <v>0</v>
      </c>
      <c r="K18056" s="3">
        <v>0</v>
      </c>
      <c r="L18056" s="3">
        <v>0</v>
      </c>
      <c r="M18056" s="3">
        <v>31</v>
      </c>
      <c r="N18056" s="3">
        <v>0</v>
      </c>
      <c r="O18056" s="3" t="s">
        <v>10</v>
      </c>
      <c r="P18056" s="3" t="s">
        <v>9</v>
      </c>
      <c r="Q18056" s="3"/>
    </row>
    <row r="18057" spans="1:17" ht="15" x14ac:dyDescent="0.25">
      <c r="A18057" s="3">
        <f>18050</f>
        <v>18050</v>
      </c>
      <c r="B18057" s="3" t="s">
        <v>18059</v>
      </c>
      <c r="C18057" s="3" t="s">
        <v>10</v>
      </c>
      <c r="D18057" s="3" t="s">
        <v>9</v>
      </c>
      <c r="E18057" s="3">
        <v>0</v>
      </c>
      <c r="F18057" s="3">
        <v>0</v>
      </c>
      <c r="G18057" s="3">
        <v>0</v>
      </c>
      <c r="H18057" s="3">
        <v>31</v>
      </c>
      <c r="I18057" s="3">
        <v>0</v>
      </c>
      <c r="J18057" s="3">
        <v>0</v>
      </c>
      <c r="K18057" s="3">
        <v>0</v>
      </c>
      <c r="L18057" s="3">
        <v>0</v>
      </c>
      <c r="M18057" s="3">
        <v>31</v>
      </c>
      <c r="N18057" s="3">
        <v>0</v>
      </c>
      <c r="O18057" s="3" t="s">
        <v>10</v>
      </c>
      <c r="P18057" s="3" t="s">
        <v>9</v>
      </c>
      <c r="Q18057" s="3"/>
    </row>
    <row r="18058" spans="1:17" ht="15" x14ac:dyDescent="0.25">
      <c r="A18058" s="3">
        <f>18051</f>
        <v>18051</v>
      </c>
      <c r="B18058" s="3" t="s">
        <v>18060</v>
      </c>
      <c r="C18058" s="3" t="s">
        <v>10</v>
      </c>
      <c r="D18058" s="3" t="s">
        <v>9</v>
      </c>
      <c r="E18058" s="3">
        <v>0</v>
      </c>
      <c r="F18058" s="3">
        <v>0</v>
      </c>
      <c r="G18058" s="3">
        <v>0</v>
      </c>
      <c r="H18058" s="3">
        <v>31</v>
      </c>
      <c r="I18058" s="3">
        <v>0</v>
      </c>
      <c r="J18058" s="3">
        <v>0</v>
      </c>
      <c r="K18058" s="3">
        <v>0</v>
      </c>
      <c r="L18058" s="3">
        <v>0</v>
      </c>
      <c r="M18058" s="3">
        <v>31</v>
      </c>
      <c r="N18058" s="3">
        <v>0</v>
      </c>
      <c r="O18058" s="3" t="s">
        <v>10</v>
      </c>
      <c r="P18058" s="3" t="s">
        <v>9</v>
      </c>
      <c r="Q18058" s="3"/>
    </row>
    <row r="18059" spans="1:17" ht="15" x14ac:dyDescent="0.25">
      <c r="A18059" s="3">
        <f>18052</f>
        <v>18052</v>
      </c>
      <c r="B18059" s="3" t="s">
        <v>18061</v>
      </c>
      <c r="C18059" s="3" t="s">
        <v>10</v>
      </c>
      <c r="D18059" s="3" t="s">
        <v>9</v>
      </c>
      <c r="E18059" s="3">
        <v>0</v>
      </c>
      <c r="F18059" s="3">
        <v>0</v>
      </c>
      <c r="G18059" s="3">
        <v>0</v>
      </c>
      <c r="H18059" s="3">
        <v>31</v>
      </c>
      <c r="I18059" s="3">
        <v>0</v>
      </c>
      <c r="J18059" s="3">
        <v>0</v>
      </c>
      <c r="K18059" s="3">
        <v>0</v>
      </c>
      <c r="L18059" s="3">
        <v>0</v>
      </c>
      <c r="M18059" s="3">
        <v>31</v>
      </c>
      <c r="N18059" s="3">
        <v>0</v>
      </c>
      <c r="O18059" s="3" t="s">
        <v>10</v>
      </c>
      <c r="P18059" s="3" t="s">
        <v>9</v>
      </c>
      <c r="Q18059" s="3"/>
    </row>
    <row r="18060" spans="1:17" ht="15" x14ac:dyDescent="0.25">
      <c r="A18060" s="3">
        <f>18053</f>
        <v>18053</v>
      </c>
      <c r="B18060" s="3" t="s">
        <v>18062</v>
      </c>
      <c r="C18060" s="3" t="s">
        <v>10</v>
      </c>
      <c r="D18060" s="3" t="s">
        <v>9</v>
      </c>
      <c r="E18060" s="3">
        <v>0</v>
      </c>
      <c r="F18060" s="3">
        <v>0</v>
      </c>
      <c r="G18060" s="3">
        <v>0</v>
      </c>
      <c r="H18060" s="3">
        <v>31</v>
      </c>
      <c r="I18060" s="3">
        <v>0</v>
      </c>
      <c r="J18060" s="3">
        <v>0</v>
      </c>
      <c r="K18060" s="3">
        <v>0</v>
      </c>
      <c r="L18060" s="3">
        <v>0</v>
      </c>
      <c r="M18060" s="3">
        <v>31</v>
      </c>
      <c r="N18060" s="3">
        <v>0</v>
      </c>
      <c r="O18060" s="3" t="s">
        <v>10</v>
      </c>
      <c r="P18060" s="3" t="s">
        <v>9</v>
      </c>
      <c r="Q18060" s="3"/>
    </row>
    <row r="18061" spans="1:17" ht="15" x14ac:dyDescent="0.25">
      <c r="A18061" s="3">
        <f>18054</f>
        <v>18054</v>
      </c>
      <c r="B18061" s="3" t="s">
        <v>18063</v>
      </c>
      <c r="C18061" s="3" t="s">
        <v>10</v>
      </c>
      <c r="D18061" s="3" t="s">
        <v>9</v>
      </c>
      <c r="E18061" s="3">
        <v>0</v>
      </c>
      <c r="F18061" s="3">
        <v>0</v>
      </c>
      <c r="G18061" s="3">
        <v>0</v>
      </c>
      <c r="H18061" s="3">
        <v>31</v>
      </c>
      <c r="I18061" s="3">
        <v>0</v>
      </c>
      <c r="J18061" s="3">
        <v>0</v>
      </c>
      <c r="K18061" s="3">
        <v>0</v>
      </c>
      <c r="L18061" s="3">
        <v>0</v>
      </c>
      <c r="M18061" s="3">
        <v>31</v>
      </c>
      <c r="N18061" s="3">
        <v>0</v>
      </c>
      <c r="O18061" s="3" t="s">
        <v>10</v>
      </c>
      <c r="P18061" s="3" t="s">
        <v>9</v>
      </c>
      <c r="Q18061" s="3"/>
    </row>
    <row r="18062" spans="1:17" ht="15" x14ac:dyDescent="0.25">
      <c r="A18062" s="3">
        <f>18055</f>
        <v>18055</v>
      </c>
      <c r="B18062" s="3" t="s">
        <v>18064</v>
      </c>
      <c r="C18062" s="3" t="s">
        <v>10</v>
      </c>
      <c r="D18062" s="3" t="s">
        <v>9</v>
      </c>
      <c r="E18062" s="3">
        <v>0</v>
      </c>
      <c r="F18062" s="3">
        <v>0</v>
      </c>
      <c r="G18062" s="3">
        <v>0</v>
      </c>
      <c r="H18062" s="3">
        <v>31</v>
      </c>
      <c r="I18062" s="3">
        <v>0</v>
      </c>
      <c r="J18062" s="3">
        <v>0</v>
      </c>
      <c r="K18062" s="3">
        <v>0</v>
      </c>
      <c r="L18062" s="3">
        <v>0</v>
      </c>
      <c r="M18062" s="3">
        <v>31</v>
      </c>
      <c r="N18062" s="3">
        <v>0</v>
      </c>
      <c r="O18062" s="3" t="s">
        <v>10</v>
      </c>
      <c r="P18062" s="3" t="s">
        <v>9</v>
      </c>
      <c r="Q18062" s="3"/>
    </row>
    <row r="18063" spans="1:17" ht="15" x14ac:dyDescent="0.25">
      <c r="A18063" s="3">
        <f>18056</f>
        <v>18056</v>
      </c>
      <c r="B18063" s="3" t="s">
        <v>18065</v>
      </c>
      <c r="C18063" s="3" t="s">
        <v>10</v>
      </c>
      <c r="D18063" s="3" t="s">
        <v>9</v>
      </c>
      <c r="E18063" s="3">
        <v>0</v>
      </c>
      <c r="F18063" s="3">
        <v>0</v>
      </c>
      <c r="G18063" s="3">
        <v>0</v>
      </c>
      <c r="H18063" s="3">
        <v>31</v>
      </c>
      <c r="I18063" s="3">
        <v>0</v>
      </c>
      <c r="J18063" s="3">
        <v>0</v>
      </c>
      <c r="K18063" s="3">
        <v>0</v>
      </c>
      <c r="L18063" s="3">
        <v>0</v>
      </c>
      <c r="M18063" s="3">
        <v>31</v>
      </c>
      <c r="N18063" s="3">
        <v>0</v>
      </c>
      <c r="O18063" s="3" t="s">
        <v>10</v>
      </c>
      <c r="P18063" s="3" t="s">
        <v>9</v>
      </c>
      <c r="Q18063" s="3"/>
    </row>
    <row r="18064" spans="1:17" ht="15" x14ac:dyDescent="0.25">
      <c r="A18064" s="3">
        <f>18057</f>
        <v>18057</v>
      </c>
      <c r="B18064" s="3" t="s">
        <v>18066</v>
      </c>
      <c r="C18064" s="3" t="s">
        <v>10</v>
      </c>
      <c r="D18064" s="3" t="s">
        <v>9</v>
      </c>
      <c r="E18064" s="3">
        <v>0</v>
      </c>
      <c r="F18064" s="3">
        <v>0</v>
      </c>
      <c r="G18064" s="3">
        <v>0</v>
      </c>
      <c r="H18064" s="3">
        <v>31</v>
      </c>
      <c r="I18064" s="3">
        <v>0</v>
      </c>
      <c r="J18064" s="3">
        <v>0</v>
      </c>
      <c r="K18064" s="3">
        <v>0</v>
      </c>
      <c r="L18064" s="3">
        <v>0</v>
      </c>
      <c r="M18064" s="3">
        <v>31</v>
      </c>
      <c r="N18064" s="3">
        <v>0</v>
      </c>
      <c r="O18064" s="3" t="s">
        <v>10</v>
      </c>
      <c r="P18064" s="3" t="s">
        <v>9</v>
      </c>
      <c r="Q18064" s="3"/>
    </row>
    <row r="18065" spans="1:17" ht="15" x14ac:dyDescent="0.25">
      <c r="A18065" s="3">
        <f>18058</f>
        <v>18058</v>
      </c>
      <c r="B18065" s="3" t="s">
        <v>18067</v>
      </c>
      <c r="C18065" s="3" t="s">
        <v>10</v>
      </c>
      <c r="D18065" s="3" t="s">
        <v>9</v>
      </c>
      <c r="E18065" s="3">
        <v>0</v>
      </c>
      <c r="F18065" s="3">
        <v>0</v>
      </c>
      <c r="G18065" s="3">
        <v>0</v>
      </c>
      <c r="H18065" s="3">
        <v>31</v>
      </c>
      <c r="I18065" s="3">
        <v>0</v>
      </c>
      <c r="J18065" s="3">
        <v>0</v>
      </c>
      <c r="K18065" s="3">
        <v>0</v>
      </c>
      <c r="L18065" s="3">
        <v>0</v>
      </c>
      <c r="M18065" s="3">
        <v>31</v>
      </c>
      <c r="N18065" s="3">
        <v>0</v>
      </c>
      <c r="O18065" s="3" t="s">
        <v>10</v>
      </c>
      <c r="P18065" s="3" t="s">
        <v>9</v>
      </c>
      <c r="Q18065" s="3"/>
    </row>
    <row r="18066" spans="1:17" ht="15" x14ac:dyDescent="0.25">
      <c r="A18066" s="3">
        <f>18059</f>
        <v>18059</v>
      </c>
      <c r="B18066" s="3" t="s">
        <v>18068</v>
      </c>
      <c r="C18066" s="3" t="s">
        <v>10</v>
      </c>
      <c r="D18066" s="3" t="s">
        <v>9</v>
      </c>
      <c r="E18066" s="3">
        <v>0</v>
      </c>
      <c r="F18066" s="3">
        <v>0</v>
      </c>
      <c r="G18066" s="3">
        <v>0</v>
      </c>
      <c r="H18066" s="3">
        <v>31</v>
      </c>
      <c r="I18066" s="3">
        <v>0</v>
      </c>
      <c r="J18066" s="3">
        <v>0</v>
      </c>
      <c r="K18066" s="3">
        <v>0</v>
      </c>
      <c r="L18066" s="3">
        <v>0</v>
      </c>
      <c r="M18066" s="3">
        <v>31</v>
      </c>
      <c r="N18066" s="3">
        <v>0</v>
      </c>
      <c r="O18066" s="3" t="s">
        <v>10</v>
      </c>
      <c r="P18066" s="3" t="s">
        <v>9</v>
      </c>
      <c r="Q18066" s="3"/>
    </row>
    <row r="18067" spans="1:17" ht="15" x14ac:dyDescent="0.25">
      <c r="A18067" s="3">
        <f>18060</f>
        <v>18060</v>
      </c>
      <c r="B18067" s="3" t="s">
        <v>18069</v>
      </c>
      <c r="C18067" s="3" t="s">
        <v>10</v>
      </c>
      <c r="D18067" s="3" t="s">
        <v>9</v>
      </c>
      <c r="E18067" s="3">
        <v>0</v>
      </c>
      <c r="F18067" s="3">
        <v>0</v>
      </c>
      <c r="G18067" s="3">
        <v>0</v>
      </c>
      <c r="H18067" s="3">
        <v>31</v>
      </c>
      <c r="I18067" s="3">
        <v>0</v>
      </c>
      <c r="J18067" s="3">
        <v>0</v>
      </c>
      <c r="K18067" s="3">
        <v>0</v>
      </c>
      <c r="L18067" s="3">
        <v>0</v>
      </c>
      <c r="M18067" s="3">
        <v>31</v>
      </c>
      <c r="N18067" s="3">
        <v>0</v>
      </c>
      <c r="O18067" s="3" t="s">
        <v>10</v>
      </c>
      <c r="P18067" s="3" t="s">
        <v>9</v>
      </c>
      <c r="Q18067" s="3"/>
    </row>
    <row r="18068" spans="1:17" ht="15" x14ac:dyDescent="0.25">
      <c r="A18068" s="3">
        <f>18061</f>
        <v>18061</v>
      </c>
      <c r="B18068" s="3" t="s">
        <v>18070</v>
      </c>
      <c r="C18068" s="3" t="s">
        <v>10</v>
      </c>
      <c r="D18068" s="3" t="s">
        <v>9</v>
      </c>
      <c r="E18068" s="3">
        <v>0</v>
      </c>
      <c r="F18068" s="3">
        <v>0</v>
      </c>
      <c r="G18068" s="3">
        <v>0</v>
      </c>
      <c r="H18068" s="3">
        <v>31</v>
      </c>
      <c r="I18068" s="3">
        <v>0</v>
      </c>
      <c r="J18068" s="3">
        <v>0</v>
      </c>
      <c r="K18068" s="3">
        <v>0</v>
      </c>
      <c r="L18068" s="3">
        <v>0</v>
      </c>
      <c r="M18068" s="3">
        <v>31</v>
      </c>
      <c r="N18068" s="3">
        <v>0</v>
      </c>
      <c r="O18068" s="3" t="s">
        <v>10</v>
      </c>
      <c r="P18068" s="3" t="s">
        <v>9</v>
      </c>
      <c r="Q18068" s="3"/>
    </row>
    <row r="18069" spans="1:17" ht="15" x14ac:dyDescent="0.25">
      <c r="A18069" s="3">
        <f>18062</f>
        <v>18062</v>
      </c>
      <c r="B18069" s="3" t="s">
        <v>18071</v>
      </c>
      <c r="C18069" s="3" t="s">
        <v>10</v>
      </c>
      <c r="D18069" s="3" t="s">
        <v>9</v>
      </c>
      <c r="E18069" s="3">
        <v>0</v>
      </c>
      <c r="F18069" s="3">
        <v>0</v>
      </c>
      <c r="G18069" s="3">
        <v>0</v>
      </c>
      <c r="H18069" s="3">
        <v>31</v>
      </c>
      <c r="I18069" s="3">
        <v>0</v>
      </c>
      <c r="J18069" s="3">
        <v>0</v>
      </c>
      <c r="K18069" s="3">
        <v>0</v>
      </c>
      <c r="L18069" s="3">
        <v>0</v>
      </c>
      <c r="M18069" s="3">
        <v>31</v>
      </c>
      <c r="N18069" s="3">
        <v>0</v>
      </c>
      <c r="O18069" s="3" t="s">
        <v>10</v>
      </c>
      <c r="P18069" s="3" t="s">
        <v>9</v>
      </c>
      <c r="Q18069" s="3"/>
    </row>
    <row r="18070" spans="1:17" ht="15" x14ac:dyDescent="0.25">
      <c r="A18070" s="3">
        <f>18063</f>
        <v>18063</v>
      </c>
      <c r="B18070" s="3" t="s">
        <v>18072</v>
      </c>
      <c r="C18070" s="3" t="s">
        <v>10</v>
      </c>
      <c r="D18070" s="3" t="s">
        <v>9</v>
      </c>
      <c r="E18070" s="3">
        <v>0</v>
      </c>
      <c r="F18070" s="3">
        <v>0</v>
      </c>
      <c r="G18070" s="3">
        <v>0</v>
      </c>
      <c r="H18070" s="3">
        <v>31</v>
      </c>
      <c r="I18070" s="3">
        <v>0</v>
      </c>
      <c r="J18070" s="3">
        <v>0</v>
      </c>
      <c r="K18070" s="3">
        <v>0</v>
      </c>
      <c r="L18070" s="3">
        <v>0</v>
      </c>
      <c r="M18070" s="3">
        <v>31</v>
      </c>
      <c r="N18070" s="3">
        <v>0</v>
      </c>
      <c r="O18070" s="3" t="s">
        <v>10</v>
      </c>
      <c r="P18070" s="3" t="s">
        <v>9</v>
      </c>
      <c r="Q18070" s="3"/>
    </row>
    <row r="18071" spans="1:17" ht="15" x14ac:dyDescent="0.25">
      <c r="A18071" s="3">
        <f>18064</f>
        <v>18064</v>
      </c>
      <c r="B18071" s="3" t="s">
        <v>18073</v>
      </c>
      <c r="C18071" s="3" t="s">
        <v>10</v>
      </c>
      <c r="D18071" s="3" t="s">
        <v>9</v>
      </c>
      <c r="E18071" s="3">
        <v>0</v>
      </c>
      <c r="F18071" s="3">
        <v>0</v>
      </c>
      <c r="G18071" s="3">
        <v>0</v>
      </c>
      <c r="H18071" s="3">
        <v>31</v>
      </c>
      <c r="I18071" s="3">
        <v>0</v>
      </c>
      <c r="J18071" s="3">
        <v>0</v>
      </c>
      <c r="K18071" s="3">
        <v>0</v>
      </c>
      <c r="L18071" s="3">
        <v>0</v>
      </c>
      <c r="M18071" s="3">
        <v>31</v>
      </c>
      <c r="N18071" s="3">
        <v>0</v>
      </c>
      <c r="O18071" s="3" t="s">
        <v>10</v>
      </c>
      <c r="P18071" s="3" t="s">
        <v>9</v>
      </c>
      <c r="Q18071" s="3"/>
    </row>
    <row r="18072" spans="1:17" ht="15" x14ac:dyDescent="0.25">
      <c r="A18072" s="3">
        <f>18065</f>
        <v>18065</v>
      </c>
      <c r="B18072" s="3" t="s">
        <v>18074</v>
      </c>
      <c r="C18072" s="3" t="s">
        <v>10</v>
      </c>
      <c r="D18072" s="3" t="s">
        <v>9</v>
      </c>
      <c r="E18072" s="3">
        <v>0</v>
      </c>
      <c r="F18072" s="3">
        <v>0</v>
      </c>
      <c r="G18072" s="3">
        <v>0</v>
      </c>
      <c r="H18072" s="3">
        <v>31</v>
      </c>
      <c r="I18072" s="3">
        <v>0</v>
      </c>
      <c r="J18072" s="3">
        <v>0</v>
      </c>
      <c r="K18072" s="3">
        <v>0</v>
      </c>
      <c r="L18072" s="3">
        <v>0</v>
      </c>
      <c r="M18072" s="3">
        <v>31</v>
      </c>
      <c r="N18072" s="3">
        <v>0</v>
      </c>
      <c r="O18072" s="3" t="s">
        <v>10</v>
      </c>
      <c r="P18072" s="3" t="s">
        <v>9</v>
      </c>
      <c r="Q18072" s="3"/>
    </row>
    <row r="18073" spans="1:17" ht="15" x14ac:dyDescent="0.25">
      <c r="A18073" s="3">
        <f>18066</f>
        <v>18066</v>
      </c>
      <c r="B18073" s="3" t="s">
        <v>18075</v>
      </c>
      <c r="C18073" s="3" t="s">
        <v>10</v>
      </c>
      <c r="D18073" s="3" t="s">
        <v>9</v>
      </c>
      <c r="E18073" s="3">
        <v>0</v>
      </c>
      <c r="F18073" s="3">
        <v>0</v>
      </c>
      <c r="G18073" s="3">
        <v>0</v>
      </c>
      <c r="H18073" s="3">
        <v>31</v>
      </c>
      <c r="I18073" s="3">
        <v>0</v>
      </c>
      <c r="J18073" s="3">
        <v>0</v>
      </c>
      <c r="K18073" s="3">
        <v>0</v>
      </c>
      <c r="L18073" s="3">
        <v>0</v>
      </c>
      <c r="M18073" s="3">
        <v>31</v>
      </c>
      <c r="N18073" s="3">
        <v>0</v>
      </c>
      <c r="O18073" s="3" t="s">
        <v>10</v>
      </c>
      <c r="P18073" s="3" t="s">
        <v>9</v>
      </c>
      <c r="Q18073" s="3"/>
    </row>
    <row r="18074" spans="1:17" ht="15" x14ac:dyDescent="0.25">
      <c r="A18074" s="3">
        <f>18067</f>
        <v>18067</v>
      </c>
      <c r="B18074" s="3" t="s">
        <v>18076</v>
      </c>
      <c r="C18074" s="3" t="s">
        <v>10</v>
      </c>
      <c r="D18074" s="3" t="s">
        <v>9</v>
      </c>
      <c r="E18074" s="3">
        <v>0</v>
      </c>
      <c r="F18074" s="3">
        <v>0</v>
      </c>
      <c r="G18074" s="3">
        <v>0</v>
      </c>
      <c r="H18074" s="3">
        <v>31</v>
      </c>
      <c r="I18074" s="3">
        <v>0</v>
      </c>
      <c r="J18074" s="3">
        <v>0</v>
      </c>
      <c r="K18074" s="3">
        <v>0</v>
      </c>
      <c r="L18074" s="3">
        <v>0</v>
      </c>
      <c r="M18074" s="3">
        <v>31</v>
      </c>
      <c r="N18074" s="3">
        <v>0</v>
      </c>
      <c r="O18074" s="3" t="s">
        <v>10</v>
      </c>
      <c r="P18074" s="3" t="s">
        <v>9</v>
      </c>
      <c r="Q18074" s="3"/>
    </row>
    <row r="18075" spans="1:17" ht="15" x14ac:dyDescent="0.25">
      <c r="A18075" s="3">
        <f>18068</f>
        <v>18068</v>
      </c>
      <c r="B18075" s="3" t="s">
        <v>18077</v>
      </c>
      <c r="C18075" s="3" t="s">
        <v>10</v>
      </c>
      <c r="D18075" s="3" t="s">
        <v>9</v>
      </c>
      <c r="E18075" s="3">
        <v>0</v>
      </c>
      <c r="F18075" s="3">
        <v>0</v>
      </c>
      <c r="G18075" s="3">
        <v>0</v>
      </c>
      <c r="H18075" s="3">
        <v>31</v>
      </c>
      <c r="I18075" s="3">
        <v>0</v>
      </c>
      <c r="J18075" s="3">
        <v>0</v>
      </c>
      <c r="K18075" s="3">
        <v>0</v>
      </c>
      <c r="L18075" s="3">
        <v>0</v>
      </c>
      <c r="M18075" s="3">
        <v>31</v>
      </c>
      <c r="N18075" s="3">
        <v>0</v>
      </c>
      <c r="O18075" s="3" t="s">
        <v>10</v>
      </c>
      <c r="P18075" s="3" t="s">
        <v>9</v>
      </c>
      <c r="Q18075" s="3"/>
    </row>
    <row r="18076" spans="1:17" ht="15" x14ac:dyDescent="0.25">
      <c r="A18076" s="3">
        <f>18069</f>
        <v>18069</v>
      </c>
      <c r="B18076" s="3" t="s">
        <v>18078</v>
      </c>
      <c r="C18076" s="3" t="s">
        <v>10</v>
      </c>
      <c r="D18076" s="3" t="s">
        <v>9</v>
      </c>
      <c r="E18076" s="3">
        <v>0</v>
      </c>
      <c r="F18076" s="3">
        <v>0</v>
      </c>
      <c r="G18076" s="3">
        <v>0</v>
      </c>
      <c r="H18076" s="3">
        <v>31</v>
      </c>
      <c r="I18076" s="3">
        <v>0</v>
      </c>
      <c r="J18076" s="3">
        <v>0</v>
      </c>
      <c r="K18076" s="3">
        <v>0</v>
      </c>
      <c r="L18076" s="3">
        <v>0</v>
      </c>
      <c r="M18076" s="3">
        <v>31</v>
      </c>
      <c r="N18076" s="3">
        <v>0</v>
      </c>
      <c r="O18076" s="3" t="s">
        <v>10</v>
      </c>
      <c r="P18076" s="3" t="s">
        <v>9</v>
      </c>
      <c r="Q18076" s="3"/>
    </row>
    <row r="18077" spans="1:17" ht="15" x14ac:dyDescent="0.25">
      <c r="A18077" s="3">
        <f>18070</f>
        <v>18070</v>
      </c>
      <c r="B18077" s="3" t="s">
        <v>18079</v>
      </c>
      <c r="C18077" s="3" t="s">
        <v>10</v>
      </c>
      <c r="D18077" s="3" t="s">
        <v>9</v>
      </c>
      <c r="E18077" s="3">
        <v>0</v>
      </c>
      <c r="F18077" s="3">
        <v>0</v>
      </c>
      <c r="G18077" s="3">
        <v>0</v>
      </c>
      <c r="H18077" s="3">
        <v>31</v>
      </c>
      <c r="I18077" s="3">
        <v>0</v>
      </c>
      <c r="J18077" s="3">
        <v>0</v>
      </c>
      <c r="K18077" s="3">
        <v>0</v>
      </c>
      <c r="L18077" s="3">
        <v>0</v>
      </c>
      <c r="M18077" s="3">
        <v>31</v>
      </c>
      <c r="N18077" s="3">
        <v>0</v>
      </c>
      <c r="O18077" s="3" t="s">
        <v>10</v>
      </c>
      <c r="P18077" s="3" t="s">
        <v>9</v>
      </c>
      <c r="Q18077" s="3"/>
    </row>
    <row r="18078" spans="1:17" ht="15" x14ac:dyDescent="0.25">
      <c r="A18078" s="3">
        <f>18071</f>
        <v>18071</v>
      </c>
      <c r="B18078" s="3" t="s">
        <v>18080</v>
      </c>
      <c r="C18078" s="3" t="s">
        <v>10</v>
      </c>
      <c r="D18078" s="3" t="s">
        <v>9</v>
      </c>
      <c r="E18078" s="3">
        <v>0</v>
      </c>
      <c r="F18078" s="3">
        <v>0</v>
      </c>
      <c r="G18078" s="3">
        <v>0</v>
      </c>
      <c r="H18078" s="3">
        <v>31</v>
      </c>
      <c r="I18078" s="3">
        <v>0</v>
      </c>
      <c r="J18078" s="3">
        <v>0</v>
      </c>
      <c r="K18078" s="3">
        <v>0</v>
      </c>
      <c r="L18078" s="3">
        <v>0</v>
      </c>
      <c r="M18078" s="3">
        <v>31</v>
      </c>
      <c r="N18078" s="3">
        <v>0</v>
      </c>
      <c r="O18078" s="3" t="s">
        <v>10</v>
      </c>
      <c r="P18078" s="3" t="s">
        <v>9</v>
      </c>
      <c r="Q18078" s="3"/>
    </row>
    <row r="18079" spans="1:17" ht="15" x14ac:dyDescent="0.25">
      <c r="A18079" s="3">
        <f>18072</f>
        <v>18072</v>
      </c>
      <c r="B18079" s="3" t="s">
        <v>18081</v>
      </c>
      <c r="C18079" s="3" t="s">
        <v>10</v>
      </c>
      <c r="D18079" s="3" t="s">
        <v>9</v>
      </c>
      <c r="E18079" s="3">
        <v>0</v>
      </c>
      <c r="F18079" s="3">
        <v>0</v>
      </c>
      <c r="G18079" s="3">
        <v>0</v>
      </c>
      <c r="H18079" s="3">
        <v>31</v>
      </c>
      <c r="I18079" s="3">
        <v>0</v>
      </c>
      <c r="J18079" s="3">
        <v>0</v>
      </c>
      <c r="K18079" s="3">
        <v>0</v>
      </c>
      <c r="L18079" s="3">
        <v>0</v>
      </c>
      <c r="M18079" s="3">
        <v>31</v>
      </c>
      <c r="N18079" s="3">
        <v>0</v>
      </c>
      <c r="O18079" s="3" t="s">
        <v>10</v>
      </c>
      <c r="P18079" s="3" t="s">
        <v>9</v>
      </c>
      <c r="Q18079" s="3"/>
    </row>
    <row r="18080" spans="1:17" ht="15" x14ac:dyDescent="0.25">
      <c r="A18080" s="3">
        <f>18073</f>
        <v>18073</v>
      </c>
      <c r="B18080" s="3" t="s">
        <v>18082</v>
      </c>
      <c r="C18080" s="3" t="s">
        <v>10</v>
      </c>
      <c r="D18080" s="3" t="s">
        <v>9</v>
      </c>
      <c r="E18080" s="3">
        <v>0</v>
      </c>
      <c r="F18080" s="3">
        <v>0</v>
      </c>
      <c r="G18080" s="3">
        <v>0</v>
      </c>
      <c r="H18080" s="3">
        <v>31</v>
      </c>
      <c r="I18080" s="3">
        <v>0</v>
      </c>
      <c r="J18080" s="3">
        <v>0</v>
      </c>
      <c r="K18080" s="3">
        <v>0</v>
      </c>
      <c r="L18080" s="3">
        <v>0</v>
      </c>
      <c r="M18080" s="3">
        <v>31</v>
      </c>
      <c r="N18080" s="3">
        <v>0</v>
      </c>
      <c r="O18080" s="3" t="s">
        <v>10</v>
      </c>
      <c r="P18080" s="3" t="s">
        <v>9</v>
      </c>
      <c r="Q18080" s="3"/>
    </row>
    <row r="18081" spans="1:17" ht="15" x14ac:dyDescent="0.25">
      <c r="A18081" s="3">
        <f>18074</f>
        <v>18074</v>
      </c>
      <c r="B18081" s="3" t="s">
        <v>18083</v>
      </c>
      <c r="C18081" s="3" t="s">
        <v>10</v>
      </c>
      <c r="D18081" s="3" t="s">
        <v>9</v>
      </c>
      <c r="E18081" s="3">
        <v>0</v>
      </c>
      <c r="F18081" s="3">
        <v>0</v>
      </c>
      <c r="G18081" s="3">
        <v>0</v>
      </c>
      <c r="H18081" s="3">
        <v>31</v>
      </c>
      <c r="I18081" s="3">
        <v>0</v>
      </c>
      <c r="J18081" s="3">
        <v>0</v>
      </c>
      <c r="K18081" s="3">
        <v>0</v>
      </c>
      <c r="L18081" s="3">
        <v>0</v>
      </c>
      <c r="M18081" s="3">
        <v>31</v>
      </c>
      <c r="N18081" s="3">
        <v>0</v>
      </c>
      <c r="O18081" s="3" t="s">
        <v>10</v>
      </c>
      <c r="P18081" s="3" t="s">
        <v>9</v>
      </c>
      <c r="Q18081" s="3"/>
    </row>
    <row r="18082" spans="1:17" ht="15" x14ac:dyDescent="0.25">
      <c r="A18082" s="3">
        <f>18075</f>
        <v>18075</v>
      </c>
      <c r="B18082" s="3" t="s">
        <v>18084</v>
      </c>
      <c r="C18082" s="3" t="s">
        <v>10</v>
      </c>
      <c r="D18082" s="3" t="s">
        <v>9</v>
      </c>
      <c r="E18082" s="3">
        <v>0</v>
      </c>
      <c r="F18082" s="3">
        <v>0</v>
      </c>
      <c r="G18082" s="3">
        <v>0</v>
      </c>
      <c r="H18082" s="3">
        <v>31</v>
      </c>
      <c r="I18082" s="3">
        <v>0</v>
      </c>
      <c r="J18082" s="3">
        <v>0</v>
      </c>
      <c r="K18082" s="3">
        <v>0</v>
      </c>
      <c r="L18082" s="3">
        <v>0</v>
      </c>
      <c r="M18082" s="3">
        <v>31</v>
      </c>
      <c r="N18082" s="3">
        <v>0</v>
      </c>
      <c r="O18082" s="3" t="s">
        <v>10</v>
      </c>
      <c r="P18082" s="3" t="s">
        <v>9</v>
      </c>
      <c r="Q18082" s="3"/>
    </row>
    <row r="18083" spans="1:17" ht="15" x14ac:dyDescent="0.25">
      <c r="A18083" s="3">
        <f>18076</f>
        <v>18076</v>
      </c>
      <c r="B18083" s="3" t="s">
        <v>18085</v>
      </c>
      <c r="C18083" s="3" t="s">
        <v>10</v>
      </c>
      <c r="D18083" s="3" t="s">
        <v>9</v>
      </c>
      <c r="E18083" s="3">
        <v>0</v>
      </c>
      <c r="F18083" s="3">
        <v>0</v>
      </c>
      <c r="G18083" s="3">
        <v>0</v>
      </c>
      <c r="H18083" s="3">
        <v>31</v>
      </c>
      <c r="I18083" s="3">
        <v>0</v>
      </c>
      <c r="J18083" s="3">
        <v>0</v>
      </c>
      <c r="K18083" s="3">
        <v>0</v>
      </c>
      <c r="L18083" s="3">
        <v>0</v>
      </c>
      <c r="M18083" s="3">
        <v>31</v>
      </c>
      <c r="N18083" s="3">
        <v>0</v>
      </c>
      <c r="O18083" s="3" t="s">
        <v>10</v>
      </c>
      <c r="P18083" s="3" t="s">
        <v>9</v>
      </c>
      <c r="Q18083" s="3"/>
    </row>
    <row r="18084" spans="1:17" ht="15" x14ac:dyDescent="0.25">
      <c r="A18084" s="3">
        <f>18077</f>
        <v>18077</v>
      </c>
      <c r="B18084" s="3" t="s">
        <v>18086</v>
      </c>
      <c r="C18084" s="3" t="s">
        <v>10</v>
      </c>
      <c r="D18084" s="3" t="s">
        <v>9</v>
      </c>
      <c r="E18084" s="3">
        <v>0</v>
      </c>
      <c r="F18084" s="3">
        <v>0</v>
      </c>
      <c r="G18084" s="3">
        <v>0</v>
      </c>
      <c r="H18084" s="3">
        <v>31</v>
      </c>
      <c r="I18084" s="3">
        <v>0</v>
      </c>
      <c r="J18084" s="3">
        <v>0</v>
      </c>
      <c r="K18084" s="3">
        <v>0</v>
      </c>
      <c r="L18084" s="3">
        <v>0</v>
      </c>
      <c r="M18084" s="3">
        <v>31</v>
      </c>
      <c r="N18084" s="3">
        <v>0</v>
      </c>
      <c r="O18084" s="3" t="s">
        <v>10</v>
      </c>
      <c r="P18084" s="3" t="s">
        <v>9</v>
      </c>
      <c r="Q18084" s="3"/>
    </row>
    <row r="18085" spans="1:17" ht="15" x14ac:dyDescent="0.25">
      <c r="A18085" s="3">
        <f>18078</f>
        <v>18078</v>
      </c>
      <c r="B18085" s="3" t="s">
        <v>18087</v>
      </c>
      <c r="C18085" s="3" t="s">
        <v>10</v>
      </c>
      <c r="D18085" s="3" t="s">
        <v>9</v>
      </c>
      <c r="E18085" s="3">
        <v>0</v>
      </c>
      <c r="F18085" s="3">
        <v>0</v>
      </c>
      <c r="G18085" s="3">
        <v>0</v>
      </c>
      <c r="H18085" s="3">
        <v>31</v>
      </c>
      <c r="I18085" s="3">
        <v>0</v>
      </c>
      <c r="J18085" s="3">
        <v>0</v>
      </c>
      <c r="K18085" s="3">
        <v>0</v>
      </c>
      <c r="L18085" s="3">
        <v>0</v>
      </c>
      <c r="M18085" s="3">
        <v>31</v>
      </c>
      <c r="N18085" s="3">
        <v>0</v>
      </c>
      <c r="O18085" s="3" t="s">
        <v>10</v>
      </c>
      <c r="P18085" s="3" t="s">
        <v>9</v>
      </c>
      <c r="Q18085" s="3"/>
    </row>
    <row r="18086" spans="1:17" ht="15" x14ac:dyDescent="0.25">
      <c r="A18086" s="3">
        <f>18079</f>
        <v>18079</v>
      </c>
      <c r="B18086" s="3" t="s">
        <v>18088</v>
      </c>
      <c r="C18086" s="3" t="s">
        <v>10</v>
      </c>
      <c r="D18086" s="3" t="s">
        <v>9</v>
      </c>
      <c r="E18086" s="3">
        <v>0</v>
      </c>
      <c r="F18086" s="3">
        <v>0</v>
      </c>
      <c r="G18086" s="3">
        <v>0</v>
      </c>
      <c r="H18086" s="3">
        <v>31</v>
      </c>
      <c r="I18086" s="3">
        <v>0</v>
      </c>
      <c r="J18086" s="3">
        <v>0</v>
      </c>
      <c r="K18086" s="3">
        <v>0</v>
      </c>
      <c r="L18086" s="3">
        <v>0</v>
      </c>
      <c r="M18086" s="3">
        <v>31</v>
      </c>
      <c r="N18086" s="3">
        <v>0</v>
      </c>
      <c r="O18086" s="3" t="s">
        <v>10</v>
      </c>
      <c r="P18086" s="3" t="s">
        <v>9</v>
      </c>
      <c r="Q18086" s="3"/>
    </row>
    <row r="18087" spans="1:17" ht="15" x14ac:dyDescent="0.25">
      <c r="A18087" s="3">
        <f>18080</f>
        <v>18080</v>
      </c>
      <c r="B18087" s="3" t="s">
        <v>18089</v>
      </c>
      <c r="C18087" s="3" t="s">
        <v>10</v>
      </c>
      <c r="D18087" s="3" t="s">
        <v>9</v>
      </c>
      <c r="E18087" s="3">
        <v>0</v>
      </c>
      <c r="F18087" s="3">
        <v>0</v>
      </c>
      <c r="G18087" s="3">
        <v>0</v>
      </c>
      <c r="H18087" s="3">
        <v>31</v>
      </c>
      <c r="I18087" s="3">
        <v>0</v>
      </c>
      <c r="J18087" s="3">
        <v>0</v>
      </c>
      <c r="K18087" s="3">
        <v>0</v>
      </c>
      <c r="L18087" s="3">
        <v>0</v>
      </c>
      <c r="M18087" s="3">
        <v>31</v>
      </c>
      <c r="N18087" s="3">
        <v>0</v>
      </c>
      <c r="O18087" s="3" t="s">
        <v>10</v>
      </c>
      <c r="P18087" s="3" t="s">
        <v>9</v>
      </c>
      <c r="Q18087" s="3"/>
    </row>
    <row r="18088" spans="1:17" ht="15" x14ac:dyDescent="0.25">
      <c r="A18088" s="3">
        <f>18081</f>
        <v>18081</v>
      </c>
      <c r="B18088" s="3" t="s">
        <v>18090</v>
      </c>
      <c r="C18088" s="3" t="s">
        <v>10</v>
      </c>
      <c r="D18088" s="3" t="s">
        <v>9</v>
      </c>
      <c r="E18088" s="3">
        <v>0</v>
      </c>
      <c r="F18088" s="3">
        <v>0</v>
      </c>
      <c r="G18088" s="3">
        <v>0</v>
      </c>
      <c r="H18088" s="3">
        <v>31</v>
      </c>
      <c r="I18088" s="3">
        <v>0</v>
      </c>
      <c r="J18088" s="3">
        <v>0</v>
      </c>
      <c r="K18088" s="3">
        <v>0</v>
      </c>
      <c r="L18088" s="3">
        <v>0</v>
      </c>
      <c r="M18088" s="3">
        <v>31</v>
      </c>
      <c r="N18088" s="3">
        <v>0</v>
      </c>
      <c r="O18088" s="3" t="s">
        <v>10</v>
      </c>
      <c r="P18088" s="3" t="s">
        <v>9</v>
      </c>
      <c r="Q18088" s="3"/>
    </row>
    <row r="18089" spans="1:17" ht="15" x14ac:dyDescent="0.25">
      <c r="A18089" s="3">
        <f>18082</f>
        <v>18082</v>
      </c>
      <c r="B18089" s="3" t="s">
        <v>18091</v>
      </c>
      <c r="C18089" s="3" t="s">
        <v>10</v>
      </c>
      <c r="D18089" s="3" t="s">
        <v>9</v>
      </c>
      <c r="E18089" s="3">
        <v>0</v>
      </c>
      <c r="F18089" s="3">
        <v>0</v>
      </c>
      <c r="G18089" s="3">
        <v>0</v>
      </c>
      <c r="H18089" s="3">
        <v>31</v>
      </c>
      <c r="I18089" s="3">
        <v>0</v>
      </c>
      <c r="J18089" s="3">
        <v>0</v>
      </c>
      <c r="K18089" s="3">
        <v>0</v>
      </c>
      <c r="L18089" s="3">
        <v>0</v>
      </c>
      <c r="M18089" s="3">
        <v>31</v>
      </c>
      <c r="N18089" s="3">
        <v>0</v>
      </c>
      <c r="O18089" s="3" t="s">
        <v>10</v>
      </c>
      <c r="P18089" s="3" t="s">
        <v>9</v>
      </c>
      <c r="Q18089" s="3"/>
    </row>
    <row r="18090" spans="1:17" ht="15" x14ac:dyDescent="0.25">
      <c r="A18090" s="3">
        <f>18083</f>
        <v>18083</v>
      </c>
      <c r="B18090" s="3" t="s">
        <v>18092</v>
      </c>
      <c r="C18090" s="3" t="s">
        <v>10</v>
      </c>
      <c r="D18090" s="3" t="s">
        <v>9</v>
      </c>
      <c r="E18090" s="3">
        <v>0</v>
      </c>
      <c r="F18090" s="3">
        <v>0</v>
      </c>
      <c r="G18090" s="3">
        <v>0</v>
      </c>
      <c r="H18090" s="3">
        <v>31</v>
      </c>
      <c r="I18090" s="3">
        <v>0</v>
      </c>
      <c r="J18090" s="3">
        <v>0</v>
      </c>
      <c r="K18090" s="3">
        <v>0</v>
      </c>
      <c r="L18090" s="3">
        <v>0</v>
      </c>
      <c r="M18090" s="3">
        <v>31</v>
      </c>
      <c r="N18090" s="3">
        <v>0</v>
      </c>
      <c r="O18090" s="3" t="s">
        <v>10</v>
      </c>
      <c r="P18090" s="3" t="s">
        <v>9</v>
      </c>
      <c r="Q18090" s="3"/>
    </row>
    <row r="18091" spans="1:17" ht="15" x14ac:dyDescent="0.25">
      <c r="A18091" s="3">
        <f>18084</f>
        <v>18084</v>
      </c>
      <c r="B18091" s="3" t="s">
        <v>18093</v>
      </c>
      <c r="C18091" s="3" t="s">
        <v>10</v>
      </c>
      <c r="D18091" s="3" t="s">
        <v>9</v>
      </c>
      <c r="E18091" s="3">
        <v>0</v>
      </c>
      <c r="F18091" s="3">
        <v>0</v>
      </c>
      <c r="G18091" s="3">
        <v>0</v>
      </c>
      <c r="H18091" s="3">
        <v>31</v>
      </c>
      <c r="I18091" s="3">
        <v>0</v>
      </c>
      <c r="J18091" s="3">
        <v>0</v>
      </c>
      <c r="K18091" s="3">
        <v>0</v>
      </c>
      <c r="L18091" s="3">
        <v>0</v>
      </c>
      <c r="M18091" s="3">
        <v>31</v>
      </c>
      <c r="N18091" s="3">
        <v>0</v>
      </c>
      <c r="O18091" s="3" t="s">
        <v>10</v>
      </c>
      <c r="P18091" s="3" t="s">
        <v>9</v>
      </c>
      <c r="Q18091" s="3"/>
    </row>
    <row r="18092" spans="1:17" ht="15" x14ac:dyDescent="0.25">
      <c r="A18092" s="3">
        <f>18085</f>
        <v>18085</v>
      </c>
      <c r="B18092" s="3" t="s">
        <v>18094</v>
      </c>
      <c r="C18092" s="3" t="s">
        <v>10</v>
      </c>
      <c r="D18092" s="3" t="s">
        <v>9</v>
      </c>
      <c r="E18092" s="3">
        <v>0</v>
      </c>
      <c r="F18092" s="3">
        <v>0</v>
      </c>
      <c r="G18092" s="3">
        <v>0</v>
      </c>
      <c r="H18092" s="3">
        <v>31</v>
      </c>
      <c r="I18092" s="3">
        <v>0</v>
      </c>
      <c r="J18092" s="3">
        <v>0</v>
      </c>
      <c r="K18092" s="3">
        <v>0</v>
      </c>
      <c r="L18092" s="3">
        <v>0</v>
      </c>
      <c r="M18092" s="3">
        <v>31</v>
      </c>
      <c r="N18092" s="3">
        <v>0</v>
      </c>
      <c r="O18092" s="3" t="s">
        <v>10</v>
      </c>
      <c r="P18092" s="3" t="s">
        <v>9</v>
      </c>
      <c r="Q18092" s="3"/>
    </row>
    <row r="18093" spans="1:17" ht="15" x14ac:dyDescent="0.25">
      <c r="A18093" s="3">
        <f>18086</f>
        <v>18086</v>
      </c>
      <c r="B18093" s="3" t="s">
        <v>18095</v>
      </c>
      <c r="C18093" s="3" t="s">
        <v>10</v>
      </c>
      <c r="D18093" s="3" t="s">
        <v>9</v>
      </c>
      <c r="E18093" s="3">
        <v>0</v>
      </c>
      <c r="F18093" s="3">
        <v>0</v>
      </c>
      <c r="G18093" s="3">
        <v>0</v>
      </c>
      <c r="H18093" s="3">
        <v>31</v>
      </c>
      <c r="I18093" s="3">
        <v>0</v>
      </c>
      <c r="J18093" s="3">
        <v>0</v>
      </c>
      <c r="K18093" s="3">
        <v>0</v>
      </c>
      <c r="L18093" s="3">
        <v>0</v>
      </c>
      <c r="M18093" s="3">
        <v>31</v>
      </c>
      <c r="N18093" s="3">
        <v>0</v>
      </c>
      <c r="O18093" s="3" t="s">
        <v>10</v>
      </c>
      <c r="P18093" s="3" t="s">
        <v>9</v>
      </c>
      <c r="Q18093" s="3"/>
    </row>
    <row r="18094" spans="1:17" ht="15" x14ac:dyDescent="0.25">
      <c r="A18094" s="3">
        <f>18087</f>
        <v>18087</v>
      </c>
      <c r="B18094" s="3" t="s">
        <v>18096</v>
      </c>
      <c r="C18094" s="3" t="s">
        <v>10</v>
      </c>
      <c r="D18094" s="3" t="s">
        <v>9</v>
      </c>
      <c r="E18094" s="3">
        <v>0</v>
      </c>
      <c r="F18094" s="3">
        <v>0</v>
      </c>
      <c r="G18094" s="3">
        <v>0</v>
      </c>
      <c r="H18094" s="3">
        <v>31</v>
      </c>
      <c r="I18094" s="3">
        <v>0</v>
      </c>
      <c r="J18094" s="3">
        <v>0</v>
      </c>
      <c r="K18094" s="3">
        <v>0</v>
      </c>
      <c r="L18094" s="3">
        <v>0</v>
      </c>
      <c r="M18094" s="3">
        <v>31</v>
      </c>
      <c r="N18094" s="3">
        <v>0</v>
      </c>
      <c r="O18094" s="3" t="s">
        <v>10</v>
      </c>
      <c r="P18094" s="3" t="s">
        <v>9</v>
      </c>
      <c r="Q18094" s="3"/>
    </row>
    <row r="18095" spans="1:17" ht="15" x14ac:dyDescent="0.25">
      <c r="A18095" s="3">
        <f>18088</f>
        <v>18088</v>
      </c>
      <c r="B18095" s="3" t="s">
        <v>18097</v>
      </c>
      <c r="C18095" s="3" t="s">
        <v>10</v>
      </c>
      <c r="D18095" s="3" t="s">
        <v>9</v>
      </c>
      <c r="E18095" s="3">
        <v>0</v>
      </c>
      <c r="F18095" s="3">
        <v>0</v>
      </c>
      <c r="G18095" s="3">
        <v>0</v>
      </c>
      <c r="H18095" s="3">
        <v>31</v>
      </c>
      <c r="I18095" s="3">
        <v>0</v>
      </c>
      <c r="J18095" s="3">
        <v>0</v>
      </c>
      <c r="K18095" s="3">
        <v>0</v>
      </c>
      <c r="L18095" s="3">
        <v>0</v>
      </c>
      <c r="M18095" s="3">
        <v>31</v>
      </c>
      <c r="N18095" s="3">
        <v>0</v>
      </c>
      <c r="O18095" s="3" t="s">
        <v>10</v>
      </c>
      <c r="P18095" s="3" t="s">
        <v>9</v>
      </c>
      <c r="Q18095" s="3"/>
    </row>
    <row r="18096" spans="1:17" ht="15" x14ac:dyDescent="0.25">
      <c r="A18096" s="3">
        <f>18089</f>
        <v>18089</v>
      </c>
      <c r="B18096" s="3" t="s">
        <v>18098</v>
      </c>
      <c r="C18096" s="3" t="s">
        <v>10</v>
      </c>
      <c r="D18096" s="3" t="s">
        <v>9</v>
      </c>
      <c r="E18096" s="3">
        <v>0</v>
      </c>
      <c r="F18096" s="3">
        <v>0</v>
      </c>
      <c r="G18096" s="3">
        <v>0</v>
      </c>
      <c r="H18096" s="3">
        <v>31</v>
      </c>
      <c r="I18096" s="3">
        <v>0</v>
      </c>
      <c r="J18096" s="3">
        <v>0</v>
      </c>
      <c r="K18096" s="3">
        <v>0</v>
      </c>
      <c r="L18096" s="3">
        <v>0</v>
      </c>
      <c r="M18096" s="3">
        <v>31</v>
      </c>
      <c r="N18096" s="3">
        <v>0</v>
      </c>
      <c r="O18096" s="3" t="s">
        <v>10</v>
      </c>
      <c r="P18096" s="3" t="s">
        <v>9</v>
      </c>
      <c r="Q18096" s="3"/>
    </row>
    <row r="18097" spans="1:17" ht="15" x14ac:dyDescent="0.25">
      <c r="A18097" s="3">
        <f>18090</f>
        <v>18090</v>
      </c>
      <c r="B18097" s="3" t="s">
        <v>18099</v>
      </c>
      <c r="C18097" s="3" t="s">
        <v>10</v>
      </c>
      <c r="D18097" s="3" t="s">
        <v>9</v>
      </c>
      <c r="E18097" s="3">
        <v>0</v>
      </c>
      <c r="F18097" s="3">
        <v>0</v>
      </c>
      <c r="G18097" s="3">
        <v>0</v>
      </c>
      <c r="H18097" s="3">
        <v>31</v>
      </c>
      <c r="I18097" s="3">
        <v>0</v>
      </c>
      <c r="J18097" s="3">
        <v>0</v>
      </c>
      <c r="K18097" s="3">
        <v>0</v>
      </c>
      <c r="L18097" s="3">
        <v>0</v>
      </c>
      <c r="M18097" s="3">
        <v>31</v>
      </c>
      <c r="N18097" s="3">
        <v>0</v>
      </c>
      <c r="O18097" s="3" t="s">
        <v>10</v>
      </c>
      <c r="P18097" s="3" t="s">
        <v>9</v>
      </c>
      <c r="Q18097" s="3"/>
    </row>
    <row r="18098" spans="1:17" ht="15" x14ac:dyDescent="0.25">
      <c r="A18098" s="3">
        <f>18091</f>
        <v>18091</v>
      </c>
      <c r="B18098" s="3" t="s">
        <v>18100</v>
      </c>
      <c r="C18098" s="3" t="s">
        <v>10</v>
      </c>
      <c r="D18098" s="3" t="s">
        <v>9</v>
      </c>
      <c r="E18098" s="3">
        <v>0</v>
      </c>
      <c r="F18098" s="3">
        <v>0</v>
      </c>
      <c r="G18098" s="3">
        <v>0</v>
      </c>
      <c r="H18098" s="3">
        <v>31</v>
      </c>
      <c r="I18098" s="3">
        <v>0</v>
      </c>
      <c r="J18098" s="3">
        <v>0</v>
      </c>
      <c r="K18098" s="3">
        <v>0</v>
      </c>
      <c r="L18098" s="3">
        <v>0</v>
      </c>
      <c r="M18098" s="3">
        <v>31</v>
      </c>
      <c r="N18098" s="3">
        <v>0</v>
      </c>
      <c r="O18098" s="3" t="s">
        <v>10</v>
      </c>
      <c r="P18098" s="3" t="s">
        <v>9</v>
      </c>
      <c r="Q18098" s="3"/>
    </row>
    <row r="18099" spans="1:17" ht="15" x14ac:dyDescent="0.25">
      <c r="A18099" s="3">
        <f>18092</f>
        <v>18092</v>
      </c>
      <c r="B18099" s="3" t="s">
        <v>18101</v>
      </c>
      <c r="C18099" s="3" t="s">
        <v>10</v>
      </c>
      <c r="D18099" s="3" t="s">
        <v>9</v>
      </c>
      <c r="E18099" s="3">
        <v>0</v>
      </c>
      <c r="F18099" s="3">
        <v>0</v>
      </c>
      <c r="G18099" s="3">
        <v>0</v>
      </c>
      <c r="H18099" s="3">
        <v>31</v>
      </c>
      <c r="I18099" s="3">
        <v>0</v>
      </c>
      <c r="J18099" s="3">
        <v>0</v>
      </c>
      <c r="K18099" s="3">
        <v>0</v>
      </c>
      <c r="L18099" s="3">
        <v>0</v>
      </c>
      <c r="M18099" s="3">
        <v>31</v>
      </c>
      <c r="N18099" s="3">
        <v>0</v>
      </c>
      <c r="O18099" s="3" t="s">
        <v>10</v>
      </c>
      <c r="P18099" s="3" t="s">
        <v>9</v>
      </c>
      <c r="Q18099" s="3"/>
    </row>
    <row r="18100" spans="1:17" ht="15" x14ac:dyDescent="0.25">
      <c r="A18100" s="3">
        <f>18093</f>
        <v>18093</v>
      </c>
      <c r="B18100" s="3" t="s">
        <v>18102</v>
      </c>
      <c r="C18100" s="3" t="s">
        <v>10</v>
      </c>
      <c r="D18100" s="3" t="s">
        <v>9</v>
      </c>
      <c r="E18100" s="3">
        <v>0</v>
      </c>
      <c r="F18100" s="3">
        <v>0</v>
      </c>
      <c r="G18100" s="3">
        <v>0</v>
      </c>
      <c r="H18100" s="3">
        <v>31</v>
      </c>
      <c r="I18100" s="3">
        <v>0</v>
      </c>
      <c r="J18100" s="3">
        <v>0</v>
      </c>
      <c r="K18100" s="3">
        <v>0</v>
      </c>
      <c r="L18100" s="3">
        <v>0</v>
      </c>
      <c r="M18100" s="3">
        <v>31</v>
      </c>
      <c r="N18100" s="3">
        <v>0</v>
      </c>
      <c r="O18100" s="3" t="s">
        <v>10</v>
      </c>
      <c r="P18100" s="3" t="s">
        <v>9</v>
      </c>
      <c r="Q18100" s="3"/>
    </row>
    <row r="18101" spans="1:17" ht="15" x14ac:dyDescent="0.25">
      <c r="A18101" s="3">
        <f>18094</f>
        <v>18094</v>
      </c>
      <c r="B18101" s="3" t="s">
        <v>18103</v>
      </c>
      <c r="C18101" s="3" t="s">
        <v>10</v>
      </c>
      <c r="D18101" s="3" t="s">
        <v>9</v>
      </c>
      <c r="E18101" s="3">
        <v>0</v>
      </c>
      <c r="F18101" s="3">
        <v>0</v>
      </c>
      <c r="G18101" s="3">
        <v>0</v>
      </c>
      <c r="H18101" s="3">
        <v>31</v>
      </c>
      <c r="I18101" s="3">
        <v>0</v>
      </c>
      <c r="J18101" s="3">
        <v>0</v>
      </c>
      <c r="K18101" s="3">
        <v>0</v>
      </c>
      <c r="L18101" s="3">
        <v>0</v>
      </c>
      <c r="M18101" s="3">
        <v>31</v>
      </c>
      <c r="N18101" s="3">
        <v>0</v>
      </c>
      <c r="O18101" s="3" t="s">
        <v>10</v>
      </c>
      <c r="P18101" s="3" t="s">
        <v>9</v>
      </c>
      <c r="Q18101" s="3"/>
    </row>
    <row r="18102" spans="1:17" ht="15" x14ac:dyDescent="0.25">
      <c r="A18102" s="3">
        <f>18095</f>
        <v>18095</v>
      </c>
      <c r="B18102" s="3" t="s">
        <v>18104</v>
      </c>
      <c r="C18102" s="3" t="s">
        <v>10</v>
      </c>
      <c r="D18102" s="3" t="s">
        <v>9</v>
      </c>
      <c r="E18102" s="3">
        <v>0</v>
      </c>
      <c r="F18102" s="3">
        <v>0</v>
      </c>
      <c r="G18102" s="3">
        <v>0</v>
      </c>
      <c r="H18102" s="3">
        <v>31</v>
      </c>
      <c r="I18102" s="3">
        <v>0</v>
      </c>
      <c r="J18102" s="3">
        <v>0</v>
      </c>
      <c r="K18102" s="3">
        <v>0</v>
      </c>
      <c r="L18102" s="3">
        <v>0</v>
      </c>
      <c r="M18102" s="3">
        <v>31</v>
      </c>
      <c r="N18102" s="3">
        <v>0</v>
      </c>
      <c r="O18102" s="3" t="s">
        <v>10</v>
      </c>
      <c r="P18102" s="3" t="s">
        <v>9</v>
      </c>
      <c r="Q18102" s="3"/>
    </row>
    <row r="18103" spans="1:17" ht="15" x14ac:dyDescent="0.25">
      <c r="A18103" s="3">
        <f>18096</f>
        <v>18096</v>
      </c>
      <c r="B18103" s="3" t="s">
        <v>18105</v>
      </c>
      <c r="C18103" s="3" t="s">
        <v>10</v>
      </c>
      <c r="D18103" s="3" t="s">
        <v>9</v>
      </c>
      <c r="E18103" s="3">
        <v>0</v>
      </c>
      <c r="F18103" s="3">
        <v>0</v>
      </c>
      <c r="G18103" s="3">
        <v>0</v>
      </c>
      <c r="H18103" s="3">
        <v>31</v>
      </c>
      <c r="I18103" s="3">
        <v>0</v>
      </c>
      <c r="J18103" s="3">
        <v>0</v>
      </c>
      <c r="K18103" s="3">
        <v>0</v>
      </c>
      <c r="L18103" s="3">
        <v>0</v>
      </c>
      <c r="M18103" s="3">
        <v>31</v>
      </c>
      <c r="N18103" s="3">
        <v>0</v>
      </c>
      <c r="O18103" s="3" t="s">
        <v>10</v>
      </c>
      <c r="P18103" s="3" t="s">
        <v>9</v>
      </c>
      <c r="Q18103" s="3"/>
    </row>
    <row r="18104" spans="1:17" ht="15" x14ac:dyDescent="0.25">
      <c r="A18104" s="3">
        <f>18097</f>
        <v>18097</v>
      </c>
      <c r="B18104" s="3" t="s">
        <v>18106</v>
      </c>
      <c r="C18104" s="3" t="s">
        <v>10</v>
      </c>
      <c r="D18104" s="3" t="s">
        <v>9</v>
      </c>
      <c r="E18104" s="3">
        <v>0</v>
      </c>
      <c r="F18104" s="3">
        <v>0</v>
      </c>
      <c r="G18104" s="3">
        <v>0</v>
      </c>
      <c r="H18104" s="3">
        <v>31</v>
      </c>
      <c r="I18104" s="3">
        <v>0</v>
      </c>
      <c r="J18104" s="3">
        <v>0</v>
      </c>
      <c r="K18104" s="3">
        <v>0</v>
      </c>
      <c r="L18104" s="3">
        <v>0</v>
      </c>
      <c r="M18104" s="3">
        <v>31</v>
      </c>
      <c r="N18104" s="3">
        <v>0</v>
      </c>
      <c r="O18104" s="3" t="s">
        <v>10</v>
      </c>
      <c r="P18104" s="3" t="s">
        <v>9</v>
      </c>
      <c r="Q18104" s="3"/>
    </row>
    <row r="18105" spans="1:17" ht="15" x14ac:dyDescent="0.25">
      <c r="A18105" s="3">
        <f>18098</f>
        <v>18098</v>
      </c>
      <c r="B18105" s="3" t="s">
        <v>18107</v>
      </c>
      <c r="C18105" s="3" t="s">
        <v>10</v>
      </c>
      <c r="D18105" s="3" t="s">
        <v>9</v>
      </c>
      <c r="E18105" s="3">
        <v>0</v>
      </c>
      <c r="F18105" s="3">
        <v>0</v>
      </c>
      <c r="G18105" s="3">
        <v>0</v>
      </c>
      <c r="H18105" s="3">
        <v>31</v>
      </c>
      <c r="I18105" s="3">
        <v>0</v>
      </c>
      <c r="J18105" s="3">
        <v>0</v>
      </c>
      <c r="K18105" s="3">
        <v>0</v>
      </c>
      <c r="L18105" s="3">
        <v>0</v>
      </c>
      <c r="M18105" s="3">
        <v>31</v>
      </c>
      <c r="N18105" s="3">
        <v>0</v>
      </c>
      <c r="O18105" s="3" t="s">
        <v>10</v>
      </c>
      <c r="P18105" s="3" t="s">
        <v>9</v>
      </c>
      <c r="Q18105" s="3"/>
    </row>
    <row r="18106" spans="1:17" ht="15" x14ac:dyDescent="0.25">
      <c r="A18106" s="3">
        <f>18099</f>
        <v>18099</v>
      </c>
      <c r="B18106" s="3" t="s">
        <v>18108</v>
      </c>
      <c r="C18106" s="3" t="s">
        <v>10</v>
      </c>
      <c r="D18106" s="3" t="s">
        <v>9</v>
      </c>
      <c r="E18106" s="3">
        <v>0</v>
      </c>
      <c r="F18106" s="3">
        <v>0</v>
      </c>
      <c r="G18106" s="3">
        <v>0</v>
      </c>
      <c r="H18106" s="3">
        <v>31</v>
      </c>
      <c r="I18106" s="3">
        <v>0</v>
      </c>
      <c r="J18106" s="3">
        <v>0</v>
      </c>
      <c r="K18106" s="3">
        <v>0</v>
      </c>
      <c r="L18106" s="3">
        <v>0</v>
      </c>
      <c r="M18106" s="3">
        <v>31</v>
      </c>
      <c r="N18106" s="3">
        <v>0</v>
      </c>
      <c r="O18106" s="3" t="s">
        <v>10</v>
      </c>
      <c r="P18106" s="3" t="s">
        <v>9</v>
      </c>
      <c r="Q18106" s="3"/>
    </row>
    <row r="18107" spans="1:17" ht="15" x14ac:dyDescent="0.25">
      <c r="A18107" s="3">
        <f>18100</f>
        <v>18100</v>
      </c>
      <c r="B18107" s="3" t="s">
        <v>18109</v>
      </c>
      <c r="C18107" s="3" t="s">
        <v>10</v>
      </c>
      <c r="D18107" s="3" t="s">
        <v>9</v>
      </c>
      <c r="E18107" s="3">
        <v>0</v>
      </c>
      <c r="F18107" s="3">
        <v>0</v>
      </c>
      <c r="G18107" s="3">
        <v>0</v>
      </c>
      <c r="H18107" s="3">
        <v>31</v>
      </c>
      <c r="I18107" s="3">
        <v>0</v>
      </c>
      <c r="J18107" s="3">
        <v>0</v>
      </c>
      <c r="K18107" s="3">
        <v>0</v>
      </c>
      <c r="L18107" s="3">
        <v>0</v>
      </c>
      <c r="M18107" s="3">
        <v>31</v>
      </c>
      <c r="N18107" s="3">
        <v>0</v>
      </c>
      <c r="O18107" s="3" t="s">
        <v>10</v>
      </c>
      <c r="P18107" s="3" t="s">
        <v>9</v>
      </c>
      <c r="Q18107" s="3"/>
    </row>
    <row r="18108" spans="1:17" ht="15" x14ac:dyDescent="0.25">
      <c r="A18108" s="3">
        <f>18101</f>
        <v>18101</v>
      </c>
      <c r="B18108" s="3" t="s">
        <v>18110</v>
      </c>
      <c r="C18108" s="3" t="s">
        <v>10</v>
      </c>
      <c r="D18108" s="3" t="s">
        <v>9</v>
      </c>
      <c r="E18108" s="3">
        <v>0</v>
      </c>
      <c r="F18108" s="3">
        <v>0</v>
      </c>
      <c r="G18108" s="3">
        <v>0</v>
      </c>
      <c r="H18108" s="3">
        <v>31</v>
      </c>
      <c r="I18108" s="3">
        <v>0</v>
      </c>
      <c r="J18108" s="3">
        <v>0</v>
      </c>
      <c r="K18108" s="3">
        <v>0</v>
      </c>
      <c r="L18108" s="3">
        <v>0</v>
      </c>
      <c r="M18108" s="3">
        <v>31</v>
      </c>
      <c r="N18108" s="3">
        <v>0</v>
      </c>
      <c r="O18108" s="3" t="s">
        <v>10</v>
      </c>
      <c r="P18108" s="3" t="s">
        <v>9</v>
      </c>
      <c r="Q18108" s="3"/>
    </row>
    <row r="18109" spans="1:17" ht="15" x14ac:dyDescent="0.25">
      <c r="A18109" s="3">
        <f>18102</f>
        <v>18102</v>
      </c>
      <c r="B18109" s="3" t="s">
        <v>18111</v>
      </c>
      <c r="C18109" s="3" t="s">
        <v>10</v>
      </c>
      <c r="D18109" s="3" t="s">
        <v>9</v>
      </c>
      <c r="E18109" s="3">
        <v>0</v>
      </c>
      <c r="F18109" s="3">
        <v>0</v>
      </c>
      <c r="G18109" s="3">
        <v>0</v>
      </c>
      <c r="H18109" s="3">
        <v>31</v>
      </c>
      <c r="I18109" s="3">
        <v>0</v>
      </c>
      <c r="J18109" s="3">
        <v>0</v>
      </c>
      <c r="K18109" s="3">
        <v>0</v>
      </c>
      <c r="L18109" s="3">
        <v>0</v>
      </c>
      <c r="M18109" s="3">
        <v>31</v>
      </c>
      <c r="N18109" s="3">
        <v>0</v>
      </c>
      <c r="O18109" s="3" t="s">
        <v>10</v>
      </c>
      <c r="P18109" s="3" t="s">
        <v>9</v>
      </c>
      <c r="Q18109" s="3"/>
    </row>
    <row r="18110" spans="1:17" ht="15" x14ac:dyDescent="0.25">
      <c r="A18110" s="3">
        <f>18103</f>
        <v>18103</v>
      </c>
      <c r="B18110" s="3" t="s">
        <v>18112</v>
      </c>
      <c r="C18110" s="3" t="s">
        <v>10</v>
      </c>
      <c r="D18110" s="3" t="s">
        <v>9</v>
      </c>
      <c r="E18110" s="3">
        <v>0</v>
      </c>
      <c r="F18110" s="3">
        <v>0</v>
      </c>
      <c r="G18110" s="3">
        <v>0</v>
      </c>
      <c r="H18110" s="3">
        <v>31</v>
      </c>
      <c r="I18110" s="3">
        <v>0</v>
      </c>
      <c r="J18110" s="3">
        <v>0</v>
      </c>
      <c r="K18110" s="3">
        <v>0</v>
      </c>
      <c r="L18110" s="3">
        <v>0</v>
      </c>
      <c r="M18110" s="3">
        <v>31</v>
      </c>
      <c r="N18110" s="3">
        <v>0</v>
      </c>
      <c r="O18110" s="3" t="s">
        <v>10</v>
      </c>
      <c r="P18110" s="3" t="s">
        <v>9</v>
      </c>
      <c r="Q18110" s="3"/>
    </row>
    <row r="18111" spans="1:17" ht="15" x14ac:dyDescent="0.25">
      <c r="A18111" s="3">
        <f>18104</f>
        <v>18104</v>
      </c>
      <c r="B18111" s="3" t="s">
        <v>18113</v>
      </c>
      <c r="C18111" s="3" t="s">
        <v>10</v>
      </c>
      <c r="D18111" s="3" t="s">
        <v>9</v>
      </c>
      <c r="E18111" s="3">
        <v>0</v>
      </c>
      <c r="F18111" s="3">
        <v>0</v>
      </c>
      <c r="G18111" s="3">
        <v>0</v>
      </c>
      <c r="H18111" s="3">
        <v>31</v>
      </c>
      <c r="I18111" s="3">
        <v>0</v>
      </c>
      <c r="J18111" s="3">
        <v>0</v>
      </c>
      <c r="K18111" s="3">
        <v>0</v>
      </c>
      <c r="L18111" s="3">
        <v>0</v>
      </c>
      <c r="M18111" s="3">
        <v>31</v>
      </c>
      <c r="N18111" s="3">
        <v>0</v>
      </c>
      <c r="O18111" s="3" t="s">
        <v>10</v>
      </c>
      <c r="P18111" s="3" t="s">
        <v>9</v>
      </c>
      <c r="Q18111" s="3"/>
    </row>
    <row r="18112" spans="1:17" ht="15" x14ac:dyDescent="0.25">
      <c r="A18112" s="3">
        <f>18105</f>
        <v>18105</v>
      </c>
      <c r="B18112" s="3" t="s">
        <v>18114</v>
      </c>
      <c r="C18112" s="3" t="s">
        <v>10</v>
      </c>
      <c r="D18112" s="3" t="s">
        <v>9</v>
      </c>
      <c r="E18112" s="3">
        <v>0</v>
      </c>
      <c r="F18112" s="3">
        <v>0</v>
      </c>
      <c r="G18112" s="3">
        <v>0</v>
      </c>
      <c r="H18112" s="3">
        <v>31</v>
      </c>
      <c r="I18112" s="3">
        <v>0</v>
      </c>
      <c r="J18112" s="3">
        <v>0</v>
      </c>
      <c r="K18112" s="3">
        <v>0</v>
      </c>
      <c r="L18112" s="3">
        <v>0</v>
      </c>
      <c r="M18112" s="3">
        <v>31</v>
      </c>
      <c r="N18112" s="3">
        <v>0</v>
      </c>
      <c r="O18112" s="3" t="s">
        <v>10</v>
      </c>
      <c r="P18112" s="3" t="s">
        <v>9</v>
      </c>
      <c r="Q18112" s="3"/>
    </row>
    <row r="18113" spans="1:17" ht="15" x14ac:dyDescent="0.25">
      <c r="A18113" s="3">
        <f>18106</f>
        <v>18106</v>
      </c>
      <c r="B18113" s="3" t="s">
        <v>18115</v>
      </c>
      <c r="C18113" s="3" t="s">
        <v>10</v>
      </c>
      <c r="D18113" s="3" t="s">
        <v>9</v>
      </c>
      <c r="E18113" s="3">
        <v>0</v>
      </c>
      <c r="F18113" s="3">
        <v>0</v>
      </c>
      <c r="G18113" s="3">
        <v>0</v>
      </c>
      <c r="H18113" s="3">
        <v>31</v>
      </c>
      <c r="I18113" s="3">
        <v>0</v>
      </c>
      <c r="J18113" s="3">
        <v>0</v>
      </c>
      <c r="K18113" s="3">
        <v>0</v>
      </c>
      <c r="L18113" s="3">
        <v>0</v>
      </c>
      <c r="M18113" s="3">
        <v>31</v>
      </c>
      <c r="N18113" s="3">
        <v>0</v>
      </c>
      <c r="O18113" s="3" t="s">
        <v>10</v>
      </c>
      <c r="P18113" s="3" t="s">
        <v>9</v>
      </c>
      <c r="Q18113" s="3"/>
    </row>
    <row r="18114" spans="1:17" ht="15" x14ac:dyDescent="0.25">
      <c r="A18114" s="3">
        <f>18107</f>
        <v>18107</v>
      </c>
      <c r="B18114" s="3" t="s">
        <v>18116</v>
      </c>
      <c r="C18114" s="3" t="s">
        <v>10</v>
      </c>
      <c r="D18114" s="3" t="s">
        <v>9</v>
      </c>
      <c r="E18114" s="3">
        <v>0</v>
      </c>
      <c r="F18114" s="3">
        <v>0</v>
      </c>
      <c r="G18114" s="3">
        <v>0</v>
      </c>
      <c r="H18114" s="3">
        <v>31</v>
      </c>
      <c r="I18114" s="3">
        <v>0</v>
      </c>
      <c r="J18114" s="3">
        <v>0</v>
      </c>
      <c r="K18114" s="3">
        <v>0</v>
      </c>
      <c r="L18114" s="3">
        <v>0</v>
      </c>
      <c r="M18114" s="3">
        <v>31</v>
      </c>
      <c r="N18114" s="3">
        <v>0</v>
      </c>
      <c r="O18114" s="3" t="s">
        <v>10</v>
      </c>
      <c r="P18114" s="3" t="s">
        <v>9</v>
      </c>
      <c r="Q18114" s="3"/>
    </row>
    <row r="18115" spans="1:17" ht="15" x14ac:dyDescent="0.25">
      <c r="A18115" s="3">
        <f>18108</f>
        <v>18108</v>
      </c>
      <c r="B18115" s="3" t="s">
        <v>18117</v>
      </c>
      <c r="C18115" s="3" t="s">
        <v>10</v>
      </c>
      <c r="D18115" s="3" t="s">
        <v>9</v>
      </c>
      <c r="E18115" s="3">
        <v>0</v>
      </c>
      <c r="F18115" s="3">
        <v>0</v>
      </c>
      <c r="G18115" s="3">
        <v>0</v>
      </c>
      <c r="H18115" s="3">
        <v>31</v>
      </c>
      <c r="I18115" s="3">
        <v>0</v>
      </c>
      <c r="J18115" s="3">
        <v>0</v>
      </c>
      <c r="K18115" s="3">
        <v>0</v>
      </c>
      <c r="L18115" s="3">
        <v>0</v>
      </c>
      <c r="M18115" s="3">
        <v>31</v>
      </c>
      <c r="N18115" s="3">
        <v>0</v>
      </c>
      <c r="O18115" s="3" t="s">
        <v>10</v>
      </c>
      <c r="P18115" s="3" t="s">
        <v>9</v>
      </c>
      <c r="Q18115" s="3"/>
    </row>
    <row r="18116" spans="1:17" ht="15" x14ac:dyDescent="0.25">
      <c r="A18116" s="3">
        <f>18109</f>
        <v>18109</v>
      </c>
      <c r="B18116" s="3" t="s">
        <v>18118</v>
      </c>
      <c r="C18116" s="3" t="s">
        <v>10</v>
      </c>
      <c r="D18116" s="3" t="s">
        <v>9</v>
      </c>
      <c r="E18116" s="3">
        <v>0</v>
      </c>
      <c r="F18116" s="3">
        <v>0</v>
      </c>
      <c r="G18116" s="3">
        <v>0</v>
      </c>
      <c r="H18116" s="3">
        <v>31</v>
      </c>
      <c r="I18116" s="3">
        <v>0</v>
      </c>
      <c r="J18116" s="3">
        <v>0</v>
      </c>
      <c r="K18116" s="3">
        <v>0</v>
      </c>
      <c r="L18116" s="3">
        <v>0</v>
      </c>
      <c r="M18116" s="3">
        <v>31</v>
      </c>
      <c r="N18116" s="3">
        <v>0</v>
      </c>
      <c r="O18116" s="3" t="s">
        <v>10</v>
      </c>
      <c r="P18116" s="3" t="s">
        <v>9</v>
      </c>
      <c r="Q18116" s="3"/>
    </row>
    <row r="18117" spans="1:17" ht="15" x14ac:dyDescent="0.25">
      <c r="A18117" s="3">
        <f>18110</f>
        <v>18110</v>
      </c>
      <c r="B18117" s="3" t="s">
        <v>18119</v>
      </c>
      <c r="C18117" s="3" t="s">
        <v>10</v>
      </c>
      <c r="D18117" s="3" t="s">
        <v>9</v>
      </c>
      <c r="E18117" s="3">
        <v>0</v>
      </c>
      <c r="F18117" s="3">
        <v>0</v>
      </c>
      <c r="G18117" s="3">
        <v>0</v>
      </c>
      <c r="H18117" s="3">
        <v>31</v>
      </c>
      <c r="I18117" s="3">
        <v>0</v>
      </c>
      <c r="J18117" s="3">
        <v>0</v>
      </c>
      <c r="K18117" s="3">
        <v>0</v>
      </c>
      <c r="L18117" s="3">
        <v>0</v>
      </c>
      <c r="M18117" s="3">
        <v>31</v>
      </c>
      <c r="N18117" s="3">
        <v>0</v>
      </c>
      <c r="O18117" s="3" t="s">
        <v>10</v>
      </c>
      <c r="P18117" s="3" t="s">
        <v>9</v>
      </c>
      <c r="Q18117" s="3"/>
    </row>
    <row r="18118" spans="1:17" ht="15" x14ac:dyDescent="0.25">
      <c r="A18118" s="3">
        <f>18111</f>
        <v>18111</v>
      </c>
      <c r="B18118" s="3" t="s">
        <v>18120</v>
      </c>
      <c r="C18118" s="3" t="s">
        <v>10</v>
      </c>
      <c r="D18118" s="3" t="s">
        <v>9</v>
      </c>
      <c r="E18118" s="3">
        <v>0</v>
      </c>
      <c r="F18118" s="3">
        <v>0</v>
      </c>
      <c r="G18118" s="3">
        <v>0</v>
      </c>
      <c r="H18118" s="3">
        <v>31</v>
      </c>
      <c r="I18118" s="3">
        <v>0</v>
      </c>
      <c r="J18118" s="3">
        <v>0</v>
      </c>
      <c r="K18118" s="3">
        <v>0</v>
      </c>
      <c r="L18118" s="3">
        <v>0</v>
      </c>
      <c r="M18118" s="3">
        <v>31</v>
      </c>
      <c r="N18118" s="3">
        <v>0</v>
      </c>
      <c r="O18118" s="3" t="s">
        <v>10</v>
      </c>
      <c r="P18118" s="3" t="s">
        <v>9</v>
      </c>
      <c r="Q18118" s="3"/>
    </row>
    <row r="18119" spans="1:17" ht="15" x14ac:dyDescent="0.25">
      <c r="A18119" s="3">
        <f>18112</f>
        <v>18112</v>
      </c>
      <c r="B18119" s="3" t="s">
        <v>18121</v>
      </c>
      <c r="C18119" s="3" t="s">
        <v>10</v>
      </c>
      <c r="D18119" s="3" t="s">
        <v>9</v>
      </c>
      <c r="E18119" s="3">
        <v>0</v>
      </c>
      <c r="F18119" s="3">
        <v>0</v>
      </c>
      <c r="G18119" s="3">
        <v>0</v>
      </c>
      <c r="H18119" s="3">
        <v>31</v>
      </c>
      <c r="I18119" s="3">
        <v>0</v>
      </c>
      <c r="J18119" s="3">
        <v>0</v>
      </c>
      <c r="K18119" s="3">
        <v>0</v>
      </c>
      <c r="L18119" s="3">
        <v>0</v>
      </c>
      <c r="M18119" s="3">
        <v>31</v>
      </c>
      <c r="N18119" s="3">
        <v>0</v>
      </c>
      <c r="O18119" s="3" t="s">
        <v>10</v>
      </c>
      <c r="P18119" s="3" t="s">
        <v>9</v>
      </c>
      <c r="Q18119" s="3"/>
    </row>
    <row r="18120" spans="1:17" ht="15" x14ac:dyDescent="0.25">
      <c r="A18120" s="3">
        <f>18113</f>
        <v>18113</v>
      </c>
      <c r="B18120" s="3" t="s">
        <v>18122</v>
      </c>
      <c r="C18120" s="3" t="s">
        <v>10</v>
      </c>
      <c r="D18120" s="3" t="s">
        <v>9</v>
      </c>
      <c r="E18120" s="3">
        <v>0</v>
      </c>
      <c r="F18120" s="3">
        <v>0</v>
      </c>
      <c r="G18120" s="3">
        <v>0</v>
      </c>
      <c r="H18120" s="3">
        <v>31</v>
      </c>
      <c r="I18120" s="3">
        <v>0</v>
      </c>
      <c r="J18120" s="3">
        <v>0</v>
      </c>
      <c r="K18120" s="3">
        <v>0</v>
      </c>
      <c r="L18120" s="3">
        <v>0</v>
      </c>
      <c r="M18120" s="3">
        <v>31</v>
      </c>
      <c r="N18120" s="3">
        <v>0</v>
      </c>
      <c r="O18120" s="3" t="s">
        <v>10</v>
      </c>
      <c r="P18120" s="3" t="s">
        <v>9</v>
      </c>
      <c r="Q18120" s="3"/>
    </row>
    <row r="18121" spans="1:17" ht="15" x14ac:dyDescent="0.25">
      <c r="A18121" s="3">
        <f>18114</f>
        <v>18114</v>
      </c>
      <c r="B18121" s="3" t="s">
        <v>18123</v>
      </c>
      <c r="C18121" s="3" t="s">
        <v>10</v>
      </c>
      <c r="D18121" s="3" t="s">
        <v>9</v>
      </c>
      <c r="E18121" s="3">
        <v>0</v>
      </c>
      <c r="F18121" s="3">
        <v>0</v>
      </c>
      <c r="G18121" s="3">
        <v>0</v>
      </c>
      <c r="H18121" s="3">
        <v>31</v>
      </c>
      <c r="I18121" s="3">
        <v>0</v>
      </c>
      <c r="J18121" s="3">
        <v>0</v>
      </c>
      <c r="K18121" s="3">
        <v>0</v>
      </c>
      <c r="L18121" s="3">
        <v>0</v>
      </c>
      <c r="M18121" s="3">
        <v>31</v>
      </c>
      <c r="N18121" s="3">
        <v>0</v>
      </c>
      <c r="O18121" s="3" t="s">
        <v>10</v>
      </c>
      <c r="P18121" s="3" t="s">
        <v>9</v>
      </c>
      <c r="Q18121" s="3"/>
    </row>
    <row r="18122" spans="1:17" ht="15" x14ac:dyDescent="0.25">
      <c r="A18122" s="3">
        <f>18115</f>
        <v>18115</v>
      </c>
      <c r="B18122" s="3" t="s">
        <v>18124</v>
      </c>
      <c r="C18122" s="3" t="s">
        <v>10</v>
      </c>
      <c r="D18122" s="3" t="s">
        <v>9</v>
      </c>
      <c r="E18122" s="3">
        <v>0</v>
      </c>
      <c r="F18122" s="3">
        <v>0</v>
      </c>
      <c r="G18122" s="3">
        <v>0</v>
      </c>
      <c r="H18122" s="3">
        <v>31</v>
      </c>
      <c r="I18122" s="3">
        <v>0</v>
      </c>
      <c r="J18122" s="3">
        <v>0</v>
      </c>
      <c r="K18122" s="3">
        <v>0</v>
      </c>
      <c r="L18122" s="3">
        <v>0</v>
      </c>
      <c r="M18122" s="3">
        <v>31</v>
      </c>
      <c r="N18122" s="3">
        <v>0</v>
      </c>
      <c r="O18122" s="3" t="s">
        <v>10</v>
      </c>
      <c r="P18122" s="3" t="s">
        <v>9</v>
      </c>
      <c r="Q18122" s="3"/>
    </row>
    <row r="18123" spans="1:17" ht="15" x14ac:dyDescent="0.25">
      <c r="A18123" s="3">
        <f>18116</f>
        <v>18116</v>
      </c>
      <c r="B18123" s="3" t="s">
        <v>18125</v>
      </c>
      <c r="C18123" s="3" t="s">
        <v>10</v>
      </c>
      <c r="D18123" s="3" t="s">
        <v>9</v>
      </c>
      <c r="E18123" s="3">
        <v>0</v>
      </c>
      <c r="F18123" s="3">
        <v>0</v>
      </c>
      <c r="G18123" s="3">
        <v>0</v>
      </c>
      <c r="H18123" s="3">
        <v>31</v>
      </c>
      <c r="I18123" s="3">
        <v>0</v>
      </c>
      <c r="J18123" s="3">
        <v>0</v>
      </c>
      <c r="K18123" s="3">
        <v>0</v>
      </c>
      <c r="L18123" s="3">
        <v>0</v>
      </c>
      <c r="M18123" s="3">
        <v>31</v>
      </c>
      <c r="N18123" s="3">
        <v>0</v>
      </c>
      <c r="O18123" s="3" t="s">
        <v>10</v>
      </c>
      <c r="P18123" s="3" t="s">
        <v>9</v>
      </c>
      <c r="Q18123" s="3"/>
    </row>
    <row r="18124" spans="1:17" ht="15" x14ac:dyDescent="0.25">
      <c r="A18124" s="3">
        <f>18117</f>
        <v>18117</v>
      </c>
      <c r="B18124" s="3" t="s">
        <v>18126</v>
      </c>
      <c r="C18124" s="3" t="s">
        <v>10</v>
      </c>
      <c r="D18124" s="3" t="s">
        <v>9</v>
      </c>
      <c r="E18124" s="3">
        <v>0</v>
      </c>
      <c r="F18124" s="3">
        <v>0</v>
      </c>
      <c r="G18124" s="3">
        <v>0</v>
      </c>
      <c r="H18124" s="3">
        <v>31</v>
      </c>
      <c r="I18124" s="3">
        <v>0</v>
      </c>
      <c r="J18124" s="3">
        <v>0</v>
      </c>
      <c r="K18124" s="3">
        <v>0</v>
      </c>
      <c r="L18124" s="3">
        <v>0</v>
      </c>
      <c r="M18124" s="3">
        <v>31</v>
      </c>
      <c r="N18124" s="3">
        <v>0</v>
      </c>
      <c r="O18124" s="3" t="s">
        <v>10</v>
      </c>
      <c r="P18124" s="3" t="s">
        <v>9</v>
      </c>
      <c r="Q18124" s="3"/>
    </row>
    <row r="18125" spans="1:17" ht="15" x14ac:dyDescent="0.25">
      <c r="A18125" s="3">
        <f>18118</f>
        <v>18118</v>
      </c>
      <c r="B18125" s="3" t="s">
        <v>18127</v>
      </c>
      <c r="C18125" s="3" t="s">
        <v>10</v>
      </c>
      <c r="D18125" s="3" t="s">
        <v>9</v>
      </c>
      <c r="E18125" s="3">
        <v>0</v>
      </c>
      <c r="F18125" s="3">
        <v>0</v>
      </c>
      <c r="G18125" s="3">
        <v>0</v>
      </c>
      <c r="H18125" s="3">
        <v>31</v>
      </c>
      <c r="I18125" s="3">
        <v>0</v>
      </c>
      <c r="J18125" s="3">
        <v>0</v>
      </c>
      <c r="K18125" s="3">
        <v>0</v>
      </c>
      <c r="L18125" s="3">
        <v>0</v>
      </c>
      <c r="M18125" s="3">
        <v>31</v>
      </c>
      <c r="N18125" s="3">
        <v>0</v>
      </c>
      <c r="O18125" s="3" t="s">
        <v>10</v>
      </c>
      <c r="P18125" s="3" t="s">
        <v>9</v>
      </c>
      <c r="Q18125" s="3"/>
    </row>
    <row r="18126" spans="1:17" ht="15" x14ac:dyDescent="0.25">
      <c r="A18126" s="3">
        <f>18119</f>
        <v>18119</v>
      </c>
      <c r="B18126" s="3" t="s">
        <v>18128</v>
      </c>
      <c r="C18126" s="3" t="s">
        <v>10</v>
      </c>
      <c r="D18126" s="3" t="s">
        <v>9</v>
      </c>
      <c r="E18126" s="3">
        <v>0</v>
      </c>
      <c r="F18126" s="3">
        <v>0</v>
      </c>
      <c r="G18126" s="3">
        <v>0</v>
      </c>
      <c r="H18126" s="3">
        <v>31</v>
      </c>
      <c r="I18126" s="3">
        <v>0</v>
      </c>
      <c r="J18126" s="3">
        <v>0</v>
      </c>
      <c r="K18126" s="3">
        <v>0</v>
      </c>
      <c r="L18126" s="3">
        <v>0</v>
      </c>
      <c r="M18126" s="3">
        <v>31</v>
      </c>
      <c r="N18126" s="3">
        <v>0</v>
      </c>
      <c r="O18126" s="3" t="s">
        <v>10</v>
      </c>
      <c r="P18126" s="3" t="s">
        <v>9</v>
      </c>
      <c r="Q18126" s="3"/>
    </row>
    <row r="18127" spans="1:17" ht="15" x14ac:dyDescent="0.25">
      <c r="A18127" s="3">
        <f>18120</f>
        <v>18120</v>
      </c>
      <c r="B18127" s="3" t="s">
        <v>18129</v>
      </c>
      <c r="C18127" s="3" t="s">
        <v>10</v>
      </c>
      <c r="D18127" s="3" t="s">
        <v>9</v>
      </c>
      <c r="E18127" s="3">
        <v>0</v>
      </c>
      <c r="F18127" s="3">
        <v>0</v>
      </c>
      <c r="G18127" s="3">
        <v>0</v>
      </c>
      <c r="H18127" s="3">
        <v>31</v>
      </c>
      <c r="I18127" s="3">
        <v>0</v>
      </c>
      <c r="J18127" s="3">
        <v>0</v>
      </c>
      <c r="K18127" s="3">
        <v>0</v>
      </c>
      <c r="L18127" s="3">
        <v>0</v>
      </c>
      <c r="M18127" s="3">
        <v>31</v>
      </c>
      <c r="N18127" s="3">
        <v>0</v>
      </c>
      <c r="O18127" s="3" t="s">
        <v>10</v>
      </c>
      <c r="P18127" s="3" t="s">
        <v>9</v>
      </c>
      <c r="Q18127" s="3"/>
    </row>
    <row r="18128" spans="1:17" ht="15" x14ac:dyDescent="0.25">
      <c r="A18128" s="3">
        <f>18121</f>
        <v>18121</v>
      </c>
      <c r="B18128" s="3" t="s">
        <v>18130</v>
      </c>
      <c r="C18128" s="3" t="s">
        <v>10</v>
      </c>
      <c r="D18128" s="3" t="s">
        <v>9</v>
      </c>
      <c r="E18128" s="3">
        <v>0</v>
      </c>
      <c r="F18128" s="3">
        <v>0</v>
      </c>
      <c r="G18128" s="3">
        <v>0</v>
      </c>
      <c r="H18128" s="3">
        <v>31</v>
      </c>
      <c r="I18128" s="3">
        <v>0</v>
      </c>
      <c r="J18128" s="3">
        <v>0</v>
      </c>
      <c r="K18128" s="3">
        <v>0</v>
      </c>
      <c r="L18128" s="3">
        <v>0</v>
      </c>
      <c r="M18128" s="3">
        <v>31</v>
      </c>
      <c r="N18128" s="3">
        <v>0</v>
      </c>
      <c r="O18128" s="3" t="s">
        <v>10</v>
      </c>
      <c r="P18128" s="3" t="s">
        <v>9</v>
      </c>
      <c r="Q18128" s="3"/>
    </row>
    <row r="18129" spans="1:17" ht="15" x14ac:dyDescent="0.25">
      <c r="A18129" s="3">
        <f>18122</f>
        <v>18122</v>
      </c>
      <c r="B18129" s="3" t="s">
        <v>18131</v>
      </c>
      <c r="C18129" s="3" t="s">
        <v>10</v>
      </c>
      <c r="D18129" s="3" t="s">
        <v>9</v>
      </c>
      <c r="E18129" s="3">
        <v>0</v>
      </c>
      <c r="F18129" s="3">
        <v>0</v>
      </c>
      <c r="G18129" s="3">
        <v>0</v>
      </c>
      <c r="H18129" s="3">
        <v>31</v>
      </c>
      <c r="I18129" s="3">
        <v>0</v>
      </c>
      <c r="J18129" s="3">
        <v>0</v>
      </c>
      <c r="K18129" s="3">
        <v>0</v>
      </c>
      <c r="L18129" s="3">
        <v>0</v>
      </c>
      <c r="M18129" s="3">
        <v>31</v>
      </c>
      <c r="N18129" s="3">
        <v>0</v>
      </c>
      <c r="O18129" s="3" t="s">
        <v>10</v>
      </c>
      <c r="P18129" s="3" t="s">
        <v>9</v>
      </c>
      <c r="Q18129" s="3"/>
    </row>
    <row r="18130" spans="1:17" ht="15" x14ac:dyDescent="0.25">
      <c r="A18130" s="3">
        <f>18123</f>
        <v>18123</v>
      </c>
      <c r="B18130" s="3" t="s">
        <v>18132</v>
      </c>
      <c r="C18130" s="3" t="s">
        <v>10</v>
      </c>
      <c r="D18130" s="3" t="s">
        <v>9</v>
      </c>
      <c r="E18130" s="3">
        <v>0</v>
      </c>
      <c r="F18130" s="3">
        <v>0</v>
      </c>
      <c r="G18130" s="3">
        <v>0</v>
      </c>
      <c r="H18130" s="3">
        <v>31</v>
      </c>
      <c r="I18130" s="3">
        <v>0</v>
      </c>
      <c r="J18130" s="3">
        <v>0</v>
      </c>
      <c r="K18130" s="3">
        <v>0</v>
      </c>
      <c r="L18130" s="3">
        <v>0</v>
      </c>
      <c r="M18130" s="3">
        <v>31</v>
      </c>
      <c r="N18130" s="3">
        <v>0</v>
      </c>
      <c r="O18130" s="3" t="s">
        <v>10</v>
      </c>
      <c r="P18130" s="3" t="s">
        <v>9</v>
      </c>
      <c r="Q18130" s="3"/>
    </row>
    <row r="18131" spans="1:17" ht="15" x14ac:dyDescent="0.25">
      <c r="A18131" s="3">
        <f>18124</f>
        <v>18124</v>
      </c>
      <c r="B18131" s="3" t="s">
        <v>18133</v>
      </c>
      <c r="C18131" s="3" t="s">
        <v>10</v>
      </c>
      <c r="D18131" s="3" t="s">
        <v>9</v>
      </c>
      <c r="E18131" s="3">
        <v>0</v>
      </c>
      <c r="F18131" s="3">
        <v>0</v>
      </c>
      <c r="G18131" s="3">
        <v>0</v>
      </c>
      <c r="H18131" s="3">
        <v>31</v>
      </c>
      <c r="I18131" s="3">
        <v>0</v>
      </c>
      <c r="J18131" s="3">
        <v>0</v>
      </c>
      <c r="K18131" s="3">
        <v>0</v>
      </c>
      <c r="L18131" s="3">
        <v>0</v>
      </c>
      <c r="M18131" s="3">
        <v>31</v>
      </c>
      <c r="N18131" s="3">
        <v>0</v>
      </c>
      <c r="O18131" s="3" t="s">
        <v>10</v>
      </c>
      <c r="P18131" s="3" t="s">
        <v>9</v>
      </c>
      <c r="Q18131" s="3"/>
    </row>
    <row r="18132" spans="1:17" ht="15" x14ac:dyDescent="0.25">
      <c r="A18132" s="3">
        <f>18125</f>
        <v>18125</v>
      </c>
      <c r="B18132" s="3" t="s">
        <v>18134</v>
      </c>
      <c r="C18132" s="3" t="s">
        <v>10</v>
      </c>
      <c r="D18132" s="3" t="s">
        <v>9</v>
      </c>
      <c r="E18132" s="3">
        <v>0</v>
      </c>
      <c r="F18132" s="3">
        <v>0</v>
      </c>
      <c r="G18132" s="3">
        <v>0</v>
      </c>
      <c r="H18132" s="3">
        <v>31</v>
      </c>
      <c r="I18132" s="3">
        <v>0</v>
      </c>
      <c r="J18132" s="3">
        <v>0</v>
      </c>
      <c r="K18132" s="3">
        <v>0</v>
      </c>
      <c r="L18132" s="3">
        <v>0</v>
      </c>
      <c r="M18132" s="3">
        <v>31</v>
      </c>
      <c r="N18132" s="3">
        <v>0</v>
      </c>
      <c r="O18132" s="3" t="s">
        <v>10</v>
      </c>
      <c r="P18132" s="3" t="s">
        <v>9</v>
      </c>
      <c r="Q18132" s="3"/>
    </row>
    <row r="18133" spans="1:17" ht="15" x14ac:dyDescent="0.25">
      <c r="A18133" s="3">
        <f>18126</f>
        <v>18126</v>
      </c>
      <c r="B18133" s="3" t="s">
        <v>18135</v>
      </c>
      <c r="C18133" s="3" t="s">
        <v>10</v>
      </c>
      <c r="D18133" s="3" t="s">
        <v>9</v>
      </c>
      <c r="E18133" s="3">
        <v>0</v>
      </c>
      <c r="F18133" s="3">
        <v>0</v>
      </c>
      <c r="G18133" s="3">
        <v>0</v>
      </c>
      <c r="H18133" s="3">
        <v>31</v>
      </c>
      <c r="I18133" s="3">
        <v>0</v>
      </c>
      <c r="J18133" s="3">
        <v>0</v>
      </c>
      <c r="K18133" s="3">
        <v>0</v>
      </c>
      <c r="L18133" s="3">
        <v>0</v>
      </c>
      <c r="M18133" s="3">
        <v>31</v>
      </c>
      <c r="N18133" s="3">
        <v>0</v>
      </c>
      <c r="O18133" s="3" t="s">
        <v>10</v>
      </c>
      <c r="P18133" s="3" t="s">
        <v>9</v>
      </c>
      <c r="Q18133" s="3"/>
    </row>
    <row r="18134" spans="1:17" ht="15" x14ac:dyDescent="0.25">
      <c r="A18134" s="3">
        <f>18127</f>
        <v>18127</v>
      </c>
      <c r="B18134" s="3" t="s">
        <v>18136</v>
      </c>
      <c r="C18134" s="3" t="s">
        <v>10</v>
      </c>
      <c r="D18134" s="3" t="s">
        <v>9</v>
      </c>
      <c r="E18134" s="3">
        <v>0</v>
      </c>
      <c r="F18134" s="3">
        <v>0</v>
      </c>
      <c r="G18134" s="3">
        <v>0</v>
      </c>
      <c r="H18134" s="3">
        <v>31</v>
      </c>
      <c r="I18134" s="3">
        <v>0</v>
      </c>
      <c r="J18134" s="3">
        <v>0</v>
      </c>
      <c r="K18134" s="3">
        <v>0</v>
      </c>
      <c r="L18134" s="3">
        <v>0</v>
      </c>
      <c r="M18134" s="3">
        <v>31</v>
      </c>
      <c r="N18134" s="3">
        <v>0</v>
      </c>
      <c r="O18134" s="3" t="s">
        <v>10</v>
      </c>
      <c r="P18134" s="3" t="s">
        <v>9</v>
      </c>
      <c r="Q18134" s="3"/>
    </row>
    <row r="18135" spans="1:17" ht="15" x14ac:dyDescent="0.25">
      <c r="A18135" s="3">
        <f>18128</f>
        <v>18128</v>
      </c>
      <c r="B18135" s="3" t="s">
        <v>18137</v>
      </c>
      <c r="C18135" s="3" t="s">
        <v>10</v>
      </c>
      <c r="D18135" s="3" t="s">
        <v>9</v>
      </c>
      <c r="E18135" s="3">
        <v>0</v>
      </c>
      <c r="F18135" s="3">
        <v>0</v>
      </c>
      <c r="G18135" s="3">
        <v>0</v>
      </c>
      <c r="H18135" s="3">
        <v>31</v>
      </c>
      <c r="I18135" s="3">
        <v>0</v>
      </c>
      <c r="J18135" s="3">
        <v>0</v>
      </c>
      <c r="K18135" s="3">
        <v>0</v>
      </c>
      <c r="L18135" s="3">
        <v>0</v>
      </c>
      <c r="M18135" s="3">
        <v>31</v>
      </c>
      <c r="N18135" s="3">
        <v>0</v>
      </c>
      <c r="O18135" s="3" t="s">
        <v>10</v>
      </c>
      <c r="P18135" s="3" t="s">
        <v>9</v>
      </c>
      <c r="Q18135" s="3"/>
    </row>
    <row r="18136" spans="1:17" ht="15" x14ac:dyDescent="0.25">
      <c r="A18136" s="3">
        <f>18129</f>
        <v>18129</v>
      </c>
      <c r="B18136" s="3" t="s">
        <v>18138</v>
      </c>
      <c r="C18136" s="3" t="s">
        <v>10</v>
      </c>
      <c r="D18136" s="3" t="s">
        <v>9</v>
      </c>
      <c r="E18136" s="3">
        <v>0</v>
      </c>
      <c r="F18136" s="3">
        <v>0</v>
      </c>
      <c r="G18136" s="3">
        <v>0</v>
      </c>
      <c r="H18136" s="3">
        <v>31</v>
      </c>
      <c r="I18136" s="3">
        <v>0</v>
      </c>
      <c r="J18136" s="3">
        <v>0</v>
      </c>
      <c r="K18136" s="3">
        <v>0</v>
      </c>
      <c r="L18136" s="3">
        <v>0</v>
      </c>
      <c r="M18136" s="3">
        <v>31</v>
      </c>
      <c r="N18136" s="3">
        <v>0</v>
      </c>
      <c r="O18136" s="3" t="s">
        <v>10</v>
      </c>
      <c r="P18136" s="3" t="s">
        <v>9</v>
      </c>
      <c r="Q18136" s="3"/>
    </row>
    <row r="18137" spans="1:17" ht="15" x14ac:dyDescent="0.25">
      <c r="A18137" s="3">
        <f>18130</f>
        <v>18130</v>
      </c>
      <c r="B18137" s="3" t="s">
        <v>18139</v>
      </c>
      <c r="C18137" s="3" t="s">
        <v>10</v>
      </c>
      <c r="D18137" s="3" t="s">
        <v>9</v>
      </c>
      <c r="E18137" s="3">
        <v>0</v>
      </c>
      <c r="F18137" s="3">
        <v>0</v>
      </c>
      <c r="G18137" s="3">
        <v>0</v>
      </c>
      <c r="H18137" s="3">
        <v>31</v>
      </c>
      <c r="I18137" s="3">
        <v>0</v>
      </c>
      <c r="J18137" s="3">
        <v>0</v>
      </c>
      <c r="K18137" s="3">
        <v>0</v>
      </c>
      <c r="L18137" s="3">
        <v>0</v>
      </c>
      <c r="M18137" s="3">
        <v>31</v>
      </c>
      <c r="N18137" s="3">
        <v>0</v>
      </c>
      <c r="O18137" s="3" t="s">
        <v>10</v>
      </c>
      <c r="P18137" s="3" t="s">
        <v>9</v>
      </c>
      <c r="Q18137" s="3"/>
    </row>
    <row r="18138" spans="1:17" ht="15" x14ac:dyDescent="0.25">
      <c r="A18138" s="3">
        <f>18131</f>
        <v>18131</v>
      </c>
      <c r="B18138" s="3" t="s">
        <v>18140</v>
      </c>
      <c r="C18138" s="3" t="s">
        <v>10</v>
      </c>
      <c r="D18138" s="3" t="s">
        <v>9</v>
      </c>
      <c r="E18138" s="3">
        <v>0</v>
      </c>
      <c r="F18138" s="3">
        <v>0</v>
      </c>
      <c r="G18138" s="3">
        <v>0</v>
      </c>
      <c r="H18138" s="3">
        <v>31</v>
      </c>
      <c r="I18138" s="3">
        <v>0</v>
      </c>
      <c r="J18138" s="3">
        <v>0</v>
      </c>
      <c r="K18138" s="3">
        <v>0</v>
      </c>
      <c r="L18138" s="3">
        <v>0</v>
      </c>
      <c r="M18138" s="3">
        <v>31</v>
      </c>
      <c r="N18138" s="3">
        <v>0</v>
      </c>
      <c r="O18138" s="3" t="s">
        <v>10</v>
      </c>
      <c r="P18138" s="3" t="s">
        <v>9</v>
      </c>
      <c r="Q18138" s="3"/>
    </row>
    <row r="18139" spans="1:17" ht="15" x14ac:dyDescent="0.25">
      <c r="A18139" s="3">
        <f>18132</f>
        <v>18132</v>
      </c>
      <c r="B18139" s="3" t="s">
        <v>18141</v>
      </c>
      <c r="C18139" s="3" t="s">
        <v>10</v>
      </c>
      <c r="D18139" s="3" t="s">
        <v>9</v>
      </c>
      <c r="E18139" s="3">
        <v>0</v>
      </c>
      <c r="F18139" s="3">
        <v>0</v>
      </c>
      <c r="G18139" s="3">
        <v>0</v>
      </c>
      <c r="H18139" s="3">
        <v>31</v>
      </c>
      <c r="I18139" s="3">
        <v>0</v>
      </c>
      <c r="J18139" s="3">
        <v>0</v>
      </c>
      <c r="K18139" s="3">
        <v>0</v>
      </c>
      <c r="L18139" s="3">
        <v>0</v>
      </c>
      <c r="M18139" s="3">
        <v>31</v>
      </c>
      <c r="N18139" s="3">
        <v>0</v>
      </c>
      <c r="O18139" s="3" t="s">
        <v>10</v>
      </c>
      <c r="P18139" s="3" t="s">
        <v>9</v>
      </c>
      <c r="Q18139" s="3"/>
    </row>
    <row r="18140" spans="1:17" ht="15" x14ac:dyDescent="0.25">
      <c r="A18140" s="3">
        <f>18133</f>
        <v>18133</v>
      </c>
      <c r="B18140" s="3" t="s">
        <v>18142</v>
      </c>
      <c r="C18140" s="3" t="s">
        <v>10</v>
      </c>
      <c r="D18140" s="3" t="s">
        <v>9</v>
      </c>
      <c r="E18140" s="3">
        <v>0</v>
      </c>
      <c r="F18140" s="3">
        <v>0</v>
      </c>
      <c r="G18140" s="3">
        <v>0</v>
      </c>
      <c r="H18140" s="3">
        <v>31</v>
      </c>
      <c r="I18140" s="3">
        <v>0</v>
      </c>
      <c r="J18140" s="3">
        <v>0</v>
      </c>
      <c r="K18140" s="3">
        <v>0</v>
      </c>
      <c r="L18140" s="3">
        <v>0</v>
      </c>
      <c r="M18140" s="3">
        <v>31</v>
      </c>
      <c r="N18140" s="3">
        <v>0</v>
      </c>
      <c r="O18140" s="3" t="s">
        <v>10</v>
      </c>
      <c r="P18140" s="3" t="s">
        <v>9</v>
      </c>
      <c r="Q18140" s="3"/>
    </row>
    <row r="18141" spans="1:17" ht="15" x14ac:dyDescent="0.25">
      <c r="A18141" s="3">
        <f>18134</f>
        <v>18134</v>
      </c>
      <c r="B18141" s="3" t="s">
        <v>18143</v>
      </c>
      <c r="C18141" s="3" t="s">
        <v>10</v>
      </c>
      <c r="D18141" s="3" t="s">
        <v>9</v>
      </c>
      <c r="E18141" s="3">
        <v>0</v>
      </c>
      <c r="F18141" s="3">
        <v>0</v>
      </c>
      <c r="G18141" s="3">
        <v>0</v>
      </c>
      <c r="H18141" s="3">
        <v>31</v>
      </c>
      <c r="I18141" s="3">
        <v>0</v>
      </c>
      <c r="J18141" s="3">
        <v>0</v>
      </c>
      <c r="K18141" s="3">
        <v>0</v>
      </c>
      <c r="L18141" s="3">
        <v>0</v>
      </c>
      <c r="M18141" s="3">
        <v>31</v>
      </c>
      <c r="N18141" s="3">
        <v>0</v>
      </c>
      <c r="O18141" s="3" t="s">
        <v>10</v>
      </c>
      <c r="P18141" s="3" t="s">
        <v>9</v>
      </c>
      <c r="Q18141" s="3"/>
    </row>
    <row r="18142" spans="1:17" ht="15" x14ac:dyDescent="0.25">
      <c r="A18142" s="3">
        <f>18135</f>
        <v>18135</v>
      </c>
      <c r="B18142" s="3" t="s">
        <v>18144</v>
      </c>
      <c r="C18142" s="3" t="s">
        <v>10</v>
      </c>
      <c r="D18142" s="3" t="s">
        <v>9</v>
      </c>
      <c r="E18142" s="3">
        <v>0</v>
      </c>
      <c r="F18142" s="3">
        <v>0</v>
      </c>
      <c r="G18142" s="3">
        <v>0</v>
      </c>
      <c r="H18142" s="3">
        <v>31</v>
      </c>
      <c r="I18142" s="3">
        <v>0</v>
      </c>
      <c r="J18142" s="3">
        <v>0</v>
      </c>
      <c r="K18142" s="3">
        <v>0</v>
      </c>
      <c r="L18142" s="3">
        <v>0</v>
      </c>
      <c r="M18142" s="3">
        <v>31</v>
      </c>
      <c r="N18142" s="3">
        <v>0</v>
      </c>
      <c r="O18142" s="3" t="s">
        <v>10</v>
      </c>
      <c r="P18142" s="3" t="s">
        <v>9</v>
      </c>
      <c r="Q18142" s="3"/>
    </row>
    <row r="18143" spans="1:17" ht="15" x14ac:dyDescent="0.25">
      <c r="A18143" s="3">
        <f>18136</f>
        <v>18136</v>
      </c>
      <c r="B18143" s="3" t="s">
        <v>18145</v>
      </c>
      <c r="C18143" s="3" t="s">
        <v>10</v>
      </c>
      <c r="D18143" s="3" t="s">
        <v>9</v>
      </c>
      <c r="E18143" s="3">
        <v>0</v>
      </c>
      <c r="F18143" s="3">
        <v>0</v>
      </c>
      <c r="G18143" s="3">
        <v>0</v>
      </c>
      <c r="H18143" s="3">
        <v>31</v>
      </c>
      <c r="I18143" s="3">
        <v>0</v>
      </c>
      <c r="J18143" s="3">
        <v>0</v>
      </c>
      <c r="K18143" s="3">
        <v>0</v>
      </c>
      <c r="L18143" s="3">
        <v>0</v>
      </c>
      <c r="M18143" s="3">
        <v>31</v>
      </c>
      <c r="N18143" s="3">
        <v>0</v>
      </c>
      <c r="O18143" s="3" t="s">
        <v>10</v>
      </c>
      <c r="P18143" s="3" t="s">
        <v>9</v>
      </c>
      <c r="Q18143" s="3"/>
    </row>
    <row r="18144" spans="1:17" ht="15" x14ac:dyDescent="0.25">
      <c r="A18144" s="3">
        <f>18137</f>
        <v>18137</v>
      </c>
      <c r="B18144" s="3" t="s">
        <v>18146</v>
      </c>
      <c r="C18144" s="3" t="s">
        <v>10</v>
      </c>
      <c r="D18144" s="3" t="s">
        <v>9</v>
      </c>
      <c r="E18144" s="3">
        <v>0</v>
      </c>
      <c r="F18144" s="3">
        <v>0</v>
      </c>
      <c r="G18144" s="3">
        <v>0</v>
      </c>
      <c r="H18144" s="3">
        <v>31</v>
      </c>
      <c r="I18144" s="3">
        <v>0</v>
      </c>
      <c r="J18144" s="3">
        <v>0</v>
      </c>
      <c r="K18144" s="3">
        <v>0</v>
      </c>
      <c r="L18144" s="3">
        <v>0</v>
      </c>
      <c r="M18144" s="3">
        <v>31</v>
      </c>
      <c r="N18144" s="3">
        <v>0</v>
      </c>
      <c r="O18144" s="3" t="s">
        <v>10</v>
      </c>
      <c r="P18144" s="3" t="s">
        <v>9</v>
      </c>
      <c r="Q18144" s="3"/>
    </row>
    <row r="18145" spans="1:17" ht="15" x14ac:dyDescent="0.25">
      <c r="A18145" s="3">
        <f>18138</f>
        <v>18138</v>
      </c>
      <c r="B18145" s="3" t="s">
        <v>18147</v>
      </c>
      <c r="C18145" s="3" t="s">
        <v>10</v>
      </c>
      <c r="D18145" s="3" t="s">
        <v>9</v>
      </c>
      <c r="E18145" s="3">
        <v>0</v>
      </c>
      <c r="F18145" s="3">
        <v>0</v>
      </c>
      <c r="G18145" s="3">
        <v>0</v>
      </c>
      <c r="H18145" s="3">
        <v>31</v>
      </c>
      <c r="I18145" s="3">
        <v>0</v>
      </c>
      <c r="J18145" s="3">
        <v>0</v>
      </c>
      <c r="K18145" s="3">
        <v>0</v>
      </c>
      <c r="L18145" s="3">
        <v>0</v>
      </c>
      <c r="M18145" s="3">
        <v>31</v>
      </c>
      <c r="N18145" s="3">
        <v>0</v>
      </c>
      <c r="O18145" s="3" t="s">
        <v>10</v>
      </c>
      <c r="P18145" s="3" t="s">
        <v>9</v>
      </c>
      <c r="Q18145" s="3"/>
    </row>
    <row r="18146" spans="1:17" ht="15" x14ac:dyDescent="0.25">
      <c r="A18146" s="3">
        <f>18139</f>
        <v>18139</v>
      </c>
      <c r="B18146" s="3" t="s">
        <v>18148</v>
      </c>
      <c r="C18146" s="3" t="s">
        <v>10</v>
      </c>
      <c r="D18146" s="3" t="s">
        <v>9</v>
      </c>
      <c r="E18146" s="3">
        <v>0</v>
      </c>
      <c r="F18146" s="3">
        <v>0</v>
      </c>
      <c r="G18146" s="3">
        <v>0</v>
      </c>
      <c r="H18146" s="3">
        <v>31</v>
      </c>
      <c r="I18146" s="3">
        <v>0</v>
      </c>
      <c r="J18146" s="3">
        <v>0</v>
      </c>
      <c r="K18146" s="3">
        <v>0</v>
      </c>
      <c r="L18146" s="3">
        <v>0</v>
      </c>
      <c r="M18146" s="3">
        <v>31</v>
      </c>
      <c r="N18146" s="3">
        <v>0</v>
      </c>
      <c r="O18146" s="3" t="s">
        <v>10</v>
      </c>
      <c r="P18146" s="3" t="s">
        <v>9</v>
      </c>
      <c r="Q18146" s="3"/>
    </row>
    <row r="18147" spans="1:17" ht="15" x14ac:dyDescent="0.25">
      <c r="A18147" s="3">
        <f>18140</f>
        <v>18140</v>
      </c>
      <c r="B18147" s="3" t="s">
        <v>18149</v>
      </c>
      <c r="C18147" s="3" t="s">
        <v>10</v>
      </c>
      <c r="D18147" s="3" t="s">
        <v>9</v>
      </c>
      <c r="E18147" s="3">
        <v>0</v>
      </c>
      <c r="F18147" s="3">
        <v>0</v>
      </c>
      <c r="G18147" s="3">
        <v>0</v>
      </c>
      <c r="H18147" s="3">
        <v>31</v>
      </c>
      <c r="I18147" s="3">
        <v>0</v>
      </c>
      <c r="J18147" s="3">
        <v>0</v>
      </c>
      <c r="K18147" s="3">
        <v>0</v>
      </c>
      <c r="L18147" s="3">
        <v>0</v>
      </c>
      <c r="M18147" s="3">
        <v>31</v>
      </c>
      <c r="N18147" s="3">
        <v>0</v>
      </c>
      <c r="O18147" s="3" t="s">
        <v>10</v>
      </c>
      <c r="P18147" s="3" t="s">
        <v>9</v>
      </c>
      <c r="Q18147" s="3"/>
    </row>
    <row r="18148" spans="1:17" ht="15" x14ac:dyDescent="0.25">
      <c r="A18148" s="3">
        <f>18141</f>
        <v>18141</v>
      </c>
      <c r="B18148" s="3" t="s">
        <v>18150</v>
      </c>
      <c r="C18148" s="3" t="s">
        <v>10</v>
      </c>
      <c r="D18148" s="3" t="s">
        <v>9</v>
      </c>
      <c r="E18148" s="3">
        <v>0</v>
      </c>
      <c r="F18148" s="3">
        <v>0</v>
      </c>
      <c r="G18148" s="3">
        <v>0</v>
      </c>
      <c r="H18148" s="3">
        <v>31</v>
      </c>
      <c r="I18148" s="3">
        <v>0</v>
      </c>
      <c r="J18148" s="3">
        <v>0</v>
      </c>
      <c r="K18148" s="3">
        <v>0</v>
      </c>
      <c r="L18148" s="3">
        <v>0</v>
      </c>
      <c r="M18148" s="3">
        <v>31</v>
      </c>
      <c r="N18148" s="3">
        <v>0</v>
      </c>
      <c r="O18148" s="3" t="s">
        <v>10</v>
      </c>
      <c r="P18148" s="3" t="s">
        <v>9</v>
      </c>
      <c r="Q18148" s="3"/>
    </row>
    <row r="18149" spans="1:17" ht="15" x14ac:dyDescent="0.25">
      <c r="A18149" s="3">
        <f>18142</f>
        <v>18142</v>
      </c>
      <c r="B18149" s="3" t="s">
        <v>18151</v>
      </c>
      <c r="C18149" s="3" t="s">
        <v>10</v>
      </c>
      <c r="D18149" s="3" t="s">
        <v>9</v>
      </c>
      <c r="E18149" s="3">
        <v>0</v>
      </c>
      <c r="F18149" s="3">
        <v>0</v>
      </c>
      <c r="G18149" s="3">
        <v>0</v>
      </c>
      <c r="H18149" s="3">
        <v>31</v>
      </c>
      <c r="I18149" s="3">
        <v>0</v>
      </c>
      <c r="J18149" s="3">
        <v>0</v>
      </c>
      <c r="K18149" s="3">
        <v>0</v>
      </c>
      <c r="L18149" s="3">
        <v>0</v>
      </c>
      <c r="M18149" s="3">
        <v>31</v>
      </c>
      <c r="N18149" s="3">
        <v>0</v>
      </c>
      <c r="O18149" s="3" t="s">
        <v>10</v>
      </c>
      <c r="P18149" s="3" t="s">
        <v>9</v>
      </c>
      <c r="Q18149" s="3"/>
    </row>
    <row r="18150" spans="1:17" ht="15" x14ac:dyDescent="0.25">
      <c r="A18150" s="3">
        <f>18143</f>
        <v>18143</v>
      </c>
      <c r="B18150" s="3" t="s">
        <v>18152</v>
      </c>
      <c r="C18150" s="3" t="s">
        <v>10</v>
      </c>
      <c r="D18150" s="3" t="s">
        <v>9</v>
      </c>
      <c r="E18150" s="3">
        <v>0</v>
      </c>
      <c r="F18150" s="3">
        <v>0</v>
      </c>
      <c r="G18150" s="3">
        <v>0</v>
      </c>
      <c r="H18150" s="3">
        <v>31</v>
      </c>
      <c r="I18150" s="3">
        <v>0</v>
      </c>
      <c r="J18150" s="3">
        <v>0</v>
      </c>
      <c r="K18150" s="3">
        <v>0</v>
      </c>
      <c r="L18150" s="3">
        <v>0</v>
      </c>
      <c r="M18150" s="3">
        <v>31</v>
      </c>
      <c r="N18150" s="3">
        <v>0</v>
      </c>
      <c r="O18150" s="3" t="s">
        <v>10</v>
      </c>
      <c r="P18150" s="3" t="s">
        <v>9</v>
      </c>
      <c r="Q18150" s="3"/>
    </row>
    <row r="18151" spans="1:17" ht="15" x14ac:dyDescent="0.25">
      <c r="A18151" s="3">
        <f>18144</f>
        <v>18144</v>
      </c>
      <c r="B18151" s="3" t="s">
        <v>18153</v>
      </c>
      <c r="C18151" s="3" t="s">
        <v>10</v>
      </c>
      <c r="D18151" s="3" t="s">
        <v>9</v>
      </c>
      <c r="E18151" s="3">
        <v>0</v>
      </c>
      <c r="F18151" s="3">
        <v>0</v>
      </c>
      <c r="G18151" s="3">
        <v>0</v>
      </c>
      <c r="H18151" s="3">
        <v>31</v>
      </c>
      <c r="I18151" s="3">
        <v>0</v>
      </c>
      <c r="J18151" s="3">
        <v>0</v>
      </c>
      <c r="K18151" s="3">
        <v>0</v>
      </c>
      <c r="L18151" s="3">
        <v>0</v>
      </c>
      <c r="M18151" s="3">
        <v>31</v>
      </c>
      <c r="N18151" s="3">
        <v>0</v>
      </c>
      <c r="O18151" s="3" t="s">
        <v>10</v>
      </c>
      <c r="P18151" s="3" t="s">
        <v>9</v>
      </c>
      <c r="Q18151" s="3"/>
    </row>
    <row r="18152" spans="1:17" ht="15" x14ac:dyDescent="0.25">
      <c r="A18152" s="3">
        <f>18145</f>
        <v>18145</v>
      </c>
      <c r="B18152" s="3" t="s">
        <v>18154</v>
      </c>
      <c r="C18152" s="3" t="s">
        <v>10</v>
      </c>
      <c r="D18152" s="3" t="s">
        <v>9</v>
      </c>
      <c r="E18152" s="3">
        <v>0</v>
      </c>
      <c r="F18152" s="3">
        <v>0</v>
      </c>
      <c r="G18152" s="3">
        <v>0</v>
      </c>
      <c r="H18152" s="3">
        <v>31</v>
      </c>
      <c r="I18152" s="3">
        <v>0</v>
      </c>
      <c r="J18152" s="3">
        <v>0</v>
      </c>
      <c r="K18152" s="3">
        <v>0</v>
      </c>
      <c r="L18152" s="3">
        <v>0</v>
      </c>
      <c r="M18152" s="3">
        <v>31</v>
      </c>
      <c r="N18152" s="3">
        <v>0</v>
      </c>
      <c r="O18152" s="3" t="s">
        <v>10</v>
      </c>
      <c r="P18152" s="3" t="s">
        <v>9</v>
      </c>
      <c r="Q18152" s="3"/>
    </row>
    <row r="18153" spans="1:17" ht="15" x14ac:dyDescent="0.25">
      <c r="A18153" s="3">
        <f>18146</f>
        <v>18146</v>
      </c>
      <c r="B18153" s="3" t="s">
        <v>18155</v>
      </c>
      <c r="C18153" s="3" t="s">
        <v>10</v>
      </c>
      <c r="D18153" s="3" t="s">
        <v>9</v>
      </c>
      <c r="E18153" s="3">
        <v>0</v>
      </c>
      <c r="F18153" s="3">
        <v>0</v>
      </c>
      <c r="G18153" s="3">
        <v>0</v>
      </c>
      <c r="H18153" s="3">
        <v>31</v>
      </c>
      <c r="I18153" s="3">
        <v>0</v>
      </c>
      <c r="J18153" s="3">
        <v>0</v>
      </c>
      <c r="K18153" s="3">
        <v>0</v>
      </c>
      <c r="L18153" s="3">
        <v>0</v>
      </c>
      <c r="M18153" s="3">
        <v>31</v>
      </c>
      <c r="N18153" s="3">
        <v>0</v>
      </c>
      <c r="O18153" s="3" t="s">
        <v>10</v>
      </c>
      <c r="P18153" s="3" t="s">
        <v>9</v>
      </c>
      <c r="Q18153" s="3"/>
    </row>
    <row r="18154" spans="1:17" ht="15" x14ac:dyDescent="0.25">
      <c r="A18154" s="3">
        <f>18147</f>
        <v>18147</v>
      </c>
      <c r="B18154" s="3" t="s">
        <v>18156</v>
      </c>
      <c r="C18154" s="3" t="s">
        <v>10</v>
      </c>
      <c r="D18154" s="3" t="s">
        <v>9</v>
      </c>
      <c r="E18154" s="3">
        <v>0</v>
      </c>
      <c r="F18154" s="3">
        <v>0</v>
      </c>
      <c r="G18154" s="3">
        <v>0</v>
      </c>
      <c r="H18154" s="3">
        <v>31</v>
      </c>
      <c r="I18154" s="3">
        <v>0</v>
      </c>
      <c r="J18154" s="3">
        <v>0</v>
      </c>
      <c r="K18154" s="3">
        <v>0</v>
      </c>
      <c r="L18154" s="3">
        <v>0</v>
      </c>
      <c r="M18154" s="3">
        <v>31</v>
      </c>
      <c r="N18154" s="3">
        <v>0</v>
      </c>
      <c r="O18154" s="3" t="s">
        <v>10</v>
      </c>
      <c r="P18154" s="3" t="s">
        <v>9</v>
      </c>
      <c r="Q18154" s="3"/>
    </row>
    <row r="18155" spans="1:17" ht="15" x14ac:dyDescent="0.25">
      <c r="A18155" s="3">
        <f>18148</f>
        <v>18148</v>
      </c>
      <c r="B18155" s="3" t="s">
        <v>18157</v>
      </c>
      <c r="C18155" s="3" t="s">
        <v>10</v>
      </c>
      <c r="D18155" s="3" t="s">
        <v>9</v>
      </c>
      <c r="E18155" s="3">
        <v>0</v>
      </c>
      <c r="F18155" s="3">
        <v>0</v>
      </c>
      <c r="G18155" s="3">
        <v>0</v>
      </c>
      <c r="H18155" s="3">
        <v>31</v>
      </c>
      <c r="I18155" s="3">
        <v>0</v>
      </c>
      <c r="J18155" s="3">
        <v>0</v>
      </c>
      <c r="K18155" s="3">
        <v>0</v>
      </c>
      <c r="L18155" s="3">
        <v>0</v>
      </c>
      <c r="M18155" s="3">
        <v>31</v>
      </c>
      <c r="N18155" s="3">
        <v>0</v>
      </c>
      <c r="O18155" s="3" t="s">
        <v>10</v>
      </c>
      <c r="P18155" s="3" t="s">
        <v>9</v>
      </c>
      <c r="Q18155" s="3"/>
    </row>
    <row r="18156" spans="1:17" ht="15" x14ac:dyDescent="0.25">
      <c r="A18156" s="3">
        <f>18149</f>
        <v>18149</v>
      </c>
      <c r="B18156" s="3" t="s">
        <v>18158</v>
      </c>
      <c r="C18156" s="3" t="s">
        <v>10</v>
      </c>
      <c r="D18156" s="3" t="s">
        <v>9</v>
      </c>
      <c r="E18156" s="3">
        <v>0</v>
      </c>
      <c r="F18156" s="3">
        <v>0</v>
      </c>
      <c r="G18156" s="3">
        <v>0</v>
      </c>
      <c r="H18156" s="3">
        <v>31</v>
      </c>
      <c r="I18156" s="3">
        <v>0</v>
      </c>
      <c r="J18156" s="3">
        <v>0</v>
      </c>
      <c r="K18156" s="3">
        <v>0</v>
      </c>
      <c r="L18156" s="3">
        <v>0</v>
      </c>
      <c r="M18156" s="3">
        <v>31</v>
      </c>
      <c r="N18156" s="3">
        <v>0</v>
      </c>
      <c r="O18156" s="3" t="s">
        <v>10</v>
      </c>
      <c r="P18156" s="3" t="s">
        <v>9</v>
      </c>
      <c r="Q18156" s="3"/>
    </row>
    <row r="18157" spans="1:17" ht="15" x14ac:dyDescent="0.25">
      <c r="A18157" s="3">
        <f>18150</f>
        <v>18150</v>
      </c>
      <c r="B18157" s="3" t="s">
        <v>18159</v>
      </c>
      <c r="C18157" s="3" t="s">
        <v>10</v>
      </c>
      <c r="D18157" s="3" t="s">
        <v>9</v>
      </c>
      <c r="E18157" s="3">
        <v>0</v>
      </c>
      <c r="F18157" s="3">
        <v>0</v>
      </c>
      <c r="G18157" s="3">
        <v>0</v>
      </c>
      <c r="H18157" s="3">
        <v>31</v>
      </c>
      <c r="I18157" s="3">
        <v>0</v>
      </c>
      <c r="J18157" s="3">
        <v>0</v>
      </c>
      <c r="K18157" s="3">
        <v>0</v>
      </c>
      <c r="L18157" s="3">
        <v>0</v>
      </c>
      <c r="M18157" s="3">
        <v>31</v>
      </c>
      <c r="N18157" s="3">
        <v>0</v>
      </c>
      <c r="O18157" s="3" t="s">
        <v>10</v>
      </c>
      <c r="P18157" s="3" t="s">
        <v>9</v>
      </c>
      <c r="Q18157" s="3"/>
    </row>
    <row r="18158" spans="1:17" ht="15" x14ac:dyDescent="0.25">
      <c r="A18158" s="3">
        <f>18151</f>
        <v>18151</v>
      </c>
      <c r="B18158" s="3" t="s">
        <v>18160</v>
      </c>
      <c r="C18158" s="3" t="s">
        <v>10</v>
      </c>
      <c r="D18158" s="3" t="s">
        <v>9</v>
      </c>
      <c r="E18158" s="3">
        <v>0</v>
      </c>
      <c r="F18158" s="3">
        <v>0</v>
      </c>
      <c r="G18158" s="3">
        <v>0</v>
      </c>
      <c r="H18158" s="3">
        <v>31</v>
      </c>
      <c r="I18158" s="3">
        <v>0</v>
      </c>
      <c r="J18158" s="3">
        <v>0</v>
      </c>
      <c r="K18158" s="3">
        <v>0</v>
      </c>
      <c r="L18158" s="3">
        <v>0</v>
      </c>
      <c r="M18158" s="3">
        <v>31</v>
      </c>
      <c r="N18158" s="3">
        <v>0</v>
      </c>
      <c r="O18158" s="3" t="s">
        <v>10</v>
      </c>
      <c r="P18158" s="3" t="s">
        <v>9</v>
      </c>
      <c r="Q18158" s="3"/>
    </row>
    <row r="18159" spans="1:17" ht="15" x14ac:dyDescent="0.25">
      <c r="A18159" s="3">
        <f>18152</f>
        <v>18152</v>
      </c>
      <c r="B18159" s="3" t="s">
        <v>18161</v>
      </c>
      <c r="C18159" s="3" t="s">
        <v>10</v>
      </c>
      <c r="D18159" s="3" t="s">
        <v>9</v>
      </c>
      <c r="E18159" s="3">
        <v>0</v>
      </c>
      <c r="F18159" s="3">
        <v>0</v>
      </c>
      <c r="G18159" s="3">
        <v>0</v>
      </c>
      <c r="H18159" s="3">
        <v>31</v>
      </c>
      <c r="I18159" s="3">
        <v>0</v>
      </c>
      <c r="J18159" s="3">
        <v>0</v>
      </c>
      <c r="K18159" s="3">
        <v>0</v>
      </c>
      <c r="L18159" s="3">
        <v>0</v>
      </c>
      <c r="M18159" s="3">
        <v>31</v>
      </c>
      <c r="N18159" s="3">
        <v>0</v>
      </c>
      <c r="O18159" s="3" t="s">
        <v>10</v>
      </c>
      <c r="P18159" s="3" t="s">
        <v>9</v>
      </c>
      <c r="Q18159" s="3"/>
    </row>
    <row r="18160" spans="1:17" ht="15" x14ac:dyDescent="0.25">
      <c r="A18160" s="3">
        <f>18153</f>
        <v>18153</v>
      </c>
      <c r="B18160" s="3" t="s">
        <v>18162</v>
      </c>
      <c r="C18160" s="3" t="s">
        <v>10</v>
      </c>
      <c r="D18160" s="3" t="s">
        <v>9</v>
      </c>
      <c r="E18160" s="3">
        <v>0</v>
      </c>
      <c r="F18160" s="3">
        <v>0</v>
      </c>
      <c r="G18160" s="3">
        <v>0</v>
      </c>
      <c r="H18160" s="3">
        <v>31</v>
      </c>
      <c r="I18160" s="3">
        <v>0</v>
      </c>
      <c r="J18160" s="3">
        <v>0</v>
      </c>
      <c r="K18160" s="3">
        <v>0</v>
      </c>
      <c r="L18160" s="3">
        <v>0</v>
      </c>
      <c r="M18160" s="3">
        <v>31</v>
      </c>
      <c r="N18160" s="3">
        <v>0</v>
      </c>
      <c r="O18160" s="3" t="s">
        <v>10</v>
      </c>
      <c r="P18160" s="3" t="s">
        <v>9</v>
      </c>
      <c r="Q18160" s="3"/>
    </row>
    <row r="18161" spans="1:17" ht="15" x14ac:dyDescent="0.25">
      <c r="A18161" s="3">
        <f>18154</f>
        <v>18154</v>
      </c>
      <c r="B18161" s="3" t="s">
        <v>18163</v>
      </c>
      <c r="C18161" s="3" t="s">
        <v>10</v>
      </c>
      <c r="D18161" s="3" t="s">
        <v>9</v>
      </c>
      <c r="E18161" s="3">
        <v>0</v>
      </c>
      <c r="F18161" s="3">
        <v>0</v>
      </c>
      <c r="G18161" s="3">
        <v>0</v>
      </c>
      <c r="H18161" s="3">
        <v>31</v>
      </c>
      <c r="I18161" s="3">
        <v>0</v>
      </c>
      <c r="J18161" s="3">
        <v>0</v>
      </c>
      <c r="K18161" s="3">
        <v>0</v>
      </c>
      <c r="L18161" s="3">
        <v>0</v>
      </c>
      <c r="M18161" s="3">
        <v>31</v>
      </c>
      <c r="N18161" s="3">
        <v>0</v>
      </c>
      <c r="O18161" s="3" t="s">
        <v>10</v>
      </c>
      <c r="P18161" s="3" t="s">
        <v>9</v>
      </c>
      <c r="Q18161" s="3"/>
    </row>
    <row r="18162" spans="1:17" ht="15" x14ac:dyDescent="0.25">
      <c r="A18162" s="3">
        <f>18155</f>
        <v>18155</v>
      </c>
      <c r="B18162" s="3" t="s">
        <v>18164</v>
      </c>
      <c r="C18162" s="3" t="s">
        <v>10</v>
      </c>
      <c r="D18162" s="3" t="s">
        <v>9</v>
      </c>
      <c r="E18162" s="3">
        <v>0</v>
      </c>
      <c r="F18162" s="3">
        <v>0</v>
      </c>
      <c r="G18162" s="3">
        <v>0</v>
      </c>
      <c r="H18162" s="3">
        <v>31</v>
      </c>
      <c r="I18162" s="3">
        <v>0</v>
      </c>
      <c r="J18162" s="3">
        <v>0</v>
      </c>
      <c r="K18162" s="3">
        <v>0</v>
      </c>
      <c r="L18162" s="3">
        <v>0</v>
      </c>
      <c r="M18162" s="3">
        <v>31</v>
      </c>
      <c r="N18162" s="3">
        <v>0</v>
      </c>
      <c r="O18162" s="3" t="s">
        <v>10</v>
      </c>
      <c r="P18162" s="3" t="s">
        <v>9</v>
      </c>
      <c r="Q18162" s="3"/>
    </row>
    <row r="18163" spans="1:17" ht="15" x14ac:dyDescent="0.25">
      <c r="A18163" s="3">
        <f>18156</f>
        <v>18156</v>
      </c>
      <c r="B18163" s="3" t="s">
        <v>18165</v>
      </c>
      <c r="C18163" s="3" t="s">
        <v>10</v>
      </c>
      <c r="D18163" s="3" t="s">
        <v>9</v>
      </c>
      <c r="E18163" s="3">
        <v>0</v>
      </c>
      <c r="F18163" s="3">
        <v>0</v>
      </c>
      <c r="G18163" s="3">
        <v>0</v>
      </c>
      <c r="H18163" s="3">
        <v>31</v>
      </c>
      <c r="I18163" s="3">
        <v>0</v>
      </c>
      <c r="J18163" s="3">
        <v>0</v>
      </c>
      <c r="K18163" s="3">
        <v>0</v>
      </c>
      <c r="L18163" s="3">
        <v>0</v>
      </c>
      <c r="M18163" s="3">
        <v>31</v>
      </c>
      <c r="N18163" s="3">
        <v>0</v>
      </c>
      <c r="O18163" s="3" t="s">
        <v>10</v>
      </c>
      <c r="P18163" s="3" t="s">
        <v>9</v>
      </c>
      <c r="Q18163" s="3"/>
    </row>
    <row r="18164" spans="1:17" ht="15" x14ac:dyDescent="0.25">
      <c r="A18164" s="3">
        <f>18157</f>
        <v>18157</v>
      </c>
      <c r="B18164" s="3" t="s">
        <v>18166</v>
      </c>
      <c r="C18164" s="3" t="s">
        <v>10</v>
      </c>
      <c r="D18164" s="3" t="s">
        <v>9</v>
      </c>
      <c r="E18164" s="3">
        <v>0</v>
      </c>
      <c r="F18164" s="3">
        <v>0</v>
      </c>
      <c r="G18164" s="3">
        <v>0</v>
      </c>
      <c r="H18164" s="3">
        <v>31</v>
      </c>
      <c r="I18164" s="3">
        <v>0</v>
      </c>
      <c r="J18164" s="3">
        <v>0</v>
      </c>
      <c r="K18164" s="3">
        <v>0</v>
      </c>
      <c r="L18164" s="3">
        <v>0</v>
      </c>
      <c r="M18164" s="3">
        <v>31</v>
      </c>
      <c r="N18164" s="3">
        <v>0</v>
      </c>
      <c r="O18164" s="3" t="s">
        <v>10</v>
      </c>
      <c r="P18164" s="3" t="s">
        <v>9</v>
      </c>
      <c r="Q18164" s="3"/>
    </row>
    <row r="18165" spans="1:17" ht="15" x14ac:dyDescent="0.25">
      <c r="A18165" s="3">
        <f>18158</f>
        <v>18158</v>
      </c>
      <c r="B18165" s="3" t="s">
        <v>18167</v>
      </c>
      <c r="C18165" s="3" t="s">
        <v>10</v>
      </c>
      <c r="D18165" s="3" t="s">
        <v>9</v>
      </c>
      <c r="E18165" s="3">
        <v>0</v>
      </c>
      <c r="F18165" s="3">
        <v>0</v>
      </c>
      <c r="G18165" s="3">
        <v>0</v>
      </c>
      <c r="H18165" s="3">
        <v>31</v>
      </c>
      <c r="I18165" s="3">
        <v>0</v>
      </c>
      <c r="J18165" s="3">
        <v>0</v>
      </c>
      <c r="K18165" s="3">
        <v>0</v>
      </c>
      <c r="L18165" s="3">
        <v>0</v>
      </c>
      <c r="M18165" s="3">
        <v>31</v>
      </c>
      <c r="N18165" s="3">
        <v>0</v>
      </c>
      <c r="O18165" s="3" t="s">
        <v>10</v>
      </c>
      <c r="P18165" s="3" t="s">
        <v>9</v>
      </c>
      <c r="Q18165" s="3"/>
    </row>
    <row r="18166" spans="1:17" ht="15" x14ac:dyDescent="0.25">
      <c r="A18166" s="3">
        <f>18159</f>
        <v>18159</v>
      </c>
      <c r="B18166" s="3" t="s">
        <v>18168</v>
      </c>
      <c r="C18166" s="3" t="s">
        <v>10</v>
      </c>
      <c r="D18166" s="3" t="s">
        <v>9</v>
      </c>
      <c r="E18166" s="3">
        <v>0</v>
      </c>
      <c r="F18166" s="3">
        <v>0</v>
      </c>
      <c r="G18166" s="3">
        <v>0</v>
      </c>
      <c r="H18166" s="3">
        <v>31</v>
      </c>
      <c r="I18166" s="3">
        <v>0</v>
      </c>
      <c r="J18166" s="3">
        <v>0</v>
      </c>
      <c r="K18166" s="3">
        <v>0</v>
      </c>
      <c r="L18166" s="3">
        <v>0</v>
      </c>
      <c r="M18166" s="3">
        <v>31</v>
      </c>
      <c r="N18166" s="3">
        <v>0</v>
      </c>
      <c r="O18166" s="3" t="s">
        <v>10</v>
      </c>
      <c r="P18166" s="3" t="s">
        <v>9</v>
      </c>
      <c r="Q18166" s="3"/>
    </row>
    <row r="18167" spans="1:17" ht="15" x14ac:dyDescent="0.25">
      <c r="A18167" s="3">
        <f>18160</f>
        <v>18160</v>
      </c>
      <c r="B18167" s="3" t="s">
        <v>18169</v>
      </c>
      <c r="C18167" s="3" t="s">
        <v>10</v>
      </c>
      <c r="D18167" s="3" t="s">
        <v>9</v>
      </c>
      <c r="E18167" s="3">
        <v>0</v>
      </c>
      <c r="F18167" s="3">
        <v>0</v>
      </c>
      <c r="G18167" s="3">
        <v>0</v>
      </c>
      <c r="H18167" s="3">
        <v>31</v>
      </c>
      <c r="I18167" s="3">
        <v>0</v>
      </c>
      <c r="J18167" s="3">
        <v>0</v>
      </c>
      <c r="K18167" s="3">
        <v>0</v>
      </c>
      <c r="L18167" s="3">
        <v>0</v>
      </c>
      <c r="M18167" s="3">
        <v>31</v>
      </c>
      <c r="N18167" s="3">
        <v>0</v>
      </c>
      <c r="O18167" s="3" t="s">
        <v>10</v>
      </c>
      <c r="P18167" s="3" t="s">
        <v>9</v>
      </c>
      <c r="Q18167" s="3"/>
    </row>
    <row r="18168" spans="1:17" ht="15" x14ac:dyDescent="0.25">
      <c r="A18168" s="3">
        <f>18161</f>
        <v>18161</v>
      </c>
      <c r="B18168" s="3" t="s">
        <v>18170</v>
      </c>
      <c r="C18168" s="3" t="s">
        <v>10</v>
      </c>
      <c r="D18168" s="3" t="s">
        <v>9</v>
      </c>
      <c r="E18168" s="3">
        <v>0</v>
      </c>
      <c r="F18168" s="3">
        <v>0</v>
      </c>
      <c r="G18168" s="3">
        <v>0</v>
      </c>
      <c r="H18168" s="3">
        <v>31</v>
      </c>
      <c r="I18168" s="3">
        <v>0</v>
      </c>
      <c r="J18168" s="3">
        <v>0</v>
      </c>
      <c r="K18168" s="3">
        <v>0</v>
      </c>
      <c r="L18168" s="3">
        <v>0</v>
      </c>
      <c r="M18168" s="3">
        <v>31</v>
      </c>
      <c r="N18168" s="3">
        <v>0</v>
      </c>
      <c r="O18168" s="3" t="s">
        <v>10</v>
      </c>
      <c r="P18168" s="3" t="s">
        <v>9</v>
      </c>
      <c r="Q18168" s="3"/>
    </row>
    <row r="18169" spans="1:17" ht="15" x14ac:dyDescent="0.25">
      <c r="A18169" s="3">
        <f>18162</f>
        <v>18162</v>
      </c>
      <c r="B18169" s="3" t="s">
        <v>18171</v>
      </c>
      <c r="C18169" s="3" t="s">
        <v>10</v>
      </c>
      <c r="D18169" s="3" t="s">
        <v>9</v>
      </c>
      <c r="E18169" s="3">
        <v>0</v>
      </c>
      <c r="F18169" s="3">
        <v>0</v>
      </c>
      <c r="G18169" s="3">
        <v>0</v>
      </c>
      <c r="H18169" s="3">
        <v>31</v>
      </c>
      <c r="I18169" s="3">
        <v>0</v>
      </c>
      <c r="J18169" s="3">
        <v>0</v>
      </c>
      <c r="K18169" s="3">
        <v>0</v>
      </c>
      <c r="L18169" s="3">
        <v>0</v>
      </c>
      <c r="M18169" s="3">
        <v>31</v>
      </c>
      <c r="N18169" s="3">
        <v>0</v>
      </c>
      <c r="O18169" s="3" t="s">
        <v>10</v>
      </c>
      <c r="P18169" s="3" t="s">
        <v>9</v>
      </c>
      <c r="Q18169" s="3"/>
    </row>
    <row r="18170" spans="1:17" ht="15" x14ac:dyDescent="0.25">
      <c r="A18170" s="3">
        <f>18163</f>
        <v>18163</v>
      </c>
      <c r="B18170" s="3" t="s">
        <v>18172</v>
      </c>
      <c r="C18170" s="3" t="s">
        <v>10</v>
      </c>
      <c r="D18170" s="3" t="s">
        <v>9</v>
      </c>
      <c r="E18170" s="3">
        <v>0</v>
      </c>
      <c r="F18170" s="3">
        <v>0</v>
      </c>
      <c r="G18170" s="3">
        <v>0</v>
      </c>
      <c r="H18170" s="3">
        <v>31</v>
      </c>
      <c r="I18170" s="3">
        <v>0</v>
      </c>
      <c r="J18170" s="3">
        <v>0</v>
      </c>
      <c r="K18170" s="3">
        <v>0</v>
      </c>
      <c r="L18170" s="3">
        <v>0</v>
      </c>
      <c r="M18170" s="3">
        <v>31</v>
      </c>
      <c r="N18170" s="3">
        <v>0</v>
      </c>
      <c r="O18170" s="3" t="s">
        <v>10</v>
      </c>
      <c r="P18170" s="3" t="s">
        <v>9</v>
      </c>
      <c r="Q18170" s="3"/>
    </row>
    <row r="18171" spans="1:17" ht="15" x14ac:dyDescent="0.25">
      <c r="A18171" s="3">
        <f>18164</f>
        <v>18164</v>
      </c>
      <c r="B18171" s="3" t="s">
        <v>18173</v>
      </c>
      <c r="C18171" s="3" t="s">
        <v>10</v>
      </c>
      <c r="D18171" s="3" t="s">
        <v>9</v>
      </c>
      <c r="E18171" s="3">
        <v>0</v>
      </c>
      <c r="F18171" s="3">
        <v>0</v>
      </c>
      <c r="G18171" s="3">
        <v>0</v>
      </c>
      <c r="H18171" s="3">
        <v>31</v>
      </c>
      <c r="I18171" s="3">
        <v>0</v>
      </c>
      <c r="J18171" s="3">
        <v>0</v>
      </c>
      <c r="K18171" s="3">
        <v>0</v>
      </c>
      <c r="L18171" s="3">
        <v>0</v>
      </c>
      <c r="M18171" s="3">
        <v>31</v>
      </c>
      <c r="N18171" s="3">
        <v>0</v>
      </c>
      <c r="O18171" s="3" t="s">
        <v>10</v>
      </c>
      <c r="P18171" s="3" t="s">
        <v>9</v>
      </c>
      <c r="Q18171" s="3"/>
    </row>
    <row r="18172" spans="1:17" ht="15" x14ac:dyDescent="0.25">
      <c r="A18172" s="3">
        <f>18165</f>
        <v>18165</v>
      </c>
      <c r="B18172" s="3" t="s">
        <v>18174</v>
      </c>
      <c r="C18172" s="3" t="s">
        <v>10</v>
      </c>
      <c r="D18172" s="3" t="s">
        <v>9</v>
      </c>
      <c r="E18172" s="3">
        <v>0</v>
      </c>
      <c r="F18172" s="3">
        <v>0</v>
      </c>
      <c r="G18172" s="3">
        <v>0</v>
      </c>
      <c r="H18172" s="3">
        <v>31</v>
      </c>
      <c r="I18172" s="3">
        <v>0</v>
      </c>
      <c r="J18172" s="3">
        <v>0</v>
      </c>
      <c r="K18172" s="3">
        <v>0</v>
      </c>
      <c r="L18172" s="3">
        <v>0</v>
      </c>
      <c r="M18172" s="3">
        <v>31</v>
      </c>
      <c r="N18172" s="3">
        <v>0</v>
      </c>
      <c r="O18172" s="3" t="s">
        <v>10</v>
      </c>
      <c r="P18172" s="3" t="s">
        <v>9</v>
      </c>
      <c r="Q18172" s="3"/>
    </row>
    <row r="18173" spans="1:17" ht="15" x14ac:dyDescent="0.25">
      <c r="A18173" s="3">
        <f>18166</f>
        <v>18166</v>
      </c>
      <c r="B18173" s="3" t="s">
        <v>18175</v>
      </c>
      <c r="C18173" s="3" t="s">
        <v>10</v>
      </c>
      <c r="D18173" s="3" t="s">
        <v>9</v>
      </c>
      <c r="E18173" s="3">
        <v>0</v>
      </c>
      <c r="F18173" s="3">
        <v>0</v>
      </c>
      <c r="G18173" s="3">
        <v>0</v>
      </c>
      <c r="H18173" s="3">
        <v>31</v>
      </c>
      <c r="I18173" s="3">
        <v>0</v>
      </c>
      <c r="J18173" s="3">
        <v>0</v>
      </c>
      <c r="K18173" s="3">
        <v>0</v>
      </c>
      <c r="L18173" s="3">
        <v>0</v>
      </c>
      <c r="M18173" s="3">
        <v>31</v>
      </c>
      <c r="N18173" s="3">
        <v>0</v>
      </c>
      <c r="O18173" s="3" t="s">
        <v>10</v>
      </c>
      <c r="P18173" s="3" t="s">
        <v>9</v>
      </c>
      <c r="Q18173" s="3"/>
    </row>
    <row r="18174" spans="1:17" ht="15" x14ac:dyDescent="0.25">
      <c r="A18174" s="3">
        <f>18167</f>
        <v>18167</v>
      </c>
      <c r="B18174" s="3" t="s">
        <v>18176</v>
      </c>
      <c r="C18174" s="3" t="s">
        <v>10</v>
      </c>
      <c r="D18174" s="3" t="s">
        <v>9</v>
      </c>
      <c r="E18174" s="3">
        <v>0</v>
      </c>
      <c r="F18174" s="3">
        <v>0</v>
      </c>
      <c r="G18174" s="3">
        <v>0</v>
      </c>
      <c r="H18174" s="3">
        <v>31</v>
      </c>
      <c r="I18174" s="3">
        <v>0</v>
      </c>
      <c r="J18174" s="3">
        <v>0</v>
      </c>
      <c r="K18174" s="3">
        <v>0</v>
      </c>
      <c r="L18174" s="3">
        <v>0</v>
      </c>
      <c r="M18174" s="3">
        <v>31</v>
      </c>
      <c r="N18174" s="3">
        <v>0</v>
      </c>
      <c r="O18174" s="3" t="s">
        <v>10</v>
      </c>
      <c r="P18174" s="3" t="s">
        <v>9</v>
      </c>
      <c r="Q18174" s="3"/>
    </row>
    <row r="18175" spans="1:17" ht="15" x14ac:dyDescent="0.25">
      <c r="A18175" s="3">
        <f>18168</f>
        <v>18168</v>
      </c>
      <c r="B18175" s="3" t="s">
        <v>18177</v>
      </c>
      <c r="C18175" s="3" t="s">
        <v>10</v>
      </c>
      <c r="D18175" s="3" t="s">
        <v>9</v>
      </c>
      <c r="E18175" s="3">
        <v>0</v>
      </c>
      <c r="F18175" s="3">
        <v>0</v>
      </c>
      <c r="G18175" s="3">
        <v>0</v>
      </c>
      <c r="H18175" s="3">
        <v>31</v>
      </c>
      <c r="I18175" s="3">
        <v>0</v>
      </c>
      <c r="J18175" s="3">
        <v>0</v>
      </c>
      <c r="K18175" s="3">
        <v>0</v>
      </c>
      <c r="L18175" s="3">
        <v>0</v>
      </c>
      <c r="M18175" s="3">
        <v>31</v>
      </c>
      <c r="N18175" s="3">
        <v>0</v>
      </c>
      <c r="O18175" s="3" t="s">
        <v>10</v>
      </c>
      <c r="P18175" s="3" t="s">
        <v>9</v>
      </c>
      <c r="Q18175" s="3"/>
    </row>
    <row r="18176" spans="1:17" ht="15" x14ac:dyDescent="0.25">
      <c r="A18176" s="3">
        <f>18169</f>
        <v>18169</v>
      </c>
      <c r="B18176" s="3" t="s">
        <v>18178</v>
      </c>
      <c r="C18176" s="3" t="s">
        <v>10</v>
      </c>
      <c r="D18176" s="3" t="s">
        <v>9</v>
      </c>
      <c r="E18176" s="3">
        <v>0</v>
      </c>
      <c r="F18176" s="3">
        <v>0</v>
      </c>
      <c r="G18176" s="3">
        <v>0</v>
      </c>
      <c r="H18176" s="3">
        <v>31</v>
      </c>
      <c r="I18176" s="3">
        <v>0</v>
      </c>
      <c r="J18176" s="3">
        <v>0</v>
      </c>
      <c r="K18176" s="3">
        <v>0</v>
      </c>
      <c r="L18176" s="3">
        <v>0</v>
      </c>
      <c r="M18176" s="3">
        <v>31</v>
      </c>
      <c r="N18176" s="3">
        <v>0</v>
      </c>
      <c r="O18176" s="3" t="s">
        <v>10</v>
      </c>
      <c r="P18176" s="3" t="s">
        <v>9</v>
      </c>
      <c r="Q18176" s="3"/>
    </row>
    <row r="18177" spans="1:17" ht="15" x14ac:dyDescent="0.25">
      <c r="A18177" s="3">
        <f>18170</f>
        <v>18170</v>
      </c>
      <c r="B18177" s="3" t="s">
        <v>18179</v>
      </c>
      <c r="C18177" s="3" t="s">
        <v>10</v>
      </c>
      <c r="D18177" s="3" t="s">
        <v>9</v>
      </c>
      <c r="E18177" s="3">
        <v>0</v>
      </c>
      <c r="F18177" s="3">
        <v>0</v>
      </c>
      <c r="G18177" s="3">
        <v>0</v>
      </c>
      <c r="H18177" s="3">
        <v>31</v>
      </c>
      <c r="I18177" s="3">
        <v>0</v>
      </c>
      <c r="J18177" s="3">
        <v>0</v>
      </c>
      <c r="K18177" s="3">
        <v>0</v>
      </c>
      <c r="L18177" s="3">
        <v>0</v>
      </c>
      <c r="M18177" s="3">
        <v>31</v>
      </c>
      <c r="N18177" s="3">
        <v>0</v>
      </c>
      <c r="O18177" s="3" t="s">
        <v>10</v>
      </c>
      <c r="P18177" s="3" t="s">
        <v>9</v>
      </c>
      <c r="Q18177" s="3"/>
    </row>
    <row r="18178" spans="1:17" ht="15" x14ac:dyDescent="0.25">
      <c r="A18178" s="3">
        <f>18171</f>
        <v>18171</v>
      </c>
      <c r="B18178" s="3" t="s">
        <v>18180</v>
      </c>
      <c r="C18178" s="3" t="s">
        <v>10</v>
      </c>
      <c r="D18178" s="3" t="s">
        <v>9</v>
      </c>
      <c r="E18178" s="3">
        <v>0</v>
      </c>
      <c r="F18178" s="3">
        <v>0</v>
      </c>
      <c r="G18178" s="3">
        <v>0</v>
      </c>
      <c r="H18178" s="3">
        <v>31</v>
      </c>
      <c r="I18178" s="3">
        <v>0</v>
      </c>
      <c r="J18178" s="3">
        <v>0</v>
      </c>
      <c r="K18178" s="3">
        <v>0</v>
      </c>
      <c r="L18178" s="3">
        <v>0</v>
      </c>
      <c r="M18178" s="3">
        <v>31</v>
      </c>
      <c r="N18178" s="3">
        <v>0</v>
      </c>
      <c r="O18178" s="3" t="s">
        <v>10</v>
      </c>
      <c r="P18178" s="3" t="s">
        <v>9</v>
      </c>
      <c r="Q18178" s="3"/>
    </row>
    <row r="18179" spans="1:17" ht="15" x14ac:dyDescent="0.25">
      <c r="A18179" s="3">
        <f>18172</f>
        <v>18172</v>
      </c>
      <c r="B18179" s="3" t="s">
        <v>18181</v>
      </c>
      <c r="C18179" s="3" t="s">
        <v>10</v>
      </c>
      <c r="D18179" s="3" t="s">
        <v>9</v>
      </c>
      <c r="E18179" s="3">
        <v>0</v>
      </c>
      <c r="F18179" s="3">
        <v>0</v>
      </c>
      <c r="G18179" s="3">
        <v>0</v>
      </c>
      <c r="H18179" s="3">
        <v>31</v>
      </c>
      <c r="I18179" s="3">
        <v>0</v>
      </c>
      <c r="J18179" s="3">
        <v>0</v>
      </c>
      <c r="K18179" s="3">
        <v>0</v>
      </c>
      <c r="L18179" s="3">
        <v>0</v>
      </c>
      <c r="M18179" s="3">
        <v>31</v>
      </c>
      <c r="N18179" s="3">
        <v>0</v>
      </c>
      <c r="O18179" s="3" t="s">
        <v>10</v>
      </c>
      <c r="P18179" s="3" t="s">
        <v>9</v>
      </c>
      <c r="Q18179" s="3"/>
    </row>
    <row r="18180" spans="1:17" ht="15" x14ac:dyDescent="0.25">
      <c r="A18180" s="3">
        <f>18173</f>
        <v>18173</v>
      </c>
      <c r="B18180" s="3" t="s">
        <v>18182</v>
      </c>
      <c r="C18180" s="3" t="s">
        <v>10</v>
      </c>
      <c r="D18180" s="3" t="s">
        <v>9</v>
      </c>
      <c r="E18180" s="3">
        <v>0</v>
      </c>
      <c r="F18180" s="3">
        <v>0</v>
      </c>
      <c r="G18180" s="3">
        <v>0</v>
      </c>
      <c r="H18180" s="3">
        <v>31</v>
      </c>
      <c r="I18180" s="3">
        <v>0</v>
      </c>
      <c r="J18180" s="3">
        <v>0</v>
      </c>
      <c r="K18180" s="3">
        <v>0</v>
      </c>
      <c r="L18180" s="3">
        <v>0</v>
      </c>
      <c r="M18180" s="3">
        <v>31</v>
      </c>
      <c r="N18180" s="3">
        <v>0</v>
      </c>
      <c r="O18180" s="3" t="s">
        <v>10</v>
      </c>
      <c r="P18180" s="3" t="s">
        <v>9</v>
      </c>
      <c r="Q18180" s="3"/>
    </row>
    <row r="18181" spans="1:17" ht="15" x14ac:dyDescent="0.25">
      <c r="A18181" s="3">
        <f>18174</f>
        <v>18174</v>
      </c>
      <c r="B18181" s="3" t="s">
        <v>18183</v>
      </c>
      <c r="C18181" s="3" t="s">
        <v>10</v>
      </c>
      <c r="D18181" s="3" t="s">
        <v>9</v>
      </c>
      <c r="E18181" s="3">
        <v>0</v>
      </c>
      <c r="F18181" s="3">
        <v>0</v>
      </c>
      <c r="G18181" s="3">
        <v>0</v>
      </c>
      <c r="H18181" s="3">
        <v>31</v>
      </c>
      <c r="I18181" s="3">
        <v>0</v>
      </c>
      <c r="J18181" s="3">
        <v>0</v>
      </c>
      <c r="K18181" s="3">
        <v>0</v>
      </c>
      <c r="L18181" s="3">
        <v>0</v>
      </c>
      <c r="M18181" s="3">
        <v>31</v>
      </c>
      <c r="N18181" s="3">
        <v>0</v>
      </c>
      <c r="O18181" s="3" t="s">
        <v>10</v>
      </c>
      <c r="P18181" s="3" t="s">
        <v>9</v>
      </c>
      <c r="Q18181" s="3"/>
    </row>
    <row r="18182" spans="1:17" ht="15" x14ac:dyDescent="0.25">
      <c r="A18182" s="3">
        <f>18175</f>
        <v>18175</v>
      </c>
      <c r="B18182" s="3" t="s">
        <v>18184</v>
      </c>
      <c r="C18182" s="3" t="s">
        <v>10</v>
      </c>
      <c r="D18182" s="3" t="s">
        <v>9</v>
      </c>
      <c r="E18182" s="3">
        <v>0</v>
      </c>
      <c r="F18182" s="3">
        <v>0</v>
      </c>
      <c r="G18182" s="3">
        <v>0</v>
      </c>
      <c r="H18182" s="3">
        <v>31</v>
      </c>
      <c r="I18182" s="3">
        <v>0</v>
      </c>
      <c r="J18182" s="3">
        <v>0</v>
      </c>
      <c r="K18182" s="3">
        <v>0</v>
      </c>
      <c r="L18182" s="3">
        <v>0</v>
      </c>
      <c r="M18182" s="3">
        <v>31</v>
      </c>
      <c r="N18182" s="3">
        <v>0</v>
      </c>
      <c r="O18182" s="3" t="s">
        <v>10</v>
      </c>
      <c r="P18182" s="3" t="s">
        <v>9</v>
      </c>
      <c r="Q18182" s="3"/>
    </row>
    <row r="18183" spans="1:17" ht="15" x14ac:dyDescent="0.25">
      <c r="A18183" s="3">
        <f>18176</f>
        <v>18176</v>
      </c>
      <c r="B18183" s="3" t="s">
        <v>18185</v>
      </c>
      <c r="C18183" s="3" t="s">
        <v>10</v>
      </c>
      <c r="D18183" s="3" t="s">
        <v>9</v>
      </c>
      <c r="E18183" s="3">
        <v>0</v>
      </c>
      <c r="F18183" s="3">
        <v>0</v>
      </c>
      <c r="G18183" s="3">
        <v>0</v>
      </c>
      <c r="H18183" s="3">
        <v>31</v>
      </c>
      <c r="I18183" s="3">
        <v>0</v>
      </c>
      <c r="J18183" s="3">
        <v>0</v>
      </c>
      <c r="K18183" s="3">
        <v>0</v>
      </c>
      <c r="L18183" s="3">
        <v>0</v>
      </c>
      <c r="M18183" s="3">
        <v>31</v>
      </c>
      <c r="N18183" s="3">
        <v>0</v>
      </c>
      <c r="O18183" s="3" t="s">
        <v>10</v>
      </c>
      <c r="P18183" s="3" t="s">
        <v>9</v>
      </c>
      <c r="Q18183" s="3"/>
    </row>
    <row r="18184" spans="1:17" ht="15" x14ac:dyDescent="0.25">
      <c r="A18184" s="3">
        <f>18177</f>
        <v>18177</v>
      </c>
      <c r="B18184" s="3" t="s">
        <v>18186</v>
      </c>
      <c r="C18184" s="3" t="s">
        <v>10</v>
      </c>
      <c r="D18184" s="3" t="s">
        <v>9</v>
      </c>
      <c r="E18184" s="3">
        <v>0</v>
      </c>
      <c r="F18184" s="3">
        <v>0</v>
      </c>
      <c r="G18184" s="3">
        <v>0</v>
      </c>
      <c r="H18184" s="3">
        <v>31</v>
      </c>
      <c r="I18184" s="3">
        <v>0</v>
      </c>
      <c r="J18184" s="3">
        <v>0</v>
      </c>
      <c r="K18184" s="3">
        <v>0</v>
      </c>
      <c r="L18184" s="3">
        <v>0</v>
      </c>
      <c r="M18184" s="3">
        <v>31</v>
      </c>
      <c r="N18184" s="3">
        <v>0</v>
      </c>
      <c r="O18184" s="3" t="s">
        <v>10</v>
      </c>
      <c r="P18184" s="3" t="s">
        <v>9</v>
      </c>
      <c r="Q18184" s="3"/>
    </row>
    <row r="18185" spans="1:17" ht="15" x14ac:dyDescent="0.25">
      <c r="A18185" s="3">
        <f>18178</f>
        <v>18178</v>
      </c>
      <c r="B18185" s="3" t="s">
        <v>18187</v>
      </c>
      <c r="C18185" s="3" t="s">
        <v>10</v>
      </c>
      <c r="D18185" s="3" t="s">
        <v>9</v>
      </c>
      <c r="E18185" s="3">
        <v>0</v>
      </c>
      <c r="F18185" s="3">
        <v>0</v>
      </c>
      <c r="G18185" s="3">
        <v>0</v>
      </c>
      <c r="H18185" s="3">
        <v>31</v>
      </c>
      <c r="I18185" s="3">
        <v>0</v>
      </c>
      <c r="J18185" s="3">
        <v>0</v>
      </c>
      <c r="K18185" s="3">
        <v>0</v>
      </c>
      <c r="L18185" s="3">
        <v>0</v>
      </c>
      <c r="M18185" s="3">
        <v>31</v>
      </c>
      <c r="N18185" s="3">
        <v>0</v>
      </c>
      <c r="O18185" s="3" t="s">
        <v>10</v>
      </c>
      <c r="P18185" s="3" t="s">
        <v>9</v>
      </c>
      <c r="Q18185" s="3"/>
    </row>
    <row r="18186" spans="1:17" ht="15" x14ac:dyDescent="0.25">
      <c r="A18186" s="3">
        <f>18179</f>
        <v>18179</v>
      </c>
      <c r="B18186" s="3" t="s">
        <v>18188</v>
      </c>
      <c r="C18186" s="3" t="s">
        <v>10</v>
      </c>
      <c r="D18186" s="3" t="s">
        <v>9</v>
      </c>
      <c r="E18186" s="3">
        <v>0</v>
      </c>
      <c r="F18186" s="3">
        <v>0</v>
      </c>
      <c r="G18186" s="3">
        <v>0</v>
      </c>
      <c r="H18186" s="3">
        <v>31</v>
      </c>
      <c r="I18186" s="3">
        <v>0</v>
      </c>
      <c r="J18186" s="3">
        <v>0</v>
      </c>
      <c r="K18186" s="3">
        <v>0</v>
      </c>
      <c r="L18186" s="3">
        <v>0</v>
      </c>
      <c r="M18186" s="3">
        <v>31</v>
      </c>
      <c r="N18186" s="3">
        <v>0</v>
      </c>
      <c r="O18186" s="3" t="s">
        <v>10</v>
      </c>
      <c r="P18186" s="3" t="s">
        <v>9</v>
      </c>
      <c r="Q18186" s="3"/>
    </row>
    <row r="18187" spans="1:17" ht="15" x14ac:dyDescent="0.25">
      <c r="A18187" s="3">
        <f>18180</f>
        <v>18180</v>
      </c>
      <c r="B18187" s="3" t="s">
        <v>18189</v>
      </c>
      <c r="C18187" s="3" t="s">
        <v>10</v>
      </c>
      <c r="D18187" s="3" t="s">
        <v>9</v>
      </c>
      <c r="E18187" s="3">
        <v>0</v>
      </c>
      <c r="F18187" s="3">
        <v>0</v>
      </c>
      <c r="G18187" s="3">
        <v>0</v>
      </c>
      <c r="H18187" s="3">
        <v>31</v>
      </c>
      <c r="I18187" s="3">
        <v>0</v>
      </c>
      <c r="J18187" s="3">
        <v>0</v>
      </c>
      <c r="K18187" s="3">
        <v>0</v>
      </c>
      <c r="L18187" s="3">
        <v>0</v>
      </c>
      <c r="M18187" s="3">
        <v>31</v>
      </c>
      <c r="N18187" s="3">
        <v>0</v>
      </c>
      <c r="O18187" s="3" t="s">
        <v>10</v>
      </c>
      <c r="P18187" s="3" t="s">
        <v>9</v>
      </c>
      <c r="Q18187" s="3"/>
    </row>
    <row r="18188" spans="1:17" ht="15" x14ac:dyDescent="0.25">
      <c r="A18188" s="3">
        <f>18181</f>
        <v>18181</v>
      </c>
      <c r="B18188" s="3" t="s">
        <v>18190</v>
      </c>
      <c r="C18188" s="3" t="s">
        <v>10</v>
      </c>
      <c r="D18188" s="3" t="s">
        <v>9</v>
      </c>
      <c r="E18188" s="3">
        <v>0</v>
      </c>
      <c r="F18188" s="3">
        <v>0</v>
      </c>
      <c r="G18188" s="3">
        <v>0</v>
      </c>
      <c r="H18188" s="3">
        <v>31</v>
      </c>
      <c r="I18188" s="3">
        <v>0</v>
      </c>
      <c r="J18188" s="3">
        <v>0</v>
      </c>
      <c r="K18188" s="3">
        <v>0</v>
      </c>
      <c r="L18188" s="3">
        <v>0</v>
      </c>
      <c r="M18188" s="3">
        <v>31</v>
      </c>
      <c r="N18188" s="3">
        <v>0</v>
      </c>
      <c r="O18188" s="3" t="s">
        <v>10</v>
      </c>
      <c r="P18188" s="3" t="s">
        <v>9</v>
      </c>
      <c r="Q18188" s="3"/>
    </row>
    <row r="18189" spans="1:17" ht="15" x14ac:dyDescent="0.25">
      <c r="A18189" s="3">
        <f>18182</f>
        <v>18182</v>
      </c>
      <c r="B18189" s="3" t="s">
        <v>18191</v>
      </c>
      <c r="C18189" s="3" t="s">
        <v>10</v>
      </c>
      <c r="D18189" s="3" t="s">
        <v>9</v>
      </c>
      <c r="E18189" s="3">
        <v>0</v>
      </c>
      <c r="F18189" s="3">
        <v>0</v>
      </c>
      <c r="G18189" s="3">
        <v>0</v>
      </c>
      <c r="H18189" s="3">
        <v>31</v>
      </c>
      <c r="I18189" s="3">
        <v>0</v>
      </c>
      <c r="J18189" s="3">
        <v>0</v>
      </c>
      <c r="K18189" s="3">
        <v>0</v>
      </c>
      <c r="L18189" s="3">
        <v>0</v>
      </c>
      <c r="M18189" s="3">
        <v>31</v>
      </c>
      <c r="N18189" s="3">
        <v>0</v>
      </c>
      <c r="O18189" s="3" t="s">
        <v>10</v>
      </c>
      <c r="P18189" s="3" t="s">
        <v>9</v>
      </c>
      <c r="Q18189" s="3"/>
    </row>
    <row r="18190" spans="1:17" ht="15" x14ac:dyDescent="0.25">
      <c r="A18190" s="3">
        <f>18183</f>
        <v>18183</v>
      </c>
      <c r="B18190" s="3" t="s">
        <v>18192</v>
      </c>
      <c r="C18190" s="3" t="s">
        <v>10</v>
      </c>
      <c r="D18190" s="3" t="s">
        <v>9</v>
      </c>
      <c r="E18190" s="3">
        <v>0</v>
      </c>
      <c r="F18190" s="3">
        <v>0</v>
      </c>
      <c r="G18190" s="3">
        <v>0</v>
      </c>
      <c r="H18190" s="3">
        <v>31</v>
      </c>
      <c r="I18190" s="3">
        <v>0</v>
      </c>
      <c r="J18190" s="3">
        <v>0</v>
      </c>
      <c r="K18190" s="3">
        <v>0</v>
      </c>
      <c r="L18190" s="3">
        <v>0</v>
      </c>
      <c r="M18190" s="3">
        <v>31</v>
      </c>
      <c r="N18190" s="3">
        <v>0</v>
      </c>
      <c r="O18190" s="3" t="s">
        <v>10</v>
      </c>
      <c r="P18190" s="3" t="s">
        <v>9</v>
      </c>
      <c r="Q18190" s="3"/>
    </row>
    <row r="18191" spans="1:17" ht="15" x14ac:dyDescent="0.25">
      <c r="A18191" s="3">
        <f>18184</f>
        <v>18184</v>
      </c>
      <c r="B18191" s="3" t="s">
        <v>18193</v>
      </c>
      <c r="C18191" s="3" t="s">
        <v>10</v>
      </c>
      <c r="D18191" s="3" t="s">
        <v>9</v>
      </c>
      <c r="E18191" s="3">
        <v>0</v>
      </c>
      <c r="F18191" s="3">
        <v>0</v>
      </c>
      <c r="G18191" s="3">
        <v>0</v>
      </c>
      <c r="H18191" s="3">
        <v>31</v>
      </c>
      <c r="I18191" s="3">
        <v>0</v>
      </c>
      <c r="J18191" s="3">
        <v>0</v>
      </c>
      <c r="K18191" s="3">
        <v>0</v>
      </c>
      <c r="L18191" s="3">
        <v>0</v>
      </c>
      <c r="M18191" s="3">
        <v>31</v>
      </c>
      <c r="N18191" s="3">
        <v>0</v>
      </c>
      <c r="O18191" s="3" t="s">
        <v>10</v>
      </c>
      <c r="P18191" s="3" t="s">
        <v>9</v>
      </c>
      <c r="Q18191" s="3"/>
    </row>
    <row r="18192" spans="1:17" ht="15" x14ac:dyDescent="0.25">
      <c r="A18192" s="3">
        <f>18185</f>
        <v>18185</v>
      </c>
      <c r="B18192" s="3" t="s">
        <v>18194</v>
      </c>
      <c r="C18192" s="3" t="s">
        <v>10</v>
      </c>
      <c r="D18192" s="3" t="s">
        <v>9</v>
      </c>
      <c r="E18192" s="3">
        <v>0</v>
      </c>
      <c r="F18192" s="3">
        <v>0</v>
      </c>
      <c r="G18192" s="3">
        <v>0</v>
      </c>
      <c r="H18192" s="3">
        <v>31</v>
      </c>
      <c r="I18192" s="3">
        <v>0</v>
      </c>
      <c r="J18192" s="3">
        <v>0</v>
      </c>
      <c r="K18192" s="3">
        <v>0</v>
      </c>
      <c r="L18192" s="3">
        <v>0</v>
      </c>
      <c r="M18192" s="3">
        <v>31</v>
      </c>
      <c r="N18192" s="3">
        <v>0</v>
      </c>
      <c r="O18192" s="3" t="s">
        <v>10</v>
      </c>
      <c r="P18192" s="3" t="s">
        <v>9</v>
      </c>
      <c r="Q18192" s="3"/>
    </row>
    <row r="18193" spans="1:17" ht="15" x14ac:dyDescent="0.25">
      <c r="A18193" s="3">
        <f>18186</f>
        <v>18186</v>
      </c>
      <c r="B18193" s="3" t="s">
        <v>18195</v>
      </c>
      <c r="C18193" s="3" t="s">
        <v>10</v>
      </c>
      <c r="D18193" s="3" t="s">
        <v>9</v>
      </c>
      <c r="E18193" s="3">
        <v>0</v>
      </c>
      <c r="F18193" s="3">
        <v>0</v>
      </c>
      <c r="G18193" s="3">
        <v>0</v>
      </c>
      <c r="H18193" s="3">
        <v>31</v>
      </c>
      <c r="I18193" s="3">
        <v>0</v>
      </c>
      <c r="J18193" s="3">
        <v>0</v>
      </c>
      <c r="K18193" s="3">
        <v>0</v>
      </c>
      <c r="L18193" s="3">
        <v>0</v>
      </c>
      <c r="M18193" s="3">
        <v>31</v>
      </c>
      <c r="N18193" s="3">
        <v>0</v>
      </c>
      <c r="O18193" s="3" t="s">
        <v>10</v>
      </c>
      <c r="P18193" s="3" t="s">
        <v>9</v>
      </c>
      <c r="Q18193" s="3"/>
    </row>
    <row r="18194" spans="1:17" ht="15" x14ac:dyDescent="0.25">
      <c r="A18194" s="3">
        <f>18187</f>
        <v>18187</v>
      </c>
      <c r="B18194" s="3" t="s">
        <v>18196</v>
      </c>
      <c r="C18194" s="3" t="s">
        <v>10</v>
      </c>
      <c r="D18194" s="3" t="s">
        <v>9</v>
      </c>
      <c r="E18194" s="3">
        <v>0</v>
      </c>
      <c r="F18194" s="3">
        <v>0</v>
      </c>
      <c r="G18194" s="3">
        <v>0</v>
      </c>
      <c r="H18194" s="3">
        <v>31</v>
      </c>
      <c r="I18194" s="3">
        <v>0</v>
      </c>
      <c r="J18194" s="3">
        <v>0</v>
      </c>
      <c r="K18194" s="3">
        <v>0</v>
      </c>
      <c r="L18194" s="3">
        <v>0</v>
      </c>
      <c r="M18194" s="3">
        <v>31</v>
      </c>
      <c r="N18194" s="3">
        <v>0</v>
      </c>
      <c r="O18194" s="3" t="s">
        <v>10</v>
      </c>
      <c r="P18194" s="3" t="s">
        <v>9</v>
      </c>
      <c r="Q18194" s="3"/>
    </row>
    <row r="18195" spans="1:17" ht="15" x14ac:dyDescent="0.25">
      <c r="A18195" s="3">
        <f>18188</f>
        <v>18188</v>
      </c>
      <c r="B18195" s="3" t="s">
        <v>18197</v>
      </c>
      <c r="C18195" s="3" t="s">
        <v>10</v>
      </c>
      <c r="D18195" s="3" t="s">
        <v>9</v>
      </c>
      <c r="E18195" s="3">
        <v>0</v>
      </c>
      <c r="F18195" s="3">
        <v>0</v>
      </c>
      <c r="G18195" s="3">
        <v>0</v>
      </c>
      <c r="H18195" s="3">
        <v>31</v>
      </c>
      <c r="I18195" s="3">
        <v>0</v>
      </c>
      <c r="J18195" s="3">
        <v>0</v>
      </c>
      <c r="K18195" s="3">
        <v>0</v>
      </c>
      <c r="L18195" s="3">
        <v>0</v>
      </c>
      <c r="M18195" s="3">
        <v>31</v>
      </c>
      <c r="N18195" s="3">
        <v>0</v>
      </c>
      <c r="O18195" s="3" t="s">
        <v>10</v>
      </c>
      <c r="P18195" s="3" t="s">
        <v>9</v>
      </c>
      <c r="Q18195" s="3"/>
    </row>
    <row r="18196" spans="1:17" ht="15" x14ac:dyDescent="0.25">
      <c r="A18196" s="3">
        <f>18189</f>
        <v>18189</v>
      </c>
      <c r="B18196" s="3" t="s">
        <v>18198</v>
      </c>
      <c r="C18196" s="3" t="s">
        <v>10</v>
      </c>
      <c r="D18196" s="3" t="s">
        <v>9</v>
      </c>
      <c r="E18196" s="3">
        <v>0</v>
      </c>
      <c r="F18196" s="3">
        <v>0</v>
      </c>
      <c r="G18196" s="3">
        <v>0</v>
      </c>
      <c r="H18196" s="3">
        <v>31</v>
      </c>
      <c r="I18196" s="3">
        <v>0</v>
      </c>
      <c r="J18196" s="3">
        <v>0</v>
      </c>
      <c r="K18196" s="3">
        <v>0</v>
      </c>
      <c r="L18196" s="3">
        <v>0</v>
      </c>
      <c r="M18196" s="3">
        <v>31</v>
      </c>
      <c r="N18196" s="3">
        <v>0</v>
      </c>
      <c r="O18196" s="3" t="s">
        <v>10</v>
      </c>
      <c r="P18196" s="3" t="s">
        <v>9</v>
      </c>
      <c r="Q18196" s="3"/>
    </row>
    <row r="18197" spans="1:17" ht="15" x14ac:dyDescent="0.25">
      <c r="A18197" s="3">
        <f>18190</f>
        <v>18190</v>
      </c>
      <c r="B18197" s="3" t="s">
        <v>18199</v>
      </c>
      <c r="C18197" s="3" t="s">
        <v>10</v>
      </c>
      <c r="D18197" s="3" t="s">
        <v>9</v>
      </c>
      <c r="E18197" s="3">
        <v>0</v>
      </c>
      <c r="F18197" s="3">
        <v>0</v>
      </c>
      <c r="G18197" s="3">
        <v>0</v>
      </c>
      <c r="H18197" s="3">
        <v>31</v>
      </c>
      <c r="I18197" s="3">
        <v>0</v>
      </c>
      <c r="J18197" s="3">
        <v>0</v>
      </c>
      <c r="K18197" s="3">
        <v>0</v>
      </c>
      <c r="L18197" s="3">
        <v>0</v>
      </c>
      <c r="M18197" s="3">
        <v>31</v>
      </c>
      <c r="N18197" s="3">
        <v>0</v>
      </c>
      <c r="O18197" s="3" t="s">
        <v>10</v>
      </c>
      <c r="P18197" s="3" t="s">
        <v>9</v>
      </c>
      <c r="Q18197" s="3"/>
    </row>
    <row r="18198" spans="1:17" ht="15" x14ac:dyDescent="0.25">
      <c r="A18198" s="3">
        <f>18191</f>
        <v>18191</v>
      </c>
      <c r="B18198" s="3" t="s">
        <v>18200</v>
      </c>
      <c r="C18198" s="3" t="s">
        <v>10</v>
      </c>
      <c r="D18198" s="3" t="s">
        <v>9</v>
      </c>
      <c r="E18198" s="3">
        <v>0</v>
      </c>
      <c r="F18198" s="3">
        <v>0</v>
      </c>
      <c r="G18198" s="3">
        <v>0</v>
      </c>
      <c r="H18198" s="3">
        <v>31</v>
      </c>
      <c r="I18198" s="3">
        <v>0</v>
      </c>
      <c r="J18198" s="3">
        <v>0</v>
      </c>
      <c r="K18198" s="3">
        <v>0</v>
      </c>
      <c r="L18198" s="3">
        <v>0</v>
      </c>
      <c r="M18198" s="3">
        <v>31</v>
      </c>
      <c r="N18198" s="3">
        <v>0</v>
      </c>
      <c r="O18198" s="3" t="s">
        <v>10</v>
      </c>
      <c r="P18198" s="3" t="s">
        <v>9</v>
      </c>
      <c r="Q18198" s="3"/>
    </row>
    <row r="18199" spans="1:17" ht="15" x14ac:dyDescent="0.25">
      <c r="A18199" s="3">
        <f>18192</f>
        <v>18192</v>
      </c>
      <c r="B18199" s="3" t="s">
        <v>18201</v>
      </c>
      <c r="C18199" s="3" t="s">
        <v>10</v>
      </c>
      <c r="D18199" s="3" t="s">
        <v>9</v>
      </c>
      <c r="E18199" s="3">
        <v>0</v>
      </c>
      <c r="F18199" s="3">
        <v>0</v>
      </c>
      <c r="G18199" s="3">
        <v>0</v>
      </c>
      <c r="H18199" s="3">
        <v>31</v>
      </c>
      <c r="I18199" s="3">
        <v>0</v>
      </c>
      <c r="J18199" s="3">
        <v>0</v>
      </c>
      <c r="K18199" s="3">
        <v>0</v>
      </c>
      <c r="L18199" s="3">
        <v>0</v>
      </c>
      <c r="M18199" s="3">
        <v>31</v>
      </c>
      <c r="N18199" s="3">
        <v>0</v>
      </c>
      <c r="O18199" s="3" t="s">
        <v>10</v>
      </c>
      <c r="P18199" s="3" t="s">
        <v>9</v>
      </c>
      <c r="Q18199" s="3"/>
    </row>
    <row r="18200" spans="1:17" ht="15" x14ac:dyDescent="0.25">
      <c r="A18200" s="3">
        <f>18193</f>
        <v>18193</v>
      </c>
      <c r="B18200" s="3" t="s">
        <v>18202</v>
      </c>
      <c r="C18200" s="3" t="s">
        <v>10</v>
      </c>
      <c r="D18200" s="3" t="s">
        <v>9</v>
      </c>
      <c r="E18200" s="3">
        <v>0</v>
      </c>
      <c r="F18200" s="3">
        <v>0</v>
      </c>
      <c r="G18200" s="3">
        <v>0</v>
      </c>
      <c r="H18200" s="3">
        <v>31</v>
      </c>
      <c r="I18200" s="3">
        <v>0</v>
      </c>
      <c r="J18200" s="3">
        <v>0</v>
      </c>
      <c r="K18200" s="3">
        <v>0</v>
      </c>
      <c r="L18200" s="3">
        <v>0</v>
      </c>
      <c r="M18200" s="3">
        <v>31</v>
      </c>
      <c r="N18200" s="3">
        <v>0</v>
      </c>
      <c r="O18200" s="3" t="s">
        <v>10</v>
      </c>
      <c r="P18200" s="3" t="s">
        <v>9</v>
      </c>
      <c r="Q18200" s="3"/>
    </row>
    <row r="18201" spans="1:17" ht="15" x14ac:dyDescent="0.25">
      <c r="A18201" s="3">
        <f>18194</f>
        <v>18194</v>
      </c>
      <c r="B18201" s="3" t="s">
        <v>18203</v>
      </c>
      <c r="C18201" s="3" t="s">
        <v>10</v>
      </c>
      <c r="D18201" s="3" t="s">
        <v>9</v>
      </c>
      <c r="E18201" s="3">
        <v>0</v>
      </c>
      <c r="F18201" s="3">
        <v>0</v>
      </c>
      <c r="G18201" s="3">
        <v>0</v>
      </c>
      <c r="H18201" s="3">
        <v>31</v>
      </c>
      <c r="I18201" s="3">
        <v>0</v>
      </c>
      <c r="J18201" s="3">
        <v>0</v>
      </c>
      <c r="K18201" s="3">
        <v>0</v>
      </c>
      <c r="L18201" s="3">
        <v>0</v>
      </c>
      <c r="M18201" s="3">
        <v>31</v>
      </c>
      <c r="N18201" s="3">
        <v>0</v>
      </c>
      <c r="O18201" s="3" t="s">
        <v>10</v>
      </c>
      <c r="P18201" s="3" t="s">
        <v>9</v>
      </c>
      <c r="Q18201" s="3"/>
    </row>
    <row r="18202" spans="1:17" ht="15" x14ac:dyDescent="0.25">
      <c r="A18202" s="3">
        <f>18195</f>
        <v>18195</v>
      </c>
      <c r="B18202" s="3" t="s">
        <v>18204</v>
      </c>
      <c r="C18202" s="3" t="s">
        <v>10</v>
      </c>
      <c r="D18202" s="3" t="s">
        <v>9</v>
      </c>
      <c r="E18202" s="3">
        <v>0</v>
      </c>
      <c r="F18202" s="3">
        <v>0</v>
      </c>
      <c r="G18202" s="3">
        <v>0</v>
      </c>
      <c r="H18202" s="3">
        <v>31</v>
      </c>
      <c r="I18202" s="3">
        <v>0</v>
      </c>
      <c r="J18202" s="3">
        <v>0</v>
      </c>
      <c r="K18202" s="3">
        <v>0</v>
      </c>
      <c r="L18202" s="3">
        <v>0</v>
      </c>
      <c r="M18202" s="3">
        <v>31</v>
      </c>
      <c r="N18202" s="3">
        <v>0</v>
      </c>
      <c r="O18202" s="3" t="s">
        <v>10</v>
      </c>
      <c r="P18202" s="3" t="s">
        <v>9</v>
      </c>
      <c r="Q18202" s="3"/>
    </row>
    <row r="18203" spans="1:17" ht="15" x14ac:dyDescent="0.25">
      <c r="A18203" s="3">
        <f>18196</f>
        <v>18196</v>
      </c>
      <c r="B18203" s="3" t="s">
        <v>18205</v>
      </c>
      <c r="C18203" s="3" t="s">
        <v>10</v>
      </c>
      <c r="D18203" s="3" t="s">
        <v>9</v>
      </c>
      <c r="E18203" s="3">
        <v>0</v>
      </c>
      <c r="F18203" s="3">
        <v>0</v>
      </c>
      <c r="G18203" s="3">
        <v>0</v>
      </c>
      <c r="H18203" s="3">
        <v>31</v>
      </c>
      <c r="I18203" s="3">
        <v>0</v>
      </c>
      <c r="J18203" s="3">
        <v>0</v>
      </c>
      <c r="K18203" s="3">
        <v>0</v>
      </c>
      <c r="L18203" s="3">
        <v>0</v>
      </c>
      <c r="M18203" s="3">
        <v>31</v>
      </c>
      <c r="N18203" s="3">
        <v>0</v>
      </c>
      <c r="O18203" s="3" t="s">
        <v>10</v>
      </c>
      <c r="P18203" s="3" t="s">
        <v>9</v>
      </c>
      <c r="Q18203" s="3"/>
    </row>
    <row r="18204" spans="1:17" ht="15" x14ac:dyDescent="0.25">
      <c r="A18204" s="3">
        <f>18197</f>
        <v>18197</v>
      </c>
      <c r="B18204" s="3" t="s">
        <v>18206</v>
      </c>
      <c r="C18204" s="3" t="s">
        <v>10</v>
      </c>
      <c r="D18204" s="3" t="s">
        <v>9</v>
      </c>
      <c r="E18204" s="3">
        <v>0</v>
      </c>
      <c r="F18204" s="3">
        <v>0</v>
      </c>
      <c r="G18204" s="3">
        <v>0</v>
      </c>
      <c r="H18204" s="3">
        <v>31</v>
      </c>
      <c r="I18204" s="3">
        <v>0</v>
      </c>
      <c r="J18204" s="3">
        <v>0</v>
      </c>
      <c r="K18204" s="3">
        <v>0</v>
      </c>
      <c r="L18204" s="3">
        <v>0</v>
      </c>
      <c r="M18204" s="3">
        <v>31</v>
      </c>
      <c r="N18204" s="3">
        <v>0</v>
      </c>
      <c r="O18204" s="3" t="s">
        <v>10</v>
      </c>
      <c r="P18204" s="3" t="s">
        <v>9</v>
      </c>
      <c r="Q18204" s="3"/>
    </row>
    <row r="18205" spans="1:17" ht="15" x14ac:dyDescent="0.25">
      <c r="A18205" s="3">
        <f>18198</f>
        <v>18198</v>
      </c>
      <c r="B18205" s="3" t="s">
        <v>18207</v>
      </c>
      <c r="C18205" s="3" t="s">
        <v>10</v>
      </c>
      <c r="D18205" s="3" t="s">
        <v>9</v>
      </c>
      <c r="E18205" s="3">
        <v>0</v>
      </c>
      <c r="F18205" s="3">
        <v>0</v>
      </c>
      <c r="G18205" s="3">
        <v>0</v>
      </c>
      <c r="H18205" s="3">
        <v>31</v>
      </c>
      <c r="I18205" s="3">
        <v>0</v>
      </c>
      <c r="J18205" s="3">
        <v>0</v>
      </c>
      <c r="K18205" s="3">
        <v>0</v>
      </c>
      <c r="L18205" s="3">
        <v>0</v>
      </c>
      <c r="M18205" s="3">
        <v>31</v>
      </c>
      <c r="N18205" s="3">
        <v>0</v>
      </c>
      <c r="O18205" s="3" t="s">
        <v>10</v>
      </c>
      <c r="P18205" s="3" t="s">
        <v>9</v>
      </c>
      <c r="Q18205" s="3"/>
    </row>
    <row r="18206" spans="1:17" ht="15" x14ac:dyDescent="0.25">
      <c r="A18206" s="3">
        <f>18199</f>
        <v>18199</v>
      </c>
      <c r="B18206" s="3" t="s">
        <v>18208</v>
      </c>
      <c r="C18206" s="3" t="s">
        <v>10</v>
      </c>
      <c r="D18206" s="3" t="s">
        <v>9</v>
      </c>
      <c r="E18206" s="3">
        <v>0</v>
      </c>
      <c r="F18206" s="3">
        <v>0</v>
      </c>
      <c r="G18206" s="3">
        <v>0</v>
      </c>
      <c r="H18206" s="3">
        <v>31</v>
      </c>
      <c r="I18206" s="3">
        <v>0</v>
      </c>
      <c r="J18206" s="3">
        <v>0</v>
      </c>
      <c r="K18206" s="3">
        <v>0</v>
      </c>
      <c r="L18206" s="3">
        <v>0</v>
      </c>
      <c r="M18206" s="3">
        <v>31</v>
      </c>
      <c r="N18206" s="3">
        <v>0</v>
      </c>
      <c r="O18206" s="3" t="s">
        <v>10</v>
      </c>
      <c r="P18206" s="3" t="s">
        <v>9</v>
      </c>
      <c r="Q18206" s="3"/>
    </row>
    <row r="18207" spans="1:17" ht="15" x14ac:dyDescent="0.25">
      <c r="A18207" s="3">
        <f>18200</f>
        <v>18200</v>
      </c>
      <c r="B18207" s="3" t="s">
        <v>18209</v>
      </c>
      <c r="C18207" s="3" t="s">
        <v>10</v>
      </c>
      <c r="D18207" s="3" t="s">
        <v>9</v>
      </c>
      <c r="E18207" s="3">
        <v>0</v>
      </c>
      <c r="F18207" s="3">
        <v>0</v>
      </c>
      <c r="G18207" s="3">
        <v>0</v>
      </c>
      <c r="H18207" s="3">
        <v>31</v>
      </c>
      <c r="I18207" s="3">
        <v>0</v>
      </c>
      <c r="J18207" s="3">
        <v>0</v>
      </c>
      <c r="K18207" s="3">
        <v>0</v>
      </c>
      <c r="L18207" s="3">
        <v>0</v>
      </c>
      <c r="M18207" s="3">
        <v>31</v>
      </c>
      <c r="N18207" s="3">
        <v>0</v>
      </c>
      <c r="O18207" s="3" t="s">
        <v>10</v>
      </c>
      <c r="P18207" s="3" t="s">
        <v>9</v>
      </c>
      <c r="Q18207" s="3"/>
    </row>
    <row r="18208" spans="1:17" ht="15" x14ac:dyDescent="0.25">
      <c r="A18208" s="3">
        <f>18201</f>
        <v>18201</v>
      </c>
      <c r="B18208" s="3" t="s">
        <v>18210</v>
      </c>
      <c r="C18208" s="3" t="s">
        <v>10</v>
      </c>
      <c r="D18208" s="3" t="s">
        <v>9</v>
      </c>
      <c r="E18208" s="3">
        <v>0</v>
      </c>
      <c r="F18208" s="3">
        <v>0</v>
      </c>
      <c r="G18208" s="3">
        <v>0</v>
      </c>
      <c r="H18208" s="3">
        <v>31</v>
      </c>
      <c r="I18208" s="3">
        <v>0</v>
      </c>
      <c r="J18208" s="3">
        <v>0</v>
      </c>
      <c r="K18208" s="3">
        <v>0</v>
      </c>
      <c r="L18208" s="3">
        <v>0</v>
      </c>
      <c r="M18208" s="3">
        <v>31</v>
      </c>
      <c r="N18208" s="3">
        <v>0</v>
      </c>
      <c r="O18208" s="3" t="s">
        <v>10</v>
      </c>
      <c r="P18208" s="3" t="s">
        <v>9</v>
      </c>
      <c r="Q18208" s="3"/>
    </row>
    <row r="18209" spans="1:17" ht="15" x14ac:dyDescent="0.25">
      <c r="A18209" s="3">
        <f>18202</f>
        <v>18202</v>
      </c>
      <c r="B18209" s="3" t="s">
        <v>18211</v>
      </c>
      <c r="C18209" s="3" t="s">
        <v>10</v>
      </c>
      <c r="D18209" s="3" t="s">
        <v>9</v>
      </c>
      <c r="E18209" s="3">
        <v>0</v>
      </c>
      <c r="F18209" s="3">
        <v>0</v>
      </c>
      <c r="G18209" s="3">
        <v>0</v>
      </c>
      <c r="H18209" s="3">
        <v>31</v>
      </c>
      <c r="I18209" s="3">
        <v>0</v>
      </c>
      <c r="J18209" s="3">
        <v>0</v>
      </c>
      <c r="K18209" s="3">
        <v>0</v>
      </c>
      <c r="L18209" s="3">
        <v>0</v>
      </c>
      <c r="M18209" s="3">
        <v>31</v>
      </c>
      <c r="N18209" s="3">
        <v>0</v>
      </c>
      <c r="O18209" s="3" t="s">
        <v>10</v>
      </c>
      <c r="P18209" s="3" t="s">
        <v>9</v>
      </c>
      <c r="Q18209" s="3"/>
    </row>
    <row r="18210" spans="1:17" ht="15" x14ac:dyDescent="0.25">
      <c r="A18210" s="3">
        <f>18203</f>
        <v>18203</v>
      </c>
      <c r="B18210" s="3" t="s">
        <v>18212</v>
      </c>
      <c r="C18210" s="3" t="s">
        <v>10</v>
      </c>
      <c r="D18210" s="3" t="s">
        <v>9</v>
      </c>
      <c r="E18210" s="3">
        <v>0</v>
      </c>
      <c r="F18210" s="3">
        <v>0</v>
      </c>
      <c r="G18210" s="3">
        <v>0</v>
      </c>
      <c r="H18210" s="3">
        <v>31</v>
      </c>
      <c r="I18210" s="3">
        <v>0</v>
      </c>
      <c r="J18210" s="3">
        <v>0</v>
      </c>
      <c r="K18210" s="3">
        <v>0</v>
      </c>
      <c r="L18210" s="3">
        <v>0</v>
      </c>
      <c r="M18210" s="3">
        <v>31</v>
      </c>
      <c r="N18210" s="3">
        <v>0</v>
      </c>
      <c r="O18210" s="3" t="s">
        <v>10</v>
      </c>
      <c r="P18210" s="3" t="s">
        <v>9</v>
      </c>
      <c r="Q18210" s="3"/>
    </row>
    <row r="18211" spans="1:17" ht="15" x14ac:dyDescent="0.25">
      <c r="A18211" s="3">
        <f>18204</f>
        <v>18204</v>
      </c>
      <c r="B18211" s="3" t="s">
        <v>18213</v>
      </c>
      <c r="C18211" s="3" t="s">
        <v>10</v>
      </c>
      <c r="D18211" s="3" t="s">
        <v>9</v>
      </c>
      <c r="E18211" s="3">
        <v>0</v>
      </c>
      <c r="F18211" s="3">
        <v>0</v>
      </c>
      <c r="G18211" s="3">
        <v>0</v>
      </c>
      <c r="H18211" s="3">
        <v>31</v>
      </c>
      <c r="I18211" s="3">
        <v>0</v>
      </c>
      <c r="J18211" s="3">
        <v>0</v>
      </c>
      <c r="K18211" s="3">
        <v>0</v>
      </c>
      <c r="L18211" s="3">
        <v>0</v>
      </c>
      <c r="M18211" s="3">
        <v>31</v>
      </c>
      <c r="N18211" s="3">
        <v>0</v>
      </c>
      <c r="O18211" s="3" t="s">
        <v>10</v>
      </c>
      <c r="P18211" s="3" t="s">
        <v>9</v>
      </c>
      <c r="Q18211" s="3"/>
    </row>
    <row r="18212" spans="1:17" ht="15" x14ac:dyDescent="0.25">
      <c r="A18212" s="3">
        <f>18205</f>
        <v>18205</v>
      </c>
      <c r="B18212" s="3" t="s">
        <v>18214</v>
      </c>
      <c r="C18212" s="3" t="s">
        <v>10</v>
      </c>
      <c r="D18212" s="3" t="s">
        <v>9</v>
      </c>
      <c r="E18212" s="3">
        <v>0</v>
      </c>
      <c r="F18212" s="3">
        <v>0</v>
      </c>
      <c r="G18212" s="3">
        <v>0</v>
      </c>
      <c r="H18212" s="3">
        <v>31</v>
      </c>
      <c r="I18212" s="3">
        <v>0</v>
      </c>
      <c r="J18212" s="3">
        <v>0</v>
      </c>
      <c r="K18212" s="3">
        <v>0</v>
      </c>
      <c r="L18212" s="3">
        <v>0</v>
      </c>
      <c r="M18212" s="3">
        <v>31</v>
      </c>
      <c r="N18212" s="3">
        <v>0</v>
      </c>
      <c r="O18212" s="3" t="s">
        <v>10</v>
      </c>
      <c r="P18212" s="3" t="s">
        <v>9</v>
      </c>
      <c r="Q18212" s="3"/>
    </row>
    <row r="18213" spans="1:17" ht="15" x14ac:dyDescent="0.25">
      <c r="A18213" s="3">
        <f>18206</f>
        <v>18206</v>
      </c>
      <c r="B18213" s="3" t="s">
        <v>18215</v>
      </c>
      <c r="C18213" s="3" t="s">
        <v>10</v>
      </c>
      <c r="D18213" s="3" t="s">
        <v>9</v>
      </c>
      <c r="E18213" s="3">
        <v>0</v>
      </c>
      <c r="F18213" s="3">
        <v>0</v>
      </c>
      <c r="G18213" s="3">
        <v>0</v>
      </c>
      <c r="H18213" s="3">
        <v>31</v>
      </c>
      <c r="I18213" s="3">
        <v>0</v>
      </c>
      <c r="J18213" s="3">
        <v>0</v>
      </c>
      <c r="K18213" s="3">
        <v>0</v>
      </c>
      <c r="L18213" s="3">
        <v>0</v>
      </c>
      <c r="M18213" s="3">
        <v>31</v>
      </c>
      <c r="N18213" s="3">
        <v>0</v>
      </c>
      <c r="O18213" s="3" t="s">
        <v>10</v>
      </c>
      <c r="P18213" s="3" t="s">
        <v>9</v>
      </c>
      <c r="Q18213" s="3"/>
    </row>
    <row r="18214" spans="1:17" ht="15" x14ac:dyDescent="0.25">
      <c r="A18214" s="3">
        <f>18207</f>
        <v>18207</v>
      </c>
      <c r="B18214" s="3" t="s">
        <v>18216</v>
      </c>
      <c r="C18214" s="3" t="s">
        <v>10</v>
      </c>
      <c r="D18214" s="3" t="s">
        <v>9</v>
      </c>
      <c r="E18214" s="3">
        <v>0</v>
      </c>
      <c r="F18214" s="3">
        <v>0</v>
      </c>
      <c r="G18214" s="3">
        <v>0</v>
      </c>
      <c r="H18214" s="3">
        <v>31</v>
      </c>
      <c r="I18214" s="3">
        <v>0</v>
      </c>
      <c r="J18214" s="3">
        <v>0</v>
      </c>
      <c r="K18214" s="3">
        <v>0</v>
      </c>
      <c r="L18214" s="3">
        <v>0</v>
      </c>
      <c r="M18214" s="3">
        <v>31</v>
      </c>
      <c r="N18214" s="3">
        <v>0</v>
      </c>
      <c r="O18214" s="3" t="s">
        <v>10</v>
      </c>
      <c r="P18214" s="3" t="s">
        <v>9</v>
      </c>
      <c r="Q18214" s="3"/>
    </row>
    <row r="18215" spans="1:17" ht="15" x14ac:dyDescent="0.25">
      <c r="A18215" s="3">
        <f>18208</f>
        <v>18208</v>
      </c>
      <c r="B18215" s="3" t="s">
        <v>18217</v>
      </c>
      <c r="C18215" s="3" t="s">
        <v>10</v>
      </c>
      <c r="D18215" s="3" t="s">
        <v>9</v>
      </c>
      <c r="E18215" s="3">
        <v>0</v>
      </c>
      <c r="F18215" s="3">
        <v>0</v>
      </c>
      <c r="G18215" s="3">
        <v>0</v>
      </c>
      <c r="H18215" s="3">
        <v>31</v>
      </c>
      <c r="I18215" s="3">
        <v>0</v>
      </c>
      <c r="J18215" s="3">
        <v>0</v>
      </c>
      <c r="K18215" s="3">
        <v>0</v>
      </c>
      <c r="L18215" s="3">
        <v>0</v>
      </c>
      <c r="M18215" s="3">
        <v>31</v>
      </c>
      <c r="N18215" s="3">
        <v>0</v>
      </c>
      <c r="O18215" s="3" t="s">
        <v>10</v>
      </c>
      <c r="P18215" s="3" t="s">
        <v>9</v>
      </c>
      <c r="Q18215" s="3"/>
    </row>
    <row r="18216" spans="1:17" ht="15" x14ac:dyDescent="0.25">
      <c r="A18216" s="3">
        <f>18209</f>
        <v>18209</v>
      </c>
      <c r="B18216" s="3" t="s">
        <v>18218</v>
      </c>
      <c r="C18216" s="3" t="s">
        <v>10</v>
      </c>
      <c r="D18216" s="3" t="s">
        <v>9</v>
      </c>
      <c r="E18216" s="3">
        <v>0</v>
      </c>
      <c r="F18216" s="3">
        <v>0</v>
      </c>
      <c r="G18216" s="3">
        <v>0</v>
      </c>
      <c r="H18216" s="3">
        <v>31</v>
      </c>
      <c r="I18216" s="3">
        <v>0</v>
      </c>
      <c r="J18216" s="3">
        <v>0</v>
      </c>
      <c r="K18216" s="3">
        <v>0</v>
      </c>
      <c r="L18216" s="3">
        <v>0</v>
      </c>
      <c r="M18216" s="3">
        <v>31</v>
      </c>
      <c r="N18216" s="3">
        <v>0</v>
      </c>
      <c r="O18216" s="3" t="s">
        <v>10</v>
      </c>
      <c r="P18216" s="3" t="s">
        <v>9</v>
      </c>
      <c r="Q18216" s="3"/>
    </row>
    <row r="18217" spans="1:17" ht="15" x14ac:dyDescent="0.25">
      <c r="A18217" s="3">
        <f>18210</f>
        <v>18210</v>
      </c>
      <c r="B18217" s="3" t="s">
        <v>18219</v>
      </c>
      <c r="C18217" s="3" t="s">
        <v>10</v>
      </c>
      <c r="D18217" s="3" t="s">
        <v>9</v>
      </c>
      <c r="E18217" s="3">
        <v>0</v>
      </c>
      <c r="F18217" s="3">
        <v>0</v>
      </c>
      <c r="G18217" s="3">
        <v>0</v>
      </c>
      <c r="H18217" s="3">
        <v>31</v>
      </c>
      <c r="I18217" s="3">
        <v>0</v>
      </c>
      <c r="J18217" s="3">
        <v>0</v>
      </c>
      <c r="K18217" s="3">
        <v>0</v>
      </c>
      <c r="L18217" s="3">
        <v>0</v>
      </c>
      <c r="M18217" s="3">
        <v>31</v>
      </c>
      <c r="N18217" s="3">
        <v>0</v>
      </c>
      <c r="O18217" s="3" t="s">
        <v>10</v>
      </c>
      <c r="P18217" s="3" t="s">
        <v>9</v>
      </c>
      <c r="Q18217" s="3"/>
    </row>
    <row r="18218" spans="1:17" ht="15" x14ac:dyDescent="0.25">
      <c r="A18218" s="3">
        <f>18211</f>
        <v>18211</v>
      </c>
      <c r="B18218" s="3" t="s">
        <v>18220</v>
      </c>
      <c r="C18218" s="3" t="s">
        <v>10</v>
      </c>
      <c r="D18218" s="3" t="s">
        <v>9</v>
      </c>
      <c r="E18218" s="3">
        <v>0</v>
      </c>
      <c r="F18218" s="3">
        <v>0</v>
      </c>
      <c r="G18218" s="3">
        <v>0</v>
      </c>
      <c r="H18218" s="3">
        <v>31</v>
      </c>
      <c r="I18218" s="3">
        <v>0</v>
      </c>
      <c r="J18218" s="3">
        <v>0</v>
      </c>
      <c r="K18218" s="3">
        <v>0</v>
      </c>
      <c r="L18218" s="3">
        <v>0</v>
      </c>
      <c r="M18218" s="3">
        <v>31</v>
      </c>
      <c r="N18218" s="3">
        <v>0</v>
      </c>
      <c r="O18218" s="3" t="s">
        <v>10</v>
      </c>
      <c r="P18218" s="3" t="s">
        <v>9</v>
      </c>
      <c r="Q18218" s="3"/>
    </row>
    <row r="18219" spans="1:17" ht="15" x14ac:dyDescent="0.25">
      <c r="A18219" s="3">
        <f>18212</f>
        <v>18212</v>
      </c>
      <c r="B18219" s="3" t="s">
        <v>18221</v>
      </c>
      <c r="C18219" s="3" t="s">
        <v>10</v>
      </c>
      <c r="D18219" s="3" t="s">
        <v>9</v>
      </c>
      <c r="E18219" s="3">
        <v>0</v>
      </c>
      <c r="F18219" s="3">
        <v>0</v>
      </c>
      <c r="G18219" s="3">
        <v>0</v>
      </c>
      <c r="H18219" s="3">
        <v>31</v>
      </c>
      <c r="I18219" s="3">
        <v>0</v>
      </c>
      <c r="J18219" s="3">
        <v>0</v>
      </c>
      <c r="K18219" s="3">
        <v>0</v>
      </c>
      <c r="L18219" s="3">
        <v>0</v>
      </c>
      <c r="M18219" s="3">
        <v>31</v>
      </c>
      <c r="N18219" s="3">
        <v>0</v>
      </c>
      <c r="O18219" s="3" t="s">
        <v>10</v>
      </c>
      <c r="P18219" s="3" t="s">
        <v>9</v>
      </c>
      <c r="Q18219" s="3"/>
    </row>
    <row r="18220" spans="1:17" ht="15" x14ac:dyDescent="0.25">
      <c r="A18220" s="3">
        <f>18213</f>
        <v>18213</v>
      </c>
      <c r="B18220" s="3" t="s">
        <v>18222</v>
      </c>
      <c r="C18220" s="3" t="s">
        <v>10</v>
      </c>
      <c r="D18220" s="3" t="s">
        <v>9</v>
      </c>
      <c r="E18220" s="3">
        <v>0</v>
      </c>
      <c r="F18220" s="3">
        <v>0</v>
      </c>
      <c r="G18220" s="3">
        <v>0</v>
      </c>
      <c r="H18220" s="3">
        <v>31</v>
      </c>
      <c r="I18220" s="3">
        <v>0</v>
      </c>
      <c r="J18220" s="3">
        <v>0</v>
      </c>
      <c r="K18220" s="3">
        <v>0</v>
      </c>
      <c r="L18220" s="3">
        <v>0</v>
      </c>
      <c r="M18220" s="3">
        <v>31</v>
      </c>
      <c r="N18220" s="3">
        <v>0</v>
      </c>
      <c r="O18220" s="3" t="s">
        <v>10</v>
      </c>
      <c r="P18220" s="3" t="s">
        <v>9</v>
      </c>
      <c r="Q18220" s="3"/>
    </row>
    <row r="18221" spans="1:17" ht="15" x14ac:dyDescent="0.25">
      <c r="A18221" s="3">
        <f>18214</f>
        <v>18214</v>
      </c>
      <c r="B18221" s="3" t="s">
        <v>18223</v>
      </c>
      <c r="C18221" s="3" t="s">
        <v>10</v>
      </c>
      <c r="D18221" s="3" t="s">
        <v>9</v>
      </c>
      <c r="E18221" s="3">
        <v>0</v>
      </c>
      <c r="F18221" s="3">
        <v>0</v>
      </c>
      <c r="G18221" s="3">
        <v>0</v>
      </c>
      <c r="H18221" s="3">
        <v>31</v>
      </c>
      <c r="I18221" s="3">
        <v>0</v>
      </c>
      <c r="J18221" s="3">
        <v>0</v>
      </c>
      <c r="K18221" s="3">
        <v>0</v>
      </c>
      <c r="L18221" s="3">
        <v>0</v>
      </c>
      <c r="M18221" s="3">
        <v>31</v>
      </c>
      <c r="N18221" s="3">
        <v>0</v>
      </c>
      <c r="O18221" s="3" t="s">
        <v>10</v>
      </c>
      <c r="P18221" s="3" t="s">
        <v>9</v>
      </c>
      <c r="Q18221" s="3"/>
    </row>
    <row r="18222" spans="1:17" ht="15" x14ac:dyDescent="0.25">
      <c r="A18222" s="3">
        <f>18215</f>
        <v>18215</v>
      </c>
      <c r="B18222" s="3" t="s">
        <v>18224</v>
      </c>
      <c r="C18222" s="3" t="s">
        <v>10</v>
      </c>
      <c r="D18222" s="3" t="s">
        <v>9</v>
      </c>
      <c r="E18222" s="3">
        <v>0</v>
      </c>
      <c r="F18222" s="3">
        <v>0</v>
      </c>
      <c r="G18222" s="3">
        <v>0</v>
      </c>
      <c r="H18222" s="3">
        <v>31</v>
      </c>
      <c r="I18222" s="3">
        <v>0</v>
      </c>
      <c r="J18222" s="3">
        <v>0</v>
      </c>
      <c r="K18222" s="3">
        <v>0</v>
      </c>
      <c r="L18222" s="3">
        <v>0</v>
      </c>
      <c r="M18222" s="3">
        <v>31</v>
      </c>
      <c r="N18222" s="3">
        <v>0</v>
      </c>
      <c r="O18222" s="3" t="s">
        <v>10</v>
      </c>
      <c r="P18222" s="3" t="s">
        <v>9</v>
      </c>
      <c r="Q18222" s="3"/>
    </row>
    <row r="18223" spans="1:17" ht="15" x14ac:dyDescent="0.25">
      <c r="A18223" s="3">
        <f>18216</f>
        <v>18216</v>
      </c>
      <c r="B18223" s="3" t="s">
        <v>18225</v>
      </c>
      <c r="C18223" s="3" t="s">
        <v>10</v>
      </c>
      <c r="D18223" s="3" t="s">
        <v>9</v>
      </c>
      <c r="E18223" s="3">
        <v>0</v>
      </c>
      <c r="F18223" s="3">
        <v>0</v>
      </c>
      <c r="G18223" s="3">
        <v>0</v>
      </c>
      <c r="H18223" s="3">
        <v>31</v>
      </c>
      <c r="I18223" s="3">
        <v>0</v>
      </c>
      <c r="J18223" s="3">
        <v>0</v>
      </c>
      <c r="K18223" s="3">
        <v>0</v>
      </c>
      <c r="L18223" s="3">
        <v>0</v>
      </c>
      <c r="M18223" s="3">
        <v>31</v>
      </c>
      <c r="N18223" s="3">
        <v>0</v>
      </c>
      <c r="O18223" s="3" t="s">
        <v>10</v>
      </c>
      <c r="P18223" s="3" t="s">
        <v>9</v>
      </c>
      <c r="Q18223" s="3"/>
    </row>
    <row r="18224" spans="1:17" ht="15" x14ac:dyDescent="0.25">
      <c r="A18224" s="3">
        <f>18217</f>
        <v>18217</v>
      </c>
      <c r="B18224" s="3" t="s">
        <v>18226</v>
      </c>
      <c r="C18224" s="3" t="s">
        <v>10</v>
      </c>
      <c r="D18224" s="3" t="s">
        <v>9</v>
      </c>
      <c r="E18224" s="3">
        <v>0</v>
      </c>
      <c r="F18224" s="3">
        <v>0</v>
      </c>
      <c r="G18224" s="3">
        <v>0</v>
      </c>
      <c r="H18224" s="3">
        <v>31</v>
      </c>
      <c r="I18224" s="3">
        <v>0</v>
      </c>
      <c r="J18224" s="3">
        <v>0</v>
      </c>
      <c r="K18224" s="3">
        <v>0</v>
      </c>
      <c r="L18224" s="3">
        <v>0</v>
      </c>
      <c r="M18224" s="3">
        <v>31</v>
      </c>
      <c r="N18224" s="3">
        <v>0</v>
      </c>
      <c r="O18224" s="3" t="s">
        <v>10</v>
      </c>
      <c r="P18224" s="3" t="s">
        <v>9</v>
      </c>
      <c r="Q18224" s="3"/>
    </row>
    <row r="18225" spans="1:17" ht="15" x14ac:dyDescent="0.25">
      <c r="A18225" s="3">
        <f>18218</f>
        <v>18218</v>
      </c>
      <c r="B18225" s="3" t="s">
        <v>18227</v>
      </c>
      <c r="C18225" s="3" t="s">
        <v>10</v>
      </c>
      <c r="D18225" s="3" t="s">
        <v>9</v>
      </c>
      <c r="E18225" s="3">
        <v>0</v>
      </c>
      <c r="F18225" s="3">
        <v>0</v>
      </c>
      <c r="G18225" s="3">
        <v>0</v>
      </c>
      <c r="H18225" s="3">
        <v>31</v>
      </c>
      <c r="I18225" s="3">
        <v>0</v>
      </c>
      <c r="J18225" s="3">
        <v>0</v>
      </c>
      <c r="K18225" s="3">
        <v>0</v>
      </c>
      <c r="L18225" s="3">
        <v>0</v>
      </c>
      <c r="M18225" s="3">
        <v>31</v>
      </c>
      <c r="N18225" s="3">
        <v>0</v>
      </c>
      <c r="O18225" s="3" t="s">
        <v>10</v>
      </c>
      <c r="P18225" s="3" t="s">
        <v>9</v>
      </c>
      <c r="Q18225" s="3"/>
    </row>
    <row r="18226" spans="1:17" ht="15" x14ac:dyDescent="0.25">
      <c r="A18226" s="3">
        <f>18219</f>
        <v>18219</v>
      </c>
      <c r="B18226" s="3" t="s">
        <v>18228</v>
      </c>
      <c r="C18226" s="3" t="s">
        <v>10</v>
      </c>
      <c r="D18226" s="3" t="s">
        <v>9</v>
      </c>
      <c r="E18226" s="3">
        <v>0</v>
      </c>
      <c r="F18226" s="3">
        <v>0</v>
      </c>
      <c r="G18226" s="3">
        <v>0</v>
      </c>
      <c r="H18226" s="3">
        <v>31</v>
      </c>
      <c r="I18226" s="3">
        <v>0</v>
      </c>
      <c r="J18226" s="3">
        <v>0</v>
      </c>
      <c r="K18226" s="3">
        <v>0</v>
      </c>
      <c r="L18226" s="3">
        <v>0</v>
      </c>
      <c r="M18226" s="3">
        <v>31</v>
      </c>
      <c r="N18226" s="3">
        <v>0</v>
      </c>
      <c r="O18226" s="3" t="s">
        <v>10</v>
      </c>
      <c r="P18226" s="3" t="s">
        <v>9</v>
      </c>
      <c r="Q18226" s="3"/>
    </row>
    <row r="18227" spans="1:17" ht="15" x14ac:dyDescent="0.25">
      <c r="A18227" s="3">
        <f>18220</f>
        <v>18220</v>
      </c>
      <c r="B18227" s="3" t="s">
        <v>18229</v>
      </c>
      <c r="C18227" s="3" t="s">
        <v>10</v>
      </c>
      <c r="D18227" s="3" t="s">
        <v>9</v>
      </c>
      <c r="E18227" s="3">
        <v>0</v>
      </c>
      <c r="F18227" s="3">
        <v>0</v>
      </c>
      <c r="G18227" s="3">
        <v>0</v>
      </c>
      <c r="H18227" s="3">
        <v>31</v>
      </c>
      <c r="I18227" s="3">
        <v>0</v>
      </c>
      <c r="J18227" s="3">
        <v>0</v>
      </c>
      <c r="K18227" s="3">
        <v>0</v>
      </c>
      <c r="L18227" s="3">
        <v>0</v>
      </c>
      <c r="M18227" s="3">
        <v>31</v>
      </c>
      <c r="N18227" s="3">
        <v>0</v>
      </c>
      <c r="O18227" s="3" t="s">
        <v>10</v>
      </c>
      <c r="P18227" s="3" t="s">
        <v>9</v>
      </c>
      <c r="Q18227" s="3"/>
    </row>
    <row r="18228" spans="1:17" ht="15" x14ac:dyDescent="0.25">
      <c r="A18228" s="3">
        <f>18221</f>
        <v>18221</v>
      </c>
      <c r="B18228" s="3" t="s">
        <v>18230</v>
      </c>
      <c r="C18228" s="3" t="s">
        <v>10</v>
      </c>
      <c r="D18228" s="3" t="s">
        <v>9</v>
      </c>
      <c r="E18228" s="3">
        <v>0</v>
      </c>
      <c r="F18228" s="3">
        <v>0</v>
      </c>
      <c r="G18228" s="3">
        <v>0</v>
      </c>
      <c r="H18228" s="3">
        <v>31</v>
      </c>
      <c r="I18228" s="3">
        <v>0</v>
      </c>
      <c r="J18228" s="3">
        <v>0</v>
      </c>
      <c r="K18228" s="3">
        <v>0</v>
      </c>
      <c r="L18228" s="3">
        <v>0</v>
      </c>
      <c r="M18228" s="3">
        <v>31</v>
      </c>
      <c r="N18228" s="3">
        <v>0</v>
      </c>
      <c r="O18228" s="3" t="s">
        <v>10</v>
      </c>
      <c r="P18228" s="3" t="s">
        <v>9</v>
      </c>
      <c r="Q18228" s="3"/>
    </row>
    <row r="18229" spans="1:17" ht="15" x14ac:dyDescent="0.25">
      <c r="A18229" s="3">
        <f>18222</f>
        <v>18222</v>
      </c>
      <c r="B18229" s="3" t="s">
        <v>18231</v>
      </c>
      <c r="C18229" s="3" t="s">
        <v>10</v>
      </c>
      <c r="D18229" s="3" t="s">
        <v>9</v>
      </c>
      <c r="E18229" s="3">
        <v>0</v>
      </c>
      <c r="F18229" s="3">
        <v>0</v>
      </c>
      <c r="G18229" s="3">
        <v>0</v>
      </c>
      <c r="H18229" s="3">
        <v>31</v>
      </c>
      <c r="I18229" s="3">
        <v>0</v>
      </c>
      <c r="J18229" s="3">
        <v>0</v>
      </c>
      <c r="K18229" s="3">
        <v>0</v>
      </c>
      <c r="L18229" s="3">
        <v>0</v>
      </c>
      <c r="M18229" s="3">
        <v>31</v>
      </c>
      <c r="N18229" s="3">
        <v>0</v>
      </c>
      <c r="O18229" s="3" t="s">
        <v>10</v>
      </c>
      <c r="P18229" s="3" t="s">
        <v>9</v>
      </c>
      <c r="Q18229" s="3"/>
    </row>
    <row r="18230" spans="1:17" ht="15" x14ac:dyDescent="0.25">
      <c r="A18230" s="3">
        <f>18223</f>
        <v>18223</v>
      </c>
      <c r="B18230" s="3" t="s">
        <v>18232</v>
      </c>
      <c r="C18230" s="3" t="s">
        <v>10</v>
      </c>
      <c r="D18230" s="3" t="s">
        <v>9</v>
      </c>
      <c r="E18230" s="3">
        <v>0</v>
      </c>
      <c r="F18230" s="3">
        <v>0</v>
      </c>
      <c r="G18230" s="3">
        <v>0</v>
      </c>
      <c r="H18230" s="3">
        <v>31</v>
      </c>
      <c r="I18230" s="3">
        <v>0</v>
      </c>
      <c r="J18230" s="3">
        <v>0</v>
      </c>
      <c r="K18230" s="3">
        <v>0</v>
      </c>
      <c r="L18230" s="3">
        <v>0</v>
      </c>
      <c r="M18230" s="3">
        <v>31</v>
      </c>
      <c r="N18230" s="3">
        <v>0</v>
      </c>
      <c r="O18230" s="3" t="s">
        <v>10</v>
      </c>
      <c r="P18230" s="3" t="s">
        <v>9</v>
      </c>
      <c r="Q18230" s="3"/>
    </row>
    <row r="18231" spans="1:17" ht="15" x14ac:dyDescent="0.25">
      <c r="A18231" s="3">
        <f>18224</f>
        <v>18224</v>
      </c>
      <c r="B18231" s="3" t="s">
        <v>18233</v>
      </c>
      <c r="C18231" s="3" t="s">
        <v>10</v>
      </c>
      <c r="D18231" s="3" t="s">
        <v>9</v>
      </c>
      <c r="E18231" s="3">
        <v>0</v>
      </c>
      <c r="F18231" s="3">
        <v>0</v>
      </c>
      <c r="G18231" s="3">
        <v>0</v>
      </c>
      <c r="H18231" s="3">
        <v>31</v>
      </c>
      <c r="I18231" s="3">
        <v>0</v>
      </c>
      <c r="J18231" s="3">
        <v>0</v>
      </c>
      <c r="K18231" s="3">
        <v>0</v>
      </c>
      <c r="L18231" s="3">
        <v>0</v>
      </c>
      <c r="M18231" s="3">
        <v>31</v>
      </c>
      <c r="N18231" s="3">
        <v>0</v>
      </c>
      <c r="O18231" s="3" t="s">
        <v>10</v>
      </c>
      <c r="P18231" s="3" t="s">
        <v>9</v>
      </c>
      <c r="Q18231" s="3"/>
    </row>
    <row r="18232" spans="1:17" ht="15" x14ac:dyDescent="0.25">
      <c r="A18232" s="3">
        <f>18225</f>
        <v>18225</v>
      </c>
      <c r="B18232" s="3" t="s">
        <v>18234</v>
      </c>
      <c r="C18232" s="3" t="s">
        <v>10</v>
      </c>
      <c r="D18232" s="3" t="s">
        <v>9</v>
      </c>
      <c r="E18232" s="3">
        <v>0</v>
      </c>
      <c r="F18232" s="3">
        <v>0</v>
      </c>
      <c r="G18232" s="3">
        <v>0</v>
      </c>
      <c r="H18232" s="3">
        <v>31</v>
      </c>
      <c r="I18232" s="3">
        <v>0</v>
      </c>
      <c r="J18232" s="3">
        <v>0</v>
      </c>
      <c r="K18232" s="3">
        <v>0</v>
      </c>
      <c r="L18232" s="3">
        <v>0</v>
      </c>
      <c r="M18232" s="3">
        <v>31</v>
      </c>
      <c r="N18232" s="3">
        <v>0</v>
      </c>
      <c r="O18232" s="3" t="s">
        <v>10</v>
      </c>
      <c r="P18232" s="3" t="s">
        <v>9</v>
      </c>
      <c r="Q18232" s="3"/>
    </row>
    <row r="18233" spans="1:17" ht="15" x14ac:dyDescent="0.25">
      <c r="A18233" s="3">
        <f>18226</f>
        <v>18226</v>
      </c>
      <c r="B18233" s="3" t="s">
        <v>18235</v>
      </c>
      <c r="C18233" s="3" t="s">
        <v>10</v>
      </c>
      <c r="D18233" s="3" t="s">
        <v>9</v>
      </c>
      <c r="E18233" s="3">
        <v>0</v>
      </c>
      <c r="F18233" s="3">
        <v>0</v>
      </c>
      <c r="G18233" s="3">
        <v>0</v>
      </c>
      <c r="H18233" s="3">
        <v>31</v>
      </c>
      <c r="I18233" s="3">
        <v>0</v>
      </c>
      <c r="J18233" s="3">
        <v>0</v>
      </c>
      <c r="K18233" s="3">
        <v>0</v>
      </c>
      <c r="L18233" s="3">
        <v>0</v>
      </c>
      <c r="M18233" s="3">
        <v>31</v>
      </c>
      <c r="N18233" s="3">
        <v>0</v>
      </c>
      <c r="O18233" s="3" t="s">
        <v>10</v>
      </c>
      <c r="P18233" s="3" t="s">
        <v>9</v>
      </c>
      <c r="Q18233" s="3"/>
    </row>
    <row r="18234" spans="1:17" ht="15" x14ac:dyDescent="0.25">
      <c r="A18234" s="3">
        <f>18227</f>
        <v>18227</v>
      </c>
      <c r="B18234" s="3" t="s">
        <v>18236</v>
      </c>
      <c r="C18234" s="3" t="s">
        <v>10</v>
      </c>
      <c r="D18234" s="3" t="s">
        <v>9</v>
      </c>
      <c r="E18234" s="3">
        <v>0</v>
      </c>
      <c r="F18234" s="3">
        <v>0</v>
      </c>
      <c r="G18234" s="3">
        <v>0</v>
      </c>
      <c r="H18234" s="3">
        <v>31</v>
      </c>
      <c r="I18234" s="3">
        <v>0</v>
      </c>
      <c r="J18234" s="3">
        <v>0</v>
      </c>
      <c r="K18234" s="3">
        <v>0</v>
      </c>
      <c r="L18234" s="3">
        <v>0</v>
      </c>
      <c r="M18234" s="3">
        <v>31</v>
      </c>
      <c r="N18234" s="3">
        <v>0</v>
      </c>
      <c r="O18234" s="3" t="s">
        <v>10</v>
      </c>
      <c r="P18234" s="3" t="s">
        <v>9</v>
      </c>
      <c r="Q18234" s="3"/>
    </row>
    <row r="18235" spans="1:17" ht="15" x14ac:dyDescent="0.25">
      <c r="A18235" s="3">
        <f>18228</f>
        <v>18228</v>
      </c>
      <c r="B18235" s="3" t="s">
        <v>18237</v>
      </c>
      <c r="C18235" s="3" t="s">
        <v>10</v>
      </c>
      <c r="D18235" s="3" t="s">
        <v>9</v>
      </c>
      <c r="E18235" s="3">
        <v>0</v>
      </c>
      <c r="F18235" s="3">
        <v>0</v>
      </c>
      <c r="G18235" s="3">
        <v>0</v>
      </c>
      <c r="H18235" s="3">
        <v>31</v>
      </c>
      <c r="I18235" s="3">
        <v>0</v>
      </c>
      <c r="J18235" s="3">
        <v>0</v>
      </c>
      <c r="K18235" s="3">
        <v>0</v>
      </c>
      <c r="L18235" s="3">
        <v>0</v>
      </c>
      <c r="M18235" s="3">
        <v>31</v>
      </c>
      <c r="N18235" s="3">
        <v>0</v>
      </c>
      <c r="O18235" s="3" t="s">
        <v>10</v>
      </c>
      <c r="P18235" s="3" t="s">
        <v>9</v>
      </c>
      <c r="Q18235" s="3"/>
    </row>
    <row r="18236" spans="1:17" ht="15" x14ac:dyDescent="0.25">
      <c r="A18236" s="3">
        <f>18229</f>
        <v>18229</v>
      </c>
      <c r="B18236" s="3" t="s">
        <v>18238</v>
      </c>
      <c r="C18236" s="3" t="s">
        <v>10</v>
      </c>
      <c r="D18236" s="3" t="s">
        <v>9</v>
      </c>
      <c r="E18236" s="3">
        <v>0</v>
      </c>
      <c r="F18236" s="3">
        <v>0</v>
      </c>
      <c r="G18236" s="3">
        <v>0</v>
      </c>
      <c r="H18236" s="3">
        <v>31</v>
      </c>
      <c r="I18236" s="3">
        <v>0</v>
      </c>
      <c r="J18236" s="3">
        <v>0</v>
      </c>
      <c r="K18236" s="3">
        <v>0</v>
      </c>
      <c r="L18236" s="3">
        <v>0</v>
      </c>
      <c r="M18236" s="3">
        <v>31</v>
      </c>
      <c r="N18236" s="3">
        <v>0</v>
      </c>
      <c r="O18236" s="3" t="s">
        <v>10</v>
      </c>
      <c r="P18236" s="3" t="s">
        <v>9</v>
      </c>
      <c r="Q18236" s="3"/>
    </row>
    <row r="18237" spans="1:17" ht="15" x14ac:dyDescent="0.25">
      <c r="A18237" s="3">
        <f>18230</f>
        <v>18230</v>
      </c>
      <c r="B18237" s="3" t="s">
        <v>18239</v>
      </c>
      <c r="C18237" s="3" t="s">
        <v>10</v>
      </c>
      <c r="D18237" s="3" t="s">
        <v>9</v>
      </c>
      <c r="E18237" s="3">
        <v>0</v>
      </c>
      <c r="F18237" s="3">
        <v>0</v>
      </c>
      <c r="G18237" s="3">
        <v>0</v>
      </c>
      <c r="H18237" s="3">
        <v>31</v>
      </c>
      <c r="I18237" s="3">
        <v>0</v>
      </c>
      <c r="J18237" s="3">
        <v>0</v>
      </c>
      <c r="K18237" s="3">
        <v>0</v>
      </c>
      <c r="L18237" s="3">
        <v>0</v>
      </c>
      <c r="M18237" s="3">
        <v>31</v>
      </c>
      <c r="N18237" s="3">
        <v>0</v>
      </c>
      <c r="O18237" s="3" t="s">
        <v>10</v>
      </c>
      <c r="P18237" s="3" t="s">
        <v>9</v>
      </c>
      <c r="Q18237" s="3"/>
    </row>
    <row r="18238" spans="1:17" ht="15" x14ac:dyDescent="0.25">
      <c r="A18238" s="3">
        <f>18231</f>
        <v>18231</v>
      </c>
      <c r="B18238" s="3" t="s">
        <v>18240</v>
      </c>
      <c r="C18238" s="3" t="s">
        <v>10</v>
      </c>
      <c r="D18238" s="3" t="s">
        <v>9</v>
      </c>
      <c r="E18238" s="3">
        <v>0</v>
      </c>
      <c r="F18238" s="3">
        <v>0</v>
      </c>
      <c r="G18238" s="3">
        <v>0</v>
      </c>
      <c r="H18238" s="3">
        <v>31</v>
      </c>
      <c r="I18238" s="3">
        <v>0</v>
      </c>
      <c r="J18238" s="3">
        <v>0</v>
      </c>
      <c r="K18238" s="3">
        <v>0</v>
      </c>
      <c r="L18238" s="3">
        <v>0</v>
      </c>
      <c r="M18238" s="3">
        <v>31</v>
      </c>
      <c r="N18238" s="3">
        <v>0</v>
      </c>
      <c r="O18238" s="3" t="s">
        <v>10</v>
      </c>
      <c r="P18238" s="3" t="s">
        <v>9</v>
      </c>
      <c r="Q18238" s="3"/>
    </row>
    <row r="18239" spans="1:17" ht="15" x14ac:dyDescent="0.25">
      <c r="A18239" s="3">
        <f>18232</f>
        <v>18232</v>
      </c>
      <c r="B18239" s="3" t="s">
        <v>18241</v>
      </c>
      <c r="C18239" s="3" t="s">
        <v>10</v>
      </c>
      <c r="D18239" s="3" t="s">
        <v>9</v>
      </c>
      <c r="E18239" s="3">
        <v>0</v>
      </c>
      <c r="F18239" s="3">
        <v>0</v>
      </c>
      <c r="G18239" s="3">
        <v>0</v>
      </c>
      <c r="H18239" s="3">
        <v>31</v>
      </c>
      <c r="I18239" s="3">
        <v>0</v>
      </c>
      <c r="J18239" s="3">
        <v>0</v>
      </c>
      <c r="K18239" s="3">
        <v>0</v>
      </c>
      <c r="L18239" s="3">
        <v>0</v>
      </c>
      <c r="M18239" s="3">
        <v>31</v>
      </c>
      <c r="N18239" s="3">
        <v>0</v>
      </c>
      <c r="O18239" s="3" t="s">
        <v>10</v>
      </c>
      <c r="P18239" s="3" t="s">
        <v>9</v>
      </c>
      <c r="Q18239" s="3"/>
    </row>
    <row r="18240" spans="1:17" ht="15" x14ac:dyDescent="0.25">
      <c r="A18240" s="3">
        <f>18233</f>
        <v>18233</v>
      </c>
      <c r="B18240" s="3" t="s">
        <v>18242</v>
      </c>
      <c r="C18240" s="3" t="s">
        <v>10</v>
      </c>
      <c r="D18240" s="3" t="s">
        <v>9</v>
      </c>
      <c r="E18240" s="3">
        <v>0</v>
      </c>
      <c r="F18240" s="3">
        <v>0</v>
      </c>
      <c r="G18240" s="3">
        <v>0</v>
      </c>
      <c r="H18240" s="3">
        <v>31</v>
      </c>
      <c r="I18240" s="3">
        <v>0</v>
      </c>
      <c r="J18240" s="3">
        <v>0</v>
      </c>
      <c r="K18240" s="3">
        <v>0</v>
      </c>
      <c r="L18240" s="3">
        <v>0</v>
      </c>
      <c r="M18240" s="3">
        <v>31</v>
      </c>
      <c r="N18240" s="3">
        <v>0</v>
      </c>
      <c r="O18240" s="3" t="s">
        <v>10</v>
      </c>
      <c r="P18240" s="3" t="s">
        <v>9</v>
      </c>
      <c r="Q18240" s="3"/>
    </row>
    <row r="18241" spans="1:17" ht="15" x14ac:dyDescent="0.25">
      <c r="A18241" s="3">
        <f>18234</f>
        <v>18234</v>
      </c>
      <c r="B18241" s="3" t="s">
        <v>18243</v>
      </c>
      <c r="C18241" s="3" t="s">
        <v>10</v>
      </c>
      <c r="D18241" s="3" t="s">
        <v>9</v>
      </c>
      <c r="E18241" s="3">
        <v>0</v>
      </c>
      <c r="F18241" s="3">
        <v>0</v>
      </c>
      <c r="G18241" s="3">
        <v>0</v>
      </c>
      <c r="H18241" s="3">
        <v>31</v>
      </c>
      <c r="I18241" s="3">
        <v>0</v>
      </c>
      <c r="J18241" s="3">
        <v>0</v>
      </c>
      <c r="K18241" s="3">
        <v>0</v>
      </c>
      <c r="L18241" s="3">
        <v>0</v>
      </c>
      <c r="M18241" s="3">
        <v>31</v>
      </c>
      <c r="N18241" s="3">
        <v>0</v>
      </c>
      <c r="O18241" s="3" t="s">
        <v>10</v>
      </c>
      <c r="P18241" s="3" t="s">
        <v>9</v>
      </c>
      <c r="Q18241" s="3"/>
    </row>
    <row r="18242" spans="1:17" ht="15" x14ac:dyDescent="0.25">
      <c r="A18242" s="3">
        <f>18235</f>
        <v>18235</v>
      </c>
      <c r="B18242" s="3" t="s">
        <v>18244</v>
      </c>
      <c r="C18242" s="3" t="s">
        <v>10</v>
      </c>
      <c r="D18242" s="3" t="s">
        <v>9</v>
      </c>
      <c r="E18242" s="3">
        <v>0</v>
      </c>
      <c r="F18242" s="3">
        <v>0</v>
      </c>
      <c r="G18242" s="3">
        <v>0</v>
      </c>
      <c r="H18242" s="3">
        <v>31</v>
      </c>
      <c r="I18242" s="3">
        <v>0</v>
      </c>
      <c r="J18242" s="3">
        <v>0</v>
      </c>
      <c r="K18242" s="3">
        <v>0</v>
      </c>
      <c r="L18242" s="3">
        <v>0</v>
      </c>
      <c r="M18242" s="3">
        <v>31</v>
      </c>
      <c r="N18242" s="3">
        <v>0</v>
      </c>
      <c r="O18242" s="3" t="s">
        <v>10</v>
      </c>
      <c r="P18242" s="3" t="s">
        <v>9</v>
      </c>
      <c r="Q18242" s="3"/>
    </row>
    <row r="18243" spans="1:17" ht="15" x14ac:dyDescent="0.25">
      <c r="A18243" s="3">
        <f>18236</f>
        <v>18236</v>
      </c>
      <c r="B18243" s="3" t="s">
        <v>18245</v>
      </c>
      <c r="C18243" s="3" t="s">
        <v>10</v>
      </c>
      <c r="D18243" s="3" t="s">
        <v>9</v>
      </c>
      <c r="E18243" s="3">
        <v>0</v>
      </c>
      <c r="F18243" s="3">
        <v>0</v>
      </c>
      <c r="G18243" s="3">
        <v>0</v>
      </c>
      <c r="H18243" s="3">
        <v>31</v>
      </c>
      <c r="I18243" s="3">
        <v>0</v>
      </c>
      <c r="J18243" s="3">
        <v>0</v>
      </c>
      <c r="K18243" s="3">
        <v>0</v>
      </c>
      <c r="L18243" s="3">
        <v>0</v>
      </c>
      <c r="M18243" s="3">
        <v>31</v>
      </c>
      <c r="N18243" s="3">
        <v>0</v>
      </c>
      <c r="O18243" s="3" t="s">
        <v>10</v>
      </c>
      <c r="P18243" s="3" t="s">
        <v>9</v>
      </c>
      <c r="Q18243" s="3"/>
    </row>
    <row r="18244" spans="1:17" ht="15" x14ac:dyDescent="0.25">
      <c r="A18244" s="3">
        <f>18237</f>
        <v>18237</v>
      </c>
      <c r="B18244" s="3" t="s">
        <v>18246</v>
      </c>
      <c r="C18244" s="3" t="s">
        <v>10</v>
      </c>
      <c r="D18244" s="3" t="s">
        <v>9</v>
      </c>
      <c r="E18244" s="3">
        <v>0</v>
      </c>
      <c r="F18244" s="3">
        <v>0</v>
      </c>
      <c r="G18244" s="3">
        <v>0</v>
      </c>
      <c r="H18244" s="3">
        <v>31</v>
      </c>
      <c r="I18244" s="3">
        <v>0</v>
      </c>
      <c r="J18244" s="3">
        <v>0</v>
      </c>
      <c r="K18244" s="3">
        <v>0</v>
      </c>
      <c r="L18244" s="3">
        <v>0</v>
      </c>
      <c r="M18244" s="3">
        <v>31</v>
      </c>
      <c r="N18244" s="3">
        <v>0</v>
      </c>
      <c r="O18244" s="3" t="s">
        <v>10</v>
      </c>
      <c r="P18244" s="3" t="s">
        <v>9</v>
      </c>
      <c r="Q18244" s="3"/>
    </row>
    <row r="18245" spans="1:17" ht="15" x14ac:dyDescent="0.25">
      <c r="A18245" s="3">
        <f>18238</f>
        <v>18238</v>
      </c>
      <c r="B18245" s="3" t="s">
        <v>18247</v>
      </c>
      <c r="C18245" s="3" t="s">
        <v>10</v>
      </c>
      <c r="D18245" s="3" t="s">
        <v>9</v>
      </c>
      <c r="E18245" s="3">
        <v>0</v>
      </c>
      <c r="F18245" s="3">
        <v>0</v>
      </c>
      <c r="G18245" s="3">
        <v>0</v>
      </c>
      <c r="H18245" s="3">
        <v>31</v>
      </c>
      <c r="I18245" s="3">
        <v>0</v>
      </c>
      <c r="J18245" s="3">
        <v>0</v>
      </c>
      <c r="K18245" s="3">
        <v>0</v>
      </c>
      <c r="L18245" s="3">
        <v>0</v>
      </c>
      <c r="M18245" s="3">
        <v>31</v>
      </c>
      <c r="N18245" s="3">
        <v>0</v>
      </c>
      <c r="O18245" s="3" t="s">
        <v>10</v>
      </c>
      <c r="P18245" s="3" t="s">
        <v>9</v>
      </c>
      <c r="Q18245" s="3"/>
    </row>
    <row r="18246" spans="1:17" ht="15" x14ac:dyDescent="0.25">
      <c r="A18246" s="3">
        <f>18239</f>
        <v>18239</v>
      </c>
      <c r="B18246" s="3" t="s">
        <v>18248</v>
      </c>
      <c r="C18246" s="3" t="s">
        <v>10</v>
      </c>
      <c r="D18246" s="3" t="s">
        <v>9</v>
      </c>
      <c r="E18246" s="3">
        <v>0</v>
      </c>
      <c r="F18246" s="3">
        <v>0</v>
      </c>
      <c r="G18246" s="3">
        <v>0</v>
      </c>
      <c r="H18246" s="3">
        <v>31</v>
      </c>
      <c r="I18246" s="3">
        <v>0</v>
      </c>
      <c r="J18246" s="3">
        <v>0</v>
      </c>
      <c r="K18246" s="3">
        <v>0</v>
      </c>
      <c r="L18246" s="3">
        <v>0</v>
      </c>
      <c r="M18246" s="3">
        <v>31</v>
      </c>
      <c r="N18246" s="3">
        <v>0</v>
      </c>
      <c r="O18246" s="3" t="s">
        <v>10</v>
      </c>
      <c r="P18246" s="3" t="s">
        <v>9</v>
      </c>
      <c r="Q18246" s="3"/>
    </row>
    <row r="18247" spans="1:17" ht="15" x14ac:dyDescent="0.25">
      <c r="A18247" s="3">
        <f>18240</f>
        <v>18240</v>
      </c>
      <c r="B18247" s="3" t="s">
        <v>18249</v>
      </c>
      <c r="C18247" s="3" t="s">
        <v>10</v>
      </c>
      <c r="D18247" s="3" t="s">
        <v>9</v>
      </c>
      <c r="E18247" s="3">
        <v>0</v>
      </c>
      <c r="F18247" s="3">
        <v>0</v>
      </c>
      <c r="G18247" s="3">
        <v>0</v>
      </c>
      <c r="H18247" s="3">
        <v>31</v>
      </c>
      <c r="I18247" s="3">
        <v>0</v>
      </c>
      <c r="J18247" s="3">
        <v>0</v>
      </c>
      <c r="K18247" s="3">
        <v>0</v>
      </c>
      <c r="L18247" s="3">
        <v>0</v>
      </c>
      <c r="M18247" s="3">
        <v>31</v>
      </c>
      <c r="N18247" s="3">
        <v>0</v>
      </c>
      <c r="O18247" s="3" t="s">
        <v>10</v>
      </c>
      <c r="P18247" s="3" t="s">
        <v>9</v>
      </c>
      <c r="Q18247" s="3"/>
    </row>
    <row r="18248" spans="1:17" ht="15" x14ac:dyDescent="0.25">
      <c r="A18248" s="3">
        <f>18241</f>
        <v>18241</v>
      </c>
      <c r="B18248" s="3" t="s">
        <v>18250</v>
      </c>
      <c r="C18248" s="3" t="s">
        <v>10</v>
      </c>
      <c r="D18248" s="3" t="s">
        <v>9</v>
      </c>
      <c r="E18248" s="3">
        <v>0</v>
      </c>
      <c r="F18248" s="3">
        <v>0</v>
      </c>
      <c r="G18248" s="3">
        <v>0</v>
      </c>
      <c r="H18248" s="3">
        <v>31</v>
      </c>
      <c r="I18248" s="3">
        <v>0</v>
      </c>
      <c r="J18248" s="3">
        <v>0</v>
      </c>
      <c r="K18248" s="3">
        <v>0</v>
      </c>
      <c r="L18248" s="3">
        <v>0</v>
      </c>
      <c r="M18248" s="3">
        <v>31</v>
      </c>
      <c r="N18248" s="3">
        <v>0</v>
      </c>
      <c r="O18248" s="3" t="s">
        <v>10</v>
      </c>
      <c r="P18248" s="3" t="s">
        <v>9</v>
      </c>
      <c r="Q18248" s="3"/>
    </row>
    <row r="18249" spans="1:17" ht="15" x14ac:dyDescent="0.25">
      <c r="A18249" s="3">
        <f>18242</f>
        <v>18242</v>
      </c>
      <c r="B18249" s="3" t="s">
        <v>18251</v>
      </c>
      <c r="C18249" s="3" t="s">
        <v>10</v>
      </c>
      <c r="D18249" s="3" t="s">
        <v>9</v>
      </c>
      <c r="E18249" s="3">
        <v>0</v>
      </c>
      <c r="F18249" s="3">
        <v>0</v>
      </c>
      <c r="G18249" s="3">
        <v>0</v>
      </c>
      <c r="H18249" s="3">
        <v>31</v>
      </c>
      <c r="I18249" s="3">
        <v>0</v>
      </c>
      <c r="J18249" s="3">
        <v>0</v>
      </c>
      <c r="K18249" s="3">
        <v>0</v>
      </c>
      <c r="L18249" s="3">
        <v>0</v>
      </c>
      <c r="M18249" s="3">
        <v>31</v>
      </c>
      <c r="N18249" s="3">
        <v>0</v>
      </c>
      <c r="O18249" s="3" t="s">
        <v>10</v>
      </c>
      <c r="P18249" s="3" t="s">
        <v>9</v>
      </c>
      <c r="Q18249" s="3"/>
    </row>
    <row r="18250" spans="1:17" ht="15" x14ac:dyDescent="0.25">
      <c r="A18250" s="3">
        <f>18243</f>
        <v>18243</v>
      </c>
      <c r="B18250" s="3" t="s">
        <v>18252</v>
      </c>
      <c r="C18250" s="3" t="s">
        <v>10</v>
      </c>
      <c r="D18250" s="3" t="s">
        <v>9</v>
      </c>
      <c r="E18250" s="3">
        <v>0</v>
      </c>
      <c r="F18250" s="3">
        <v>0</v>
      </c>
      <c r="G18250" s="3">
        <v>0</v>
      </c>
      <c r="H18250" s="3">
        <v>31</v>
      </c>
      <c r="I18250" s="3">
        <v>0</v>
      </c>
      <c r="J18250" s="3">
        <v>0</v>
      </c>
      <c r="K18250" s="3">
        <v>0</v>
      </c>
      <c r="L18250" s="3">
        <v>0</v>
      </c>
      <c r="M18250" s="3">
        <v>31</v>
      </c>
      <c r="N18250" s="3">
        <v>0</v>
      </c>
      <c r="O18250" s="3" t="s">
        <v>10</v>
      </c>
      <c r="P18250" s="3" t="s">
        <v>9</v>
      </c>
      <c r="Q18250" s="3"/>
    </row>
    <row r="18251" spans="1:17" ht="15" x14ac:dyDescent="0.25">
      <c r="A18251" s="3">
        <f>18244</f>
        <v>18244</v>
      </c>
      <c r="B18251" s="3" t="s">
        <v>18253</v>
      </c>
      <c r="C18251" s="3" t="s">
        <v>10</v>
      </c>
      <c r="D18251" s="3" t="s">
        <v>9</v>
      </c>
      <c r="E18251" s="3">
        <v>0</v>
      </c>
      <c r="F18251" s="3">
        <v>0</v>
      </c>
      <c r="G18251" s="3">
        <v>0</v>
      </c>
      <c r="H18251" s="3">
        <v>31</v>
      </c>
      <c r="I18251" s="3">
        <v>0</v>
      </c>
      <c r="J18251" s="3">
        <v>0</v>
      </c>
      <c r="K18251" s="3">
        <v>0</v>
      </c>
      <c r="L18251" s="3">
        <v>0</v>
      </c>
      <c r="M18251" s="3">
        <v>31</v>
      </c>
      <c r="N18251" s="3">
        <v>0</v>
      </c>
      <c r="O18251" s="3" t="s">
        <v>10</v>
      </c>
      <c r="P18251" s="3" t="s">
        <v>9</v>
      </c>
      <c r="Q18251" s="3"/>
    </row>
    <row r="18252" spans="1:17" ht="15" x14ac:dyDescent="0.25">
      <c r="A18252" s="3">
        <f>18245</f>
        <v>18245</v>
      </c>
      <c r="B18252" s="3" t="s">
        <v>18254</v>
      </c>
      <c r="C18252" s="3" t="s">
        <v>10</v>
      </c>
      <c r="D18252" s="3" t="s">
        <v>9</v>
      </c>
      <c r="E18252" s="3">
        <v>0</v>
      </c>
      <c r="F18252" s="3">
        <v>0</v>
      </c>
      <c r="G18252" s="3">
        <v>0</v>
      </c>
      <c r="H18252" s="3">
        <v>31</v>
      </c>
      <c r="I18252" s="3">
        <v>0</v>
      </c>
      <c r="J18252" s="3">
        <v>0</v>
      </c>
      <c r="K18252" s="3">
        <v>0</v>
      </c>
      <c r="L18252" s="3">
        <v>0</v>
      </c>
      <c r="M18252" s="3">
        <v>31</v>
      </c>
      <c r="N18252" s="3">
        <v>0</v>
      </c>
      <c r="O18252" s="3" t="s">
        <v>10</v>
      </c>
      <c r="P18252" s="3" t="s">
        <v>9</v>
      </c>
      <c r="Q18252" s="3"/>
    </row>
    <row r="18253" spans="1:17" ht="15" x14ac:dyDescent="0.25">
      <c r="A18253" s="3">
        <f>18246</f>
        <v>18246</v>
      </c>
      <c r="B18253" s="3" t="s">
        <v>18255</v>
      </c>
      <c r="C18253" s="3" t="s">
        <v>10</v>
      </c>
      <c r="D18253" s="3" t="s">
        <v>9</v>
      </c>
      <c r="E18253" s="3">
        <v>0</v>
      </c>
      <c r="F18253" s="3">
        <v>0</v>
      </c>
      <c r="G18253" s="3">
        <v>0</v>
      </c>
      <c r="H18253" s="3">
        <v>31</v>
      </c>
      <c r="I18253" s="3">
        <v>0</v>
      </c>
      <c r="J18253" s="3">
        <v>0</v>
      </c>
      <c r="K18253" s="3">
        <v>0</v>
      </c>
      <c r="L18253" s="3">
        <v>0</v>
      </c>
      <c r="M18253" s="3">
        <v>31</v>
      </c>
      <c r="N18253" s="3">
        <v>0</v>
      </c>
      <c r="O18253" s="3" t="s">
        <v>10</v>
      </c>
      <c r="P18253" s="3" t="s">
        <v>9</v>
      </c>
      <c r="Q18253" s="3"/>
    </row>
    <row r="18254" spans="1:17" ht="15" x14ac:dyDescent="0.25">
      <c r="A18254" s="3">
        <f>18247</f>
        <v>18247</v>
      </c>
      <c r="B18254" s="3" t="s">
        <v>18256</v>
      </c>
      <c r="C18254" s="3" t="s">
        <v>10</v>
      </c>
      <c r="D18254" s="3" t="s">
        <v>9</v>
      </c>
      <c r="E18254" s="3">
        <v>0</v>
      </c>
      <c r="F18254" s="3">
        <v>0</v>
      </c>
      <c r="G18254" s="3">
        <v>0</v>
      </c>
      <c r="H18254" s="3">
        <v>31</v>
      </c>
      <c r="I18254" s="3">
        <v>0</v>
      </c>
      <c r="J18254" s="3">
        <v>0</v>
      </c>
      <c r="K18254" s="3">
        <v>0</v>
      </c>
      <c r="L18254" s="3">
        <v>0</v>
      </c>
      <c r="M18254" s="3">
        <v>31</v>
      </c>
      <c r="N18254" s="3">
        <v>0</v>
      </c>
      <c r="O18254" s="3" t="s">
        <v>10</v>
      </c>
      <c r="P18254" s="3" t="s">
        <v>9</v>
      </c>
      <c r="Q18254" s="3"/>
    </row>
    <row r="18255" spans="1:17" ht="15" x14ac:dyDescent="0.25">
      <c r="A18255" s="3">
        <f>18248</f>
        <v>18248</v>
      </c>
      <c r="B18255" s="3" t="s">
        <v>18257</v>
      </c>
      <c r="C18255" s="3" t="s">
        <v>10</v>
      </c>
      <c r="D18255" s="3" t="s">
        <v>9</v>
      </c>
      <c r="E18255" s="3">
        <v>0</v>
      </c>
      <c r="F18255" s="3">
        <v>0</v>
      </c>
      <c r="G18255" s="3">
        <v>0</v>
      </c>
      <c r="H18255" s="3">
        <v>31</v>
      </c>
      <c r="I18255" s="3">
        <v>0</v>
      </c>
      <c r="J18255" s="3">
        <v>0</v>
      </c>
      <c r="K18255" s="3">
        <v>0</v>
      </c>
      <c r="L18255" s="3">
        <v>0</v>
      </c>
      <c r="M18255" s="3">
        <v>31</v>
      </c>
      <c r="N18255" s="3">
        <v>0</v>
      </c>
      <c r="O18255" s="3" t="s">
        <v>10</v>
      </c>
      <c r="P18255" s="3" t="s">
        <v>9</v>
      </c>
      <c r="Q18255" s="3"/>
    </row>
    <row r="18256" spans="1:17" ht="15" x14ac:dyDescent="0.25">
      <c r="A18256" s="3">
        <f>18249</f>
        <v>18249</v>
      </c>
      <c r="B18256" s="3" t="s">
        <v>18258</v>
      </c>
      <c r="C18256" s="3" t="s">
        <v>10</v>
      </c>
      <c r="D18256" s="3" t="s">
        <v>9</v>
      </c>
      <c r="E18256" s="3">
        <v>0</v>
      </c>
      <c r="F18256" s="3">
        <v>0</v>
      </c>
      <c r="G18256" s="3">
        <v>0</v>
      </c>
      <c r="H18256" s="3">
        <v>31</v>
      </c>
      <c r="I18256" s="3">
        <v>0</v>
      </c>
      <c r="J18256" s="3">
        <v>0</v>
      </c>
      <c r="K18256" s="3">
        <v>0</v>
      </c>
      <c r="L18256" s="3">
        <v>0</v>
      </c>
      <c r="M18256" s="3">
        <v>31</v>
      </c>
      <c r="N18256" s="3">
        <v>0</v>
      </c>
      <c r="O18256" s="3" t="s">
        <v>10</v>
      </c>
      <c r="P18256" s="3" t="s">
        <v>9</v>
      </c>
      <c r="Q18256" s="3"/>
    </row>
    <row r="18257" spans="1:17" ht="15" x14ac:dyDescent="0.25">
      <c r="A18257" s="3">
        <f>18250</f>
        <v>18250</v>
      </c>
      <c r="B18257" s="3" t="s">
        <v>18259</v>
      </c>
      <c r="C18257" s="3" t="s">
        <v>10</v>
      </c>
      <c r="D18257" s="3" t="s">
        <v>9</v>
      </c>
      <c r="E18257" s="3">
        <v>0</v>
      </c>
      <c r="F18257" s="3">
        <v>0</v>
      </c>
      <c r="G18257" s="3">
        <v>0</v>
      </c>
      <c r="H18257" s="3">
        <v>31</v>
      </c>
      <c r="I18257" s="3">
        <v>0</v>
      </c>
      <c r="J18257" s="3">
        <v>0</v>
      </c>
      <c r="K18257" s="3">
        <v>0</v>
      </c>
      <c r="L18257" s="3">
        <v>0</v>
      </c>
      <c r="M18257" s="3">
        <v>31</v>
      </c>
      <c r="N18257" s="3">
        <v>0</v>
      </c>
      <c r="O18257" s="3" t="s">
        <v>10</v>
      </c>
      <c r="P18257" s="3" t="s">
        <v>9</v>
      </c>
      <c r="Q18257" s="3"/>
    </row>
    <row r="18258" spans="1:17" ht="15" x14ac:dyDescent="0.25">
      <c r="A18258" s="3">
        <f>18251</f>
        <v>18251</v>
      </c>
      <c r="B18258" s="3" t="s">
        <v>18260</v>
      </c>
      <c r="C18258" s="3" t="s">
        <v>10</v>
      </c>
      <c r="D18258" s="3" t="s">
        <v>9</v>
      </c>
      <c r="E18258" s="3">
        <v>0</v>
      </c>
      <c r="F18258" s="3">
        <v>0</v>
      </c>
      <c r="G18258" s="3">
        <v>0</v>
      </c>
      <c r="H18258" s="3">
        <v>31</v>
      </c>
      <c r="I18258" s="3">
        <v>0</v>
      </c>
      <c r="J18258" s="3">
        <v>0</v>
      </c>
      <c r="K18258" s="3">
        <v>0</v>
      </c>
      <c r="L18258" s="3">
        <v>0</v>
      </c>
      <c r="M18258" s="3">
        <v>31</v>
      </c>
      <c r="N18258" s="3">
        <v>0</v>
      </c>
      <c r="O18258" s="3" t="s">
        <v>10</v>
      </c>
      <c r="P18258" s="3" t="s">
        <v>9</v>
      </c>
      <c r="Q18258" s="3"/>
    </row>
    <row r="18259" spans="1:17" ht="15" x14ac:dyDescent="0.25">
      <c r="A18259" s="3">
        <f>18252</f>
        <v>18252</v>
      </c>
      <c r="B18259" s="3" t="s">
        <v>18261</v>
      </c>
      <c r="C18259" s="3" t="s">
        <v>10</v>
      </c>
      <c r="D18259" s="3" t="s">
        <v>9</v>
      </c>
      <c r="E18259" s="3">
        <v>0</v>
      </c>
      <c r="F18259" s="3">
        <v>0</v>
      </c>
      <c r="G18259" s="3">
        <v>0</v>
      </c>
      <c r="H18259" s="3">
        <v>31</v>
      </c>
      <c r="I18259" s="3">
        <v>0</v>
      </c>
      <c r="J18259" s="3">
        <v>0</v>
      </c>
      <c r="K18259" s="3">
        <v>0</v>
      </c>
      <c r="L18259" s="3">
        <v>0</v>
      </c>
      <c r="M18259" s="3">
        <v>31</v>
      </c>
      <c r="N18259" s="3">
        <v>0</v>
      </c>
      <c r="O18259" s="3" t="s">
        <v>10</v>
      </c>
      <c r="P18259" s="3" t="s">
        <v>9</v>
      </c>
      <c r="Q18259" s="3"/>
    </row>
    <row r="18260" spans="1:17" ht="15" x14ac:dyDescent="0.25">
      <c r="A18260" s="3">
        <f>18253</f>
        <v>18253</v>
      </c>
      <c r="B18260" s="3" t="s">
        <v>18262</v>
      </c>
      <c r="C18260" s="3" t="s">
        <v>10</v>
      </c>
      <c r="D18260" s="3" t="s">
        <v>9</v>
      </c>
      <c r="E18260" s="3">
        <v>0</v>
      </c>
      <c r="F18260" s="3">
        <v>0</v>
      </c>
      <c r="G18260" s="3">
        <v>0</v>
      </c>
      <c r="H18260" s="3">
        <v>31</v>
      </c>
      <c r="I18260" s="3">
        <v>0</v>
      </c>
      <c r="J18260" s="3">
        <v>0</v>
      </c>
      <c r="K18260" s="3">
        <v>0</v>
      </c>
      <c r="L18260" s="3">
        <v>0</v>
      </c>
      <c r="M18260" s="3">
        <v>31</v>
      </c>
      <c r="N18260" s="3">
        <v>0</v>
      </c>
      <c r="O18260" s="3" t="s">
        <v>10</v>
      </c>
      <c r="P18260" s="3" t="s">
        <v>9</v>
      </c>
      <c r="Q18260" s="3"/>
    </row>
    <row r="18261" spans="1:17" ht="15" x14ac:dyDescent="0.25">
      <c r="A18261" s="3">
        <f>18254</f>
        <v>18254</v>
      </c>
      <c r="B18261" s="3" t="s">
        <v>18263</v>
      </c>
      <c r="C18261" s="3" t="s">
        <v>10</v>
      </c>
      <c r="D18261" s="3" t="s">
        <v>9</v>
      </c>
      <c r="E18261" s="3">
        <v>0</v>
      </c>
      <c r="F18261" s="3">
        <v>0</v>
      </c>
      <c r="G18261" s="3">
        <v>0</v>
      </c>
      <c r="H18261" s="3">
        <v>31</v>
      </c>
      <c r="I18261" s="3">
        <v>0</v>
      </c>
      <c r="J18261" s="3">
        <v>0</v>
      </c>
      <c r="K18261" s="3">
        <v>0</v>
      </c>
      <c r="L18261" s="3">
        <v>0</v>
      </c>
      <c r="M18261" s="3">
        <v>31</v>
      </c>
      <c r="N18261" s="3">
        <v>0</v>
      </c>
      <c r="O18261" s="3" t="s">
        <v>10</v>
      </c>
      <c r="P18261" s="3" t="s">
        <v>9</v>
      </c>
      <c r="Q18261" s="3"/>
    </row>
    <row r="18262" spans="1:17" ht="15" x14ac:dyDescent="0.25">
      <c r="A18262" s="3">
        <f>18255</f>
        <v>18255</v>
      </c>
      <c r="B18262" s="3" t="s">
        <v>18264</v>
      </c>
      <c r="C18262" s="3" t="s">
        <v>10</v>
      </c>
      <c r="D18262" s="3" t="s">
        <v>9</v>
      </c>
      <c r="E18262" s="3">
        <v>0</v>
      </c>
      <c r="F18262" s="3">
        <v>0</v>
      </c>
      <c r="G18262" s="3">
        <v>0</v>
      </c>
      <c r="H18262" s="3">
        <v>31</v>
      </c>
      <c r="I18262" s="3">
        <v>0</v>
      </c>
      <c r="J18262" s="3">
        <v>0</v>
      </c>
      <c r="K18262" s="3">
        <v>0</v>
      </c>
      <c r="L18262" s="3">
        <v>0</v>
      </c>
      <c r="M18262" s="3">
        <v>31</v>
      </c>
      <c r="N18262" s="3">
        <v>0</v>
      </c>
      <c r="O18262" s="3" t="s">
        <v>10</v>
      </c>
      <c r="P18262" s="3" t="s">
        <v>9</v>
      </c>
      <c r="Q18262" s="3"/>
    </row>
    <row r="18263" spans="1:17" ht="15" x14ac:dyDescent="0.25">
      <c r="A18263" s="3">
        <f>18256</f>
        <v>18256</v>
      </c>
      <c r="B18263" s="3" t="s">
        <v>18265</v>
      </c>
      <c r="C18263" s="3" t="s">
        <v>10</v>
      </c>
      <c r="D18263" s="3" t="s">
        <v>9</v>
      </c>
      <c r="E18263" s="3">
        <v>0</v>
      </c>
      <c r="F18263" s="3">
        <v>0</v>
      </c>
      <c r="G18263" s="3">
        <v>0</v>
      </c>
      <c r="H18263" s="3">
        <v>31</v>
      </c>
      <c r="I18263" s="3">
        <v>0</v>
      </c>
      <c r="J18263" s="3">
        <v>0</v>
      </c>
      <c r="K18263" s="3">
        <v>0</v>
      </c>
      <c r="L18263" s="3">
        <v>0</v>
      </c>
      <c r="M18263" s="3">
        <v>31</v>
      </c>
      <c r="N18263" s="3">
        <v>0</v>
      </c>
      <c r="O18263" s="3" t="s">
        <v>10</v>
      </c>
      <c r="P18263" s="3" t="s">
        <v>9</v>
      </c>
      <c r="Q18263" s="3"/>
    </row>
    <row r="18264" spans="1:17" ht="15" x14ac:dyDescent="0.25">
      <c r="A18264" s="3">
        <f>18257</f>
        <v>18257</v>
      </c>
      <c r="B18264" s="3" t="s">
        <v>18266</v>
      </c>
      <c r="C18264" s="3" t="s">
        <v>10</v>
      </c>
      <c r="D18264" s="3" t="s">
        <v>9</v>
      </c>
      <c r="E18264" s="3">
        <v>0</v>
      </c>
      <c r="F18264" s="3">
        <v>0</v>
      </c>
      <c r="G18264" s="3">
        <v>0</v>
      </c>
      <c r="H18264" s="3">
        <v>31</v>
      </c>
      <c r="I18264" s="3">
        <v>0</v>
      </c>
      <c r="J18264" s="3">
        <v>0</v>
      </c>
      <c r="K18264" s="3">
        <v>0</v>
      </c>
      <c r="L18264" s="3">
        <v>0</v>
      </c>
      <c r="M18264" s="3">
        <v>31</v>
      </c>
      <c r="N18264" s="3">
        <v>0</v>
      </c>
      <c r="O18264" s="3" t="s">
        <v>10</v>
      </c>
      <c r="P18264" s="3" t="s">
        <v>9</v>
      </c>
      <c r="Q18264" s="3"/>
    </row>
    <row r="18265" spans="1:17" ht="15" x14ac:dyDescent="0.25">
      <c r="A18265" s="3">
        <f>18258</f>
        <v>18258</v>
      </c>
      <c r="B18265" s="3" t="s">
        <v>18267</v>
      </c>
      <c r="C18265" s="3" t="s">
        <v>10</v>
      </c>
      <c r="D18265" s="3" t="s">
        <v>9</v>
      </c>
      <c r="E18265" s="3">
        <v>0</v>
      </c>
      <c r="F18265" s="3">
        <v>0</v>
      </c>
      <c r="G18265" s="3">
        <v>0</v>
      </c>
      <c r="H18265" s="3">
        <v>31</v>
      </c>
      <c r="I18265" s="3">
        <v>0</v>
      </c>
      <c r="J18265" s="3">
        <v>0</v>
      </c>
      <c r="K18265" s="3">
        <v>0</v>
      </c>
      <c r="L18265" s="3">
        <v>0</v>
      </c>
      <c r="M18265" s="3">
        <v>31</v>
      </c>
      <c r="N18265" s="3">
        <v>0</v>
      </c>
      <c r="O18265" s="3" t="s">
        <v>10</v>
      </c>
      <c r="P18265" s="3" t="s">
        <v>9</v>
      </c>
      <c r="Q18265" s="3"/>
    </row>
    <row r="18266" spans="1:17" ht="15" x14ac:dyDescent="0.25">
      <c r="A18266" s="3">
        <f>18259</f>
        <v>18259</v>
      </c>
      <c r="B18266" s="3" t="s">
        <v>18268</v>
      </c>
      <c r="C18266" s="3" t="s">
        <v>10</v>
      </c>
      <c r="D18266" s="3" t="s">
        <v>9</v>
      </c>
      <c r="E18266" s="3">
        <v>0</v>
      </c>
      <c r="F18266" s="3">
        <v>0</v>
      </c>
      <c r="G18266" s="3">
        <v>0</v>
      </c>
      <c r="H18266" s="3">
        <v>31</v>
      </c>
      <c r="I18266" s="3">
        <v>0</v>
      </c>
      <c r="J18266" s="3">
        <v>0</v>
      </c>
      <c r="K18266" s="3">
        <v>0</v>
      </c>
      <c r="L18266" s="3">
        <v>0</v>
      </c>
      <c r="M18266" s="3">
        <v>31</v>
      </c>
      <c r="N18266" s="3">
        <v>0</v>
      </c>
      <c r="O18266" s="3" t="s">
        <v>10</v>
      </c>
      <c r="P18266" s="3" t="s">
        <v>9</v>
      </c>
      <c r="Q18266" s="3"/>
    </row>
    <row r="18267" spans="1:17" ht="15" x14ac:dyDescent="0.25">
      <c r="A18267" s="3">
        <f>18260</f>
        <v>18260</v>
      </c>
      <c r="B18267" s="3" t="s">
        <v>18269</v>
      </c>
      <c r="C18267" s="3" t="s">
        <v>10</v>
      </c>
      <c r="D18267" s="3" t="s">
        <v>9</v>
      </c>
      <c r="E18267" s="3">
        <v>0</v>
      </c>
      <c r="F18267" s="3">
        <v>0</v>
      </c>
      <c r="G18267" s="3">
        <v>0</v>
      </c>
      <c r="H18267" s="3">
        <v>31</v>
      </c>
      <c r="I18267" s="3">
        <v>0</v>
      </c>
      <c r="J18267" s="3">
        <v>0</v>
      </c>
      <c r="K18267" s="3">
        <v>0</v>
      </c>
      <c r="L18267" s="3">
        <v>0</v>
      </c>
      <c r="M18267" s="3">
        <v>31</v>
      </c>
      <c r="N18267" s="3">
        <v>0</v>
      </c>
      <c r="O18267" s="3" t="s">
        <v>10</v>
      </c>
      <c r="P18267" s="3" t="s">
        <v>9</v>
      </c>
      <c r="Q18267" s="3"/>
    </row>
    <row r="18268" spans="1:17" ht="15" x14ac:dyDescent="0.25">
      <c r="A18268" s="3">
        <f>18261</f>
        <v>18261</v>
      </c>
      <c r="B18268" s="3" t="s">
        <v>18270</v>
      </c>
      <c r="C18268" s="3" t="s">
        <v>10</v>
      </c>
      <c r="D18268" s="3" t="s">
        <v>9</v>
      </c>
      <c r="E18268" s="3">
        <v>0</v>
      </c>
      <c r="F18268" s="3">
        <v>0</v>
      </c>
      <c r="G18268" s="3">
        <v>0</v>
      </c>
      <c r="H18268" s="3">
        <v>31</v>
      </c>
      <c r="I18268" s="3">
        <v>0</v>
      </c>
      <c r="J18268" s="3">
        <v>0</v>
      </c>
      <c r="K18268" s="3">
        <v>0</v>
      </c>
      <c r="L18268" s="3">
        <v>0</v>
      </c>
      <c r="M18268" s="3">
        <v>31</v>
      </c>
      <c r="N18268" s="3">
        <v>0</v>
      </c>
      <c r="O18268" s="3" t="s">
        <v>10</v>
      </c>
      <c r="P18268" s="3" t="s">
        <v>9</v>
      </c>
      <c r="Q18268" s="3"/>
    </row>
    <row r="18269" spans="1:17" ht="15" x14ac:dyDescent="0.25">
      <c r="A18269" s="3">
        <f>18262</f>
        <v>18262</v>
      </c>
      <c r="B18269" s="3" t="s">
        <v>18271</v>
      </c>
      <c r="C18269" s="3" t="s">
        <v>10</v>
      </c>
      <c r="D18269" s="3" t="s">
        <v>9</v>
      </c>
      <c r="E18269" s="3">
        <v>0</v>
      </c>
      <c r="F18269" s="3">
        <v>0</v>
      </c>
      <c r="G18269" s="3">
        <v>0</v>
      </c>
      <c r="H18269" s="3">
        <v>31</v>
      </c>
      <c r="I18269" s="3">
        <v>0</v>
      </c>
      <c r="J18269" s="3">
        <v>0</v>
      </c>
      <c r="K18269" s="3">
        <v>0</v>
      </c>
      <c r="L18269" s="3">
        <v>0</v>
      </c>
      <c r="M18269" s="3">
        <v>31</v>
      </c>
      <c r="N18269" s="3">
        <v>0</v>
      </c>
      <c r="O18269" s="3" t="s">
        <v>10</v>
      </c>
      <c r="P18269" s="3" t="s">
        <v>9</v>
      </c>
      <c r="Q18269" s="3"/>
    </row>
    <row r="18270" spans="1:17" ht="15" x14ac:dyDescent="0.25">
      <c r="A18270" s="3">
        <f>18263</f>
        <v>18263</v>
      </c>
      <c r="B18270" s="3" t="s">
        <v>18272</v>
      </c>
      <c r="C18270" s="3" t="s">
        <v>10</v>
      </c>
      <c r="D18270" s="3" t="s">
        <v>9</v>
      </c>
      <c r="E18270" s="3">
        <v>0</v>
      </c>
      <c r="F18270" s="3">
        <v>0</v>
      </c>
      <c r="G18270" s="3">
        <v>0</v>
      </c>
      <c r="H18270" s="3">
        <v>31</v>
      </c>
      <c r="I18270" s="3">
        <v>0</v>
      </c>
      <c r="J18270" s="3">
        <v>0</v>
      </c>
      <c r="K18270" s="3">
        <v>0</v>
      </c>
      <c r="L18270" s="3">
        <v>0</v>
      </c>
      <c r="M18270" s="3">
        <v>31</v>
      </c>
      <c r="N18270" s="3">
        <v>0</v>
      </c>
      <c r="O18270" s="3" t="s">
        <v>10</v>
      </c>
      <c r="P18270" s="3" t="s">
        <v>9</v>
      </c>
      <c r="Q18270" s="3"/>
    </row>
    <row r="18271" spans="1:17" ht="15" x14ac:dyDescent="0.25">
      <c r="A18271" s="3">
        <f>18264</f>
        <v>18264</v>
      </c>
      <c r="B18271" s="3" t="s">
        <v>18273</v>
      </c>
      <c r="C18271" s="3" t="s">
        <v>10</v>
      </c>
      <c r="D18271" s="3" t="s">
        <v>9</v>
      </c>
      <c r="E18271" s="3">
        <v>0</v>
      </c>
      <c r="F18271" s="3">
        <v>0</v>
      </c>
      <c r="G18271" s="3">
        <v>0</v>
      </c>
      <c r="H18271" s="3">
        <v>31</v>
      </c>
      <c r="I18271" s="3">
        <v>0</v>
      </c>
      <c r="J18271" s="3">
        <v>0</v>
      </c>
      <c r="K18271" s="3">
        <v>0</v>
      </c>
      <c r="L18271" s="3">
        <v>0</v>
      </c>
      <c r="M18271" s="3">
        <v>31</v>
      </c>
      <c r="N18271" s="3">
        <v>0</v>
      </c>
      <c r="O18271" s="3" t="s">
        <v>10</v>
      </c>
      <c r="P18271" s="3" t="s">
        <v>9</v>
      </c>
      <c r="Q18271" s="3"/>
    </row>
    <row r="18272" spans="1:17" ht="15" x14ac:dyDescent="0.25">
      <c r="A18272" s="3">
        <f>18265</f>
        <v>18265</v>
      </c>
      <c r="B18272" s="3" t="s">
        <v>18274</v>
      </c>
      <c r="C18272" s="3" t="s">
        <v>10</v>
      </c>
      <c r="D18272" s="3" t="s">
        <v>9</v>
      </c>
      <c r="E18272" s="3">
        <v>0</v>
      </c>
      <c r="F18272" s="3">
        <v>0</v>
      </c>
      <c r="G18272" s="3">
        <v>0</v>
      </c>
      <c r="H18272" s="3">
        <v>31</v>
      </c>
      <c r="I18272" s="3">
        <v>0</v>
      </c>
      <c r="J18272" s="3">
        <v>0</v>
      </c>
      <c r="K18272" s="3">
        <v>0</v>
      </c>
      <c r="L18272" s="3">
        <v>0</v>
      </c>
      <c r="M18272" s="3">
        <v>31</v>
      </c>
      <c r="N18272" s="3">
        <v>0</v>
      </c>
      <c r="O18272" s="3" t="s">
        <v>10</v>
      </c>
      <c r="P18272" s="3" t="s">
        <v>9</v>
      </c>
      <c r="Q18272" s="3"/>
    </row>
    <row r="18273" spans="1:17" ht="15" x14ac:dyDescent="0.25">
      <c r="A18273" s="3">
        <f>18266</f>
        <v>18266</v>
      </c>
      <c r="B18273" s="3" t="s">
        <v>18275</v>
      </c>
      <c r="C18273" s="3" t="s">
        <v>10</v>
      </c>
      <c r="D18273" s="3" t="s">
        <v>9</v>
      </c>
      <c r="E18273" s="3">
        <v>0</v>
      </c>
      <c r="F18273" s="3">
        <v>0</v>
      </c>
      <c r="G18273" s="3">
        <v>0</v>
      </c>
      <c r="H18273" s="3">
        <v>31</v>
      </c>
      <c r="I18273" s="3">
        <v>0</v>
      </c>
      <c r="J18273" s="3">
        <v>0</v>
      </c>
      <c r="K18273" s="3">
        <v>0</v>
      </c>
      <c r="L18273" s="3">
        <v>0</v>
      </c>
      <c r="M18273" s="3">
        <v>31</v>
      </c>
      <c r="N18273" s="3">
        <v>0</v>
      </c>
      <c r="O18273" s="3" t="s">
        <v>10</v>
      </c>
      <c r="P18273" s="3" t="s">
        <v>9</v>
      </c>
      <c r="Q18273" s="3"/>
    </row>
    <row r="18274" spans="1:17" ht="15" x14ac:dyDescent="0.25">
      <c r="A18274" s="3">
        <f>18267</f>
        <v>18267</v>
      </c>
      <c r="B18274" s="3" t="s">
        <v>18276</v>
      </c>
      <c r="C18274" s="3" t="s">
        <v>10</v>
      </c>
      <c r="D18274" s="3" t="s">
        <v>9</v>
      </c>
      <c r="E18274" s="3">
        <v>0</v>
      </c>
      <c r="F18274" s="3">
        <v>0</v>
      </c>
      <c r="G18274" s="3">
        <v>0</v>
      </c>
      <c r="H18274" s="3">
        <v>31</v>
      </c>
      <c r="I18274" s="3">
        <v>0</v>
      </c>
      <c r="J18274" s="3">
        <v>0</v>
      </c>
      <c r="K18274" s="3">
        <v>0</v>
      </c>
      <c r="L18274" s="3">
        <v>0</v>
      </c>
      <c r="M18274" s="3">
        <v>31</v>
      </c>
      <c r="N18274" s="3">
        <v>0</v>
      </c>
      <c r="O18274" s="3" t="s">
        <v>10</v>
      </c>
      <c r="P18274" s="3" t="s">
        <v>9</v>
      </c>
      <c r="Q18274" s="3"/>
    </row>
    <row r="18275" spans="1:17" ht="15" x14ac:dyDescent="0.25">
      <c r="A18275" s="3">
        <f>18268</f>
        <v>18268</v>
      </c>
      <c r="B18275" s="3" t="s">
        <v>18277</v>
      </c>
      <c r="C18275" s="3" t="s">
        <v>10</v>
      </c>
      <c r="D18275" s="3" t="s">
        <v>9</v>
      </c>
      <c r="E18275" s="3">
        <v>0</v>
      </c>
      <c r="F18275" s="3">
        <v>0</v>
      </c>
      <c r="G18275" s="3">
        <v>0</v>
      </c>
      <c r="H18275" s="3">
        <v>31</v>
      </c>
      <c r="I18275" s="3">
        <v>0</v>
      </c>
      <c r="J18275" s="3">
        <v>0</v>
      </c>
      <c r="K18275" s="3">
        <v>0</v>
      </c>
      <c r="L18275" s="3">
        <v>0</v>
      </c>
      <c r="M18275" s="3">
        <v>31</v>
      </c>
      <c r="N18275" s="3">
        <v>0</v>
      </c>
      <c r="O18275" s="3" t="s">
        <v>10</v>
      </c>
      <c r="P18275" s="3" t="s">
        <v>9</v>
      </c>
      <c r="Q18275" s="3"/>
    </row>
    <row r="18276" spans="1:17" ht="15" x14ac:dyDescent="0.25">
      <c r="A18276" s="3">
        <f>18269</f>
        <v>18269</v>
      </c>
      <c r="B18276" s="3" t="s">
        <v>18278</v>
      </c>
      <c r="C18276" s="3" t="s">
        <v>10</v>
      </c>
      <c r="D18276" s="3" t="s">
        <v>9</v>
      </c>
      <c r="E18276" s="3">
        <v>0</v>
      </c>
      <c r="F18276" s="3">
        <v>0</v>
      </c>
      <c r="G18276" s="3">
        <v>0</v>
      </c>
      <c r="H18276" s="3">
        <v>31</v>
      </c>
      <c r="I18276" s="3">
        <v>0</v>
      </c>
      <c r="J18276" s="3">
        <v>0</v>
      </c>
      <c r="K18276" s="3">
        <v>0</v>
      </c>
      <c r="L18276" s="3">
        <v>0</v>
      </c>
      <c r="M18276" s="3">
        <v>31</v>
      </c>
      <c r="N18276" s="3">
        <v>0</v>
      </c>
      <c r="O18276" s="3" t="s">
        <v>10</v>
      </c>
      <c r="P18276" s="3" t="s">
        <v>9</v>
      </c>
      <c r="Q18276" s="3"/>
    </row>
    <row r="18277" spans="1:17" ht="15" x14ac:dyDescent="0.25">
      <c r="A18277" s="3">
        <f>18270</f>
        <v>18270</v>
      </c>
      <c r="B18277" s="3" t="s">
        <v>18279</v>
      </c>
      <c r="C18277" s="3" t="s">
        <v>10</v>
      </c>
      <c r="D18277" s="3" t="s">
        <v>9</v>
      </c>
      <c r="E18277" s="3">
        <v>0</v>
      </c>
      <c r="F18277" s="3">
        <v>0</v>
      </c>
      <c r="G18277" s="3">
        <v>0</v>
      </c>
      <c r="H18277" s="3">
        <v>31</v>
      </c>
      <c r="I18277" s="3">
        <v>0</v>
      </c>
      <c r="J18277" s="3">
        <v>0</v>
      </c>
      <c r="K18277" s="3">
        <v>0</v>
      </c>
      <c r="L18277" s="3">
        <v>0</v>
      </c>
      <c r="M18277" s="3">
        <v>31</v>
      </c>
      <c r="N18277" s="3">
        <v>0</v>
      </c>
      <c r="O18277" s="3" t="s">
        <v>10</v>
      </c>
      <c r="P18277" s="3" t="s">
        <v>9</v>
      </c>
      <c r="Q18277" s="3"/>
    </row>
    <row r="18278" spans="1:17" ht="15" x14ac:dyDescent="0.25">
      <c r="A18278" s="3">
        <f>18271</f>
        <v>18271</v>
      </c>
      <c r="B18278" s="3" t="s">
        <v>18280</v>
      </c>
      <c r="C18278" s="3" t="s">
        <v>10</v>
      </c>
      <c r="D18278" s="3" t="s">
        <v>9</v>
      </c>
      <c r="E18278" s="3">
        <v>0</v>
      </c>
      <c r="F18278" s="3">
        <v>0</v>
      </c>
      <c r="G18278" s="3">
        <v>0</v>
      </c>
      <c r="H18278" s="3">
        <v>31</v>
      </c>
      <c r="I18278" s="3">
        <v>0</v>
      </c>
      <c r="J18278" s="3">
        <v>0</v>
      </c>
      <c r="K18278" s="3">
        <v>0</v>
      </c>
      <c r="L18278" s="3">
        <v>0</v>
      </c>
      <c r="M18278" s="3">
        <v>31</v>
      </c>
      <c r="N18278" s="3">
        <v>0</v>
      </c>
      <c r="O18278" s="3" t="s">
        <v>10</v>
      </c>
      <c r="P18278" s="3" t="s">
        <v>9</v>
      </c>
      <c r="Q18278" s="3"/>
    </row>
    <row r="18279" spans="1:17" ht="15" x14ac:dyDescent="0.25">
      <c r="A18279" s="3">
        <f>18272</f>
        <v>18272</v>
      </c>
      <c r="B18279" s="3" t="s">
        <v>18281</v>
      </c>
      <c r="C18279" s="3" t="s">
        <v>10</v>
      </c>
      <c r="D18279" s="3" t="s">
        <v>9</v>
      </c>
      <c r="E18279" s="3">
        <v>0</v>
      </c>
      <c r="F18279" s="3">
        <v>0</v>
      </c>
      <c r="G18279" s="3">
        <v>0</v>
      </c>
      <c r="H18279" s="3">
        <v>31</v>
      </c>
      <c r="I18279" s="3">
        <v>0</v>
      </c>
      <c r="J18279" s="3">
        <v>0</v>
      </c>
      <c r="K18279" s="3">
        <v>0</v>
      </c>
      <c r="L18279" s="3">
        <v>0</v>
      </c>
      <c r="M18279" s="3">
        <v>31</v>
      </c>
      <c r="N18279" s="3">
        <v>0</v>
      </c>
      <c r="O18279" s="3" t="s">
        <v>10</v>
      </c>
      <c r="P18279" s="3" t="s">
        <v>9</v>
      </c>
      <c r="Q18279" s="3"/>
    </row>
    <row r="18280" spans="1:17" ht="15" x14ac:dyDescent="0.25">
      <c r="A18280" s="3">
        <f>18273</f>
        <v>18273</v>
      </c>
      <c r="B18280" s="3" t="s">
        <v>18282</v>
      </c>
      <c r="C18280" s="3" t="s">
        <v>10</v>
      </c>
      <c r="D18280" s="3" t="s">
        <v>9</v>
      </c>
      <c r="E18280" s="3">
        <v>0</v>
      </c>
      <c r="F18280" s="3">
        <v>0</v>
      </c>
      <c r="G18280" s="3">
        <v>0</v>
      </c>
      <c r="H18280" s="3">
        <v>31</v>
      </c>
      <c r="I18280" s="3">
        <v>0</v>
      </c>
      <c r="J18280" s="3">
        <v>0</v>
      </c>
      <c r="K18280" s="3">
        <v>0</v>
      </c>
      <c r="L18280" s="3">
        <v>0</v>
      </c>
      <c r="M18280" s="3">
        <v>31</v>
      </c>
      <c r="N18280" s="3">
        <v>0</v>
      </c>
      <c r="O18280" s="3" t="s">
        <v>10</v>
      </c>
      <c r="P18280" s="3" t="s">
        <v>9</v>
      </c>
      <c r="Q18280" s="3"/>
    </row>
    <row r="18281" spans="1:17" ht="15" x14ac:dyDescent="0.25">
      <c r="A18281" s="3">
        <f>18274</f>
        <v>18274</v>
      </c>
      <c r="B18281" s="3" t="s">
        <v>18283</v>
      </c>
      <c r="C18281" s="3" t="s">
        <v>10</v>
      </c>
      <c r="D18281" s="3" t="s">
        <v>9</v>
      </c>
      <c r="E18281" s="3">
        <v>0</v>
      </c>
      <c r="F18281" s="3">
        <v>0</v>
      </c>
      <c r="G18281" s="3">
        <v>0</v>
      </c>
      <c r="H18281" s="3">
        <v>31</v>
      </c>
      <c r="I18281" s="3">
        <v>0</v>
      </c>
      <c r="J18281" s="3">
        <v>0</v>
      </c>
      <c r="K18281" s="3">
        <v>0</v>
      </c>
      <c r="L18281" s="3">
        <v>0</v>
      </c>
      <c r="M18281" s="3">
        <v>31</v>
      </c>
      <c r="N18281" s="3">
        <v>0</v>
      </c>
      <c r="O18281" s="3" t="s">
        <v>10</v>
      </c>
      <c r="P18281" s="3" t="s">
        <v>9</v>
      </c>
      <c r="Q18281" s="3"/>
    </row>
    <row r="18282" spans="1:17" ht="15" x14ac:dyDescent="0.25">
      <c r="A18282" s="3">
        <f>18275</f>
        <v>18275</v>
      </c>
      <c r="B18282" s="3" t="s">
        <v>18284</v>
      </c>
      <c r="C18282" s="3" t="s">
        <v>10</v>
      </c>
      <c r="D18282" s="3" t="s">
        <v>9</v>
      </c>
      <c r="E18282" s="3">
        <v>0</v>
      </c>
      <c r="F18282" s="3">
        <v>0</v>
      </c>
      <c r="G18282" s="3">
        <v>0</v>
      </c>
      <c r="H18282" s="3">
        <v>31</v>
      </c>
      <c r="I18282" s="3">
        <v>0</v>
      </c>
      <c r="J18282" s="3">
        <v>0</v>
      </c>
      <c r="K18282" s="3">
        <v>0</v>
      </c>
      <c r="L18282" s="3">
        <v>0</v>
      </c>
      <c r="M18282" s="3">
        <v>31</v>
      </c>
      <c r="N18282" s="3">
        <v>0</v>
      </c>
      <c r="O18282" s="3" t="s">
        <v>10</v>
      </c>
      <c r="P18282" s="3" t="s">
        <v>9</v>
      </c>
      <c r="Q18282" s="3"/>
    </row>
    <row r="18283" spans="1:17" ht="15" x14ac:dyDescent="0.25">
      <c r="A18283" s="3">
        <f>18276</f>
        <v>18276</v>
      </c>
      <c r="B18283" s="3" t="s">
        <v>18285</v>
      </c>
      <c r="C18283" s="3" t="s">
        <v>10</v>
      </c>
      <c r="D18283" s="3" t="s">
        <v>9</v>
      </c>
      <c r="E18283" s="3">
        <v>0</v>
      </c>
      <c r="F18283" s="3">
        <v>0</v>
      </c>
      <c r="G18283" s="3">
        <v>0</v>
      </c>
      <c r="H18283" s="3">
        <v>31</v>
      </c>
      <c r="I18283" s="3">
        <v>0</v>
      </c>
      <c r="J18283" s="3">
        <v>0</v>
      </c>
      <c r="K18283" s="3">
        <v>0</v>
      </c>
      <c r="L18283" s="3">
        <v>0</v>
      </c>
      <c r="M18283" s="3">
        <v>31</v>
      </c>
      <c r="N18283" s="3">
        <v>0</v>
      </c>
      <c r="O18283" s="3" t="s">
        <v>10</v>
      </c>
      <c r="P18283" s="3" t="s">
        <v>9</v>
      </c>
      <c r="Q18283" s="3"/>
    </row>
    <row r="18284" spans="1:17" ht="15" x14ac:dyDescent="0.25">
      <c r="A18284" s="3">
        <f>18277</f>
        <v>18277</v>
      </c>
      <c r="B18284" s="3" t="s">
        <v>18286</v>
      </c>
      <c r="C18284" s="3" t="s">
        <v>10</v>
      </c>
      <c r="D18284" s="3" t="s">
        <v>9</v>
      </c>
      <c r="E18284" s="3">
        <v>0</v>
      </c>
      <c r="F18284" s="3">
        <v>0</v>
      </c>
      <c r="G18284" s="3">
        <v>0</v>
      </c>
      <c r="H18284" s="3">
        <v>31</v>
      </c>
      <c r="I18284" s="3">
        <v>0</v>
      </c>
      <c r="J18284" s="3">
        <v>0</v>
      </c>
      <c r="K18284" s="3">
        <v>0</v>
      </c>
      <c r="L18284" s="3">
        <v>0</v>
      </c>
      <c r="M18284" s="3">
        <v>31</v>
      </c>
      <c r="N18284" s="3">
        <v>0</v>
      </c>
      <c r="O18284" s="3" t="s">
        <v>10</v>
      </c>
      <c r="P18284" s="3" t="s">
        <v>9</v>
      </c>
      <c r="Q18284" s="3"/>
    </row>
    <row r="18285" spans="1:17" ht="15" x14ac:dyDescent="0.25">
      <c r="A18285" s="3">
        <f>18278</f>
        <v>18278</v>
      </c>
      <c r="B18285" s="3" t="s">
        <v>18287</v>
      </c>
      <c r="C18285" s="3" t="s">
        <v>10</v>
      </c>
      <c r="D18285" s="3" t="s">
        <v>9</v>
      </c>
      <c r="E18285" s="3">
        <v>0</v>
      </c>
      <c r="F18285" s="3">
        <v>0</v>
      </c>
      <c r="G18285" s="3">
        <v>0</v>
      </c>
      <c r="H18285" s="3">
        <v>31</v>
      </c>
      <c r="I18285" s="3">
        <v>0</v>
      </c>
      <c r="J18285" s="3">
        <v>0</v>
      </c>
      <c r="K18285" s="3">
        <v>0</v>
      </c>
      <c r="L18285" s="3">
        <v>0</v>
      </c>
      <c r="M18285" s="3">
        <v>31</v>
      </c>
      <c r="N18285" s="3">
        <v>0</v>
      </c>
      <c r="O18285" s="3" t="s">
        <v>10</v>
      </c>
      <c r="P18285" s="3" t="s">
        <v>9</v>
      </c>
      <c r="Q18285" s="3"/>
    </row>
    <row r="18286" spans="1:17" ht="15" x14ac:dyDescent="0.25">
      <c r="A18286" s="3">
        <f>18279</f>
        <v>18279</v>
      </c>
      <c r="B18286" s="3" t="s">
        <v>18288</v>
      </c>
      <c r="C18286" s="3" t="s">
        <v>10</v>
      </c>
      <c r="D18286" s="3" t="s">
        <v>9</v>
      </c>
      <c r="E18286" s="3">
        <v>0</v>
      </c>
      <c r="F18286" s="3">
        <v>0</v>
      </c>
      <c r="G18286" s="3">
        <v>0</v>
      </c>
      <c r="H18286" s="3">
        <v>31</v>
      </c>
      <c r="I18286" s="3">
        <v>0</v>
      </c>
      <c r="J18286" s="3">
        <v>0</v>
      </c>
      <c r="K18286" s="3">
        <v>0</v>
      </c>
      <c r="L18286" s="3">
        <v>0</v>
      </c>
      <c r="M18286" s="3">
        <v>31</v>
      </c>
      <c r="N18286" s="3">
        <v>0</v>
      </c>
      <c r="O18286" s="3" t="s">
        <v>10</v>
      </c>
      <c r="P18286" s="3" t="s">
        <v>9</v>
      </c>
      <c r="Q18286" s="3"/>
    </row>
    <row r="18287" spans="1:17" ht="15" x14ac:dyDescent="0.25">
      <c r="A18287" s="3">
        <f>18280</f>
        <v>18280</v>
      </c>
      <c r="B18287" s="3" t="s">
        <v>18289</v>
      </c>
      <c r="C18287" s="3" t="s">
        <v>10</v>
      </c>
      <c r="D18287" s="3" t="s">
        <v>9</v>
      </c>
      <c r="E18287" s="3">
        <v>0</v>
      </c>
      <c r="F18287" s="3">
        <v>0</v>
      </c>
      <c r="G18287" s="3">
        <v>0</v>
      </c>
      <c r="H18287" s="3">
        <v>31</v>
      </c>
      <c r="I18287" s="3">
        <v>0</v>
      </c>
      <c r="J18287" s="3">
        <v>0</v>
      </c>
      <c r="K18287" s="3">
        <v>0</v>
      </c>
      <c r="L18287" s="3">
        <v>0</v>
      </c>
      <c r="M18287" s="3">
        <v>31</v>
      </c>
      <c r="N18287" s="3">
        <v>0</v>
      </c>
      <c r="O18287" s="3" t="s">
        <v>10</v>
      </c>
      <c r="P18287" s="3" t="s">
        <v>9</v>
      </c>
      <c r="Q18287" s="3"/>
    </row>
    <row r="18288" spans="1:17" ht="15" x14ac:dyDescent="0.25">
      <c r="A18288" s="3">
        <f>18281</f>
        <v>18281</v>
      </c>
      <c r="B18288" s="3" t="s">
        <v>18290</v>
      </c>
      <c r="C18288" s="3" t="s">
        <v>10</v>
      </c>
      <c r="D18288" s="3" t="s">
        <v>9</v>
      </c>
      <c r="E18288" s="3">
        <v>0</v>
      </c>
      <c r="F18288" s="3">
        <v>0</v>
      </c>
      <c r="G18288" s="3">
        <v>0</v>
      </c>
      <c r="H18288" s="3">
        <v>31</v>
      </c>
      <c r="I18288" s="3">
        <v>0</v>
      </c>
      <c r="J18288" s="3">
        <v>0</v>
      </c>
      <c r="K18288" s="3">
        <v>0</v>
      </c>
      <c r="L18288" s="3">
        <v>0</v>
      </c>
      <c r="M18288" s="3">
        <v>31</v>
      </c>
      <c r="N18288" s="3">
        <v>0</v>
      </c>
      <c r="O18288" s="3" t="s">
        <v>10</v>
      </c>
      <c r="P18288" s="3" t="s">
        <v>9</v>
      </c>
      <c r="Q18288" s="3"/>
    </row>
    <row r="18289" spans="1:17" ht="15" x14ac:dyDescent="0.25">
      <c r="A18289" s="3">
        <f>18282</f>
        <v>18282</v>
      </c>
      <c r="B18289" s="3" t="s">
        <v>18291</v>
      </c>
      <c r="C18289" s="3" t="s">
        <v>10</v>
      </c>
      <c r="D18289" s="3" t="s">
        <v>9</v>
      </c>
      <c r="E18289" s="3">
        <v>0</v>
      </c>
      <c r="F18289" s="3">
        <v>0</v>
      </c>
      <c r="G18289" s="3">
        <v>0</v>
      </c>
      <c r="H18289" s="3">
        <v>31</v>
      </c>
      <c r="I18289" s="3">
        <v>0</v>
      </c>
      <c r="J18289" s="3">
        <v>0</v>
      </c>
      <c r="K18289" s="3">
        <v>0</v>
      </c>
      <c r="L18289" s="3">
        <v>0</v>
      </c>
      <c r="M18289" s="3">
        <v>31</v>
      </c>
      <c r="N18289" s="3">
        <v>0</v>
      </c>
      <c r="O18289" s="3" t="s">
        <v>10</v>
      </c>
      <c r="P18289" s="3" t="s">
        <v>9</v>
      </c>
      <c r="Q18289" s="3"/>
    </row>
    <row r="18290" spans="1:17" ht="15" x14ac:dyDescent="0.25">
      <c r="A18290" s="3">
        <f>18283</f>
        <v>18283</v>
      </c>
      <c r="B18290" s="3" t="s">
        <v>18292</v>
      </c>
      <c r="C18290" s="3" t="s">
        <v>10</v>
      </c>
      <c r="D18290" s="3" t="s">
        <v>9</v>
      </c>
      <c r="E18290" s="3">
        <v>0</v>
      </c>
      <c r="F18290" s="3">
        <v>0</v>
      </c>
      <c r="G18290" s="3">
        <v>0</v>
      </c>
      <c r="H18290" s="3">
        <v>31</v>
      </c>
      <c r="I18290" s="3">
        <v>0</v>
      </c>
      <c r="J18290" s="3">
        <v>0</v>
      </c>
      <c r="K18290" s="3">
        <v>0</v>
      </c>
      <c r="L18290" s="3">
        <v>0</v>
      </c>
      <c r="M18290" s="3">
        <v>31</v>
      </c>
      <c r="N18290" s="3">
        <v>0</v>
      </c>
      <c r="O18290" s="3" t="s">
        <v>10</v>
      </c>
      <c r="P18290" s="3" t="s">
        <v>9</v>
      </c>
      <c r="Q18290" s="3"/>
    </row>
    <row r="18291" spans="1:17" ht="15" x14ac:dyDescent="0.25">
      <c r="A18291" s="3">
        <f>18284</f>
        <v>18284</v>
      </c>
      <c r="B18291" s="3" t="s">
        <v>18293</v>
      </c>
      <c r="C18291" s="3" t="s">
        <v>10</v>
      </c>
      <c r="D18291" s="3" t="s">
        <v>9</v>
      </c>
      <c r="E18291" s="3">
        <v>0</v>
      </c>
      <c r="F18291" s="3">
        <v>0</v>
      </c>
      <c r="G18291" s="3">
        <v>0</v>
      </c>
      <c r="H18291" s="3">
        <v>31</v>
      </c>
      <c r="I18291" s="3">
        <v>0</v>
      </c>
      <c r="J18291" s="3">
        <v>0</v>
      </c>
      <c r="K18291" s="3">
        <v>0</v>
      </c>
      <c r="L18291" s="3">
        <v>0</v>
      </c>
      <c r="M18291" s="3">
        <v>31</v>
      </c>
      <c r="N18291" s="3">
        <v>0</v>
      </c>
      <c r="O18291" s="3" t="s">
        <v>10</v>
      </c>
      <c r="P18291" s="3" t="s">
        <v>9</v>
      </c>
      <c r="Q18291" s="3"/>
    </row>
    <row r="18292" spans="1:17" ht="15" x14ac:dyDescent="0.25">
      <c r="A18292" s="3">
        <f>18285</f>
        <v>18285</v>
      </c>
      <c r="B18292" s="3" t="s">
        <v>18294</v>
      </c>
      <c r="C18292" s="3" t="s">
        <v>10</v>
      </c>
      <c r="D18292" s="3" t="s">
        <v>9</v>
      </c>
      <c r="E18292" s="3">
        <v>0</v>
      </c>
      <c r="F18292" s="3">
        <v>0</v>
      </c>
      <c r="G18292" s="3">
        <v>0</v>
      </c>
      <c r="H18292" s="3">
        <v>31</v>
      </c>
      <c r="I18292" s="3">
        <v>0</v>
      </c>
      <c r="J18292" s="3">
        <v>0</v>
      </c>
      <c r="K18292" s="3">
        <v>0</v>
      </c>
      <c r="L18292" s="3">
        <v>0</v>
      </c>
      <c r="M18292" s="3">
        <v>31</v>
      </c>
      <c r="N18292" s="3">
        <v>0</v>
      </c>
      <c r="O18292" s="3" t="s">
        <v>10</v>
      </c>
      <c r="P18292" s="3" t="s">
        <v>9</v>
      </c>
      <c r="Q18292" s="3"/>
    </row>
    <row r="18293" spans="1:17" ht="15" x14ac:dyDescent="0.25">
      <c r="A18293" s="3">
        <f>18286</f>
        <v>18286</v>
      </c>
      <c r="B18293" s="3" t="s">
        <v>18295</v>
      </c>
      <c r="C18293" s="3" t="s">
        <v>10</v>
      </c>
      <c r="D18293" s="3" t="s">
        <v>9</v>
      </c>
      <c r="E18293" s="3">
        <v>0</v>
      </c>
      <c r="F18293" s="3">
        <v>0</v>
      </c>
      <c r="G18293" s="3">
        <v>0</v>
      </c>
      <c r="H18293" s="3">
        <v>31</v>
      </c>
      <c r="I18293" s="3">
        <v>0</v>
      </c>
      <c r="J18293" s="3">
        <v>0</v>
      </c>
      <c r="K18293" s="3">
        <v>0</v>
      </c>
      <c r="L18293" s="3">
        <v>0</v>
      </c>
      <c r="M18293" s="3">
        <v>31</v>
      </c>
      <c r="N18293" s="3">
        <v>0</v>
      </c>
      <c r="O18293" s="3" t="s">
        <v>10</v>
      </c>
      <c r="P18293" s="3" t="s">
        <v>9</v>
      </c>
      <c r="Q18293" s="3"/>
    </row>
    <row r="18294" spans="1:17" ht="15" x14ac:dyDescent="0.25">
      <c r="A18294" s="3">
        <f>18287</f>
        <v>18287</v>
      </c>
      <c r="B18294" s="3" t="s">
        <v>18296</v>
      </c>
      <c r="C18294" s="3" t="s">
        <v>10</v>
      </c>
      <c r="D18294" s="3" t="s">
        <v>9</v>
      </c>
      <c r="E18294" s="3">
        <v>0</v>
      </c>
      <c r="F18294" s="3">
        <v>0</v>
      </c>
      <c r="G18294" s="3">
        <v>0</v>
      </c>
      <c r="H18294" s="3">
        <v>31</v>
      </c>
      <c r="I18294" s="3">
        <v>0</v>
      </c>
      <c r="J18294" s="3">
        <v>0</v>
      </c>
      <c r="K18294" s="3">
        <v>0</v>
      </c>
      <c r="L18294" s="3">
        <v>0</v>
      </c>
      <c r="M18294" s="3">
        <v>31</v>
      </c>
      <c r="N18294" s="3">
        <v>0</v>
      </c>
      <c r="O18294" s="3" t="s">
        <v>10</v>
      </c>
      <c r="P18294" s="3" t="s">
        <v>9</v>
      </c>
      <c r="Q18294" s="3"/>
    </row>
    <row r="18295" spans="1:17" ht="15" x14ac:dyDescent="0.25">
      <c r="A18295" s="3">
        <f>18288</f>
        <v>18288</v>
      </c>
      <c r="B18295" s="3" t="s">
        <v>18297</v>
      </c>
      <c r="C18295" s="3" t="s">
        <v>10</v>
      </c>
      <c r="D18295" s="3" t="s">
        <v>9</v>
      </c>
      <c r="E18295" s="3">
        <v>0</v>
      </c>
      <c r="F18295" s="3">
        <v>0</v>
      </c>
      <c r="G18295" s="3">
        <v>0</v>
      </c>
      <c r="H18295" s="3">
        <v>31</v>
      </c>
      <c r="I18295" s="3">
        <v>0</v>
      </c>
      <c r="J18295" s="3">
        <v>0</v>
      </c>
      <c r="K18295" s="3">
        <v>0</v>
      </c>
      <c r="L18295" s="3">
        <v>0</v>
      </c>
      <c r="M18295" s="3">
        <v>31</v>
      </c>
      <c r="N18295" s="3">
        <v>0</v>
      </c>
      <c r="O18295" s="3" t="s">
        <v>10</v>
      </c>
      <c r="P18295" s="3" t="s">
        <v>9</v>
      </c>
      <c r="Q18295" s="3"/>
    </row>
    <row r="18296" spans="1:17" ht="15" x14ac:dyDescent="0.25">
      <c r="A18296" s="3">
        <f>18289</f>
        <v>18289</v>
      </c>
      <c r="B18296" s="3" t="s">
        <v>18298</v>
      </c>
      <c r="C18296" s="3" t="s">
        <v>10</v>
      </c>
      <c r="D18296" s="3" t="s">
        <v>9</v>
      </c>
      <c r="E18296" s="3">
        <v>0</v>
      </c>
      <c r="F18296" s="3">
        <v>0</v>
      </c>
      <c r="G18296" s="3">
        <v>0</v>
      </c>
      <c r="H18296" s="3">
        <v>31</v>
      </c>
      <c r="I18296" s="3">
        <v>0</v>
      </c>
      <c r="J18296" s="3">
        <v>0</v>
      </c>
      <c r="K18296" s="3">
        <v>0</v>
      </c>
      <c r="L18296" s="3">
        <v>0</v>
      </c>
      <c r="M18296" s="3">
        <v>31</v>
      </c>
      <c r="N18296" s="3">
        <v>0</v>
      </c>
      <c r="O18296" s="3" t="s">
        <v>10</v>
      </c>
      <c r="P18296" s="3" t="s">
        <v>9</v>
      </c>
      <c r="Q18296" s="3"/>
    </row>
    <row r="18297" spans="1:17" ht="15" x14ac:dyDescent="0.25">
      <c r="A18297" s="3">
        <f>18290</f>
        <v>18290</v>
      </c>
      <c r="B18297" s="3" t="s">
        <v>18299</v>
      </c>
      <c r="C18297" s="3" t="s">
        <v>10</v>
      </c>
      <c r="D18297" s="3" t="s">
        <v>9</v>
      </c>
      <c r="E18297" s="3">
        <v>0</v>
      </c>
      <c r="F18297" s="3">
        <v>0</v>
      </c>
      <c r="G18297" s="3">
        <v>0</v>
      </c>
      <c r="H18297" s="3">
        <v>31</v>
      </c>
      <c r="I18297" s="3">
        <v>0</v>
      </c>
      <c r="J18297" s="3">
        <v>0</v>
      </c>
      <c r="K18297" s="3">
        <v>0</v>
      </c>
      <c r="L18297" s="3">
        <v>0</v>
      </c>
      <c r="M18297" s="3">
        <v>31</v>
      </c>
      <c r="N18297" s="3">
        <v>0</v>
      </c>
      <c r="O18297" s="3" t="s">
        <v>10</v>
      </c>
      <c r="P18297" s="3" t="s">
        <v>9</v>
      </c>
      <c r="Q18297" s="3"/>
    </row>
    <row r="18298" spans="1:17" ht="15" x14ac:dyDescent="0.25">
      <c r="A18298" s="3">
        <f>18291</f>
        <v>18291</v>
      </c>
      <c r="B18298" s="3" t="s">
        <v>18300</v>
      </c>
      <c r="C18298" s="3" t="s">
        <v>10</v>
      </c>
      <c r="D18298" s="3" t="s">
        <v>9</v>
      </c>
      <c r="E18298" s="3">
        <v>0</v>
      </c>
      <c r="F18298" s="3">
        <v>0</v>
      </c>
      <c r="G18298" s="3">
        <v>0</v>
      </c>
      <c r="H18298" s="3">
        <v>31</v>
      </c>
      <c r="I18298" s="3">
        <v>0</v>
      </c>
      <c r="J18298" s="3">
        <v>0</v>
      </c>
      <c r="K18298" s="3">
        <v>0</v>
      </c>
      <c r="L18298" s="3">
        <v>0</v>
      </c>
      <c r="M18298" s="3">
        <v>31</v>
      </c>
      <c r="N18298" s="3">
        <v>0</v>
      </c>
      <c r="O18298" s="3" t="s">
        <v>10</v>
      </c>
      <c r="P18298" s="3" t="s">
        <v>9</v>
      </c>
      <c r="Q18298" s="3"/>
    </row>
    <row r="18299" spans="1:17" ht="15" x14ac:dyDescent="0.25">
      <c r="A18299" s="3">
        <f>18292</f>
        <v>18292</v>
      </c>
      <c r="B18299" s="3" t="s">
        <v>18301</v>
      </c>
      <c r="C18299" s="3" t="s">
        <v>10</v>
      </c>
      <c r="D18299" s="3" t="s">
        <v>9</v>
      </c>
      <c r="E18299" s="3">
        <v>0</v>
      </c>
      <c r="F18299" s="3">
        <v>0</v>
      </c>
      <c r="G18299" s="3">
        <v>0</v>
      </c>
      <c r="H18299" s="3">
        <v>31</v>
      </c>
      <c r="I18299" s="3">
        <v>0</v>
      </c>
      <c r="J18299" s="3">
        <v>0</v>
      </c>
      <c r="K18299" s="3">
        <v>0</v>
      </c>
      <c r="L18299" s="3">
        <v>0</v>
      </c>
      <c r="M18299" s="3">
        <v>31</v>
      </c>
      <c r="N18299" s="3">
        <v>0</v>
      </c>
      <c r="O18299" s="3" t="s">
        <v>10</v>
      </c>
      <c r="P18299" s="3" t="s">
        <v>9</v>
      </c>
      <c r="Q18299" s="3"/>
    </row>
    <row r="18300" spans="1:17" ht="15" x14ac:dyDescent="0.25">
      <c r="A18300" s="3">
        <f>18293</f>
        <v>18293</v>
      </c>
      <c r="B18300" s="3" t="s">
        <v>18302</v>
      </c>
      <c r="C18300" s="3" t="s">
        <v>10</v>
      </c>
      <c r="D18300" s="3" t="s">
        <v>9</v>
      </c>
      <c r="E18300" s="3">
        <v>0</v>
      </c>
      <c r="F18300" s="3">
        <v>0</v>
      </c>
      <c r="G18300" s="3">
        <v>0</v>
      </c>
      <c r="H18300" s="3">
        <v>31</v>
      </c>
      <c r="I18300" s="3">
        <v>0</v>
      </c>
      <c r="J18300" s="3">
        <v>0</v>
      </c>
      <c r="K18300" s="3">
        <v>0</v>
      </c>
      <c r="L18300" s="3">
        <v>0</v>
      </c>
      <c r="M18300" s="3">
        <v>31</v>
      </c>
      <c r="N18300" s="3">
        <v>0</v>
      </c>
      <c r="O18300" s="3" t="s">
        <v>10</v>
      </c>
      <c r="P18300" s="3" t="s">
        <v>9</v>
      </c>
      <c r="Q18300" s="3"/>
    </row>
    <row r="18301" spans="1:17" ht="15" x14ac:dyDescent="0.25">
      <c r="A18301" s="3">
        <f>18294</f>
        <v>18294</v>
      </c>
      <c r="B18301" s="3" t="s">
        <v>18303</v>
      </c>
      <c r="C18301" s="3" t="s">
        <v>10</v>
      </c>
      <c r="D18301" s="3" t="s">
        <v>9</v>
      </c>
      <c r="E18301" s="3">
        <v>0</v>
      </c>
      <c r="F18301" s="3">
        <v>0</v>
      </c>
      <c r="G18301" s="3">
        <v>0</v>
      </c>
      <c r="H18301" s="3">
        <v>31</v>
      </c>
      <c r="I18301" s="3">
        <v>0</v>
      </c>
      <c r="J18301" s="3">
        <v>0</v>
      </c>
      <c r="K18301" s="3">
        <v>0</v>
      </c>
      <c r="L18301" s="3">
        <v>0</v>
      </c>
      <c r="M18301" s="3">
        <v>31</v>
      </c>
      <c r="N18301" s="3">
        <v>0</v>
      </c>
      <c r="O18301" s="3" t="s">
        <v>10</v>
      </c>
      <c r="P18301" s="3" t="s">
        <v>9</v>
      </c>
      <c r="Q18301" s="3"/>
    </row>
    <row r="18302" spans="1:17" ht="15" x14ac:dyDescent="0.25">
      <c r="A18302" s="3">
        <f>18295</f>
        <v>18295</v>
      </c>
      <c r="B18302" s="3" t="s">
        <v>18304</v>
      </c>
      <c r="C18302" s="3" t="s">
        <v>10</v>
      </c>
      <c r="D18302" s="3" t="s">
        <v>9</v>
      </c>
      <c r="E18302" s="3">
        <v>0</v>
      </c>
      <c r="F18302" s="3">
        <v>0</v>
      </c>
      <c r="G18302" s="3">
        <v>0</v>
      </c>
      <c r="H18302" s="3">
        <v>31</v>
      </c>
      <c r="I18302" s="3">
        <v>0</v>
      </c>
      <c r="J18302" s="3">
        <v>0</v>
      </c>
      <c r="K18302" s="3">
        <v>0</v>
      </c>
      <c r="L18302" s="3">
        <v>0</v>
      </c>
      <c r="M18302" s="3">
        <v>31</v>
      </c>
      <c r="N18302" s="3">
        <v>0</v>
      </c>
      <c r="O18302" s="3" t="s">
        <v>10</v>
      </c>
      <c r="P18302" s="3" t="s">
        <v>9</v>
      </c>
      <c r="Q18302" s="3"/>
    </row>
    <row r="18303" spans="1:17" ht="15" x14ac:dyDescent="0.25">
      <c r="A18303" s="3">
        <f>18296</f>
        <v>18296</v>
      </c>
      <c r="B18303" s="3" t="s">
        <v>18305</v>
      </c>
      <c r="C18303" s="3" t="s">
        <v>10</v>
      </c>
      <c r="D18303" s="3" t="s">
        <v>9</v>
      </c>
      <c r="E18303" s="3">
        <v>0</v>
      </c>
      <c r="F18303" s="3">
        <v>0</v>
      </c>
      <c r="G18303" s="3">
        <v>0</v>
      </c>
      <c r="H18303" s="3">
        <v>31</v>
      </c>
      <c r="I18303" s="3">
        <v>0</v>
      </c>
      <c r="J18303" s="3">
        <v>0</v>
      </c>
      <c r="K18303" s="3">
        <v>0</v>
      </c>
      <c r="L18303" s="3">
        <v>0</v>
      </c>
      <c r="M18303" s="3">
        <v>31</v>
      </c>
      <c r="N18303" s="3">
        <v>0</v>
      </c>
      <c r="O18303" s="3" t="s">
        <v>10</v>
      </c>
      <c r="P18303" s="3" t="s">
        <v>9</v>
      </c>
      <c r="Q18303" s="3"/>
    </row>
    <row r="18304" spans="1:17" ht="15" x14ac:dyDescent="0.25">
      <c r="A18304" s="3">
        <f>18297</f>
        <v>18297</v>
      </c>
      <c r="B18304" s="3" t="s">
        <v>18306</v>
      </c>
      <c r="C18304" s="3" t="s">
        <v>10</v>
      </c>
      <c r="D18304" s="3" t="s">
        <v>9</v>
      </c>
      <c r="E18304" s="3">
        <v>0</v>
      </c>
      <c r="F18304" s="3">
        <v>0</v>
      </c>
      <c r="G18304" s="3">
        <v>0</v>
      </c>
      <c r="H18304" s="3">
        <v>31</v>
      </c>
      <c r="I18304" s="3">
        <v>0</v>
      </c>
      <c r="J18304" s="3">
        <v>0</v>
      </c>
      <c r="K18304" s="3">
        <v>0</v>
      </c>
      <c r="L18304" s="3">
        <v>0</v>
      </c>
      <c r="M18304" s="3">
        <v>31</v>
      </c>
      <c r="N18304" s="3">
        <v>0</v>
      </c>
      <c r="O18304" s="3" t="s">
        <v>10</v>
      </c>
      <c r="P18304" s="3" t="s">
        <v>9</v>
      </c>
      <c r="Q18304" s="3"/>
    </row>
    <row r="18305" spans="1:17" ht="15" x14ac:dyDescent="0.25">
      <c r="A18305" s="3">
        <f>18298</f>
        <v>18298</v>
      </c>
      <c r="B18305" s="3" t="s">
        <v>18307</v>
      </c>
      <c r="C18305" s="3" t="s">
        <v>10</v>
      </c>
      <c r="D18305" s="3" t="s">
        <v>9</v>
      </c>
      <c r="E18305" s="3">
        <v>0</v>
      </c>
      <c r="F18305" s="3">
        <v>0</v>
      </c>
      <c r="G18305" s="3">
        <v>0</v>
      </c>
      <c r="H18305" s="3">
        <v>31</v>
      </c>
      <c r="I18305" s="3">
        <v>0</v>
      </c>
      <c r="J18305" s="3">
        <v>0</v>
      </c>
      <c r="K18305" s="3">
        <v>0</v>
      </c>
      <c r="L18305" s="3">
        <v>0</v>
      </c>
      <c r="M18305" s="3">
        <v>31</v>
      </c>
      <c r="N18305" s="3">
        <v>0</v>
      </c>
      <c r="O18305" s="3" t="s">
        <v>10</v>
      </c>
      <c r="P18305" s="3" t="s">
        <v>9</v>
      </c>
      <c r="Q18305" s="3"/>
    </row>
    <row r="18306" spans="1:17" ht="15" x14ac:dyDescent="0.25">
      <c r="A18306" s="3">
        <f>18299</f>
        <v>18299</v>
      </c>
      <c r="B18306" s="3" t="s">
        <v>18308</v>
      </c>
      <c r="C18306" s="3" t="s">
        <v>10</v>
      </c>
      <c r="D18306" s="3" t="s">
        <v>9</v>
      </c>
      <c r="E18306" s="3">
        <v>0</v>
      </c>
      <c r="F18306" s="3">
        <v>0</v>
      </c>
      <c r="G18306" s="3">
        <v>0</v>
      </c>
      <c r="H18306" s="3">
        <v>31</v>
      </c>
      <c r="I18306" s="3">
        <v>0</v>
      </c>
      <c r="J18306" s="3">
        <v>0</v>
      </c>
      <c r="K18306" s="3">
        <v>0</v>
      </c>
      <c r="L18306" s="3">
        <v>0</v>
      </c>
      <c r="M18306" s="3">
        <v>31</v>
      </c>
      <c r="N18306" s="3">
        <v>0</v>
      </c>
      <c r="O18306" s="3" t="s">
        <v>10</v>
      </c>
      <c r="P18306" s="3" t="s">
        <v>9</v>
      </c>
      <c r="Q18306" s="3"/>
    </row>
    <row r="18307" spans="1:17" ht="15" x14ac:dyDescent="0.25">
      <c r="A18307" s="3">
        <f>18300</f>
        <v>18300</v>
      </c>
      <c r="B18307" s="3" t="s">
        <v>18309</v>
      </c>
      <c r="C18307" s="3" t="s">
        <v>10</v>
      </c>
      <c r="D18307" s="3" t="s">
        <v>9</v>
      </c>
      <c r="E18307" s="3">
        <v>0</v>
      </c>
      <c r="F18307" s="3">
        <v>0</v>
      </c>
      <c r="G18307" s="3">
        <v>0</v>
      </c>
      <c r="H18307" s="3">
        <v>31</v>
      </c>
      <c r="I18307" s="3">
        <v>0</v>
      </c>
      <c r="J18307" s="3">
        <v>0</v>
      </c>
      <c r="K18307" s="3">
        <v>0</v>
      </c>
      <c r="L18307" s="3">
        <v>0</v>
      </c>
      <c r="M18307" s="3">
        <v>31</v>
      </c>
      <c r="N18307" s="3">
        <v>0</v>
      </c>
      <c r="O18307" s="3" t="s">
        <v>10</v>
      </c>
      <c r="P18307" s="3" t="s">
        <v>9</v>
      </c>
      <c r="Q18307" s="3"/>
    </row>
    <row r="18308" spans="1:17" ht="15" x14ac:dyDescent="0.25">
      <c r="A18308" s="3">
        <f>18301</f>
        <v>18301</v>
      </c>
      <c r="B18308" s="3" t="s">
        <v>18310</v>
      </c>
      <c r="C18308" s="3" t="s">
        <v>10</v>
      </c>
      <c r="D18308" s="3" t="s">
        <v>9</v>
      </c>
      <c r="E18308" s="3">
        <v>0</v>
      </c>
      <c r="F18308" s="3">
        <v>0</v>
      </c>
      <c r="G18308" s="3">
        <v>0</v>
      </c>
      <c r="H18308" s="3">
        <v>31</v>
      </c>
      <c r="I18308" s="3">
        <v>0</v>
      </c>
      <c r="J18308" s="3">
        <v>0</v>
      </c>
      <c r="K18308" s="3">
        <v>0</v>
      </c>
      <c r="L18308" s="3">
        <v>0</v>
      </c>
      <c r="M18308" s="3">
        <v>31</v>
      </c>
      <c r="N18308" s="3">
        <v>0</v>
      </c>
      <c r="O18308" s="3" t="s">
        <v>10</v>
      </c>
      <c r="P18308" s="3" t="s">
        <v>9</v>
      </c>
      <c r="Q18308" s="3"/>
    </row>
    <row r="18309" spans="1:17" ht="15" x14ac:dyDescent="0.25">
      <c r="A18309" s="3">
        <f>18302</f>
        <v>18302</v>
      </c>
      <c r="B18309" s="3" t="s">
        <v>18311</v>
      </c>
      <c r="C18309" s="3" t="s">
        <v>10</v>
      </c>
      <c r="D18309" s="3" t="s">
        <v>9</v>
      </c>
      <c r="E18309" s="3">
        <v>0</v>
      </c>
      <c r="F18309" s="3">
        <v>0</v>
      </c>
      <c r="G18309" s="3">
        <v>0</v>
      </c>
      <c r="H18309" s="3">
        <v>31</v>
      </c>
      <c r="I18309" s="3">
        <v>0</v>
      </c>
      <c r="J18309" s="3">
        <v>0</v>
      </c>
      <c r="K18309" s="3">
        <v>0</v>
      </c>
      <c r="L18309" s="3">
        <v>0</v>
      </c>
      <c r="M18309" s="3">
        <v>31</v>
      </c>
      <c r="N18309" s="3">
        <v>0</v>
      </c>
      <c r="O18309" s="3" t="s">
        <v>10</v>
      </c>
      <c r="P18309" s="3" t="s">
        <v>9</v>
      </c>
      <c r="Q18309" s="3"/>
    </row>
    <row r="18310" spans="1:17" ht="15" x14ac:dyDescent="0.25">
      <c r="A18310" s="3">
        <f>18303</f>
        <v>18303</v>
      </c>
      <c r="B18310" s="3" t="s">
        <v>18312</v>
      </c>
      <c r="C18310" s="3" t="s">
        <v>10</v>
      </c>
      <c r="D18310" s="3" t="s">
        <v>9</v>
      </c>
      <c r="E18310" s="3">
        <v>0</v>
      </c>
      <c r="F18310" s="3">
        <v>0</v>
      </c>
      <c r="G18310" s="3">
        <v>0</v>
      </c>
      <c r="H18310" s="3">
        <v>31</v>
      </c>
      <c r="I18310" s="3">
        <v>0</v>
      </c>
      <c r="J18310" s="3">
        <v>0</v>
      </c>
      <c r="K18310" s="3">
        <v>0</v>
      </c>
      <c r="L18310" s="3">
        <v>0</v>
      </c>
      <c r="M18310" s="3">
        <v>31</v>
      </c>
      <c r="N18310" s="3">
        <v>0</v>
      </c>
      <c r="O18310" s="3" t="s">
        <v>10</v>
      </c>
      <c r="P18310" s="3" t="s">
        <v>9</v>
      </c>
      <c r="Q18310" s="3"/>
    </row>
    <row r="18311" spans="1:17" ht="15" x14ac:dyDescent="0.25">
      <c r="A18311" s="3">
        <f>18304</f>
        <v>18304</v>
      </c>
      <c r="B18311" s="3" t="s">
        <v>18313</v>
      </c>
      <c r="C18311" s="3" t="s">
        <v>10</v>
      </c>
      <c r="D18311" s="3" t="s">
        <v>9</v>
      </c>
      <c r="E18311" s="3">
        <v>0</v>
      </c>
      <c r="F18311" s="3">
        <v>0</v>
      </c>
      <c r="G18311" s="3">
        <v>0</v>
      </c>
      <c r="H18311" s="3">
        <v>31</v>
      </c>
      <c r="I18311" s="3">
        <v>0</v>
      </c>
      <c r="J18311" s="3">
        <v>0</v>
      </c>
      <c r="K18311" s="3">
        <v>0</v>
      </c>
      <c r="L18311" s="3">
        <v>0</v>
      </c>
      <c r="M18311" s="3">
        <v>31</v>
      </c>
      <c r="N18311" s="3">
        <v>0</v>
      </c>
      <c r="O18311" s="3" t="s">
        <v>10</v>
      </c>
      <c r="P18311" s="3" t="s">
        <v>9</v>
      </c>
      <c r="Q18311" s="3"/>
    </row>
    <row r="18312" spans="1:17" ht="15" x14ac:dyDescent="0.25">
      <c r="A18312" s="3">
        <f>18305</f>
        <v>18305</v>
      </c>
      <c r="B18312" s="3" t="s">
        <v>18314</v>
      </c>
      <c r="C18312" s="3" t="s">
        <v>10</v>
      </c>
      <c r="D18312" s="3" t="s">
        <v>9</v>
      </c>
      <c r="E18312" s="3">
        <v>0</v>
      </c>
      <c r="F18312" s="3">
        <v>0</v>
      </c>
      <c r="G18312" s="3">
        <v>0</v>
      </c>
      <c r="H18312" s="3">
        <v>31</v>
      </c>
      <c r="I18312" s="3">
        <v>0</v>
      </c>
      <c r="J18312" s="3">
        <v>0</v>
      </c>
      <c r="K18312" s="3">
        <v>0</v>
      </c>
      <c r="L18312" s="3">
        <v>0</v>
      </c>
      <c r="M18312" s="3">
        <v>31</v>
      </c>
      <c r="N18312" s="3">
        <v>0</v>
      </c>
      <c r="O18312" s="3" t="s">
        <v>10</v>
      </c>
      <c r="P18312" s="3" t="s">
        <v>9</v>
      </c>
      <c r="Q18312" s="3"/>
    </row>
    <row r="18313" spans="1:17" ht="15" x14ac:dyDescent="0.25">
      <c r="A18313" s="3">
        <f>18306</f>
        <v>18306</v>
      </c>
      <c r="B18313" s="3" t="s">
        <v>18315</v>
      </c>
      <c r="C18313" s="3" t="s">
        <v>10</v>
      </c>
      <c r="D18313" s="3" t="s">
        <v>9</v>
      </c>
      <c r="E18313" s="3">
        <v>0</v>
      </c>
      <c r="F18313" s="3">
        <v>0</v>
      </c>
      <c r="G18313" s="3">
        <v>0</v>
      </c>
      <c r="H18313" s="3">
        <v>31</v>
      </c>
      <c r="I18313" s="3">
        <v>0</v>
      </c>
      <c r="J18313" s="3">
        <v>0</v>
      </c>
      <c r="K18313" s="3">
        <v>0</v>
      </c>
      <c r="L18313" s="3">
        <v>0</v>
      </c>
      <c r="M18313" s="3">
        <v>31</v>
      </c>
      <c r="N18313" s="3">
        <v>0</v>
      </c>
      <c r="O18313" s="3" t="s">
        <v>10</v>
      </c>
      <c r="P18313" s="3" t="s">
        <v>9</v>
      </c>
      <c r="Q18313" s="3"/>
    </row>
    <row r="18314" spans="1:17" ht="15" x14ac:dyDescent="0.25">
      <c r="A18314" s="3">
        <f>18307</f>
        <v>18307</v>
      </c>
      <c r="B18314" s="3" t="s">
        <v>18316</v>
      </c>
      <c r="C18314" s="3" t="s">
        <v>10</v>
      </c>
      <c r="D18314" s="3" t="s">
        <v>9</v>
      </c>
      <c r="E18314" s="3">
        <v>0</v>
      </c>
      <c r="F18314" s="3">
        <v>0</v>
      </c>
      <c r="G18314" s="3">
        <v>0</v>
      </c>
      <c r="H18314" s="3">
        <v>31</v>
      </c>
      <c r="I18314" s="3">
        <v>0</v>
      </c>
      <c r="J18314" s="3">
        <v>0</v>
      </c>
      <c r="K18314" s="3">
        <v>0</v>
      </c>
      <c r="L18314" s="3">
        <v>0</v>
      </c>
      <c r="M18314" s="3">
        <v>31</v>
      </c>
      <c r="N18314" s="3">
        <v>0</v>
      </c>
      <c r="O18314" s="3" t="s">
        <v>10</v>
      </c>
      <c r="P18314" s="3" t="s">
        <v>9</v>
      </c>
      <c r="Q18314" s="3"/>
    </row>
    <row r="18315" spans="1:17" ht="15" x14ac:dyDescent="0.25">
      <c r="A18315" s="3">
        <f>18308</f>
        <v>18308</v>
      </c>
      <c r="B18315" s="3" t="s">
        <v>18317</v>
      </c>
      <c r="C18315" s="3" t="s">
        <v>10</v>
      </c>
      <c r="D18315" s="3" t="s">
        <v>9</v>
      </c>
      <c r="E18315" s="3">
        <v>0</v>
      </c>
      <c r="F18315" s="3">
        <v>0</v>
      </c>
      <c r="G18315" s="3">
        <v>0</v>
      </c>
      <c r="H18315" s="3">
        <v>31</v>
      </c>
      <c r="I18315" s="3">
        <v>0</v>
      </c>
      <c r="J18315" s="3">
        <v>0</v>
      </c>
      <c r="K18315" s="3">
        <v>0</v>
      </c>
      <c r="L18315" s="3">
        <v>0</v>
      </c>
      <c r="M18315" s="3">
        <v>31</v>
      </c>
      <c r="N18315" s="3">
        <v>0</v>
      </c>
      <c r="O18315" s="3" t="s">
        <v>10</v>
      </c>
      <c r="P18315" s="3" t="s">
        <v>9</v>
      </c>
      <c r="Q18315" s="3"/>
    </row>
    <row r="18316" spans="1:17" ht="15" x14ac:dyDescent="0.25">
      <c r="A18316" s="3">
        <f>18309</f>
        <v>18309</v>
      </c>
      <c r="B18316" s="3" t="s">
        <v>18318</v>
      </c>
      <c r="C18316" s="3" t="s">
        <v>10</v>
      </c>
      <c r="D18316" s="3" t="s">
        <v>9</v>
      </c>
      <c r="E18316" s="3">
        <v>0</v>
      </c>
      <c r="F18316" s="3">
        <v>0</v>
      </c>
      <c r="G18316" s="3">
        <v>0</v>
      </c>
      <c r="H18316" s="3">
        <v>31</v>
      </c>
      <c r="I18316" s="3">
        <v>0</v>
      </c>
      <c r="J18316" s="3">
        <v>0</v>
      </c>
      <c r="K18316" s="3">
        <v>0</v>
      </c>
      <c r="L18316" s="3">
        <v>0</v>
      </c>
      <c r="M18316" s="3">
        <v>31</v>
      </c>
      <c r="N18316" s="3">
        <v>0</v>
      </c>
      <c r="O18316" s="3" t="s">
        <v>10</v>
      </c>
      <c r="P18316" s="3" t="s">
        <v>9</v>
      </c>
      <c r="Q18316" s="3"/>
    </row>
    <row r="18317" spans="1:17" ht="15" x14ac:dyDescent="0.25">
      <c r="A18317" s="3">
        <f>18310</f>
        <v>18310</v>
      </c>
      <c r="B18317" s="3" t="s">
        <v>18319</v>
      </c>
      <c r="C18317" s="3" t="s">
        <v>10</v>
      </c>
      <c r="D18317" s="3" t="s">
        <v>9</v>
      </c>
      <c r="E18317" s="3">
        <v>0</v>
      </c>
      <c r="F18317" s="3">
        <v>0</v>
      </c>
      <c r="G18317" s="3">
        <v>0</v>
      </c>
      <c r="H18317" s="3">
        <v>31</v>
      </c>
      <c r="I18317" s="3">
        <v>0</v>
      </c>
      <c r="J18317" s="3">
        <v>0</v>
      </c>
      <c r="K18317" s="3">
        <v>0</v>
      </c>
      <c r="L18317" s="3">
        <v>0</v>
      </c>
      <c r="M18317" s="3">
        <v>31</v>
      </c>
      <c r="N18317" s="3">
        <v>0</v>
      </c>
      <c r="O18317" s="3" t="s">
        <v>10</v>
      </c>
      <c r="P18317" s="3" t="s">
        <v>9</v>
      </c>
      <c r="Q18317" s="3"/>
    </row>
    <row r="18318" spans="1:17" ht="15" x14ac:dyDescent="0.25">
      <c r="A18318" s="3">
        <f>18311</f>
        <v>18311</v>
      </c>
      <c r="B18318" s="3" t="s">
        <v>18320</v>
      </c>
      <c r="C18318" s="3" t="s">
        <v>10</v>
      </c>
      <c r="D18318" s="3" t="s">
        <v>9</v>
      </c>
      <c r="E18318" s="3">
        <v>0</v>
      </c>
      <c r="F18318" s="3">
        <v>0</v>
      </c>
      <c r="G18318" s="3">
        <v>0</v>
      </c>
      <c r="H18318" s="3">
        <v>31</v>
      </c>
      <c r="I18318" s="3">
        <v>0</v>
      </c>
      <c r="J18318" s="3">
        <v>0</v>
      </c>
      <c r="K18318" s="3">
        <v>0</v>
      </c>
      <c r="L18318" s="3">
        <v>0</v>
      </c>
      <c r="M18318" s="3">
        <v>31</v>
      </c>
      <c r="N18318" s="3">
        <v>0</v>
      </c>
      <c r="O18318" s="3" t="s">
        <v>10</v>
      </c>
      <c r="P18318" s="3" t="s">
        <v>9</v>
      </c>
      <c r="Q18318" s="3"/>
    </row>
    <row r="18319" spans="1:17" ht="15" x14ac:dyDescent="0.25">
      <c r="A18319" s="3">
        <f>18312</f>
        <v>18312</v>
      </c>
      <c r="B18319" s="3" t="s">
        <v>18321</v>
      </c>
      <c r="C18319" s="3" t="s">
        <v>10</v>
      </c>
      <c r="D18319" s="3" t="s">
        <v>9</v>
      </c>
      <c r="E18319" s="3">
        <v>0</v>
      </c>
      <c r="F18319" s="3">
        <v>0</v>
      </c>
      <c r="G18319" s="3">
        <v>0</v>
      </c>
      <c r="H18319" s="3">
        <v>31</v>
      </c>
      <c r="I18319" s="3">
        <v>0</v>
      </c>
      <c r="J18319" s="3">
        <v>0</v>
      </c>
      <c r="K18319" s="3">
        <v>0</v>
      </c>
      <c r="L18319" s="3">
        <v>0</v>
      </c>
      <c r="M18319" s="3">
        <v>31</v>
      </c>
      <c r="N18319" s="3">
        <v>0</v>
      </c>
      <c r="O18319" s="3" t="s">
        <v>10</v>
      </c>
      <c r="P18319" s="3" t="s">
        <v>9</v>
      </c>
      <c r="Q18319" s="3"/>
    </row>
    <row r="18320" spans="1:17" ht="15" x14ac:dyDescent="0.25">
      <c r="A18320" s="3">
        <f>18313</f>
        <v>18313</v>
      </c>
      <c r="B18320" s="3" t="s">
        <v>18322</v>
      </c>
      <c r="C18320" s="3" t="s">
        <v>10</v>
      </c>
      <c r="D18320" s="3" t="s">
        <v>9</v>
      </c>
      <c r="E18320" s="3">
        <v>0</v>
      </c>
      <c r="F18320" s="3">
        <v>0</v>
      </c>
      <c r="G18320" s="3">
        <v>0</v>
      </c>
      <c r="H18320" s="3">
        <v>31</v>
      </c>
      <c r="I18320" s="3">
        <v>0</v>
      </c>
      <c r="J18320" s="3">
        <v>0</v>
      </c>
      <c r="K18320" s="3">
        <v>0</v>
      </c>
      <c r="L18320" s="3">
        <v>0</v>
      </c>
      <c r="M18320" s="3">
        <v>31</v>
      </c>
      <c r="N18320" s="3">
        <v>0</v>
      </c>
      <c r="O18320" s="3" t="s">
        <v>10</v>
      </c>
      <c r="P18320" s="3" t="s">
        <v>9</v>
      </c>
      <c r="Q18320" s="3"/>
    </row>
    <row r="18321" spans="1:17" ht="15" x14ac:dyDescent="0.25">
      <c r="A18321" s="3">
        <f>18314</f>
        <v>18314</v>
      </c>
      <c r="B18321" s="3" t="s">
        <v>18323</v>
      </c>
      <c r="C18321" s="3" t="s">
        <v>10</v>
      </c>
      <c r="D18321" s="3" t="s">
        <v>9</v>
      </c>
      <c r="E18321" s="3">
        <v>0</v>
      </c>
      <c r="F18321" s="3">
        <v>0</v>
      </c>
      <c r="G18321" s="3">
        <v>0</v>
      </c>
      <c r="H18321" s="3">
        <v>31</v>
      </c>
      <c r="I18321" s="3">
        <v>0</v>
      </c>
      <c r="J18321" s="3">
        <v>0</v>
      </c>
      <c r="K18321" s="3">
        <v>0</v>
      </c>
      <c r="L18321" s="3">
        <v>0</v>
      </c>
      <c r="M18321" s="3">
        <v>31</v>
      </c>
      <c r="N18321" s="3">
        <v>0</v>
      </c>
      <c r="O18321" s="3" t="s">
        <v>10</v>
      </c>
      <c r="P18321" s="3" t="s">
        <v>9</v>
      </c>
      <c r="Q18321" s="3"/>
    </row>
    <row r="18322" spans="1:17" ht="15" x14ac:dyDescent="0.25">
      <c r="A18322" s="3">
        <f>18315</f>
        <v>18315</v>
      </c>
      <c r="B18322" s="3" t="s">
        <v>18324</v>
      </c>
      <c r="C18322" s="3" t="s">
        <v>10</v>
      </c>
      <c r="D18322" s="3" t="s">
        <v>9</v>
      </c>
      <c r="E18322" s="3">
        <v>0</v>
      </c>
      <c r="F18322" s="3">
        <v>0</v>
      </c>
      <c r="G18322" s="3">
        <v>0</v>
      </c>
      <c r="H18322" s="3">
        <v>31</v>
      </c>
      <c r="I18322" s="3">
        <v>0</v>
      </c>
      <c r="J18322" s="3">
        <v>0</v>
      </c>
      <c r="K18322" s="3">
        <v>0</v>
      </c>
      <c r="L18322" s="3">
        <v>0</v>
      </c>
      <c r="M18322" s="3">
        <v>31</v>
      </c>
      <c r="N18322" s="3">
        <v>0</v>
      </c>
      <c r="O18322" s="3" t="s">
        <v>10</v>
      </c>
      <c r="P18322" s="3" t="s">
        <v>9</v>
      </c>
      <c r="Q18322" s="3"/>
    </row>
    <row r="18323" spans="1:17" ht="15" x14ac:dyDescent="0.25">
      <c r="A18323" s="3">
        <f>18316</f>
        <v>18316</v>
      </c>
      <c r="B18323" s="3" t="s">
        <v>18325</v>
      </c>
      <c r="C18323" s="3" t="s">
        <v>10</v>
      </c>
      <c r="D18323" s="3" t="s">
        <v>9</v>
      </c>
      <c r="E18323" s="3">
        <v>0</v>
      </c>
      <c r="F18323" s="3">
        <v>0</v>
      </c>
      <c r="G18323" s="3">
        <v>0</v>
      </c>
      <c r="H18323" s="3">
        <v>31</v>
      </c>
      <c r="I18323" s="3">
        <v>0</v>
      </c>
      <c r="J18323" s="3">
        <v>0</v>
      </c>
      <c r="K18323" s="3">
        <v>0</v>
      </c>
      <c r="L18323" s="3">
        <v>0</v>
      </c>
      <c r="M18323" s="3">
        <v>31</v>
      </c>
      <c r="N18323" s="3">
        <v>0</v>
      </c>
      <c r="O18323" s="3" t="s">
        <v>10</v>
      </c>
      <c r="P18323" s="3" t="s">
        <v>9</v>
      </c>
      <c r="Q18323" s="3"/>
    </row>
    <row r="18324" spans="1:17" ht="15" x14ac:dyDescent="0.25">
      <c r="A18324" s="3">
        <f>18317</f>
        <v>18317</v>
      </c>
      <c r="B18324" s="3" t="s">
        <v>18326</v>
      </c>
      <c r="C18324" s="3" t="s">
        <v>10</v>
      </c>
      <c r="D18324" s="3" t="s">
        <v>9</v>
      </c>
      <c r="E18324" s="3">
        <v>0</v>
      </c>
      <c r="F18324" s="3">
        <v>0</v>
      </c>
      <c r="G18324" s="3">
        <v>0</v>
      </c>
      <c r="H18324" s="3">
        <v>31</v>
      </c>
      <c r="I18324" s="3">
        <v>0</v>
      </c>
      <c r="J18324" s="3">
        <v>0</v>
      </c>
      <c r="K18324" s="3">
        <v>0</v>
      </c>
      <c r="L18324" s="3">
        <v>0</v>
      </c>
      <c r="M18324" s="3">
        <v>31</v>
      </c>
      <c r="N18324" s="3">
        <v>0</v>
      </c>
      <c r="O18324" s="3" t="s">
        <v>10</v>
      </c>
      <c r="P18324" s="3" t="s">
        <v>9</v>
      </c>
      <c r="Q18324" s="3"/>
    </row>
    <row r="18325" spans="1:17" ht="15" x14ac:dyDescent="0.25">
      <c r="A18325" s="3">
        <f>18318</f>
        <v>18318</v>
      </c>
      <c r="B18325" s="3" t="s">
        <v>18327</v>
      </c>
      <c r="C18325" s="3" t="s">
        <v>10</v>
      </c>
      <c r="D18325" s="3" t="s">
        <v>9</v>
      </c>
      <c r="E18325" s="3">
        <v>0</v>
      </c>
      <c r="F18325" s="3">
        <v>0</v>
      </c>
      <c r="G18325" s="3">
        <v>0</v>
      </c>
      <c r="H18325" s="3">
        <v>31</v>
      </c>
      <c r="I18325" s="3">
        <v>0</v>
      </c>
      <c r="J18325" s="3">
        <v>0</v>
      </c>
      <c r="K18325" s="3">
        <v>0</v>
      </c>
      <c r="L18325" s="3">
        <v>0</v>
      </c>
      <c r="M18325" s="3">
        <v>31</v>
      </c>
      <c r="N18325" s="3">
        <v>0</v>
      </c>
      <c r="O18325" s="3" t="s">
        <v>10</v>
      </c>
      <c r="P18325" s="3" t="s">
        <v>9</v>
      </c>
      <c r="Q18325" s="3"/>
    </row>
    <row r="18326" spans="1:17" ht="15" x14ac:dyDescent="0.25">
      <c r="A18326" s="3">
        <f>18319</f>
        <v>18319</v>
      </c>
      <c r="B18326" s="3" t="s">
        <v>18328</v>
      </c>
      <c r="C18326" s="3" t="s">
        <v>10</v>
      </c>
      <c r="D18326" s="3" t="s">
        <v>9</v>
      </c>
      <c r="E18326" s="3">
        <v>0</v>
      </c>
      <c r="F18326" s="3">
        <v>0</v>
      </c>
      <c r="G18326" s="3">
        <v>0</v>
      </c>
      <c r="H18326" s="3">
        <v>31</v>
      </c>
      <c r="I18326" s="3">
        <v>0</v>
      </c>
      <c r="J18326" s="3">
        <v>0</v>
      </c>
      <c r="K18326" s="3">
        <v>0</v>
      </c>
      <c r="L18326" s="3">
        <v>0</v>
      </c>
      <c r="M18326" s="3">
        <v>31</v>
      </c>
      <c r="N18326" s="3">
        <v>0</v>
      </c>
      <c r="O18326" s="3" t="s">
        <v>10</v>
      </c>
      <c r="P18326" s="3" t="s">
        <v>9</v>
      </c>
      <c r="Q18326" s="3"/>
    </row>
    <row r="18327" spans="1:17" ht="15" x14ac:dyDescent="0.25">
      <c r="A18327" s="3">
        <f>18320</f>
        <v>18320</v>
      </c>
      <c r="B18327" s="3" t="s">
        <v>18329</v>
      </c>
      <c r="C18327" s="3" t="s">
        <v>10</v>
      </c>
      <c r="D18327" s="3" t="s">
        <v>9</v>
      </c>
      <c r="E18327" s="3">
        <v>0</v>
      </c>
      <c r="F18327" s="3">
        <v>0</v>
      </c>
      <c r="G18327" s="3">
        <v>0</v>
      </c>
      <c r="H18327" s="3">
        <v>31</v>
      </c>
      <c r="I18327" s="3">
        <v>0</v>
      </c>
      <c r="J18327" s="3">
        <v>0</v>
      </c>
      <c r="K18327" s="3">
        <v>0</v>
      </c>
      <c r="L18327" s="3">
        <v>0</v>
      </c>
      <c r="M18327" s="3">
        <v>31</v>
      </c>
      <c r="N18327" s="3">
        <v>0</v>
      </c>
      <c r="O18327" s="3" t="s">
        <v>10</v>
      </c>
      <c r="P18327" s="3" t="s">
        <v>9</v>
      </c>
      <c r="Q18327" s="3"/>
    </row>
    <row r="18328" spans="1:17" ht="15" x14ac:dyDescent="0.25">
      <c r="A18328" s="3">
        <f>18321</f>
        <v>18321</v>
      </c>
      <c r="B18328" s="3" t="s">
        <v>18330</v>
      </c>
      <c r="C18328" s="3" t="s">
        <v>10</v>
      </c>
      <c r="D18328" s="3" t="s">
        <v>9</v>
      </c>
      <c r="E18328" s="3">
        <v>0</v>
      </c>
      <c r="F18328" s="3">
        <v>0</v>
      </c>
      <c r="G18328" s="3">
        <v>0</v>
      </c>
      <c r="H18328" s="3">
        <v>31</v>
      </c>
      <c r="I18328" s="3">
        <v>0</v>
      </c>
      <c r="J18328" s="3">
        <v>0</v>
      </c>
      <c r="K18328" s="3">
        <v>0</v>
      </c>
      <c r="L18328" s="3">
        <v>0</v>
      </c>
      <c r="M18328" s="3">
        <v>31</v>
      </c>
      <c r="N18328" s="3">
        <v>0</v>
      </c>
      <c r="O18328" s="3" t="s">
        <v>10</v>
      </c>
      <c r="P18328" s="3" t="s">
        <v>9</v>
      </c>
      <c r="Q18328" s="3"/>
    </row>
    <row r="18329" spans="1:17" ht="15" x14ac:dyDescent="0.25">
      <c r="A18329" s="3">
        <f>18322</f>
        <v>18322</v>
      </c>
      <c r="B18329" s="3" t="s">
        <v>18331</v>
      </c>
      <c r="C18329" s="3" t="s">
        <v>10</v>
      </c>
      <c r="D18329" s="3" t="s">
        <v>9</v>
      </c>
      <c r="E18329" s="3">
        <v>0</v>
      </c>
      <c r="F18329" s="3">
        <v>0</v>
      </c>
      <c r="G18329" s="3">
        <v>0</v>
      </c>
      <c r="H18329" s="3">
        <v>31</v>
      </c>
      <c r="I18329" s="3">
        <v>0</v>
      </c>
      <c r="J18329" s="3">
        <v>0</v>
      </c>
      <c r="K18329" s="3">
        <v>0</v>
      </c>
      <c r="L18329" s="3">
        <v>0</v>
      </c>
      <c r="M18329" s="3">
        <v>31</v>
      </c>
      <c r="N18329" s="3">
        <v>0</v>
      </c>
      <c r="O18329" s="3" t="s">
        <v>10</v>
      </c>
      <c r="P18329" s="3" t="s">
        <v>9</v>
      </c>
      <c r="Q18329" s="3"/>
    </row>
    <row r="18330" spans="1:17" ht="15" x14ac:dyDescent="0.25">
      <c r="A18330" s="3">
        <f>18323</f>
        <v>18323</v>
      </c>
      <c r="B18330" s="3" t="s">
        <v>18332</v>
      </c>
      <c r="C18330" s="3" t="s">
        <v>10</v>
      </c>
      <c r="D18330" s="3" t="s">
        <v>9</v>
      </c>
      <c r="E18330" s="3">
        <v>0</v>
      </c>
      <c r="F18330" s="3">
        <v>0</v>
      </c>
      <c r="G18330" s="3">
        <v>0</v>
      </c>
      <c r="H18330" s="3">
        <v>31</v>
      </c>
      <c r="I18330" s="3">
        <v>0</v>
      </c>
      <c r="J18330" s="3">
        <v>0</v>
      </c>
      <c r="K18330" s="3">
        <v>0</v>
      </c>
      <c r="L18330" s="3">
        <v>0</v>
      </c>
      <c r="M18330" s="3">
        <v>31</v>
      </c>
      <c r="N18330" s="3">
        <v>0</v>
      </c>
      <c r="O18330" s="3" t="s">
        <v>10</v>
      </c>
      <c r="P18330" s="3" t="s">
        <v>9</v>
      </c>
      <c r="Q18330" s="3"/>
    </row>
    <row r="18331" spans="1:17" ht="15" x14ac:dyDescent="0.25">
      <c r="A18331" s="3">
        <f>18324</f>
        <v>18324</v>
      </c>
      <c r="B18331" s="3" t="s">
        <v>18333</v>
      </c>
      <c r="C18331" s="3" t="s">
        <v>10</v>
      </c>
      <c r="D18331" s="3" t="s">
        <v>9</v>
      </c>
      <c r="E18331" s="3">
        <v>0</v>
      </c>
      <c r="F18331" s="3">
        <v>0</v>
      </c>
      <c r="G18331" s="3">
        <v>0</v>
      </c>
      <c r="H18331" s="3">
        <v>31</v>
      </c>
      <c r="I18331" s="3">
        <v>0</v>
      </c>
      <c r="J18331" s="3">
        <v>0</v>
      </c>
      <c r="K18331" s="3">
        <v>0</v>
      </c>
      <c r="L18331" s="3">
        <v>0</v>
      </c>
      <c r="M18331" s="3">
        <v>31</v>
      </c>
      <c r="N18331" s="3">
        <v>0</v>
      </c>
      <c r="O18331" s="3" t="s">
        <v>10</v>
      </c>
      <c r="P18331" s="3" t="s">
        <v>9</v>
      </c>
      <c r="Q18331" s="3"/>
    </row>
    <row r="18332" spans="1:17" ht="15" x14ac:dyDescent="0.25">
      <c r="A18332" s="3">
        <f>18325</f>
        <v>18325</v>
      </c>
      <c r="B18332" s="3" t="s">
        <v>18334</v>
      </c>
      <c r="C18332" s="3" t="s">
        <v>10</v>
      </c>
      <c r="D18332" s="3" t="s">
        <v>9</v>
      </c>
      <c r="E18332" s="3">
        <v>0</v>
      </c>
      <c r="F18332" s="3">
        <v>0</v>
      </c>
      <c r="G18332" s="3">
        <v>0</v>
      </c>
      <c r="H18332" s="3">
        <v>31</v>
      </c>
      <c r="I18332" s="3">
        <v>0</v>
      </c>
      <c r="J18332" s="3">
        <v>0</v>
      </c>
      <c r="K18332" s="3">
        <v>0</v>
      </c>
      <c r="L18332" s="3">
        <v>0</v>
      </c>
      <c r="M18332" s="3">
        <v>31</v>
      </c>
      <c r="N18332" s="3">
        <v>0</v>
      </c>
      <c r="O18332" s="3" t="s">
        <v>10</v>
      </c>
      <c r="P18332" s="3" t="s">
        <v>9</v>
      </c>
      <c r="Q18332" s="3"/>
    </row>
    <row r="18333" spans="1:17" ht="15" x14ac:dyDescent="0.25">
      <c r="A18333" s="3">
        <f>18326</f>
        <v>18326</v>
      </c>
      <c r="B18333" s="3" t="s">
        <v>18335</v>
      </c>
      <c r="C18333" s="3" t="s">
        <v>10</v>
      </c>
      <c r="D18333" s="3" t="s">
        <v>9</v>
      </c>
      <c r="E18333" s="3">
        <v>0</v>
      </c>
      <c r="F18333" s="3">
        <v>0</v>
      </c>
      <c r="G18333" s="3">
        <v>0</v>
      </c>
      <c r="H18333" s="3">
        <v>31</v>
      </c>
      <c r="I18333" s="3">
        <v>0</v>
      </c>
      <c r="J18333" s="3">
        <v>0</v>
      </c>
      <c r="K18333" s="3">
        <v>0</v>
      </c>
      <c r="L18333" s="3">
        <v>0</v>
      </c>
      <c r="M18333" s="3">
        <v>31</v>
      </c>
      <c r="N18333" s="3">
        <v>0</v>
      </c>
      <c r="O18333" s="3" t="s">
        <v>10</v>
      </c>
      <c r="P18333" s="3" t="s">
        <v>9</v>
      </c>
      <c r="Q18333" s="3"/>
    </row>
    <row r="18334" spans="1:17" ht="15" x14ac:dyDescent="0.25">
      <c r="A18334" s="3">
        <f>18327</f>
        <v>18327</v>
      </c>
      <c r="B18334" s="3" t="s">
        <v>18336</v>
      </c>
      <c r="C18334" s="3" t="s">
        <v>10</v>
      </c>
      <c r="D18334" s="3" t="s">
        <v>9</v>
      </c>
      <c r="E18334" s="3">
        <v>0</v>
      </c>
      <c r="F18334" s="3">
        <v>0</v>
      </c>
      <c r="G18334" s="3">
        <v>0</v>
      </c>
      <c r="H18334" s="3">
        <v>31</v>
      </c>
      <c r="I18334" s="3">
        <v>0</v>
      </c>
      <c r="J18334" s="3">
        <v>0</v>
      </c>
      <c r="K18334" s="3">
        <v>0</v>
      </c>
      <c r="L18334" s="3">
        <v>0</v>
      </c>
      <c r="M18334" s="3">
        <v>31</v>
      </c>
      <c r="N18334" s="3">
        <v>0</v>
      </c>
      <c r="O18334" s="3" t="s">
        <v>10</v>
      </c>
      <c r="P18334" s="3" t="s">
        <v>9</v>
      </c>
      <c r="Q18334" s="3"/>
    </row>
    <row r="18335" spans="1:17" ht="15" x14ac:dyDescent="0.25">
      <c r="A18335" s="3">
        <f>18328</f>
        <v>18328</v>
      </c>
      <c r="B18335" s="3" t="s">
        <v>18337</v>
      </c>
      <c r="C18335" s="3" t="s">
        <v>10</v>
      </c>
      <c r="D18335" s="3" t="s">
        <v>9</v>
      </c>
      <c r="E18335" s="3">
        <v>0</v>
      </c>
      <c r="F18335" s="3">
        <v>0</v>
      </c>
      <c r="G18335" s="3">
        <v>0</v>
      </c>
      <c r="H18335" s="3">
        <v>31</v>
      </c>
      <c r="I18335" s="3">
        <v>0</v>
      </c>
      <c r="J18335" s="3">
        <v>0</v>
      </c>
      <c r="K18335" s="3">
        <v>0</v>
      </c>
      <c r="L18335" s="3">
        <v>0</v>
      </c>
      <c r="M18335" s="3">
        <v>31</v>
      </c>
      <c r="N18335" s="3">
        <v>0</v>
      </c>
      <c r="O18335" s="3" t="s">
        <v>10</v>
      </c>
      <c r="P18335" s="3" t="s">
        <v>9</v>
      </c>
      <c r="Q18335" s="3"/>
    </row>
    <row r="18336" spans="1:17" ht="15" x14ac:dyDescent="0.25">
      <c r="A18336" s="3">
        <f>18329</f>
        <v>18329</v>
      </c>
      <c r="B18336" s="3" t="s">
        <v>18338</v>
      </c>
      <c r="C18336" s="3" t="s">
        <v>10</v>
      </c>
      <c r="D18336" s="3" t="s">
        <v>9</v>
      </c>
      <c r="E18336" s="3">
        <v>0</v>
      </c>
      <c r="F18336" s="3">
        <v>0</v>
      </c>
      <c r="G18336" s="3">
        <v>0</v>
      </c>
      <c r="H18336" s="3">
        <v>31</v>
      </c>
      <c r="I18336" s="3">
        <v>0</v>
      </c>
      <c r="J18336" s="3">
        <v>0</v>
      </c>
      <c r="K18336" s="3">
        <v>0</v>
      </c>
      <c r="L18336" s="3">
        <v>0</v>
      </c>
      <c r="M18336" s="3">
        <v>31</v>
      </c>
      <c r="N18336" s="3">
        <v>0</v>
      </c>
      <c r="O18336" s="3" t="s">
        <v>10</v>
      </c>
      <c r="P18336" s="3" t="s">
        <v>9</v>
      </c>
      <c r="Q18336" s="3"/>
    </row>
    <row r="18337" spans="1:17" ht="15" x14ac:dyDescent="0.25">
      <c r="A18337" s="3">
        <f>18330</f>
        <v>18330</v>
      </c>
      <c r="B18337" s="3" t="s">
        <v>18339</v>
      </c>
      <c r="C18337" s="3" t="s">
        <v>10</v>
      </c>
      <c r="D18337" s="3" t="s">
        <v>9</v>
      </c>
      <c r="E18337" s="3">
        <v>0</v>
      </c>
      <c r="F18337" s="3">
        <v>0</v>
      </c>
      <c r="G18337" s="3">
        <v>0</v>
      </c>
      <c r="H18337" s="3">
        <v>31</v>
      </c>
      <c r="I18337" s="3">
        <v>0</v>
      </c>
      <c r="J18337" s="3">
        <v>0</v>
      </c>
      <c r="K18337" s="3">
        <v>0</v>
      </c>
      <c r="L18337" s="3">
        <v>0</v>
      </c>
      <c r="M18337" s="3">
        <v>31</v>
      </c>
      <c r="N18337" s="3">
        <v>0</v>
      </c>
      <c r="O18337" s="3" t="s">
        <v>10</v>
      </c>
      <c r="P18337" s="3" t="s">
        <v>9</v>
      </c>
      <c r="Q18337" s="3"/>
    </row>
    <row r="18338" spans="1:17" ht="15" x14ac:dyDescent="0.25">
      <c r="A18338" s="3">
        <f>18331</f>
        <v>18331</v>
      </c>
      <c r="B18338" s="3" t="s">
        <v>18340</v>
      </c>
      <c r="C18338" s="3" t="s">
        <v>10</v>
      </c>
      <c r="D18338" s="3" t="s">
        <v>9</v>
      </c>
      <c r="E18338" s="3">
        <v>0</v>
      </c>
      <c r="F18338" s="3">
        <v>0</v>
      </c>
      <c r="G18338" s="3">
        <v>0</v>
      </c>
      <c r="H18338" s="3">
        <v>31</v>
      </c>
      <c r="I18338" s="3">
        <v>0</v>
      </c>
      <c r="J18338" s="3">
        <v>0</v>
      </c>
      <c r="K18338" s="3">
        <v>0</v>
      </c>
      <c r="L18338" s="3">
        <v>0</v>
      </c>
      <c r="M18338" s="3">
        <v>31</v>
      </c>
      <c r="N18338" s="3">
        <v>0</v>
      </c>
      <c r="O18338" s="3" t="s">
        <v>10</v>
      </c>
      <c r="P18338" s="3" t="s">
        <v>9</v>
      </c>
      <c r="Q18338" s="3"/>
    </row>
    <row r="18339" spans="1:17" ht="15" x14ac:dyDescent="0.25">
      <c r="A18339" s="3">
        <f>18332</f>
        <v>18332</v>
      </c>
      <c r="B18339" s="3" t="s">
        <v>18341</v>
      </c>
      <c r="C18339" s="3" t="s">
        <v>10</v>
      </c>
      <c r="D18339" s="3" t="s">
        <v>9</v>
      </c>
      <c r="E18339" s="3">
        <v>0</v>
      </c>
      <c r="F18339" s="3">
        <v>0</v>
      </c>
      <c r="G18339" s="3">
        <v>0</v>
      </c>
      <c r="H18339" s="3">
        <v>31</v>
      </c>
      <c r="I18339" s="3">
        <v>0</v>
      </c>
      <c r="J18339" s="3">
        <v>0</v>
      </c>
      <c r="K18339" s="3">
        <v>0</v>
      </c>
      <c r="L18339" s="3">
        <v>0</v>
      </c>
      <c r="M18339" s="3">
        <v>31</v>
      </c>
      <c r="N18339" s="3">
        <v>0</v>
      </c>
      <c r="O18339" s="3" t="s">
        <v>10</v>
      </c>
      <c r="P18339" s="3" t="s">
        <v>9</v>
      </c>
      <c r="Q18339" s="3"/>
    </row>
    <row r="18340" spans="1:17" ht="15" x14ac:dyDescent="0.25">
      <c r="A18340" s="3">
        <f>18333</f>
        <v>18333</v>
      </c>
      <c r="B18340" s="3" t="s">
        <v>18342</v>
      </c>
      <c r="C18340" s="3" t="s">
        <v>10</v>
      </c>
      <c r="D18340" s="3" t="s">
        <v>9</v>
      </c>
      <c r="E18340" s="3">
        <v>0</v>
      </c>
      <c r="F18340" s="3">
        <v>0</v>
      </c>
      <c r="G18340" s="3">
        <v>0</v>
      </c>
      <c r="H18340" s="3">
        <v>31</v>
      </c>
      <c r="I18340" s="3">
        <v>0</v>
      </c>
      <c r="J18340" s="3">
        <v>0</v>
      </c>
      <c r="K18340" s="3">
        <v>0</v>
      </c>
      <c r="L18340" s="3">
        <v>0</v>
      </c>
      <c r="M18340" s="3">
        <v>31</v>
      </c>
      <c r="N18340" s="3">
        <v>0</v>
      </c>
      <c r="O18340" s="3" t="s">
        <v>10</v>
      </c>
      <c r="P18340" s="3" t="s">
        <v>9</v>
      </c>
      <c r="Q18340" s="3"/>
    </row>
    <row r="18341" spans="1:17" ht="15" x14ac:dyDescent="0.25">
      <c r="A18341" s="3">
        <f>18334</f>
        <v>18334</v>
      </c>
      <c r="B18341" s="3" t="s">
        <v>18343</v>
      </c>
      <c r="C18341" s="3" t="s">
        <v>10</v>
      </c>
      <c r="D18341" s="3" t="s">
        <v>9</v>
      </c>
      <c r="E18341" s="3">
        <v>0</v>
      </c>
      <c r="F18341" s="3">
        <v>0</v>
      </c>
      <c r="G18341" s="3">
        <v>0</v>
      </c>
      <c r="H18341" s="3">
        <v>31</v>
      </c>
      <c r="I18341" s="3">
        <v>0</v>
      </c>
      <c r="J18341" s="3">
        <v>0</v>
      </c>
      <c r="K18341" s="3">
        <v>0</v>
      </c>
      <c r="L18341" s="3">
        <v>0</v>
      </c>
      <c r="M18341" s="3">
        <v>31</v>
      </c>
      <c r="N18341" s="3">
        <v>0</v>
      </c>
      <c r="O18341" s="3" t="s">
        <v>10</v>
      </c>
      <c r="P18341" s="3" t="s">
        <v>9</v>
      </c>
      <c r="Q18341" s="3"/>
    </row>
    <row r="18342" spans="1:17" ht="15" x14ac:dyDescent="0.25">
      <c r="A18342" s="3">
        <f>18335</f>
        <v>18335</v>
      </c>
      <c r="B18342" s="3" t="s">
        <v>18344</v>
      </c>
      <c r="C18342" s="3" t="s">
        <v>10</v>
      </c>
      <c r="D18342" s="3" t="s">
        <v>9</v>
      </c>
      <c r="E18342" s="3">
        <v>0</v>
      </c>
      <c r="F18342" s="3">
        <v>0</v>
      </c>
      <c r="G18342" s="3">
        <v>0</v>
      </c>
      <c r="H18342" s="3">
        <v>31</v>
      </c>
      <c r="I18342" s="3">
        <v>0</v>
      </c>
      <c r="J18342" s="3">
        <v>0</v>
      </c>
      <c r="K18342" s="3">
        <v>0</v>
      </c>
      <c r="L18342" s="3">
        <v>0</v>
      </c>
      <c r="M18342" s="3">
        <v>31</v>
      </c>
      <c r="N18342" s="3">
        <v>0</v>
      </c>
      <c r="O18342" s="3" t="s">
        <v>10</v>
      </c>
      <c r="P18342" s="3" t="s">
        <v>9</v>
      </c>
      <c r="Q18342" s="3"/>
    </row>
    <row r="18343" spans="1:17" ht="15" x14ac:dyDescent="0.25">
      <c r="A18343" s="3">
        <f>18336</f>
        <v>18336</v>
      </c>
      <c r="B18343" s="3" t="s">
        <v>18345</v>
      </c>
      <c r="C18343" s="3" t="s">
        <v>10</v>
      </c>
      <c r="D18343" s="3" t="s">
        <v>9</v>
      </c>
      <c r="E18343" s="3">
        <v>0</v>
      </c>
      <c r="F18343" s="3">
        <v>0</v>
      </c>
      <c r="G18343" s="3">
        <v>0</v>
      </c>
      <c r="H18343" s="3">
        <v>31</v>
      </c>
      <c r="I18343" s="3">
        <v>0</v>
      </c>
      <c r="J18343" s="3">
        <v>0</v>
      </c>
      <c r="K18343" s="3">
        <v>0</v>
      </c>
      <c r="L18343" s="3">
        <v>0</v>
      </c>
      <c r="M18343" s="3">
        <v>31</v>
      </c>
      <c r="N18343" s="3">
        <v>0</v>
      </c>
      <c r="O18343" s="3" t="s">
        <v>10</v>
      </c>
      <c r="P18343" s="3" t="s">
        <v>9</v>
      </c>
      <c r="Q18343" s="3"/>
    </row>
    <row r="18344" spans="1:17" ht="15" x14ac:dyDescent="0.25">
      <c r="A18344" s="3">
        <f>18337</f>
        <v>18337</v>
      </c>
      <c r="B18344" s="3" t="s">
        <v>18346</v>
      </c>
      <c r="C18344" s="3" t="s">
        <v>10</v>
      </c>
      <c r="D18344" s="3" t="s">
        <v>9</v>
      </c>
      <c r="E18344" s="3">
        <v>0</v>
      </c>
      <c r="F18344" s="3">
        <v>0</v>
      </c>
      <c r="G18344" s="3">
        <v>0</v>
      </c>
      <c r="H18344" s="3">
        <v>31</v>
      </c>
      <c r="I18344" s="3">
        <v>0</v>
      </c>
      <c r="J18344" s="3">
        <v>0</v>
      </c>
      <c r="K18344" s="3">
        <v>0</v>
      </c>
      <c r="L18344" s="3">
        <v>0</v>
      </c>
      <c r="M18344" s="3">
        <v>31</v>
      </c>
      <c r="N18344" s="3">
        <v>0</v>
      </c>
      <c r="O18344" s="3" t="s">
        <v>10</v>
      </c>
      <c r="P18344" s="3" t="s">
        <v>9</v>
      </c>
      <c r="Q18344" s="3"/>
    </row>
    <row r="18345" spans="1:17" ht="15" x14ac:dyDescent="0.25">
      <c r="A18345" s="3">
        <f>18338</f>
        <v>18338</v>
      </c>
      <c r="B18345" s="3" t="s">
        <v>18347</v>
      </c>
      <c r="C18345" s="3" t="s">
        <v>10</v>
      </c>
      <c r="D18345" s="3" t="s">
        <v>9</v>
      </c>
      <c r="E18345" s="3">
        <v>0</v>
      </c>
      <c r="F18345" s="3">
        <v>0</v>
      </c>
      <c r="G18345" s="3">
        <v>0</v>
      </c>
      <c r="H18345" s="3">
        <v>31</v>
      </c>
      <c r="I18345" s="3">
        <v>0</v>
      </c>
      <c r="J18345" s="3">
        <v>0</v>
      </c>
      <c r="K18345" s="3">
        <v>0</v>
      </c>
      <c r="L18345" s="3">
        <v>0</v>
      </c>
      <c r="M18345" s="3">
        <v>31</v>
      </c>
      <c r="N18345" s="3">
        <v>0</v>
      </c>
      <c r="O18345" s="3" t="s">
        <v>10</v>
      </c>
      <c r="P18345" s="3" t="s">
        <v>9</v>
      </c>
      <c r="Q18345" s="3"/>
    </row>
    <row r="18346" spans="1:17" ht="15" x14ac:dyDescent="0.25">
      <c r="A18346" s="3">
        <f>18339</f>
        <v>18339</v>
      </c>
      <c r="B18346" s="3" t="s">
        <v>18348</v>
      </c>
      <c r="C18346" s="3" t="s">
        <v>10</v>
      </c>
      <c r="D18346" s="3" t="s">
        <v>9</v>
      </c>
      <c r="E18346" s="3">
        <v>0</v>
      </c>
      <c r="F18346" s="3">
        <v>0</v>
      </c>
      <c r="G18346" s="3">
        <v>0</v>
      </c>
      <c r="H18346" s="3">
        <v>31</v>
      </c>
      <c r="I18346" s="3">
        <v>0</v>
      </c>
      <c r="J18346" s="3">
        <v>0</v>
      </c>
      <c r="K18346" s="3">
        <v>0</v>
      </c>
      <c r="L18346" s="3">
        <v>0</v>
      </c>
      <c r="M18346" s="3">
        <v>31</v>
      </c>
      <c r="N18346" s="3">
        <v>0</v>
      </c>
      <c r="O18346" s="3" t="s">
        <v>10</v>
      </c>
      <c r="P18346" s="3" t="s">
        <v>9</v>
      </c>
      <c r="Q18346" s="3"/>
    </row>
    <row r="18347" spans="1:17" ht="15" x14ac:dyDescent="0.25">
      <c r="A18347" s="3">
        <f>18340</f>
        <v>18340</v>
      </c>
      <c r="B18347" s="3" t="s">
        <v>18349</v>
      </c>
      <c r="C18347" s="3" t="s">
        <v>10</v>
      </c>
      <c r="D18347" s="3" t="s">
        <v>9</v>
      </c>
      <c r="E18347" s="3">
        <v>0</v>
      </c>
      <c r="F18347" s="3">
        <v>0</v>
      </c>
      <c r="G18347" s="3">
        <v>0</v>
      </c>
      <c r="H18347" s="3">
        <v>31</v>
      </c>
      <c r="I18347" s="3">
        <v>0</v>
      </c>
      <c r="J18347" s="3">
        <v>0</v>
      </c>
      <c r="K18347" s="3">
        <v>0</v>
      </c>
      <c r="L18347" s="3">
        <v>0</v>
      </c>
      <c r="M18347" s="3">
        <v>31</v>
      </c>
      <c r="N18347" s="3">
        <v>0</v>
      </c>
      <c r="O18347" s="3" t="s">
        <v>10</v>
      </c>
      <c r="P18347" s="3" t="s">
        <v>9</v>
      </c>
      <c r="Q18347" s="3"/>
    </row>
    <row r="18348" spans="1:17" ht="15" x14ac:dyDescent="0.25">
      <c r="A18348" s="3">
        <f>18341</f>
        <v>18341</v>
      </c>
      <c r="B18348" s="3" t="s">
        <v>18350</v>
      </c>
      <c r="C18348" s="3" t="s">
        <v>10</v>
      </c>
      <c r="D18348" s="3" t="s">
        <v>9</v>
      </c>
      <c r="E18348" s="3">
        <v>0</v>
      </c>
      <c r="F18348" s="3">
        <v>0</v>
      </c>
      <c r="G18348" s="3">
        <v>0</v>
      </c>
      <c r="H18348" s="3">
        <v>31</v>
      </c>
      <c r="I18348" s="3">
        <v>0</v>
      </c>
      <c r="J18348" s="3">
        <v>0</v>
      </c>
      <c r="K18348" s="3">
        <v>0</v>
      </c>
      <c r="L18348" s="3">
        <v>0</v>
      </c>
      <c r="M18348" s="3">
        <v>31</v>
      </c>
      <c r="N18348" s="3">
        <v>0</v>
      </c>
      <c r="O18348" s="3" t="s">
        <v>10</v>
      </c>
      <c r="P18348" s="3" t="s">
        <v>9</v>
      </c>
      <c r="Q18348" s="3"/>
    </row>
    <row r="18349" spans="1:17" ht="15" x14ac:dyDescent="0.25">
      <c r="A18349" s="3">
        <f>18342</f>
        <v>18342</v>
      </c>
      <c r="B18349" s="3" t="s">
        <v>18351</v>
      </c>
      <c r="C18349" s="3" t="s">
        <v>10</v>
      </c>
      <c r="D18349" s="3" t="s">
        <v>9</v>
      </c>
      <c r="E18349" s="3">
        <v>0</v>
      </c>
      <c r="F18349" s="3">
        <v>0</v>
      </c>
      <c r="G18349" s="3">
        <v>0</v>
      </c>
      <c r="H18349" s="3">
        <v>31</v>
      </c>
      <c r="I18349" s="3">
        <v>0</v>
      </c>
      <c r="J18349" s="3">
        <v>0</v>
      </c>
      <c r="K18349" s="3">
        <v>0</v>
      </c>
      <c r="L18349" s="3">
        <v>0</v>
      </c>
      <c r="M18349" s="3">
        <v>31</v>
      </c>
      <c r="N18349" s="3">
        <v>0</v>
      </c>
      <c r="O18349" s="3" t="s">
        <v>10</v>
      </c>
      <c r="P18349" s="3" t="s">
        <v>9</v>
      </c>
      <c r="Q18349" s="3"/>
    </row>
    <row r="18350" spans="1:17" ht="15" x14ac:dyDescent="0.25">
      <c r="A18350" s="3">
        <f>18343</f>
        <v>18343</v>
      </c>
      <c r="B18350" s="3" t="s">
        <v>18352</v>
      </c>
      <c r="C18350" s="3" t="s">
        <v>10</v>
      </c>
      <c r="D18350" s="3" t="s">
        <v>9</v>
      </c>
      <c r="E18350" s="3">
        <v>0</v>
      </c>
      <c r="F18350" s="3">
        <v>0</v>
      </c>
      <c r="G18350" s="3">
        <v>0</v>
      </c>
      <c r="H18350" s="3">
        <v>31</v>
      </c>
      <c r="I18350" s="3">
        <v>0</v>
      </c>
      <c r="J18350" s="3">
        <v>0</v>
      </c>
      <c r="K18350" s="3">
        <v>0</v>
      </c>
      <c r="L18350" s="3">
        <v>0</v>
      </c>
      <c r="M18350" s="3">
        <v>31</v>
      </c>
      <c r="N18350" s="3">
        <v>0</v>
      </c>
      <c r="O18350" s="3" t="s">
        <v>10</v>
      </c>
      <c r="P18350" s="3" t="s">
        <v>9</v>
      </c>
      <c r="Q18350" s="3"/>
    </row>
    <row r="18351" spans="1:17" ht="15" x14ac:dyDescent="0.25">
      <c r="A18351" s="3">
        <f>18344</f>
        <v>18344</v>
      </c>
      <c r="B18351" s="3" t="s">
        <v>18353</v>
      </c>
      <c r="C18351" s="3" t="s">
        <v>10</v>
      </c>
      <c r="D18351" s="3" t="s">
        <v>9</v>
      </c>
      <c r="E18351" s="3">
        <v>0</v>
      </c>
      <c r="F18351" s="3">
        <v>0</v>
      </c>
      <c r="G18351" s="3">
        <v>0</v>
      </c>
      <c r="H18351" s="3">
        <v>31</v>
      </c>
      <c r="I18351" s="3">
        <v>0</v>
      </c>
      <c r="J18351" s="3">
        <v>0</v>
      </c>
      <c r="K18351" s="3">
        <v>0</v>
      </c>
      <c r="L18351" s="3">
        <v>0</v>
      </c>
      <c r="M18351" s="3">
        <v>31</v>
      </c>
      <c r="N18351" s="3">
        <v>0</v>
      </c>
      <c r="O18351" s="3" t="s">
        <v>10</v>
      </c>
      <c r="P18351" s="3" t="s">
        <v>9</v>
      </c>
      <c r="Q18351" s="3"/>
    </row>
    <row r="18352" spans="1:17" ht="15" x14ac:dyDescent="0.25">
      <c r="A18352" s="3">
        <f>18345</f>
        <v>18345</v>
      </c>
      <c r="B18352" s="3" t="s">
        <v>18354</v>
      </c>
      <c r="C18352" s="3" t="s">
        <v>10</v>
      </c>
      <c r="D18352" s="3" t="s">
        <v>9</v>
      </c>
      <c r="E18352" s="3">
        <v>0</v>
      </c>
      <c r="F18352" s="3">
        <v>0</v>
      </c>
      <c r="G18352" s="3">
        <v>0</v>
      </c>
      <c r="H18352" s="3">
        <v>31</v>
      </c>
      <c r="I18352" s="3">
        <v>0</v>
      </c>
      <c r="J18352" s="3">
        <v>0</v>
      </c>
      <c r="K18352" s="3">
        <v>0</v>
      </c>
      <c r="L18352" s="3">
        <v>0</v>
      </c>
      <c r="M18352" s="3">
        <v>31</v>
      </c>
      <c r="N18352" s="3">
        <v>0</v>
      </c>
      <c r="O18352" s="3" t="s">
        <v>10</v>
      </c>
      <c r="P18352" s="3" t="s">
        <v>9</v>
      </c>
      <c r="Q18352" s="3"/>
    </row>
    <row r="18353" spans="1:17" ht="15" x14ac:dyDescent="0.25">
      <c r="A18353" s="3">
        <f>18346</f>
        <v>18346</v>
      </c>
      <c r="B18353" s="3" t="s">
        <v>18355</v>
      </c>
      <c r="C18353" s="3" t="s">
        <v>10</v>
      </c>
      <c r="D18353" s="3" t="s">
        <v>9</v>
      </c>
      <c r="E18353" s="3">
        <v>0</v>
      </c>
      <c r="F18353" s="3">
        <v>0</v>
      </c>
      <c r="G18353" s="3">
        <v>0</v>
      </c>
      <c r="H18353" s="3">
        <v>31</v>
      </c>
      <c r="I18353" s="3">
        <v>0</v>
      </c>
      <c r="J18353" s="3">
        <v>0</v>
      </c>
      <c r="K18353" s="3">
        <v>0</v>
      </c>
      <c r="L18353" s="3">
        <v>0</v>
      </c>
      <c r="M18353" s="3">
        <v>31</v>
      </c>
      <c r="N18353" s="3">
        <v>0</v>
      </c>
      <c r="O18353" s="3" t="s">
        <v>10</v>
      </c>
      <c r="P18353" s="3" t="s">
        <v>9</v>
      </c>
      <c r="Q18353" s="3"/>
    </row>
    <row r="18354" spans="1:17" ht="15" x14ac:dyDescent="0.25">
      <c r="A18354" s="3">
        <f>18347</f>
        <v>18347</v>
      </c>
      <c r="B18354" s="3" t="s">
        <v>18356</v>
      </c>
      <c r="C18354" s="3" t="s">
        <v>10</v>
      </c>
      <c r="D18354" s="3" t="s">
        <v>9</v>
      </c>
      <c r="E18354" s="3">
        <v>0</v>
      </c>
      <c r="F18354" s="3">
        <v>0</v>
      </c>
      <c r="G18354" s="3">
        <v>0</v>
      </c>
      <c r="H18354" s="3">
        <v>31</v>
      </c>
      <c r="I18354" s="3">
        <v>0</v>
      </c>
      <c r="J18354" s="3">
        <v>0</v>
      </c>
      <c r="K18354" s="3">
        <v>0</v>
      </c>
      <c r="L18354" s="3">
        <v>0</v>
      </c>
      <c r="M18354" s="3">
        <v>31</v>
      </c>
      <c r="N18354" s="3">
        <v>0</v>
      </c>
      <c r="O18354" s="3" t="s">
        <v>10</v>
      </c>
      <c r="P18354" s="3" t="s">
        <v>9</v>
      </c>
      <c r="Q18354" s="3"/>
    </row>
    <row r="18355" spans="1:17" ht="15" x14ac:dyDescent="0.25">
      <c r="A18355" s="3">
        <f>18348</f>
        <v>18348</v>
      </c>
      <c r="B18355" s="3" t="s">
        <v>18357</v>
      </c>
      <c r="C18355" s="3" t="s">
        <v>10</v>
      </c>
      <c r="D18355" s="3" t="s">
        <v>9</v>
      </c>
      <c r="E18355" s="3">
        <v>0</v>
      </c>
      <c r="F18355" s="3">
        <v>0</v>
      </c>
      <c r="G18355" s="3">
        <v>0</v>
      </c>
      <c r="H18355" s="3">
        <v>31</v>
      </c>
      <c r="I18355" s="3">
        <v>0</v>
      </c>
      <c r="J18355" s="3">
        <v>0</v>
      </c>
      <c r="K18355" s="3">
        <v>0</v>
      </c>
      <c r="L18355" s="3">
        <v>0</v>
      </c>
      <c r="M18355" s="3">
        <v>31</v>
      </c>
      <c r="N18355" s="3">
        <v>0</v>
      </c>
      <c r="O18355" s="3" t="s">
        <v>10</v>
      </c>
      <c r="P18355" s="3" t="s">
        <v>9</v>
      </c>
      <c r="Q18355" s="3"/>
    </row>
    <row r="18356" spans="1:17" ht="15" x14ac:dyDescent="0.25">
      <c r="A18356" s="3">
        <f>18349</f>
        <v>18349</v>
      </c>
      <c r="B18356" s="3" t="s">
        <v>18358</v>
      </c>
      <c r="C18356" s="3" t="s">
        <v>10</v>
      </c>
      <c r="D18356" s="3" t="s">
        <v>9</v>
      </c>
      <c r="E18356" s="3">
        <v>0</v>
      </c>
      <c r="F18356" s="3">
        <v>0</v>
      </c>
      <c r="G18356" s="3">
        <v>0</v>
      </c>
      <c r="H18356" s="3">
        <v>31</v>
      </c>
      <c r="I18356" s="3">
        <v>0</v>
      </c>
      <c r="J18356" s="3">
        <v>0</v>
      </c>
      <c r="K18356" s="3">
        <v>0</v>
      </c>
      <c r="L18356" s="3">
        <v>0</v>
      </c>
      <c r="M18356" s="3">
        <v>31</v>
      </c>
      <c r="N18356" s="3">
        <v>0</v>
      </c>
      <c r="O18356" s="3" t="s">
        <v>10</v>
      </c>
      <c r="P18356" s="3" t="s">
        <v>9</v>
      </c>
      <c r="Q18356" s="3"/>
    </row>
    <row r="18357" spans="1:17" ht="15" x14ac:dyDescent="0.25">
      <c r="A18357" s="3">
        <f>18350</f>
        <v>18350</v>
      </c>
      <c r="B18357" s="3" t="s">
        <v>18359</v>
      </c>
      <c r="C18357" s="3" t="s">
        <v>10</v>
      </c>
      <c r="D18357" s="3" t="s">
        <v>9</v>
      </c>
      <c r="E18357" s="3">
        <v>0</v>
      </c>
      <c r="F18357" s="3">
        <v>0</v>
      </c>
      <c r="G18357" s="3">
        <v>0</v>
      </c>
      <c r="H18357" s="3">
        <v>31</v>
      </c>
      <c r="I18357" s="3">
        <v>0</v>
      </c>
      <c r="J18357" s="3">
        <v>0</v>
      </c>
      <c r="K18357" s="3">
        <v>0</v>
      </c>
      <c r="L18357" s="3">
        <v>0</v>
      </c>
      <c r="M18357" s="3">
        <v>31</v>
      </c>
      <c r="N18357" s="3">
        <v>0</v>
      </c>
      <c r="O18357" s="3" t="s">
        <v>10</v>
      </c>
      <c r="P18357" s="3" t="s">
        <v>9</v>
      </c>
      <c r="Q18357" s="3"/>
    </row>
    <row r="18358" spans="1:17" ht="15" x14ac:dyDescent="0.25">
      <c r="A18358" s="3">
        <f>18351</f>
        <v>18351</v>
      </c>
      <c r="B18358" s="3" t="s">
        <v>18360</v>
      </c>
      <c r="C18358" s="3" t="s">
        <v>10</v>
      </c>
      <c r="D18358" s="3" t="s">
        <v>9</v>
      </c>
      <c r="E18358" s="3">
        <v>0</v>
      </c>
      <c r="F18358" s="3">
        <v>0</v>
      </c>
      <c r="G18358" s="3">
        <v>0</v>
      </c>
      <c r="H18358" s="3">
        <v>31</v>
      </c>
      <c r="I18358" s="3">
        <v>0</v>
      </c>
      <c r="J18358" s="3">
        <v>0</v>
      </c>
      <c r="K18358" s="3">
        <v>0</v>
      </c>
      <c r="L18358" s="3">
        <v>0</v>
      </c>
      <c r="M18358" s="3">
        <v>31</v>
      </c>
      <c r="N18358" s="3">
        <v>0</v>
      </c>
      <c r="O18358" s="3" t="s">
        <v>10</v>
      </c>
      <c r="P18358" s="3" t="s">
        <v>9</v>
      </c>
      <c r="Q18358" s="3"/>
    </row>
    <row r="18359" spans="1:17" ht="15" x14ac:dyDescent="0.25">
      <c r="A18359" s="3">
        <f>18352</f>
        <v>18352</v>
      </c>
      <c r="B18359" s="3" t="s">
        <v>18361</v>
      </c>
      <c r="C18359" s="3" t="s">
        <v>10</v>
      </c>
      <c r="D18359" s="3" t="s">
        <v>9</v>
      </c>
      <c r="E18359" s="3">
        <v>0</v>
      </c>
      <c r="F18359" s="3">
        <v>0</v>
      </c>
      <c r="G18359" s="3">
        <v>0</v>
      </c>
      <c r="H18359" s="3">
        <v>31</v>
      </c>
      <c r="I18359" s="3">
        <v>0</v>
      </c>
      <c r="J18359" s="3">
        <v>0</v>
      </c>
      <c r="K18359" s="3">
        <v>0</v>
      </c>
      <c r="L18359" s="3">
        <v>0</v>
      </c>
      <c r="M18359" s="3">
        <v>31</v>
      </c>
      <c r="N18359" s="3">
        <v>0</v>
      </c>
      <c r="O18359" s="3" t="s">
        <v>10</v>
      </c>
      <c r="P18359" s="3" t="s">
        <v>9</v>
      </c>
      <c r="Q18359" s="3"/>
    </row>
    <row r="18360" spans="1:17" ht="15" x14ac:dyDescent="0.25">
      <c r="A18360" s="3">
        <f>18353</f>
        <v>18353</v>
      </c>
      <c r="B18360" s="3" t="s">
        <v>18362</v>
      </c>
      <c r="C18360" s="3" t="s">
        <v>10</v>
      </c>
      <c r="D18360" s="3" t="s">
        <v>9</v>
      </c>
      <c r="E18360" s="3">
        <v>0</v>
      </c>
      <c r="F18360" s="3">
        <v>0</v>
      </c>
      <c r="G18360" s="3">
        <v>0</v>
      </c>
      <c r="H18360" s="3">
        <v>31</v>
      </c>
      <c r="I18360" s="3">
        <v>0</v>
      </c>
      <c r="J18360" s="3">
        <v>0</v>
      </c>
      <c r="K18360" s="3">
        <v>0</v>
      </c>
      <c r="L18360" s="3">
        <v>0</v>
      </c>
      <c r="M18360" s="3">
        <v>31</v>
      </c>
      <c r="N18360" s="3">
        <v>0</v>
      </c>
      <c r="O18360" s="3" t="s">
        <v>10</v>
      </c>
      <c r="P18360" s="3" t="s">
        <v>9</v>
      </c>
      <c r="Q18360" s="3"/>
    </row>
    <row r="18361" spans="1:17" ht="15" x14ac:dyDescent="0.25">
      <c r="A18361" s="3">
        <f>18354</f>
        <v>18354</v>
      </c>
      <c r="B18361" s="3" t="s">
        <v>18363</v>
      </c>
      <c r="C18361" s="3" t="s">
        <v>10</v>
      </c>
      <c r="D18361" s="3" t="s">
        <v>9</v>
      </c>
      <c r="E18361" s="3">
        <v>0</v>
      </c>
      <c r="F18361" s="3">
        <v>0</v>
      </c>
      <c r="G18361" s="3">
        <v>0</v>
      </c>
      <c r="H18361" s="3">
        <v>31</v>
      </c>
      <c r="I18361" s="3">
        <v>0</v>
      </c>
      <c r="J18361" s="3">
        <v>0</v>
      </c>
      <c r="K18361" s="3">
        <v>0</v>
      </c>
      <c r="L18361" s="3">
        <v>0</v>
      </c>
      <c r="M18361" s="3">
        <v>31</v>
      </c>
      <c r="N18361" s="3">
        <v>0</v>
      </c>
      <c r="O18361" s="3" t="s">
        <v>10</v>
      </c>
      <c r="P18361" s="3" t="s">
        <v>9</v>
      </c>
      <c r="Q18361" s="3"/>
    </row>
    <row r="18362" spans="1:17" ht="15" x14ac:dyDescent="0.25">
      <c r="A18362" s="3">
        <f>18355</f>
        <v>18355</v>
      </c>
      <c r="B18362" s="3" t="s">
        <v>18364</v>
      </c>
      <c r="C18362" s="3" t="s">
        <v>10</v>
      </c>
      <c r="D18362" s="3" t="s">
        <v>9</v>
      </c>
      <c r="E18362" s="3">
        <v>0</v>
      </c>
      <c r="F18362" s="3">
        <v>0</v>
      </c>
      <c r="G18362" s="3">
        <v>0</v>
      </c>
      <c r="H18362" s="3">
        <v>31</v>
      </c>
      <c r="I18362" s="3">
        <v>0</v>
      </c>
      <c r="J18362" s="3">
        <v>0</v>
      </c>
      <c r="K18362" s="3">
        <v>0</v>
      </c>
      <c r="L18362" s="3">
        <v>0</v>
      </c>
      <c r="M18362" s="3">
        <v>31</v>
      </c>
      <c r="N18362" s="3">
        <v>0</v>
      </c>
      <c r="O18362" s="3" t="s">
        <v>10</v>
      </c>
      <c r="P18362" s="3" t="s">
        <v>9</v>
      </c>
      <c r="Q18362" s="3"/>
    </row>
    <row r="18363" spans="1:17" ht="15" x14ac:dyDescent="0.25">
      <c r="A18363" s="3">
        <f>18356</f>
        <v>18356</v>
      </c>
      <c r="B18363" s="3" t="s">
        <v>18365</v>
      </c>
      <c r="C18363" s="3" t="s">
        <v>10</v>
      </c>
      <c r="D18363" s="3" t="s">
        <v>9</v>
      </c>
      <c r="E18363" s="3">
        <v>0</v>
      </c>
      <c r="F18363" s="3">
        <v>0</v>
      </c>
      <c r="G18363" s="3">
        <v>0</v>
      </c>
      <c r="H18363" s="3">
        <v>31</v>
      </c>
      <c r="I18363" s="3">
        <v>0</v>
      </c>
      <c r="J18363" s="3">
        <v>0</v>
      </c>
      <c r="K18363" s="3">
        <v>0</v>
      </c>
      <c r="L18363" s="3">
        <v>0</v>
      </c>
      <c r="M18363" s="3">
        <v>31</v>
      </c>
      <c r="N18363" s="3">
        <v>0</v>
      </c>
      <c r="O18363" s="3" t="s">
        <v>10</v>
      </c>
      <c r="P18363" s="3" t="s">
        <v>9</v>
      </c>
      <c r="Q18363" s="3"/>
    </row>
    <row r="18364" spans="1:17" ht="15" x14ac:dyDescent="0.25">
      <c r="A18364" s="3">
        <f>18357</f>
        <v>18357</v>
      </c>
      <c r="B18364" s="3" t="s">
        <v>18366</v>
      </c>
      <c r="C18364" s="3" t="s">
        <v>10</v>
      </c>
      <c r="D18364" s="3" t="s">
        <v>9</v>
      </c>
      <c r="E18364" s="3">
        <v>0</v>
      </c>
      <c r="F18364" s="3">
        <v>0</v>
      </c>
      <c r="G18364" s="3">
        <v>0</v>
      </c>
      <c r="H18364" s="3">
        <v>31</v>
      </c>
      <c r="I18364" s="3">
        <v>0</v>
      </c>
      <c r="J18364" s="3">
        <v>0</v>
      </c>
      <c r="K18364" s="3">
        <v>0</v>
      </c>
      <c r="L18364" s="3">
        <v>0</v>
      </c>
      <c r="M18364" s="3">
        <v>31</v>
      </c>
      <c r="N18364" s="3">
        <v>0</v>
      </c>
      <c r="O18364" s="3" t="s">
        <v>10</v>
      </c>
      <c r="P18364" s="3" t="s">
        <v>9</v>
      </c>
      <c r="Q18364" s="3"/>
    </row>
    <row r="18365" spans="1:17" ht="15" x14ac:dyDescent="0.25">
      <c r="A18365" s="3">
        <f>18358</f>
        <v>18358</v>
      </c>
      <c r="B18365" s="3" t="s">
        <v>18367</v>
      </c>
      <c r="C18365" s="3" t="s">
        <v>10</v>
      </c>
      <c r="D18365" s="3" t="s">
        <v>9</v>
      </c>
      <c r="E18365" s="3">
        <v>0</v>
      </c>
      <c r="F18365" s="3">
        <v>0</v>
      </c>
      <c r="G18365" s="3">
        <v>0</v>
      </c>
      <c r="H18365" s="3">
        <v>31</v>
      </c>
      <c r="I18365" s="3">
        <v>0</v>
      </c>
      <c r="J18365" s="3">
        <v>0</v>
      </c>
      <c r="K18365" s="3">
        <v>0</v>
      </c>
      <c r="L18365" s="3">
        <v>0</v>
      </c>
      <c r="M18365" s="3">
        <v>31</v>
      </c>
      <c r="N18365" s="3">
        <v>0</v>
      </c>
      <c r="O18365" s="3" t="s">
        <v>10</v>
      </c>
      <c r="P18365" s="3" t="s">
        <v>9</v>
      </c>
      <c r="Q18365" s="3"/>
    </row>
    <row r="18366" spans="1:17" ht="15" x14ac:dyDescent="0.25">
      <c r="A18366" s="3">
        <f>18359</f>
        <v>18359</v>
      </c>
      <c r="B18366" s="3" t="s">
        <v>18368</v>
      </c>
      <c r="C18366" s="3" t="s">
        <v>10</v>
      </c>
      <c r="D18366" s="3" t="s">
        <v>9</v>
      </c>
      <c r="E18366" s="3">
        <v>0</v>
      </c>
      <c r="F18366" s="3">
        <v>0</v>
      </c>
      <c r="G18366" s="3">
        <v>0</v>
      </c>
      <c r="H18366" s="3">
        <v>31</v>
      </c>
      <c r="I18366" s="3">
        <v>0</v>
      </c>
      <c r="J18366" s="3">
        <v>0</v>
      </c>
      <c r="K18366" s="3">
        <v>0</v>
      </c>
      <c r="L18366" s="3">
        <v>0</v>
      </c>
      <c r="M18366" s="3">
        <v>31</v>
      </c>
      <c r="N18366" s="3">
        <v>0</v>
      </c>
      <c r="O18366" s="3" t="s">
        <v>10</v>
      </c>
      <c r="P18366" s="3" t="s">
        <v>9</v>
      </c>
      <c r="Q18366" s="3"/>
    </row>
    <row r="18367" spans="1:17" ht="15" x14ac:dyDescent="0.25">
      <c r="A18367" s="3">
        <f>18360</f>
        <v>18360</v>
      </c>
      <c r="B18367" s="3" t="s">
        <v>18369</v>
      </c>
      <c r="C18367" s="3" t="s">
        <v>10</v>
      </c>
      <c r="D18367" s="3" t="s">
        <v>9</v>
      </c>
      <c r="E18367" s="3">
        <v>0</v>
      </c>
      <c r="F18367" s="3">
        <v>0</v>
      </c>
      <c r="G18367" s="3">
        <v>0</v>
      </c>
      <c r="H18367" s="3">
        <v>31</v>
      </c>
      <c r="I18367" s="3">
        <v>0</v>
      </c>
      <c r="J18367" s="3">
        <v>0</v>
      </c>
      <c r="K18367" s="3">
        <v>0</v>
      </c>
      <c r="L18367" s="3">
        <v>0</v>
      </c>
      <c r="M18367" s="3">
        <v>31</v>
      </c>
      <c r="N18367" s="3">
        <v>0</v>
      </c>
      <c r="O18367" s="3" t="s">
        <v>10</v>
      </c>
      <c r="P18367" s="3" t="s">
        <v>9</v>
      </c>
      <c r="Q18367" s="3"/>
    </row>
    <row r="18368" spans="1:17" ht="15" x14ac:dyDescent="0.25">
      <c r="A18368" s="3">
        <f>18361</f>
        <v>18361</v>
      </c>
      <c r="B18368" s="3" t="s">
        <v>18370</v>
      </c>
      <c r="C18368" s="3" t="s">
        <v>10</v>
      </c>
      <c r="D18368" s="3" t="s">
        <v>9</v>
      </c>
      <c r="E18368" s="3">
        <v>0</v>
      </c>
      <c r="F18368" s="3">
        <v>0</v>
      </c>
      <c r="G18368" s="3">
        <v>0</v>
      </c>
      <c r="H18368" s="3">
        <v>31</v>
      </c>
      <c r="I18368" s="3">
        <v>0</v>
      </c>
      <c r="J18368" s="3">
        <v>0</v>
      </c>
      <c r="K18368" s="3">
        <v>0</v>
      </c>
      <c r="L18368" s="3">
        <v>0</v>
      </c>
      <c r="M18368" s="3">
        <v>31</v>
      </c>
      <c r="N18368" s="3">
        <v>0</v>
      </c>
      <c r="O18368" s="3" t="s">
        <v>10</v>
      </c>
      <c r="P18368" s="3" t="s">
        <v>9</v>
      </c>
      <c r="Q18368" s="3"/>
    </row>
    <row r="18369" spans="1:17" ht="15" x14ac:dyDescent="0.25">
      <c r="A18369" s="3">
        <f>18362</f>
        <v>18362</v>
      </c>
      <c r="B18369" s="3" t="s">
        <v>18371</v>
      </c>
      <c r="C18369" s="3" t="s">
        <v>10</v>
      </c>
      <c r="D18369" s="3" t="s">
        <v>9</v>
      </c>
      <c r="E18369" s="3">
        <v>0</v>
      </c>
      <c r="F18369" s="3">
        <v>0</v>
      </c>
      <c r="G18369" s="3">
        <v>0</v>
      </c>
      <c r="H18369" s="3">
        <v>31</v>
      </c>
      <c r="I18369" s="3">
        <v>0</v>
      </c>
      <c r="J18369" s="3">
        <v>0</v>
      </c>
      <c r="K18369" s="3">
        <v>0</v>
      </c>
      <c r="L18369" s="3">
        <v>0</v>
      </c>
      <c r="M18369" s="3">
        <v>31</v>
      </c>
      <c r="N18369" s="3">
        <v>0</v>
      </c>
      <c r="O18369" s="3" t="s">
        <v>10</v>
      </c>
      <c r="P18369" s="3" t="s">
        <v>9</v>
      </c>
      <c r="Q18369" s="3"/>
    </row>
    <row r="18370" spans="1:17" ht="15" x14ac:dyDescent="0.25">
      <c r="A18370" s="3">
        <f>18363</f>
        <v>18363</v>
      </c>
      <c r="B18370" s="3" t="s">
        <v>18372</v>
      </c>
      <c r="C18370" s="3" t="s">
        <v>10</v>
      </c>
      <c r="D18370" s="3" t="s">
        <v>9</v>
      </c>
      <c r="E18370" s="3">
        <v>0</v>
      </c>
      <c r="F18370" s="3">
        <v>0</v>
      </c>
      <c r="G18370" s="3">
        <v>0</v>
      </c>
      <c r="H18370" s="3">
        <v>31</v>
      </c>
      <c r="I18370" s="3">
        <v>0</v>
      </c>
      <c r="J18370" s="3">
        <v>0</v>
      </c>
      <c r="K18370" s="3">
        <v>0</v>
      </c>
      <c r="L18370" s="3">
        <v>0</v>
      </c>
      <c r="M18370" s="3">
        <v>31</v>
      </c>
      <c r="N18370" s="3">
        <v>0</v>
      </c>
      <c r="O18370" s="3" t="s">
        <v>10</v>
      </c>
      <c r="P18370" s="3" t="s">
        <v>9</v>
      </c>
      <c r="Q18370" s="3"/>
    </row>
    <row r="18371" spans="1:17" ht="15" x14ac:dyDescent="0.25">
      <c r="A18371" s="3">
        <f>18364</f>
        <v>18364</v>
      </c>
      <c r="B18371" s="3" t="s">
        <v>18373</v>
      </c>
      <c r="C18371" s="3" t="s">
        <v>10</v>
      </c>
      <c r="D18371" s="3" t="s">
        <v>9</v>
      </c>
      <c r="E18371" s="3">
        <v>0</v>
      </c>
      <c r="F18371" s="3">
        <v>0</v>
      </c>
      <c r="G18371" s="3">
        <v>0</v>
      </c>
      <c r="H18371" s="3">
        <v>31</v>
      </c>
      <c r="I18371" s="3">
        <v>0</v>
      </c>
      <c r="J18371" s="3">
        <v>0</v>
      </c>
      <c r="K18371" s="3">
        <v>0</v>
      </c>
      <c r="L18371" s="3">
        <v>0</v>
      </c>
      <c r="M18371" s="3">
        <v>31</v>
      </c>
      <c r="N18371" s="3">
        <v>0</v>
      </c>
      <c r="O18371" s="3" t="s">
        <v>10</v>
      </c>
      <c r="P18371" s="3" t="s">
        <v>9</v>
      </c>
      <c r="Q18371" s="3"/>
    </row>
    <row r="18372" spans="1:17" ht="15" x14ac:dyDescent="0.25">
      <c r="A18372" s="3">
        <f>18365</f>
        <v>18365</v>
      </c>
      <c r="B18372" s="3" t="s">
        <v>18374</v>
      </c>
      <c r="C18372" s="3" t="s">
        <v>10</v>
      </c>
      <c r="D18372" s="3" t="s">
        <v>9</v>
      </c>
      <c r="E18372" s="3">
        <v>0</v>
      </c>
      <c r="F18372" s="3">
        <v>0</v>
      </c>
      <c r="G18372" s="3">
        <v>0</v>
      </c>
      <c r="H18372" s="3">
        <v>31</v>
      </c>
      <c r="I18372" s="3">
        <v>0</v>
      </c>
      <c r="J18372" s="3">
        <v>0</v>
      </c>
      <c r="K18372" s="3">
        <v>0</v>
      </c>
      <c r="L18372" s="3">
        <v>0</v>
      </c>
      <c r="M18372" s="3">
        <v>31</v>
      </c>
      <c r="N18372" s="3">
        <v>0</v>
      </c>
      <c r="O18372" s="3" t="s">
        <v>10</v>
      </c>
      <c r="P18372" s="3" t="s">
        <v>9</v>
      </c>
      <c r="Q18372" s="3"/>
    </row>
    <row r="18373" spans="1:17" ht="15" x14ac:dyDescent="0.25">
      <c r="A18373" s="3">
        <f>18366</f>
        <v>18366</v>
      </c>
      <c r="B18373" s="3" t="s">
        <v>18375</v>
      </c>
      <c r="C18373" s="3" t="s">
        <v>10</v>
      </c>
      <c r="D18373" s="3" t="s">
        <v>9</v>
      </c>
      <c r="E18373" s="3">
        <v>0</v>
      </c>
      <c r="F18373" s="3">
        <v>0</v>
      </c>
      <c r="G18373" s="3">
        <v>0</v>
      </c>
      <c r="H18373" s="3">
        <v>31</v>
      </c>
      <c r="I18373" s="3">
        <v>0</v>
      </c>
      <c r="J18373" s="3">
        <v>0</v>
      </c>
      <c r="K18373" s="3">
        <v>0</v>
      </c>
      <c r="L18373" s="3">
        <v>0</v>
      </c>
      <c r="M18373" s="3">
        <v>31</v>
      </c>
      <c r="N18373" s="3">
        <v>0</v>
      </c>
      <c r="O18373" s="3" t="s">
        <v>10</v>
      </c>
      <c r="P18373" s="3" t="s">
        <v>9</v>
      </c>
      <c r="Q18373" s="3"/>
    </row>
    <row r="18374" spans="1:17" ht="15" x14ac:dyDescent="0.25">
      <c r="A18374" s="3">
        <f>18367</f>
        <v>18367</v>
      </c>
      <c r="B18374" s="3" t="s">
        <v>18376</v>
      </c>
      <c r="C18374" s="3" t="s">
        <v>10</v>
      </c>
      <c r="D18374" s="3" t="s">
        <v>9</v>
      </c>
      <c r="E18374" s="3">
        <v>0</v>
      </c>
      <c r="F18374" s="3">
        <v>0</v>
      </c>
      <c r="G18374" s="3">
        <v>0</v>
      </c>
      <c r="H18374" s="3">
        <v>31</v>
      </c>
      <c r="I18374" s="3">
        <v>0</v>
      </c>
      <c r="J18374" s="3">
        <v>0</v>
      </c>
      <c r="K18374" s="3">
        <v>0</v>
      </c>
      <c r="L18374" s="3">
        <v>0</v>
      </c>
      <c r="M18374" s="3">
        <v>31</v>
      </c>
      <c r="N18374" s="3">
        <v>0</v>
      </c>
      <c r="O18374" s="3" t="s">
        <v>10</v>
      </c>
      <c r="P18374" s="3" t="s">
        <v>9</v>
      </c>
      <c r="Q18374" s="3"/>
    </row>
    <row r="18375" spans="1:17" ht="15" x14ac:dyDescent="0.25">
      <c r="A18375" s="3">
        <f>18368</f>
        <v>18368</v>
      </c>
      <c r="B18375" s="3" t="s">
        <v>18377</v>
      </c>
      <c r="C18375" s="3" t="s">
        <v>10</v>
      </c>
      <c r="D18375" s="3" t="s">
        <v>9</v>
      </c>
      <c r="E18375" s="3">
        <v>0</v>
      </c>
      <c r="F18375" s="3">
        <v>0</v>
      </c>
      <c r="G18375" s="3">
        <v>0</v>
      </c>
      <c r="H18375" s="3">
        <v>31</v>
      </c>
      <c r="I18375" s="3">
        <v>0</v>
      </c>
      <c r="J18375" s="3">
        <v>0</v>
      </c>
      <c r="K18375" s="3">
        <v>0</v>
      </c>
      <c r="L18375" s="3">
        <v>0</v>
      </c>
      <c r="M18375" s="3">
        <v>31</v>
      </c>
      <c r="N18375" s="3">
        <v>0</v>
      </c>
      <c r="O18375" s="3" t="s">
        <v>10</v>
      </c>
      <c r="P18375" s="3" t="s">
        <v>9</v>
      </c>
      <c r="Q18375" s="3"/>
    </row>
    <row r="18376" spans="1:17" ht="15" x14ac:dyDescent="0.25">
      <c r="A18376" s="3">
        <f>18369</f>
        <v>18369</v>
      </c>
      <c r="B18376" s="3" t="s">
        <v>18378</v>
      </c>
      <c r="C18376" s="3" t="s">
        <v>10</v>
      </c>
      <c r="D18376" s="3" t="s">
        <v>9</v>
      </c>
      <c r="E18376" s="3">
        <v>0</v>
      </c>
      <c r="F18376" s="3">
        <v>0</v>
      </c>
      <c r="G18376" s="3">
        <v>0</v>
      </c>
      <c r="H18376" s="3">
        <v>31</v>
      </c>
      <c r="I18376" s="3">
        <v>0</v>
      </c>
      <c r="J18376" s="3">
        <v>0</v>
      </c>
      <c r="K18376" s="3">
        <v>0</v>
      </c>
      <c r="L18376" s="3">
        <v>0</v>
      </c>
      <c r="M18376" s="3">
        <v>31</v>
      </c>
      <c r="N18376" s="3">
        <v>0</v>
      </c>
      <c r="O18376" s="3" t="s">
        <v>10</v>
      </c>
      <c r="P18376" s="3" t="s">
        <v>9</v>
      </c>
      <c r="Q18376" s="3"/>
    </row>
    <row r="18377" spans="1:17" ht="15" x14ac:dyDescent="0.25">
      <c r="A18377" s="3">
        <f>18370</f>
        <v>18370</v>
      </c>
      <c r="B18377" s="3" t="s">
        <v>18379</v>
      </c>
      <c r="C18377" s="3" t="s">
        <v>10</v>
      </c>
      <c r="D18377" s="3" t="s">
        <v>9</v>
      </c>
      <c r="E18377" s="3">
        <v>0</v>
      </c>
      <c r="F18377" s="3">
        <v>0</v>
      </c>
      <c r="G18377" s="3">
        <v>0</v>
      </c>
      <c r="H18377" s="3">
        <v>31</v>
      </c>
      <c r="I18377" s="3">
        <v>0</v>
      </c>
      <c r="J18377" s="3">
        <v>0</v>
      </c>
      <c r="K18377" s="3">
        <v>0</v>
      </c>
      <c r="L18377" s="3">
        <v>0</v>
      </c>
      <c r="M18377" s="3">
        <v>31</v>
      </c>
      <c r="N18377" s="3">
        <v>0</v>
      </c>
      <c r="O18377" s="3" t="s">
        <v>10</v>
      </c>
      <c r="P18377" s="3" t="s">
        <v>9</v>
      </c>
      <c r="Q18377" s="3"/>
    </row>
    <row r="18378" spans="1:17" ht="15" x14ac:dyDescent="0.25">
      <c r="A18378" s="3">
        <f>18371</f>
        <v>18371</v>
      </c>
      <c r="B18378" s="3" t="s">
        <v>18380</v>
      </c>
      <c r="C18378" s="3" t="s">
        <v>10</v>
      </c>
      <c r="D18378" s="3" t="s">
        <v>9</v>
      </c>
      <c r="E18378" s="3">
        <v>0</v>
      </c>
      <c r="F18378" s="3">
        <v>0</v>
      </c>
      <c r="G18378" s="3">
        <v>0</v>
      </c>
      <c r="H18378" s="3">
        <v>31</v>
      </c>
      <c r="I18378" s="3">
        <v>0</v>
      </c>
      <c r="J18378" s="3">
        <v>0</v>
      </c>
      <c r="K18378" s="3">
        <v>0</v>
      </c>
      <c r="L18378" s="3">
        <v>0</v>
      </c>
      <c r="M18378" s="3">
        <v>31</v>
      </c>
      <c r="N18378" s="3">
        <v>0</v>
      </c>
      <c r="O18378" s="3" t="s">
        <v>10</v>
      </c>
      <c r="P18378" s="3" t="s">
        <v>9</v>
      </c>
      <c r="Q18378" s="3"/>
    </row>
    <row r="18379" spans="1:17" ht="15" x14ac:dyDescent="0.25">
      <c r="A18379" s="3">
        <f>18372</f>
        <v>18372</v>
      </c>
      <c r="B18379" s="3" t="s">
        <v>18381</v>
      </c>
      <c r="C18379" s="3" t="s">
        <v>10</v>
      </c>
      <c r="D18379" s="3" t="s">
        <v>9</v>
      </c>
      <c r="E18379" s="3">
        <v>0</v>
      </c>
      <c r="F18379" s="3">
        <v>0</v>
      </c>
      <c r="G18379" s="3">
        <v>0</v>
      </c>
      <c r="H18379" s="3">
        <v>31</v>
      </c>
      <c r="I18379" s="3">
        <v>0</v>
      </c>
      <c r="J18379" s="3">
        <v>0</v>
      </c>
      <c r="K18379" s="3">
        <v>0</v>
      </c>
      <c r="L18379" s="3">
        <v>0</v>
      </c>
      <c r="M18379" s="3">
        <v>31</v>
      </c>
      <c r="N18379" s="3">
        <v>0</v>
      </c>
      <c r="O18379" s="3" t="s">
        <v>10</v>
      </c>
      <c r="P18379" s="3" t="s">
        <v>9</v>
      </c>
      <c r="Q18379" s="3"/>
    </row>
    <row r="18380" spans="1:17" ht="15" x14ac:dyDescent="0.25">
      <c r="A18380" s="3">
        <f>18373</f>
        <v>18373</v>
      </c>
      <c r="B18380" s="3" t="s">
        <v>18382</v>
      </c>
      <c r="C18380" s="3" t="s">
        <v>10</v>
      </c>
      <c r="D18380" s="3" t="s">
        <v>9</v>
      </c>
      <c r="E18380" s="3">
        <v>0</v>
      </c>
      <c r="F18380" s="3">
        <v>0</v>
      </c>
      <c r="G18380" s="3">
        <v>0</v>
      </c>
      <c r="H18380" s="3">
        <v>31</v>
      </c>
      <c r="I18380" s="3">
        <v>0</v>
      </c>
      <c r="J18380" s="3">
        <v>0</v>
      </c>
      <c r="K18380" s="3">
        <v>0</v>
      </c>
      <c r="L18380" s="3">
        <v>0</v>
      </c>
      <c r="M18380" s="3">
        <v>31</v>
      </c>
      <c r="N18380" s="3">
        <v>0</v>
      </c>
      <c r="O18380" s="3" t="s">
        <v>10</v>
      </c>
      <c r="P18380" s="3" t="s">
        <v>9</v>
      </c>
      <c r="Q18380" s="3"/>
    </row>
    <row r="18381" spans="1:17" ht="15" x14ac:dyDescent="0.25">
      <c r="A18381" s="3">
        <f>18374</f>
        <v>18374</v>
      </c>
      <c r="B18381" s="3" t="s">
        <v>18383</v>
      </c>
      <c r="C18381" s="3" t="s">
        <v>10</v>
      </c>
      <c r="D18381" s="3" t="s">
        <v>9</v>
      </c>
      <c r="E18381" s="3">
        <v>0</v>
      </c>
      <c r="F18381" s="3">
        <v>0</v>
      </c>
      <c r="G18381" s="3">
        <v>0</v>
      </c>
      <c r="H18381" s="3">
        <v>31</v>
      </c>
      <c r="I18381" s="3">
        <v>0</v>
      </c>
      <c r="J18381" s="3">
        <v>0</v>
      </c>
      <c r="K18381" s="3">
        <v>0</v>
      </c>
      <c r="L18381" s="3">
        <v>0</v>
      </c>
      <c r="M18381" s="3">
        <v>31</v>
      </c>
      <c r="N18381" s="3">
        <v>0</v>
      </c>
      <c r="O18381" s="3" t="s">
        <v>10</v>
      </c>
      <c r="P18381" s="3" t="s">
        <v>9</v>
      </c>
      <c r="Q18381" s="3"/>
    </row>
    <row r="18382" spans="1:17" ht="15" x14ac:dyDescent="0.25">
      <c r="A18382" s="3">
        <f>18375</f>
        <v>18375</v>
      </c>
      <c r="B18382" s="3" t="s">
        <v>18384</v>
      </c>
      <c r="C18382" s="3" t="s">
        <v>10</v>
      </c>
      <c r="D18382" s="3" t="s">
        <v>9</v>
      </c>
      <c r="E18382" s="3">
        <v>0</v>
      </c>
      <c r="F18382" s="3">
        <v>0</v>
      </c>
      <c r="G18382" s="3">
        <v>0</v>
      </c>
      <c r="H18382" s="3">
        <v>31</v>
      </c>
      <c r="I18382" s="3">
        <v>0</v>
      </c>
      <c r="J18382" s="3">
        <v>0</v>
      </c>
      <c r="K18382" s="3">
        <v>0</v>
      </c>
      <c r="L18382" s="3">
        <v>0</v>
      </c>
      <c r="M18382" s="3">
        <v>31</v>
      </c>
      <c r="N18382" s="3">
        <v>0</v>
      </c>
      <c r="O18382" s="3" t="s">
        <v>10</v>
      </c>
      <c r="P18382" s="3" t="s">
        <v>9</v>
      </c>
      <c r="Q18382" s="3"/>
    </row>
    <row r="18383" spans="1:17" ht="15" x14ac:dyDescent="0.25">
      <c r="A18383" s="3">
        <f>18376</f>
        <v>18376</v>
      </c>
      <c r="B18383" s="3" t="s">
        <v>18385</v>
      </c>
      <c r="C18383" s="3" t="s">
        <v>10</v>
      </c>
      <c r="D18383" s="3" t="s">
        <v>9</v>
      </c>
      <c r="E18383" s="3">
        <v>0</v>
      </c>
      <c r="F18383" s="3">
        <v>0</v>
      </c>
      <c r="G18383" s="3">
        <v>0</v>
      </c>
      <c r="H18383" s="3">
        <v>31</v>
      </c>
      <c r="I18383" s="3">
        <v>0</v>
      </c>
      <c r="J18383" s="3">
        <v>0</v>
      </c>
      <c r="K18383" s="3">
        <v>0</v>
      </c>
      <c r="L18383" s="3">
        <v>0</v>
      </c>
      <c r="M18383" s="3">
        <v>31</v>
      </c>
      <c r="N18383" s="3">
        <v>0</v>
      </c>
      <c r="O18383" s="3" t="s">
        <v>10</v>
      </c>
      <c r="P18383" s="3" t="s">
        <v>9</v>
      </c>
      <c r="Q18383" s="3"/>
    </row>
    <row r="18384" spans="1:17" ht="15" x14ac:dyDescent="0.25">
      <c r="A18384" s="3">
        <f>18377</f>
        <v>18377</v>
      </c>
      <c r="B18384" s="3" t="s">
        <v>18386</v>
      </c>
      <c r="C18384" s="3" t="s">
        <v>10</v>
      </c>
      <c r="D18384" s="3" t="s">
        <v>9</v>
      </c>
      <c r="E18384" s="3">
        <v>0</v>
      </c>
      <c r="F18384" s="3">
        <v>0</v>
      </c>
      <c r="G18384" s="3">
        <v>0</v>
      </c>
      <c r="H18384" s="3">
        <v>31</v>
      </c>
      <c r="I18384" s="3">
        <v>0</v>
      </c>
      <c r="J18384" s="3">
        <v>0</v>
      </c>
      <c r="K18384" s="3">
        <v>0</v>
      </c>
      <c r="L18384" s="3">
        <v>0</v>
      </c>
      <c r="M18384" s="3">
        <v>31</v>
      </c>
      <c r="N18384" s="3">
        <v>0</v>
      </c>
      <c r="O18384" s="3" t="s">
        <v>10</v>
      </c>
      <c r="P18384" s="3" t="s">
        <v>9</v>
      </c>
      <c r="Q18384" s="3"/>
    </row>
    <row r="18385" spans="1:17" ht="15" x14ac:dyDescent="0.25">
      <c r="A18385" s="3">
        <f>18378</f>
        <v>18378</v>
      </c>
      <c r="B18385" s="3" t="s">
        <v>18387</v>
      </c>
      <c r="C18385" s="3" t="s">
        <v>10</v>
      </c>
      <c r="D18385" s="3" t="s">
        <v>9</v>
      </c>
      <c r="E18385" s="3">
        <v>0</v>
      </c>
      <c r="F18385" s="3">
        <v>0</v>
      </c>
      <c r="G18385" s="3">
        <v>0</v>
      </c>
      <c r="H18385" s="3">
        <v>31</v>
      </c>
      <c r="I18385" s="3">
        <v>0</v>
      </c>
      <c r="J18385" s="3">
        <v>0</v>
      </c>
      <c r="K18385" s="3">
        <v>0</v>
      </c>
      <c r="L18385" s="3">
        <v>0</v>
      </c>
      <c r="M18385" s="3">
        <v>31</v>
      </c>
      <c r="N18385" s="3">
        <v>0</v>
      </c>
      <c r="O18385" s="3" t="s">
        <v>10</v>
      </c>
      <c r="P18385" s="3" t="s">
        <v>9</v>
      </c>
      <c r="Q18385" s="3"/>
    </row>
    <row r="18386" spans="1:17" ht="15" x14ac:dyDescent="0.25">
      <c r="A18386" s="3">
        <f>18379</f>
        <v>18379</v>
      </c>
      <c r="B18386" s="3" t="s">
        <v>18388</v>
      </c>
      <c r="C18386" s="3" t="s">
        <v>10</v>
      </c>
      <c r="D18386" s="3" t="s">
        <v>9</v>
      </c>
      <c r="E18386" s="3">
        <v>0</v>
      </c>
      <c r="F18386" s="3">
        <v>0</v>
      </c>
      <c r="G18386" s="3">
        <v>0</v>
      </c>
      <c r="H18386" s="3">
        <v>31</v>
      </c>
      <c r="I18386" s="3">
        <v>0</v>
      </c>
      <c r="J18386" s="3">
        <v>0</v>
      </c>
      <c r="K18386" s="3">
        <v>0</v>
      </c>
      <c r="L18386" s="3">
        <v>0</v>
      </c>
      <c r="M18386" s="3">
        <v>31</v>
      </c>
      <c r="N18386" s="3">
        <v>0</v>
      </c>
      <c r="O18386" s="3" t="s">
        <v>10</v>
      </c>
      <c r="P18386" s="3" t="s">
        <v>9</v>
      </c>
      <c r="Q18386" s="3"/>
    </row>
    <row r="18387" spans="1:17" ht="15" x14ac:dyDescent="0.25">
      <c r="A18387" s="3">
        <f>18380</f>
        <v>18380</v>
      </c>
      <c r="B18387" s="3" t="s">
        <v>18389</v>
      </c>
      <c r="C18387" s="3" t="s">
        <v>10</v>
      </c>
      <c r="D18387" s="3" t="s">
        <v>9</v>
      </c>
      <c r="E18387" s="3">
        <v>0</v>
      </c>
      <c r="F18387" s="3">
        <v>0</v>
      </c>
      <c r="G18387" s="3">
        <v>0</v>
      </c>
      <c r="H18387" s="3">
        <v>31</v>
      </c>
      <c r="I18387" s="3">
        <v>0</v>
      </c>
      <c r="J18387" s="3">
        <v>0</v>
      </c>
      <c r="K18387" s="3">
        <v>0</v>
      </c>
      <c r="L18387" s="3">
        <v>0</v>
      </c>
      <c r="M18387" s="3">
        <v>31</v>
      </c>
      <c r="N18387" s="3">
        <v>0</v>
      </c>
      <c r="O18387" s="3" t="s">
        <v>10</v>
      </c>
      <c r="P18387" s="3" t="s">
        <v>9</v>
      </c>
      <c r="Q18387" s="3"/>
    </row>
    <row r="18388" spans="1:17" ht="15" x14ac:dyDescent="0.25">
      <c r="A18388" s="3">
        <f>18381</f>
        <v>18381</v>
      </c>
      <c r="B18388" s="3" t="s">
        <v>18390</v>
      </c>
      <c r="C18388" s="3" t="s">
        <v>10</v>
      </c>
      <c r="D18388" s="3" t="s">
        <v>9</v>
      </c>
      <c r="E18388" s="3">
        <v>0</v>
      </c>
      <c r="F18388" s="3">
        <v>0</v>
      </c>
      <c r="G18388" s="3">
        <v>0</v>
      </c>
      <c r="H18388" s="3">
        <v>31</v>
      </c>
      <c r="I18388" s="3">
        <v>0</v>
      </c>
      <c r="J18388" s="3">
        <v>0</v>
      </c>
      <c r="K18388" s="3">
        <v>0</v>
      </c>
      <c r="L18388" s="3">
        <v>0</v>
      </c>
      <c r="M18388" s="3">
        <v>31</v>
      </c>
      <c r="N18388" s="3">
        <v>0</v>
      </c>
      <c r="O18388" s="3" t="s">
        <v>10</v>
      </c>
      <c r="P18388" s="3" t="s">
        <v>9</v>
      </c>
      <c r="Q18388" s="3"/>
    </row>
    <row r="18389" spans="1:17" ht="15" x14ac:dyDescent="0.25">
      <c r="A18389" s="3">
        <f>18382</f>
        <v>18382</v>
      </c>
      <c r="B18389" s="3" t="s">
        <v>18391</v>
      </c>
      <c r="C18389" s="3" t="s">
        <v>10</v>
      </c>
      <c r="D18389" s="3" t="s">
        <v>9</v>
      </c>
      <c r="E18389" s="3">
        <v>0</v>
      </c>
      <c r="F18389" s="3">
        <v>0</v>
      </c>
      <c r="G18389" s="3">
        <v>0</v>
      </c>
      <c r="H18389" s="3">
        <v>31</v>
      </c>
      <c r="I18389" s="3">
        <v>0</v>
      </c>
      <c r="J18389" s="3">
        <v>0</v>
      </c>
      <c r="K18389" s="3">
        <v>0</v>
      </c>
      <c r="L18389" s="3">
        <v>0</v>
      </c>
      <c r="M18389" s="3">
        <v>31</v>
      </c>
      <c r="N18389" s="3">
        <v>0</v>
      </c>
      <c r="O18389" s="3" t="s">
        <v>10</v>
      </c>
      <c r="P18389" s="3" t="s">
        <v>9</v>
      </c>
      <c r="Q18389" s="3"/>
    </row>
    <row r="18390" spans="1:17" ht="15" x14ac:dyDescent="0.25">
      <c r="A18390" s="3">
        <f>18383</f>
        <v>18383</v>
      </c>
      <c r="B18390" s="3" t="s">
        <v>18392</v>
      </c>
      <c r="C18390" s="3" t="s">
        <v>10</v>
      </c>
      <c r="D18390" s="3" t="s">
        <v>9</v>
      </c>
      <c r="E18390" s="3">
        <v>0</v>
      </c>
      <c r="F18390" s="3">
        <v>0</v>
      </c>
      <c r="G18390" s="3">
        <v>0</v>
      </c>
      <c r="H18390" s="3">
        <v>31</v>
      </c>
      <c r="I18390" s="3">
        <v>0</v>
      </c>
      <c r="J18390" s="3">
        <v>0</v>
      </c>
      <c r="K18390" s="3">
        <v>0</v>
      </c>
      <c r="L18390" s="3">
        <v>0</v>
      </c>
      <c r="M18390" s="3">
        <v>31</v>
      </c>
      <c r="N18390" s="3">
        <v>0</v>
      </c>
      <c r="O18390" s="3" t="s">
        <v>10</v>
      </c>
      <c r="P18390" s="3" t="s">
        <v>9</v>
      </c>
      <c r="Q18390" s="3"/>
    </row>
    <row r="18391" spans="1:17" ht="15" x14ac:dyDescent="0.25">
      <c r="A18391" s="3">
        <f>18384</f>
        <v>18384</v>
      </c>
      <c r="B18391" s="3" t="s">
        <v>18393</v>
      </c>
      <c r="C18391" s="3" t="s">
        <v>10</v>
      </c>
      <c r="D18391" s="3" t="s">
        <v>9</v>
      </c>
      <c r="E18391" s="3">
        <v>0</v>
      </c>
      <c r="F18391" s="3">
        <v>0</v>
      </c>
      <c r="G18391" s="3">
        <v>0</v>
      </c>
      <c r="H18391" s="3">
        <v>31</v>
      </c>
      <c r="I18391" s="3">
        <v>0</v>
      </c>
      <c r="J18391" s="3">
        <v>0</v>
      </c>
      <c r="K18391" s="3">
        <v>0</v>
      </c>
      <c r="L18391" s="3">
        <v>0</v>
      </c>
      <c r="M18391" s="3">
        <v>31</v>
      </c>
      <c r="N18391" s="3">
        <v>0</v>
      </c>
      <c r="O18391" s="3" t="s">
        <v>10</v>
      </c>
      <c r="P18391" s="3" t="s">
        <v>9</v>
      </c>
      <c r="Q18391" s="3"/>
    </row>
    <row r="18392" spans="1:17" ht="15" x14ac:dyDescent="0.25">
      <c r="A18392" s="3">
        <f>18385</f>
        <v>18385</v>
      </c>
      <c r="B18392" s="3" t="s">
        <v>18394</v>
      </c>
      <c r="C18392" s="3" t="s">
        <v>10</v>
      </c>
      <c r="D18392" s="3" t="s">
        <v>9</v>
      </c>
      <c r="E18392" s="3">
        <v>0</v>
      </c>
      <c r="F18392" s="3">
        <v>0</v>
      </c>
      <c r="G18392" s="3">
        <v>0</v>
      </c>
      <c r="H18392" s="3">
        <v>31</v>
      </c>
      <c r="I18392" s="3">
        <v>0</v>
      </c>
      <c r="J18392" s="3">
        <v>0</v>
      </c>
      <c r="K18392" s="3">
        <v>0</v>
      </c>
      <c r="L18392" s="3">
        <v>0</v>
      </c>
      <c r="M18392" s="3">
        <v>31</v>
      </c>
      <c r="N18392" s="3">
        <v>0</v>
      </c>
      <c r="O18392" s="3" t="s">
        <v>10</v>
      </c>
      <c r="P18392" s="3" t="s">
        <v>9</v>
      </c>
      <c r="Q18392" s="3"/>
    </row>
    <row r="18393" spans="1:17" ht="15" x14ac:dyDescent="0.25">
      <c r="A18393" s="3">
        <f>18386</f>
        <v>18386</v>
      </c>
      <c r="B18393" s="3" t="s">
        <v>18395</v>
      </c>
      <c r="C18393" s="3" t="s">
        <v>10</v>
      </c>
      <c r="D18393" s="3" t="s">
        <v>9</v>
      </c>
      <c r="E18393" s="3">
        <v>0</v>
      </c>
      <c r="F18393" s="3">
        <v>0</v>
      </c>
      <c r="G18393" s="3">
        <v>0</v>
      </c>
      <c r="H18393" s="3">
        <v>31</v>
      </c>
      <c r="I18393" s="3">
        <v>0</v>
      </c>
      <c r="J18393" s="3">
        <v>0</v>
      </c>
      <c r="K18393" s="3">
        <v>0</v>
      </c>
      <c r="L18393" s="3">
        <v>0</v>
      </c>
      <c r="M18393" s="3">
        <v>31</v>
      </c>
      <c r="N18393" s="3">
        <v>0</v>
      </c>
      <c r="O18393" s="3" t="s">
        <v>10</v>
      </c>
      <c r="P18393" s="3" t="s">
        <v>9</v>
      </c>
      <c r="Q18393" s="3"/>
    </row>
    <row r="18394" spans="1:17" ht="15" x14ac:dyDescent="0.25">
      <c r="A18394" s="3">
        <f>18387</f>
        <v>18387</v>
      </c>
      <c r="B18394" s="3" t="s">
        <v>18396</v>
      </c>
      <c r="C18394" s="3" t="s">
        <v>10</v>
      </c>
      <c r="D18394" s="3" t="s">
        <v>9</v>
      </c>
      <c r="E18394" s="3">
        <v>0</v>
      </c>
      <c r="F18394" s="3">
        <v>0</v>
      </c>
      <c r="G18394" s="3">
        <v>0</v>
      </c>
      <c r="H18394" s="3">
        <v>31</v>
      </c>
      <c r="I18394" s="3">
        <v>0</v>
      </c>
      <c r="J18394" s="3">
        <v>0</v>
      </c>
      <c r="K18394" s="3">
        <v>0</v>
      </c>
      <c r="L18394" s="3">
        <v>0</v>
      </c>
      <c r="M18394" s="3">
        <v>31</v>
      </c>
      <c r="N18394" s="3">
        <v>0</v>
      </c>
      <c r="O18394" s="3" t="s">
        <v>10</v>
      </c>
      <c r="P18394" s="3" t="s">
        <v>9</v>
      </c>
      <c r="Q18394" s="3"/>
    </row>
    <row r="18395" spans="1:17" ht="15" x14ac:dyDescent="0.25">
      <c r="A18395" s="3">
        <f>18388</f>
        <v>18388</v>
      </c>
      <c r="B18395" s="3" t="s">
        <v>18397</v>
      </c>
      <c r="C18395" s="3" t="s">
        <v>10</v>
      </c>
      <c r="D18395" s="3" t="s">
        <v>9</v>
      </c>
      <c r="E18395" s="3">
        <v>0</v>
      </c>
      <c r="F18395" s="3">
        <v>0</v>
      </c>
      <c r="G18395" s="3">
        <v>0</v>
      </c>
      <c r="H18395" s="3">
        <v>31</v>
      </c>
      <c r="I18395" s="3">
        <v>0</v>
      </c>
      <c r="J18395" s="3">
        <v>0</v>
      </c>
      <c r="K18395" s="3">
        <v>0</v>
      </c>
      <c r="L18395" s="3">
        <v>0</v>
      </c>
      <c r="M18395" s="3">
        <v>31</v>
      </c>
      <c r="N18395" s="3">
        <v>0</v>
      </c>
      <c r="O18395" s="3" t="s">
        <v>10</v>
      </c>
      <c r="P18395" s="3" t="s">
        <v>9</v>
      </c>
      <c r="Q18395" s="3"/>
    </row>
    <row r="18396" spans="1:17" ht="15" x14ac:dyDescent="0.25">
      <c r="A18396" s="3">
        <f>18389</f>
        <v>18389</v>
      </c>
      <c r="B18396" s="3" t="s">
        <v>18398</v>
      </c>
      <c r="C18396" s="3" t="s">
        <v>10</v>
      </c>
      <c r="D18396" s="3" t="s">
        <v>9</v>
      </c>
      <c r="E18396" s="3">
        <v>0</v>
      </c>
      <c r="F18396" s="3">
        <v>0</v>
      </c>
      <c r="G18396" s="3">
        <v>0</v>
      </c>
      <c r="H18396" s="3">
        <v>31</v>
      </c>
      <c r="I18396" s="3">
        <v>0</v>
      </c>
      <c r="J18396" s="3">
        <v>0</v>
      </c>
      <c r="K18396" s="3">
        <v>0</v>
      </c>
      <c r="L18396" s="3">
        <v>0</v>
      </c>
      <c r="M18396" s="3">
        <v>31</v>
      </c>
      <c r="N18396" s="3">
        <v>0</v>
      </c>
      <c r="O18396" s="3" t="s">
        <v>10</v>
      </c>
      <c r="P18396" s="3" t="s">
        <v>9</v>
      </c>
      <c r="Q18396" s="3"/>
    </row>
    <row r="18397" spans="1:17" ht="15" x14ac:dyDescent="0.25">
      <c r="A18397" s="3">
        <f>18390</f>
        <v>18390</v>
      </c>
      <c r="B18397" s="3" t="s">
        <v>18399</v>
      </c>
      <c r="C18397" s="3" t="s">
        <v>10</v>
      </c>
      <c r="D18397" s="3" t="s">
        <v>9</v>
      </c>
      <c r="E18397" s="3">
        <v>0</v>
      </c>
      <c r="F18397" s="3">
        <v>0</v>
      </c>
      <c r="G18397" s="3">
        <v>0</v>
      </c>
      <c r="H18397" s="3">
        <v>31</v>
      </c>
      <c r="I18397" s="3">
        <v>0</v>
      </c>
      <c r="J18397" s="3">
        <v>0</v>
      </c>
      <c r="K18397" s="3">
        <v>0</v>
      </c>
      <c r="L18397" s="3">
        <v>0</v>
      </c>
      <c r="M18397" s="3">
        <v>31</v>
      </c>
      <c r="N18397" s="3">
        <v>0</v>
      </c>
      <c r="O18397" s="3" t="s">
        <v>10</v>
      </c>
      <c r="P18397" s="3" t="s">
        <v>9</v>
      </c>
      <c r="Q18397" s="3"/>
    </row>
    <row r="18398" spans="1:17" ht="15" x14ac:dyDescent="0.25">
      <c r="A18398" s="3">
        <f>18391</f>
        <v>18391</v>
      </c>
      <c r="B18398" s="3" t="s">
        <v>18400</v>
      </c>
      <c r="C18398" s="3" t="s">
        <v>10</v>
      </c>
      <c r="D18398" s="3" t="s">
        <v>9</v>
      </c>
      <c r="E18398" s="3">
        <v>0</v>
      </c>
      <c r="F18398" s="3">
        <v>0</v>
      </c>
      <c r="G18398" s="3">
        <v>0</v>
      </c>
      <c r="H18398" s="3">
        <v>31</v>
      </c>
      <c r="I18398" s="3">
        <v>0</v>
      </c>
      <c r="J18398" s="3">
        <v>0</v>
      </c>
      <c r="K18398" s="3">
        <v>0</v>
      </c>
      <c r="L18398" s="3">
        <v>0</v>
      </c>
      <c r="M18398" s="3">
        <v>31</v>
      </c>
      <c r="N18398" s="3">
        <v>0</v>
      </c>
      <c r="O18398" s="3" t="s">
        <v>10</v>
      </c>
      <c r="P18398" s="3" t="s">
        <v>9</v>
      </c>
      <c r="Q18398" s="3"/>
    </row>
    <row r="18399" spans="1:17" ht="15" x14ac:dyDescent="0.25">
      <c r="A18399" s="3">
        <f>18392</f>
        <v>18392</v>
      </c>
      <c r="B18399" s="3" t="s">
        <v>18401</v>
      </c>
      <c r="C18399" s="3" t="s">
        <v>10</v>
      </c>
      <c r="D18399" s="3" t="s">
        <v>9</v>
      </c>
      <c r="E18399" s="3">
        <v>0</v>
      </c>
      <c r="F18399" s="3">
        <v>0</v>
      </c>
      <c r="G18399" s="3">
        <v>0</v>
      </c>
      <c r="H18399" s="3">
        <v>31</v>
      </c>
      <c r="I18399" s="3">
        <v>0</v>
      </c>
      <c r="J18399" s="3">
        <v>0</v>
      </c>
      <c r="K18399" s="3">
        <v>0</v>
      </c>
      <c r="L18399" s="3">
        <v>0</v>
      </c>
      <c r="M18399" s="3">
        <v>31</v>
      </c>
      <c r="N18399" s="3">
        <v>0</v>
      </c>
      <c r="O18399" s="3" t="s">
        <v>10</v>
      </c>
      <c r="P18399" s="3" t="s">
        <v>9</v>
      </c>
      <c r="Q18399" s="3"/>
    </row>
    <row r="18400" spans="1:17" ht="15" x14ac:dyDescent="0.25">
      <c r="A18400" s="3">
        <f>18393</f>
        <v>18393</v>
      </c>
      <c r="B18400" s="3" t="s">
        <v>18402</v>
      </c>
      <c r="C18400" s="3" t="s">
        <v>10</v>
      </c>
      <c r="D18400" s="3" t="s">
        <v>9</v>
      </c>
      <c r="E18400" s="3">
        <v>0</v>
      </c>
      <c r="F18400" s="3">
        <v>0</v>
      </c>
      <c r="G18400" s="3">
        <v>0</v>
      </c>
      <c r="H18400" s="3">
        <v>31</v>
      </c>
      <c r="I18400" s="3">
        <v>0</v>
      </c>
      <c r="J18400" s="3">
        <v>0</v>
      </c>
      <c r="K18400" s="3">
        <v>0</v>
      </c>
      <c r="L18400" s="3">
        <v>0</v>
      </c>
      <c r="M18400" s="3">
        <v>31</v>
      </c>
      <c r="N18400" s="3">
        <v>0</v>
      </c>
      <c r="O18400" s="3" t="s">
        <v>10</v>
      </c>
      <c r="P18400" s="3" t="s">
        <v>9</v>
      </c>
      <c r="Q18400" s="3"/>
    </row>
    <row r="18401" spans="1:17" ht="15" x14ac:dyDescent="0.25">
      <c r="A18401" s="3">
        <f>18394</f>
        <v>18394</v>
      </c>
      <c r="B18401" s="3" t="s">
        <v>18403</v>
      </c>
      <c r="C18401" s="3" t="s">
        <v>10</v>
      </c>
      <c r="D18401" s="3" t="s">
        <v>9</v>
      </c>
      <c r="E18401" s="3">
        <v>0</v>
      </c>
      <c r="F18401" s="3">
        <v>0</v>
      </c>
      <c r="G18401" s="3">
        <v>0</v>
      </c>
      <c r="H18401" s="3">
        <v>31</v>
      </c>
      <c r="I18401" s="3">
        <v>0</v>
      </c>
      <c r="J18401" s="3">
        <v>0</v>
      </c>
      <c r="K18401" s="3">
        <v>0</v>
      </c>
      <c r="L18401" s="3">
        <v>0</v>
      </c>
      <c r="M18401" s="3">
        <v>31</v>
      </c>
      <c r="N18401" s="3">
        <v>0</v>
      </c>
      <c r="O18401" s="3" t="s">
        <v>10</v>
      </c>
      <c r="P18401" s="3" t="s">
        <v>9</v>
      </c>
      <c r="Q18401" s="3"/>
    </row>
    <row r="18402" spans="1:17" ht="15" x14ac:dyDescent="0.25">
      <c r="A18402" s="3">
        <f>18395</f>
        <v>18395</v>
      </c>
      <c r="B18402" s="3" t="s">
        <v>18404</v>
      </c>
      <c r="C18402" s="3" t="s">
        <v>10</v>
      </c>
      <c r="D18402" s="3" t="s">
        <v>9</v>
      </c>
      <c r="E18402" s="3">
        <v>0</v>
      </c>
      <c r="F18402" s="3">
        <v>0</v>
      </c>
      <c r="G18402" s="3">
        <v>0</v>
      </c>
      <c r="H18402" s="3">
        <v>31</v>
      </c>
      <c r="I18402" s="3">
        <v>0</v>
      </c>
      <c r="J18402" s="3">
        <v>0</v>
      </c>
      <c r="K18402" s="3">
        <v>0</v>
      </c>
      <c r="L18402" s="3">
        <v>0</v>
      </c>
      <c r="M18402" s="3">
        <v>31</v>
      </c>
      <c r="N18402" s="3">
        <v>0</v>
      </c>
      <c r="O18402" s="3" t="s">
        <v>10</v>
      </c>
      <c r="P18402" s="3" t="s">
        <v>9</v>
      </c>
      <c r="Q18402" s="3"/>
    </row>
    <row r="18403" spans="1:17" ht="15" x14ac:dyDescent="0.25">
      <c r="A18403" s="3">
        <f>18396</f>
        <v>18396</v>
      </c>
      <c r="B18403" s="3" t="s">
        <v>18405</v>
      </c>
      <c r="C18403" s="3" t="s">
        <v>10</v>
      </c>
      <c r="D18403" s="3" t="s">
        <v>9</v>
      </c>
      <c r="E18403" s="3">
        <v>0</v>
      </c>
      <c r="F18403" s="3">
        <v>0</v>
      </c>
      <c r="G18403" s="3">
        <v>0</v>
      </c>
      <c r="H18403" s="3">
        <v>31</v>
      </c>
      <c r="I18403" s="3">
        <v>0</v>
      </c>
      <c r="J18403" s="3">
        <v>0</v>
      </c>
      <c r="K18403" s="3">
        <v>0</v>
      </c>
      <c r="L18403" s="3">
        <v>0</v>
      </c>
      <c r="M18403" s="3">
        <v>31</v>
      </c>
      <c r="N18403" s="3">
        <v>0</v>
      </c>
      <c r="O18403" s="3" t="s">
        <v>10</v>
      </c>
      <c r="P18403" s="3" t="s">
        <v>9</v>
      </c>
      <c r="Q18403" s="3"/>
    </row>
    <row r="18404" spans="1:17" ht="15" x14ac:dyDescent="0.25">
      <c r="A18404" s="3">
        <f>18397</f>
        <v>18397</v>
      </c>
      <c r="B18404" s="3" t="s">
        <v>18406</v>
      </c>
      <c r="C18404" s="3" t="s">
        <v>10</v>
      </c>
      <c r="D18404" s="3" t="s">
        <v>9</v>
      </c>
      <c r="E18404" s="3">
        <v>0</v>
      </c>
      <c r="F18404" s="3">
        <v>0</v>
      </c>
      <c r="G18404" s="3">
        <v>0</v>
      </c>
      <c r="H18404" s="3">
        <v>31</v>
      </c>
      <c r="I18404" s="3">
        <v>0</v>
      </c>
      <c r="J18404" s="3">
        <v>0</v>
      </c>
      <c r="K18404" s="3">
        <v>0</v>
      </c>
      <c r="L18404" s="3">
        <v>0</v>
      </c>
      <c r="M18404" s="3">
        <v>31</v>
      </c>
      <c r="N18404" s="3">
        <v>0</v>
      </c>
      <c r="O18404" s="3" t="s">
        <v>10</v>
      </c>
      <c r="P18404" s="3" t="s">
        <v>9</v>
      </c>
      <c r="Q18404" s="3"/>
    </row>
    <row r="18405" spans="1:17" ht="15" x14ac:dyDescent="0.25">
      <c r="A18405" s="3">
        <f>18398</f>
        <v>18398</v>
      </c>
      <c r="B18405" s="3" t="s">
        <v>18407</v>
      </c>
      <c r="C18405" s="3" t="s">
        <v>10</v>
      </c>
      <c r="D18405" s="3" t="s">
        <v>9</v>
      </c>
      <c r="E18405" s="3">
        <v>0</v>
      </c>
      <c r="F18405" s="3">
        <v>0</v>
      </c>
      <c r="G18405" s="3">
        <v>0</v>
      </c>
      <c r="H18405" s="3">
        <v>31</v>
      </c>
      <c r="I18405" s="3">
        <v>0</v>
      </c>
      <c r="J18405" s="3">
        <v>0</v>
      </c>
      <c r="K18405" s="3">
        <v>0</v>
      </c>
      <c r="L18405" s="3">
        <v>0</v>
      </c>
      <c r="M18405" s="3">
        <v>31</v>
      </c>
      <c r="N18405" s="3">
        <v>0</v>
      </c>
      <c r="O18405" s="3" t="s">
        <v>10</v>
      </c>
      <c r="P18405" s="3" t="s">
        <v>9</v>
      </c>
      <c r="Q18405" s="3"/>
    </row>
    <row r="18406" spans="1:17" ht="15" x14ac:dyDescent="0.25">
      <c r="A18406" s="3">
        <f>18399</f>
        <v>18399</v>
      </c>
      <c r="B18406" s="3" t="s">
        <v>18408</v>
      </c>
      <c r="C18406" s="3" t="s">
        <v>10</v>
      </c>
      <c r="D18406" s="3" t="s">
        <v>9</v>
      </c>
      <c r="E18406" s="3">
        <v>0</v>
      </c>
      <c r="F18406" s="3">
        <v>0</v>
      </c>
      <c r="G18406" s="3">
        <v>0</v>
      </c>
      <c r="H18406" s="3">
        <v>31</v>
      </c>
      <c r="I18406" s="3">
        <v>0</v>
      </c>
      <c r="J18406" s="3">
        <v>0</v>
      </c>
      <c r="K18406" s="3">
        <v>0</v>
      </c>
      <c r="L18406" s="3">
        <v>0</v>
      </c>
      <c r="M18406" s="3">
        <v>31</v>
      </c>
      <c r="N18406" s="3">
        <v>0</v>
      </c>
      <c r="O18406" s="3" t="s">
        <v>10</v>
      </c>
      <c r="P18406" s="3" t="s">
        <v>9</v>
      </c>
      <c r="Q18406" s="3"/>
    </row>
    <row r="18407" spans="1:17" ht="15" x14ac:dyDescent="0.25">
      <c r="A18407" s="3">
        <f>18400</f>
        <v>18400</v>
      </c>
      <c r="B18407" s="3" t="s">
        <v>18409</v>
      </c>
      <c r="C18407" s="3" t="s">
        <v>10</v>
      </c>
      <c r="D18407" s="3" t="s">
        <v>9</v>
      </c>
      <c r="E18407" s="3">
        <v>0</v>
      </c>
      <c r="F18407" s="3">
        <v>0</v>
      </c>
      <c r="G18407" s="3">
        <v>0</v>
      </c>
      <c r="H18407" s="3">
        <v>31</v>
      </c>
      <c r="I18407" s="3">
        <v>0</v>
      </c>
      <c r="J18407" s="3">
        <v>0</v>
      </c>
      <c r="K18407" s="3">
        <v>0</v>
      </c>
      <c r="L18407" s="3">
        <v>0</v>
      </c>
      <c r="M18407" s="3">
        <v>31</v>
      </c>
      <c r="N18407" s="3">
        <v>0</v>
      </c>
      <c r="O18407" s="3" t="s">
        <v>10</v>
      </c>
      <c r="P18407" s="3" t="s">
        <v>9</v>
      </c>
      <c r="Q18407" s="3"/>
    </row>
    <row r="18408" spans="1:17" ht="15" x14ac:dyDescent="0.25">
      <c r="A18408" s="3">
        <f>18401</f>
        <v>18401</v>
      </c>
      <c r="B18408" s="3" t="s">
        <v>18410</v>
      </c>
      <c r="C18408" s="3" t="s">
        <v>10</v>
      </c>
      <c r="D18408" s="3" t="s">
        <v>9</v>
      </c>
      <c r="E18408" s="3">
        <v>0</v>
      </c>
      <c r="F18408" s="3">
        <v>0</v>
      </c>
      <c r="G18408" s="3">
        <v>0</v>
      </c>
      <c r="H18408" s="3">
        <v>31</v>
      </c>
      <c r="I18408" s="3">
        <v>0</v>
      </c>
      <c r="J18408" s="3">
        <v>0</v>
      </c>
      <c r="K18408" s="3">
        <v>0</v>
      </c>
      <c r="L18408" s="3">
        <v>0</v>
      </c>
      <c r="M18408" s="3">
        <v>31</v>
      </c>
      <c r="N18408" s="3">
        <v>0</v>
      </c>
      <c r="O18408" s="3" t="s">
        <v>10</v>
      </c>
      <c r="P18408" s="3" t="s">
        <v>9</v>
      </c>
      <c r="Q18408" s="3"/>
    </row>
    <row r="18409" spans="1:17" ht="15" x14ac:dyDescent="0.25">
      <c r="A18409" s="3">
        <f>18402</f>
        <v>18402</v>
      </c>
      <c r="B18409" s="3" t="s">
        <v>18411</v>
      </c>
      <c r="C18409" s="3" t="s">
        <v>10</v>
      </c>
      <c r="D18409" s="3" t="s">
        <v>9</v>
      </c>
      <c r="E18409" s="3">
        <v>0</v>
      </c>
      <c r="F18409" s="3">
        <v>0</v>
      </c>
      <c r="G18409" s="3">
        <v>0</v>
      </c>
      <c r="H18409" s="3">
        <v>31</v>
      </c>
      <c r="I18409" s="3">
        <v>0</v>
      </c>
      <c r="J18409" s="3">
        <v>0</v>
      </c>
      <c r="K18409" s="3">
        <v>0</v>
      </c>
      <c r="L18409" s="3">
        <v>0</v>
      </c>
      <c r="M18409" s="3">
        <v>31</v>
      </c>
      <c r="N18409" s="3">
        <v>0</v>
      </c>
      <c r="O18409" s="3" t="s">
        <v>10</v>
      </c>
      <c r="P18409" s="3" t="s">
        <v>9</v>
      </c>
      <c r="Q18409" s="3"/>
    </row>
    <row r="18410" spans="1:17" ht="15" x14ac:dyDescent="0.25">
      <c r="A18410" s="3">
        <f>18403</f>
        <v>18403</v>
      </c>
      <c r="B18410" s="3" t="s">
        <v>18412</v>
      </c>
      <c r="C18410" s="3" t="s">
        <v>10</v>
      </c>
      <c r="D18410" s="3" t="s">
        <v>9</v>
      </c>
      <c r="E18410" s="3">
        <v>0</v>
      </c>
      <c r="F18410" s="3">
        <v>0</v>
      </c>
      <c r="G18410" s="3">
        <v>0</v>
      </c>
      <c r="H18410" s="3">
        <v>31</v>
      </c>
      <c r="I18410" s="3">
        <v>0</v>
      </c>
      <c r="J18410" s="3">
        <v>0</v>
      </c>
      <c r="K18410" s="3">
        <v>0</v>
      </c>
      <c r="L18410" s="3">
        <v>0</v>
      </c>
      <c r="M18410" s="3">
        <v>31</v>
      </c>
      <c r="N18410" s="3">
        <v>0</v>
      </c>
      <c r="O18410" s="3" t="s">
        <v>10</v>
      </c>
      <c r="P18410" s="3" t="s">
        <v>9</v>
      </c>
      <c r="Q18410" s="3"/>
    </row>
    <row r="18411" spans="1:17" ht="15" x14ac:dyDescent="0.25">
      <c r="A18411" s="3">
        <f>18404</f>
        <v>18404</v>
      </c>
      <c r="B18411" s="3" t="s">
        <v>18413</v>
      </c>
      <c r="C18411" s="3" t="s">
        <v>10</v>
      </c>
      <c r="D18411" s="3" t="s">
        <v>9</v>
      </c>
      <c r="E18411" s="3">
        <v>0</v>
      </c>
      <c r="F18411" s="3">
        <v>0</v>
      </c>
      <c r="G18411" s="3">
        <v>0</v>
      </c>
      <c r="H18411" s="3">
        <v>31</v>
      </c>
      <c r="I18411" s="3">
        <v>0</v>
      </c>
      <c r="J18411" s="3">
        <v>0</v>
      </c>
      <c r="K18411" s="3">
        <v>0</v>
      </c>
      <c r="L18411" s="3">
        <v>0</v>
      </c>
      <c r="M18411" s="3">
        <v>31</v>
      </c>
      <c r="N18411" s="3">
        <v>0</v>
      </c>
      <c r="O18411" s="3" t="s">
        <v>10</v>
      </c>
      <c r="P18411" s="3" t="s">
        <v>9</v>
      </c>
      <c r="Q18411" s="3"/>
    </row>
    <row r="18412" spans="1:17" ht="15" x14ac:dyDescent="0.25">
      <c r="A18412" s="3">
        <f>18405</f>
        <v>18405</v>
      </c>
      <c r="B18412" s="3" t="s">
        <v>18414</v>
      </c>
      <c r="C18412" s="3" t="s">
        <v>10</v>
      </c>
      <c r="D18412" s="3" t="s">
        <v>9</v>
      </c>
      <c r="E18412" s="3">
        <v>0</v>
      </c>
      <c r="F18412" s="3">
        <v>0</v>
      </c>
      <c r="G18412" s="3">
        <v>0</v>
      </c>
      <c r="H18412" s="3">
        <v>31</v>
      </c>
      <c r="I18412" s="3">
        <v>0</v>
      </c>
      <c r="J18412" s="3">
        <v>0</v>
      </c>
      <c r="K18412" s="3">
        <v>0</v>
      </c>
      <c r="L18412" s="3">
        <v>0</v>
      </c>
      <c r="M18412" s="3">
        <v>31</v>
      </c>
      <c r="N18412" s="3">
        <v>0</v>
      </c>
      <c r="O18412" s="3" t="s">
        <v>10</v>
      </c>
      <c r="P18412" s="3" t="s">
        <v>9</v>
      </c>
      <c r="Q18412" s="3"/>
    </row>
    <row r="18413" spans="1:17" ht="15" x14ac:dyDescent="0.25">
      <c r="A18413" s="3">
        <f>18406</f>
        <v>18406</v>
      </c>
      <c r="B18413" s="3" t="s">
        <v>18415</v>
      </c>
      <c r="C18413" s="3" t="s">
        <v>10</v>
      </c>
      <c r="D18413" s="3" t="s">
        <v>9</v>
      </c>
      <c r="E18413" s="3">
        <v>0</v>
      </c>
      <c r="F18413" s="3">
        <v>0</v>
      </c>
      <c r="G18413" s="3">
        <v>0</v>
      </c>
      <c r="H18413" s="3">
        <v>31</v>
      </c>
      <c r="I18413" s="3">
        <v>0</v>
      </c>
      <c r="J18413" s="3">
        <v>0</v>
      </c>
      <c r="K18413" s="3">
        <v>0</v>
      </c>
      <c r="L18413" s="3">
        <v>0</v>
      </c>
      <c r="M18413" s="3">
        <v>31</v>
      </c>
      <c r="N18413" s="3">
        <v>0</v>
      </c>
      <c r="O18413" s="3" t="s">
        <v>10</v>
      </c>
      <c r="P18413" s="3" t="s">
        <v>9</v>
      </c>
      <c r="Q18413" s="3"/>
    </row>
    <row r="18414" spans="1:17" ht="15" x14ac:dyDescent="0.25">
      <c r="A18414" s="3">
        <f>18407</f>
        <v>18407</v>
      </c>
      <c r="B18414" s="3" t="s">
        <v>18416</v>
      </c>
      <c r="C18414" s="3" t="s">
        <v>10</v>
      </c>
      <c r="D18414" s="3" t="s">
        <v>9</v>
      </c>
      <c r="E18414" s="3">
        <v>0</v>
      </c>
      <c r="F18414" s="3">
        <v>0</v>
      </c>
      <c r="G18414" s="3">
        <v>0</v>
      </c>
      <c r="H18414" s="3">
        <v>31</v>
      </c>
      <c r="I18414" s="3">
        <v>0</v>
      </c>
      <c r="J18414" s="3">
        <v>0</v>
      </c>
      <c r="K18414" s="3">
        <v>0</v>
      </c>
      <c r="L18414" s="3">
        <v>0</v>
      </c>
      <c r="M18414" s="3">
        <v>31</v>
      </c>
      <c r="N18414" s="3">
        <v>0</v>
      </c>
      <c r="O18414" s="3" t="s">
        <v>10</v>
      </c>
      <c r="P18414" s="3" t="s">
        <v>9</v>
      </c>
      <c r="Q18414" s="3"/>
    </row>
    <row r="18415" spans="1:17" ht="15" x14ac:dyDescent="0.25">
      <c r="A18415" s="3">
        <f>18408</f>
        <v>18408</v>
      </c>
      <c r="B18415" s="3" t="s">
        <v>18417</v>
      </c>
      <c r="C18415" s="3" t="s">
        <v>10</v>
      </c>
      <c r="D18415" s="3" t="s">
        <v>9</v>
      </c>
      <c r="E18415" s="3">
        <v>0</v>
      </c>
      <c r="F18415" s="3">
        <v>0</v>
      </c>
      <c r="G18415" s="3">
        <v>0</v>
      </c>
      <c r="H18415" s="3">
        <v>31</v>
      </c>
      <c r="I18415" s="3">
        <v>0</v>
      </c>
      <c r="J18415" s="3">
        <v>0</v>
      </c>
      <c r="K18415" s="3">
        <v>0</v>
      </c>
      <c r="L18415" s="3">
        <v>0</v>
      </c>
      <c r="M18415" s="3">
        <v>31</v>
      </c>
      <c r="N18415" s="3">
        <v>0</v>
      </c>
      <c r="O18415" s="3" t="s">
        <v>10</v>
      </c>
      <c r="P18415" s="3" t="s">
        <v>9</v>
      </c>
      <c r="Q18415" s="3"/>
    </row>
    <row r="18416" spans="1:17" ht="15" x14ac:dyDescent="0.25">
      <c r="A18416" s="3">
        <f>18409</f>
        <v>18409</v>
      </c>
      <c r="B18416" s="3" t="s">
        <v>18418</v>
      </c>
      <c r="C18416" s="3" t="s">
        <v>10</v>
      </c>
      <c r="D18416" s="3" t="s">
        <v>9</v>
      </c>
      <c r="E18416" s="3">
        <v>0</v>
      </c>
      <c r="F18416" s="3">
        <v>0</v>
      </c>
      <c r="G18416" s="3">
        <v>0</v>
      </c>
      <c r="H18416" s="3">
        <v>31</v>
      </c>
      <c r="I18416" s="3">
        <v>0</v>
      </c>
      <c r="J18416" s="3">
        <v>0</v>
      </c>
      <c r="K18416" s="3">
        <v>0</v>
      </c>
      <c r="L18416" s="3">
        <v>0</v>
      </c>
      <c r="M18416" s="3">
        <v>31</v>
      </c>
      <c r="N18416" s="3">
        <v>0</v>
      </c>
      <c r="O18416" s="3" t="s">
        <v>10</v>
      </c>
      <c r="P18416" s="3" t="s">
        <v>9</v>
      </c>
      <c r="Q18416" s="3"/>
    </row>
    <row r="18417" spans="1:17" ht="15" x14ac:dyDescent="0.25">
      <c r="A18417" s="3">
        <f>18410</f>
        <v>18410</v>
      </c>
      <c r="B18417" s="3" t="s">
        <v>18419</v>
      </c>
      <c r="C18417" s="3" t="s">
        <v>10</v>
      </c>
      <c r="D18417" s="3" t="s">
        <v>9</v>
      </c>
      <c r="E18417" s="3">
        <v>0</v>
      </c>
      <c r="F18417" s="3">
        <v>0</v>
      </c>
      <c r="G18417" s="3">
        <v>0</v>
      </c>
      <c r="H18417" s="3">
        <v>31</v>
      </c>
      <c r="I18417" s="3">
        <v>0</v>
      </c>
      <c r="J18417" s="3">
        <v>0</v>
      </c>
      <c r="K18417" s="3">
        <v>0</v>
      </c>
      <c r="L18417" s="3">
        <v>0</v>
      </c>
      <c r="M18417" s="3">
        <v>31</v>
      </c>
      <c r="N18417" s="3">
        <v>0</v>
      </c>
      <c r="O18417" s="3" t="s">
        <v>10</v>
      </c>
      <c r="P18417" s="3" t="s">
        <v>9</v>
      </c>
      <c r="Q18417" s="3"/>
    </row>
    <row r="18418" spans="1:17" ht="15" x14ac:dyDescent="0.25">
      <c r="A18418" s="3">
        <f>18411</f>
        <v>18411</v>
      </c>
      <c r="B18418" s="3" t="s">
        <v>18420</v>
      </c>
      <c r="C18418" s="3" t="s">
        <v>10</v>
      </c>
      <c r="D18418" s="3" t="s">
        <v>9</v>
      </c>
      <c r="E18418" s="3">
        <v>0</v>
      </c>
      <c r="F18418" s="3">
        <v>0</v>
      </c>
      <c r="G18418" s="3">
        <v>0</v>
      </c>
      <c r="H18418" s="3">
        <v>31</v>
      </c>
      <c r="I18418" s="3">
        <v>0</v>
      </c>
      <c r="J18418" s="3">
        <v>0</v>
      </c>
      <c r="K18418" s="3">
        <v>0</v>
      </c>
      <c r="L18418" s="3">
        <v>0</v>
      </c>
      <c r="M18418" s="3">
        <v>31</v>
      </c>
      <c r="N18418" s="3">
        <v>0</v>
      </c>
      <c r="O18418" s="3" t="s">
        <v>10</v>
      </c>
      <c r="P18418" s="3" t="s">
        <v>9</v>
      </c>
      <c r="Q18418" s="3"/>
    </row>
    <row r="18419" spans="1:17" ht="15" x14ac:dyDescent="0.25">
      <c r="A18419" s="3">
        <f>18412</f>
        <v>18412</v>
      </c>
      <c r="B18419" s="3" t="s">
        <v>18421</v>
      </c>
      <c r="C18419" s="3" t="s">
        <v>10</v>
      </c>
      <c r="D18419" s="3" t="s">
        <v>9</v>
      </c>
      <c r="E18419" s="3">
        <v>0</v>
      </c>
      <c r="F18419" s="3">
        <v>0</v>
      </c>
      <c r="G18419" s="3">
        <v>0</v>
      </c>
      <c r="H18419" s="3">
        <v>31</v>
      </c>
      <c r="I18419" s="3">
        <v>0</v>
      </c>
      <c r="J18419" s="3">
        <v>0</v>
      </c>
      <c r="K18419" s="3">
        <v>0</v>
      </c>
      <c r="L18419" s="3">
        <v>0</v>
      </c>
      <c r="M18419" s="3">
        <v>31</v>
      </c>
      <c r="N18419" s="3">
        <v>0</v>
      </c>
      <c r="O18419" s="3" t="s">
        <v>10</v>
      </c>
      <c r="P18419" s="3" t="s">
        <v>9</v>
      </c>
      <c r="Q18419" s="3"/>
    </row>
    <row r="18420" spans="1:17" ht="15" x14ac:dyDescent="0.25">
      <c r="A18420" s="3">
        <f>18413</f>
        <v>18413</v>
      </c>
      <c r="B18420" s="3" t="s">
        <v>18422</v>
      </c>
      <c r="C18420" s="3" t="s">
        <v>10</v>
      </c>
      <c r="D18420" s="3" t="s">
        <v>9</v>
      </c>
      <c r="E18420" s="3">
        <v>0</v>
      </c>
      <c r="F18420" s="3">
        <v>0</v>
      </c>
      <c r="G18420" s="3">
        <v>0</v>
      </c>
      <c r="H18420" s="3">
        <v>31</v>
      </c>
      <c r="I18420" s="3">
        <v>0</v>
      </c>
      <c r="J18420" s="3">
        <v>0</v>
      </c>
      <c r="K18420" s="3">
        <v>0</v>
      </c>
      <c r="L18420" s="3">
        <v>0</v>
      </c>
      <c r="M18420" s="3">
        <v>31</v>
      </c>
      <c r="N18420" s="3">
        <v>0</v>
      </c>
      <c r="O18420" s="3" t="s">
        <v>10</v>
      </c>
      <c r="P18420" s="3" t="s">
        <v>9</v>
      </c>
      <c r="Q18420" s="3"/>
    </row>
    <row r="18421" spans="1:17" ht="15" x14ac:dyDescent="0.25">
      <c r="A18421" s="3">
        <f>18414</f>
        <v>18414</v>
      </c>
      <c r="B18421" s="3" t="s">
        <v>18423</v>
      </c>
      <c r="C18421" s="3" t="s">
        <v>10</v>
      </c>
      <c r="D18421" s="3" t="s">
        <v>9</v>
      </c>
      <c r="E18421" s="3">
        <v>0</v>
      </c>
      <c r="F18421" s="3">
        <v>0</v>
      </c>
      <c r="G18421" s="3">
        <v>0</v>
      </c>
      <c r="H18421" s="3">
        <v>31</v>
      </c>
      <c r="I18421" s="3">
        <v>0</v>
      </c>
      <c r="J18421" s="3">
        <v>0</v>
      </c>
      <c r="K18421" s="3">
        <v>0</v>
      </c>
      <c r="L18421" s="3">
        <v>0</v>
      </c>
      <c r="M18421" s="3">
        <v>31</v>
      </c>
      <c r="N18421" s="3">
        <v>0</v>
      </c>
      <c r="O18421" s="3" t="s">
        <v>10</v>
      </c>
      <c r="P18421" s="3" t="s">
        <v>9</v>
      </c>
      <c r="Q18421" s="3"/>
    </row>
    <row r="18422" spans="1:17" ht="15" x14ac:dyDescent="0.25">
      <c r="A18422" s="3">
        <f>18415</f>
        <v>18415</v>
      </c>
      <c r="B18422" s="3" t="s">
        <v>18424</v>
      </c>
      <c r="C18422" s="3" t="s">
        <v>10</v>
      </c>
      <c r="D18422" s="3" t="s">
        <v>9</v>
      </c>
      <c r="E18422" s="3">
        <v>0</v>
      </c>
      <c r="F18422" s="3">
        <v>0</v>
      </c>
      <c r="G18422" s="3">
        <v>0</v>
      </c>
      <c r="H18422" s="3">
        <v>31</v>
      </c>
      <c r="I18422" s="3">
        <v>0</v>
      </c>
      <c r="J18422" s="3">
        <v>0</v>
      </c>
      <c r="K18422" s="3">
        <v>0</v>
      </c>
      <c r="L18422" s="3">
        <v>0</v>
      </c>
      <c r="M18422" s="3">
        <v>31</v>
      </c>
      <c r="N18422" s="3">
        <v>0</v>
      </c>
      <c r="O18422" s="3" t="s">
        <v>10</v>
      </c>
      <c r="P18422" s="3" t="s">
        <v>9</v>
      </c>
      <c r="Q18422" s="3"/>
    </row>
    <row r="18423" spans="1:17" ht="15" x14ac:dyDescent="0.25">
      <c r="A18423" s="3">
        <f>18416</f>
        <v>18416</v>
      </c>
      <c r="B18423" s="3" t="s">
        <v>18425</v>
      </c>
      <c r="C18423" s="3" t="s">
        <v>10</v>
      </c>
      <c r="D18423" s="3" t="s">
        <v>9</v>
      </c>
      <c r="E18423" s="3">
        <v>0</v>
      </c>
      <c r="F18423" s="3">
        <v>0</v>
      </c>
      <c r="G18423" s="3">
        <v>0</v>
      </c>
      <c r="H18423" s="3">
        <v>31</v>
      </c>
      <c r="I18423" s="3">
        <v>0</v>
      </c>
      <c r="J18423" s="3">
        <v>0</v>
      </c>
      <c r="K18423" s="3">
        <v>0</v>
      </c>
      <c r="L18423" s="3">
        <v>0</v>
      </c>
      <c r="M18423" s="3">
        <v>31</v>
      </c>
      <c r="N18423" s="3">
        <v>0</v>
      </c>
      <c r="O18423" s="3" t="s">
        <v>10</v>
      </c>
      <c r="P18423" s="3" t="s">
        <v>9</v>
      </c>
      <c r="Q18423" s="3"/>
    </row>
    <row r="18424" spans="1:17" ht="15" x14ac:dyDescent="0.25">
      <c r="A18424" s="3">
        <f>18417</f>
        <v>18417</v>
      </c>
      <c r="B18424" s="3" t="s">
        <v>18426</v>
      </c>
      <c r="C18424" s="3" t="s">
        <v>10</v>
      </c>
      <c r="D18424" s="3" t="s">
        <v>9</v>
      </c>
      <c r="E18424" s="3">
        <v>0</v>
      </c>
      <c r="F18424" s="3">
        <v>0</v>
      </c>
      <c r="G18424" s="3">
        <v>0</v>
      </c>
      <c r="H18424" s="3">
        <v>31</v>
      </c>
      <c r="I18424" s="3">
        <v>0</v>
      </c>
      <c r="J18424" s="3">
        <v>0</v>
      </c>
      <c r="K18424" s="3">
        <v>0</v>
      </c>
      <c r="L18424" s="3">
        <v>0</v>
      </c>
      <c r="M18424" s="3">
        <v>31</v>
      </c>
      <c r="N18424" s="3">
        <v>0</v>
      </c>
      <c r="O18424" s="3" t="s">
        <v>10</v>
      </c>
      <c r="P18424" s="3" t="s">
        <v>9</v>
      </c>
      <c r="Q18424" s="3"/>
    </row>
    <row r="18425" spans="1:17" ht="15" x14ac:dyDescent="0.25">
      <c r="A18425" s="3">
        <f>18418</f>
        <v>18418</v>
      </c>
      <c r="B18425" s="3" t="s">
        <v>18427</v>
      </c>
      <c r="C18425" s="3" t="s">
        <v>10</v>
      </c>
      <c r="D18425" s="3" t="s">
        <v>9</v>
      </c>
      <c r="E18425" s="3">
        <v>0</v>
      </c>
      <c r="F18425" s="3">
        <v>0</v>
      </c>
      <c r="G18425" s="3">
        <v>0</v>
      </c>
      <c r="H18425" s="3">
        <v>31</v>
      </c>
      <c r="I18425" s="3">
        <v>0</v>
      </c>
      <c r="J18425" s="3">
        <v>0</v>
      </c>
      <c r="K18425" s="3">
        <v>0</v>
      </c>
      <c r="L18425" s="3">
        <v>0</v>
      </c>
      <c r="M18425" s="3">
        <v>31</v>
      </c>
      <c r="N18425" s="3">
        <v>0</v>
      </c>
      <c r="O18425" s="3" t="s">
        <v>10</v>
      </c>
      <c r="P18425" s="3" t="s">
        <v>9</v>
      </c>
      <c r="Q18425" s="3"/>
    </row>
    <row r="18426" spans="1:17" ht="15" x14ac:dyDescent="0.25">
      <c r="A18426" s="3">
        <f>18419</f>
        <v>18419</v>
      </c>
      <c r="B18426" s="3" t="s">
        <v>18428</v>
      </c>
      <c r="C18426" s="3" t="s">
        <v>10</v>
      </c>
      <c r="D18426" s="3" t="s">
        <v>9</v>
      </c>
      <c r="E18426" s="3">
        <v>0</v>
      </c>
      <c r="F18426" s="3">
        <v>0</v>
      </c>
      <c r="G18426" s="3">
        <v>0</v>
      </c>
      <c r="H18426" s="3">
        <v>31</v>
      </c>
      <c r="I18426" s="3">
        <v>0</v>
      </c>
      <c r="J18426" s="3">
        <v>0</v>
      </c>
      <c r="K18426" s="3">
        <v>0</v>
      </c>
      <c r="L18426" s="3">
        <v>0</v>
      </c>
      <c r="M18426" s="3">
        <v>31</v>
      </c>
      <c r="N18426" s="3">
        <v>0</v>
      </c>
      <c r="O18426" s="3" t="s">
        <v>10</v>
      </c>
      <c r="P18426" s="3" t="s">
        <v>9</v>
      </c>
      <c r="Q18426" s="3"/>
    </row>
    <row r="18427" spans="1:17" ht="15" x14ac:dyDescent="0.25">
      <c r="A18427" s="3">
        <f>18420</f>
        <v>18420</v>
      </c>
      <c r="B18427" s="3" t="s">
        <v>18429</v>
      </c>
      <c r="C18427" s="3" t="s">
        <v>10</v>
      </c>
      <c r="D18427" s="3" t="s">
        <v>9</v>
      </c>
      <c r="E18427" s="3">
        <v>0</v>
      </c>
      <c r="F18427" s="3">
        <v>0</v>
      </c>
      <c r="G18427" s="3">
        <v>0</v>
      </c>
      <c r="H18427" s="3">
        <v>31</v>
      </c>
      <c r="I18427" s="3">
        <v>0</v>
      </c>
      <c r="J18427" s="3">
        <v>0</v>
      </c>
      <c r="K18427" s="3">
        <v>0</v>
      </c>
      <c r="L18427" s="3">
        <v>0</v>
      </c>
      <c r="M18427" s="3">
        <v>31</v>
      </c>
      <c r="N18427" s="3">
        <v>0</v>
      </c>
      <c r="O18427" s="3" t="s">
        <v>10</v>
      </c>
      <c r="P18427" s="3" t="s">
        <v>9</v>
      </c>
      <c r="Q18427" s="3"/>
    </row>
    <row r="18428" spans="1:17" ht="15" x14ac:dyDescent="0.25">
      <c r="A18428" s="3">
        <f>18421</f>
        <v>18421</v>
      </c>
      <c r="B18428" s="3" t="s">
        <v>18430</v>
      </c>
      <c r="C18428" s="3" t="s">
        <v>10</v>
      </c>
      <c r="D18428" s="3" t="s">
        <v>9</v>
      </c>
      <c r="E18428" s="3">
        <v>0</v>
      </c>
      <c r="F18428" s="3">
        <v>0</v>
      </c>
      <c r="G18428" s="3">
        <v>0</v>
      </c>
      <c r="H18428" s="3">
        <v>31</v>
      </c>
      <c r="I18428" s="3">
        <v>0</v>
      </c>
      <c r="J18428" s="3">
        <v>0</v>
      </c>
      <c r="K18428" s="3">
        <v>0</v>
      </c>
      <c r="L18428" s="3">
        <v>0</v>
      </c>
      <c r="M18428" s="3">
        <v>31</v>
      </c>
      <c r="N18428" s="3">
        <v>0</v>
      </c>
      <c r="O18428" s="3" t="s">
        <v>10</v>
      </c>
      <c r="P18428" s="3" t="s">
        <v>9</v>
      </c>
      <c r="Q18428" s="3"/>
    </row>
    <row r="18429" spans="1:17" ht="15" x14ac:dyDescent="0.25">
      <c r="A18429" s="3">
        <f>18422</f>
        <v>18422</v>
      </c>
      <c r="B18429" s="3" t="s">
        <v>18431</v>
      </c>
      <c r="C18429" s="3" t="s">
        <v>10</v>
      </c>
      <c r="D18429" s="3" t="s">
        <v>9</v>
      </c>
      <c r="E18429" s="3">
        <v>0</v>
      </c>
      <c r="F18429" s="3">
        <v>0</v>
      </c>
      <c r="G18429" s="3">
        <v>0</v>
      </c>
      <c r="H18429" s="3">
        <v>31</v>
      </c>
      <c r="I18429" s="3">
        <v>0</v>
      </c>
      <c r="J18429" s="3">
        <v>0</v>
      </c>
      <c r="K18429" s="3">
        <v>0</v>
      </c>
      <c r="L18429" s="3">
        <v>0</v>
      </c>
      <c r="M18429" s="3">
        <v>31</v>
      </c>
      <c r="N18429" s="3">
        <v>0</v>
      </c>
      <c r="O18429" s="3" t="s">
        <v>10</v>
      </c>
      <c r="P18429" s="3" t="s">
        <v>9</v>
      </c>
      <c r="Q18429" s="3"/>
    </row>
    <row r="18430" spans="1:17" ht="15" x14ac:dyDescent="0.25">
      <c r="A18430" s="3">
        <f>18423</f>
        <v>18423</v>
      </c>
      <c r="B18430" s="3" t="s">
        <v>18432</v>
      </c>
      <c r="C18430" s="3" t="s">
        <v>10</v>
      </c>
      <c r="D18430" s="3" t="s">
        <v>9</v>
      </c>
      <c r="E18430" s="3">
        <v>0</v>
      </c>
      <c r="F18430" s="3">
        <v>0</v>
      </c>
      <c r="G18430" s="3">
        <v>0</v>
      </c>
      <c r="H18430" s="3">
        <v>31</v>
      </c>
      <c r="I18430" s="3">
        <v>0</v>
      </c>
      <c r="J18430" s="3">
        <v>0</v>
      </c>
      <c r="K18430" s="3">
        <v>0</v>
      </c>
      <c r="L18430" s="3">
        <v>0</v>
      </c>
      <c r="M18430" s="3">
        <v>31</v>
      </c>
      <c r="N18430" s="3">
        <v>0</v>
      </c>
      <c r="O18430" s="3" t="s">
        <v>10</v>
      </c>
      <c r="P18430" s="3" t="s">
        <v>9</v>
      </c>
      <c r="Q18430" s="3"/>
    </row>
    <row r="18431" spans="1:17" ht="15" x14ac:dyDescent="0.25">
      <c r="A18431" s="3">
        <f>18424</f>
        <v>18424</v>
      </c>
      <c r="B18431" s="3" t="s">
        <v>18433</v>
      </c>
      <c r="C18431" s="3" t="s">
        <v>10</v>
      </c>
      <c r="D18431" s="3" t="s">
        <v>9</v>
      </c>
      <c r="E18431" s="3">
        <v>0</v>
      </c>
      <c r="F18431" s="3">
        <v>0</v>
      </c>
      <c r="G18431" s="3">
        <v>0</v>
      </c>
      <c r="H18431" s="3">
        <v>31</v>
      </c>
      <c r="I18431" s="3">
        <v>0</v>
      </c>
      <c r="J18431" s="3">
        <v>0</v>
      </c>
      <c r="K18431" s="3">
        <v>0</v>
      </c>
      <c r="L18431" s="3">
        <v>0</v>
      </c>
      <c r="M18431" s="3">
        <v>31</v>
      </c>
      <c r="N18431" s="3">
        <v>0</v>
      </c>
      <c r="O18431" s="3" t="s">
        <v>10</v>
      </c>
      <c r="P18431" s="3" t="s">
        <v>9</v>
      </c>
      <c r="Q18431" s="3"/>
    </row>
    <row r="18432" spans="1:17" ht="15" x14ac:dyDescent="0.25">
      <c r="A18432" s="3">
        <f>18425</f>
        <v>18425</v>
      </c>
      <c r="B18432" s="3" t="s">
        <v>18434</v>
      </c>
      <c r="C18432" s="3" t="s">
        <v>10</v>
      </c>
      <c r="D18432" s="3" t="s">
        <v>9</v>
      </c>
      <c r="E18432" s="3">
        <v>0</v>
      </c>
      <c r="F18432" s="3">
        <v>0</v>
      </c>
      <c r="G18432" s="3">
        <v>0</v>
      </c>
      <c r="H18432" s="3">
        <v>31</v>
      </c>
      <c r="I18432" s="3">
        <v>0</v>
      </c>
      <c r="J18432" s="3">
        <v>0</v>
      </c>
      <c r="K18432" s="3">
        <v>0</v>
      </c>
      <c r="L18432" s="3">
        <v>0</v>
      </c>
      <c r="M18432" s="3">
        <v>31</v>
      </c>
      <c r="N18432" s="3">
        <v>0</v>
      </c>
      <c r="O18432" s="3" t="s">
        <v>10</v>
      </c>
      <c r="P18432" s="3" t="s">
        <v>9</v>
      </c>
      <c r="Q18432" s="3"/>
    </row>
    <row r="18433" spans="1:17" ht="15" x14ac:dyDescent="0.25">
      <c r="A18433" s="3">
        <f>18426</f>
        <v>18426</v>
      </c>
      <c r="B18433" s="3" t="s">
        <v>18435</v>
      </c>
      <c r="C18433" s="3" t="s">
        <v>10</v>
      </c>
      <c r="D18433" s="3" t="s">
        <v>9</v>
      </c>
      <c r="E18433" s="3">
        <v>0</v>
      </c>
      <c r="F18433" s="3">
        <v>0</v>
      </c>
      <c r="G18433" s="3">
        <v>0</v>
      </c>
      <c r="H18433" s="3">
        <v>31</v>
      </c>
      <c r="I18433" s="3">
        <v>0</v>
      </c>
      <c r="J18433" s="3">
        <v>0</v>
      </c>
      <c r="K18433" s="3">
        <v>0</v>
      </c>
      <c r="L18433" s="3">
        <v>0</v>
      </c>
      <c r="M18433" s="3">
        <v>31</v>
      </c>
      <c r="N18433" s="3">
        <v>0</v>
      </c>
      <c r="O18433" s="3" t="s">
        <v>10</v>
      </c>
      <c r="P18433" s="3" t="s">
        <v>9</v>
      </c>
      <c r="Q18433" s="3"/>
    </row>
    <row r="18434" spans="1:17" ht="15" x14ac:dyDescent="0.25">
      <c r="A18434" s="3">
        <f>18427</f>
        <v>18427</v>
      </c>
      <c r="B18434" s="3" t="s">
        <v>18436</v>
      </c>
      <c r="C18434" s="3" t="s">
        <v>10</v>
      </c>
      <c r="D18434" s="3" t="s">
        <v>9</v>
      </c>
      <c r="E18434" s="3">
        <v>0</v>
      </c>
      <c r="F18434" s="3">
        <v>0</v>
      </c>
      <c r="G18434" s="3">
        <v>0</v>
      </c>
      <c r="H18434" s="3">
        <v>31</v>
      </c>
      <c r="I18434" s="3">
        <v>0</v>
      </c>
      <c r="J18434" s="3">
        <v>0</v>
      </c>
      <c r="K18434" s="3">
        <v>0</v>
      </c>
      <c r="L18434" s="3">
        <v>0</v>
      </c>
      <c r="M18434" s="3">
        <v>31</v>
      </c>
      <c r="N18434" s="3">
        <v>0</v>
      </c>
      <c r="O18434" s="3" t="s">
        <v>10</v>
      </c>
      <c r="P18434" s="3" t="s">
        <v>9</v>
      </c>
      <c r="Q18434" s="3"/>
    </row>
    <row r="18435" spans="1:17" ht="15" x14ac:dyDescent="0.25">
      <c r="A18435" s="3">
        <f>18428</f>
        <v>18428</v>
      </c>
      <c r="B18435" s="3" t="s">
        <v>18437</v>
      </c>
      <c r="C18435" s="3" t="s">
        <v>10</v>
      </c>
      <c r="D18435" s="3" t="s">
        <v>9</v>
      </c>
      <c r="E18435" s="3">
        <v>0</v>
      </c>
      <c r="F18435" s="3">
        <v>0</v>
      </c>
      <c r="G18435" s="3">
        <v>0</v>
      </c>
      <c r="H18435" s="3">
        <v>31</v>
      </c>
      <c r="I18435" s="3">
        <v>0</v>
      </c>
      <c r="J18435" s="3">
        <v>0</v>
      </c>
      <c r="K18435" s="3">
        <v>0</v>
      </c>
      <c r="L18435" s="3">
        <v>0</v>
      </c>
      <c r="M18435" s="3">
        <v>31</v>
      </c>
      <c r="N18435" s="3">
        <v>0</v>
      </c>
      <c r="O18435" s="3" t="s">
        <v>10</v>
      </c>
      <c r="P18435" s="3" t="s">
        <v>9</v>
      </c>
      <c r="Q18435" s="3"/>
    </row>
    <row r="18436" spans="1:17" ht="15" x14ac:dyDescent="0.25">
      <c r="A18436" s="3">
        <f>18429</f>
        <v>18429</v>
      </c>
      <c r="B18436" s="3" t="s">
        <v>18438</v>
      </c>
      <c r="C18436" s="3" t="s">
        <v>10</v>
      </c>
      <c r="D18436" s="3" t="s">
        <v>9</v>
      </c>
      <c r="E18436" s="3">
        <v>0</v>
      </c>
      <c r="F18436" s="3">
        <v>0</v>
      </c>
      <c r="G18436" s="3">
        <v>0</v>
      </c>
      <c r="H18436" s="3">
        <v>31</v>
      </c>
      <c r="I18436" s="3">
        <v>0</v>
      </c>
      <c r="J18436" s="3">
        <v>0</v>
      </c>
      <c r="K18436" s="3">
        <v>0</v>
      </c>
      <c r="L18436" s="3">
        <v>0</v>
      </c>
      <c r="M18436" s="3">
        <v>31</v>
      </c>
      <c r="N18436" s="3">
        <v>0</v>
      </c>
      <c r="O18436" s="3" t="s">
        <v>10</v>
      </c>
      <c r="P18436" s="3" t="s">
        <v>9</v>
      </c>
      <c r="Q18436" s="3"/>
    </row>
    <row r="18437" spans="1:17" ht="15" x14ac:dyDescent="0.25">
      <c r="A18437" s="3">
        <f>18430</f>
        <v>18430</v>
      </c>
      <c r="B18437" s="3" t="s">
        <v>18439</v>
      </c>
      <c r="C18437" s="3" t="s">
        <v>10</v>
      </c>
      <c r="D18437" s="3" t="s">
        <v>9</v>
      </c>
      <c r="E18437" s="3">
        <v>0</v>
      </c>
      <c r="F18437" s="3">
        <v>0</v>
      </c>
      <c r="G18437" s="3">
        <v>0</v>
      </c>
      <c r="H18437" s="3">
        <v>31</v>
      </c>
      <c r="I18437" s="3">
        <v>0</v>
      </c>
      <c r="J18437" s="3">
        <v>0</v>
      </c>
      <c r="K18437" s="3">
        <v>0</v>
      </c>
      <c r="L18437" s="3">
        <v>0</v>
      </c>
      <c r="M18437" s="3">
        <v>31</v>
      </c>
      <c r="N18437" s="3">
        <v>0</v>
      </c>
      <c r="O18437" s="3" t="s">
        <v>10</v>
      </c>
      <c r="P18437" s="3" t="s">
        <v>9</v>
      </c>
      <c r="Q18437" s="3"/>
    </row>
    <row r="18438" spans="1:17" ht="15" x14ac:dyDescent="0.25">
      <c r="A18438" s="3">
        <f>18431</f>
        <v>18431</v>
      </c>
      <c r="B18438" s="3" t="s">
        <v>18440</v>
      </c>
      <c r="C18438" s="3" t="s">
        <v>10</v>
      </c>
      <c r="D18438" s="3" t="s">
        <v>9</v>
      </c>
      <c r="E18438" s="3">
        <v>0</v>
      </c>
      <c r="F18438" s="3">
        <v>0</v>
      </c>
      <c r="G18438" s="3">
        <v>0</v>
      </c>
      <c r="H18438" s="3">
        <v>31</v>
      </c>
      <c r="I18438" s="3">
        <v>0</v>
      </c>
      <c r="J18438" s="3">
        <v>0</v>
      </c>
      <c r="K18438" s="3">
        <v>0</v>
      </c>
      <c r="L18438" s="3">
        <v>0</v>
      </c>
      <c r="M18438" s="3">
        <v>31</v>
      </c>
      <c r="N18438" s="3">
        <v>0</v>
      </c>
      <c r="O18438" s="3" t="s">
        <v>10</v>
      </c>
      <c r="P18438" s="3" t="s">
        <v>9</v>
      </c>
      <c r="Q18438" s="3"/>
    </row>
    <row r="18439" spans="1:17" ht="15" x14ac:dyDescent="0.25">
      <c r="A18439" s="3">
        <f>18432</f>
        <v>18432</v>
      </c>
      <c r="B18439" s="3" t="s">
        <v>18441</v>
      </c>
      <c r="C18439" s="3" t="s">
        <v>10</v>
      </c>
      <c r="D18439" s="3" t="s">
        <v>9</v>
      </c>
      <c r="E18439" s="3">
        <v>0</v>
      </c>
      <c r="F18439" s="3">
        <v>0</v>
      </c>
      <c r="G18439" s="3">
        <v>0</v>
      </c>
      <c r="H18439" s="3">
        <v>31</v>
      </c>
      <c r="I18439" s="3">
        <v>0</v>
      </c>
      <c r="J18439" s="3">
        <v>0</v>
      </c>
      <c r="K18439" s="3">
        <v>0</v>
      </c>
      <c r="L18439" s="3">
        <v>0</v>
      </c>
      <c r="M18439" s="3">
        <v>31</v>
      </c>
      <c r="N18439" s="3">
        <v>0</v>
      </c>
      <c r="O18439" s="3" t="s">
        <v>10</v>
      </c>
      <c r="P18439" s="3" t="s">
        <v>9</v>
      </c>
      <c r="Q18439" s="3"/>
    </row>
    <row r="18440" spans="1:17" ht="15" x14ac:dyDescent="0.25">
      <c r="A18440" s="3">
        <f>18433</f>
        <v>18433</v>
      </c>
      <c r="B18440" s="3" t="s">
        <v>18442</v>
      </c>
      <c r="C18440" s="3" t="s">
        <v>10</v>
      </c>
      <c r="D18440" s="3" t="s">
        <v>9</v>
      </c>
      <c r="E18440" s="3">
        <v>0</v>
      </c>
      <c r="F18440" s="3">
        <v>0</v>
      </c>
      <c r="G18440" s="3">
        <v>0</v>
      </c>
      <c r="H18440" s="3">
        <v>31</v>
      </c>
      <c r="I18440" s="3">
        <v>0</v>
      </c>
      <c r="J18440" s="3">
        <v>0</v>
      </c>
      <c r="K18440" s="3">
        <v>0</v>
      </c>
      <c r="L18440" s="3">
        <v>0</v>
      </c>
      <c r="M18440" s="3">
        <v>31</v>
      </c>
      <c r="N18440" s="3">
        <v>0</v>
      </c>
      <c r="O18440" s="3" t="s">
        <v>10</v>
      </c>
      <c r="P18440" s="3" t="s">
        <v>9</v>
      </c>
      <c r="Q18440" s="3"/>
    </row>
    <row r="18441" spans="1:17" ht="15" x14ac:dyDescent="0.25">
      <c r="A18441" s="3">
        <f>18434</f>
        <v>18434</v>
      </c>
      <c r="B18441" s="3" t="s">
        <v>18443</v>
      </c>
      <c r="C18441" s="3" t="s">
        <v>10</v>
      </c>
      <c r="D18441" s="3" t="s">
        <v>9</v>
      </c>
      <c r="E18441" s="3">
        <v>0</v>
      </c>
      <c r="F18441" s="3">
        <v>0</v>
      </c>
      <c r="G18441" s="3">
        <v>0</v>
      </c>
      <c r="H18441" s="3">
        <v>31</v>
      </c>
      <c r="I18441" s="3">
        <v>0</v>
      </c>
      <c r="J18441" s="3">
        <v>0</v>
      </c>
      <c r="K18441" s="3">
        <v>0</v>
      </c>
      <c r="L18441" s="3">
        <v>0</v>
      </c>
      <c r="M18441" s="3">
        <v>31</v>
      </c>
      <c r="N18441" s="3">
        <v>0</v>
      </c>
      <c r="O18441" s="3" t="s">
        <v>10</v>
      </c>
      <c r="P18441" s="3" t="s">
        <v>9</v>
      </c>
      <c r="Q18441" s="3"/>
    </row>
    <row r="18442" spans="1:17" ht="15" x14ac:dyDescent="0.25">
      <c r="A18442" s="3">
        <f>18435</f>
        <v>18435</v>
      </c>
      <c r="B18442" s="3" t="s">
        <v>18444</v>
      </c>
      <c r="C18442" s="3" t="s">
        <v>10</v>
      </c>
      <c r="D18442" s="3" t="s">
        <v>9</v>
      </c>
      <c r="E18442" s="3">
        <v>0</v>
      </c>
      <c r="F18442" s="3">
        <v>0</v>
      </c>
      <c r="G18442" s="3">
        <v>0</v>
      </c>
      <c r="H18442" s="3">
        <v>31</v>
      </c>
      <c r="I18442" s="3">
        <v>0</v>
      </c>
      <c r="J18442" s="3">
        <v>0</v>
      </c>
      <c r="K18442" s="3">
        <v>0</v>
      </c>
      <c r="L18442" s="3">
        <v>0</v>
      </c>
      <c r="M18442" s="3">
        <v>31</v>
      </c>
      <c r="N18442" s="3">
        <v>0</v>
      </c>
      <c r="O18442" s="3" t="s">
        <v>10</v>
      </c>
      <c r="P18442" s="3" t="s">
        <v>9</v>
      </c>
      <c r="Q18442" s="3"/>
    </row>
    <row r="18443" spans="1:17" ht="15" x14ac:dyDescent="0.25">
      <c r="A18443" s="3">
        <f>18436</f>
        <v>18436</v>
      </c>
      <c r="B18443" s="3" t="s">
        <v>18445</v>
      </c>
      <c r="C18443" s="3" t="s">
        <v>10</v>
      </c>
      <c r="D18443" s="3" t="s">
        <v>9</v>
      </c>
      <c r="E18443" s="3">
        <v>0</v>
      </c>
      <c r="F18443" s="3">
        <v>0</v>
      </c>
      <c r="G18443" s="3">
        <v>0</v>
      </c>
      <c r="H18443" s="3">
        <v>31</v>
      </c>
      <c r="I18443" s="3">
        <v>0</v>
      </c>
      <c r="J18443" s="3">
        <v>0</v>
      </c>
      <c r="K18443" s="3">
        <v>0</v>
      </c>
      <c r="L18443" s="3">
        <v>0</v>
      </c>
      <c r="M18443" s="3">
        <v>31</v>
      </c>
      <c r="N18443" s="3">
        <v>0</v>
      </c>
      <c r="O18443" s="3" t="s">
        <v>10</v>
      </c>
      <c r="P18443" s="3" t="s">
        <v>9</v>
      </c>
      <c r="Q18443" s="3"/>
    </row>
    <row r="18444" spans="1:17" ht="15" x14ac:dyDescent="0.25">
      <c r="A18444" s="3">
        <f>18437</f>
        <v>18437</v>
      </c>
      <c r="B18444" s="3" t="s">
        <v>18446</v>
      </c>
      <c r="C18444" s="3" t="s">
        <v>10</v>
      </c>
      <c r="D18444" s="3" t="s">
        <v>9</v>
      </c>
      <c r="E18444" s="3">
        <v>0</v>
      </c>
      <c r="F18444" s="3">
        <v>0</v>
      </c>
      <c r="G18444" s="3">
        <v>0</v>
      </c>
      <c r="H18444" s="3">
        <v>31</v>
      </c>
      <c r="I18444" s="3">
        <v>0</v>
      </c>
      <c r="J18444" s="3">
        <v>0</v>
      </c>
      <c r="K18444" s="3">
        <v>0</v>
      </c>
      <c r="L18444" s="3">
        <v>0</v>
      </c>
      <c r="M18444" s="3">
        <v>31</v>
      </c>
      <c r="N18444" s="3">
        <v>0</v>
      </c>
      <c r="O18444" s="3" t="s">
        <v>10</v>
      </c>
      <c r="P18444" s="3" t="s">
        <v>9</v>
      </c>
      <c r="Q18444" s="3"/>
    </row>
    <row r="18445" spans="1:17" ht="15" x14ac:dyDescent="0.25">
      <c r="A18445" s="3">
        <f>18438</f>
        <v>18438</v>
      </c>
      <c r="B18445" s="3" t="s">
        <v>18447</v>
      </c>
      <c r="C18445" s="3" t="s">
        <v>10</v>
      </c>
      <c r="D18445" s="3" t="s">
        <v>9</v>
      </c>
      <c r="E18445" s="3">
        <v>0</v>
      </c>
      <c r="F18445" s="3">
        <v>0</v>
      </c>
      <c r="G18445" s="3">
        <v>0</v>
      </c>
      <c r="H18445" s="3">
        <v>31</v>
      </c>
      <c r="I18445" s="3">
        <v>0</v>
      </c>
      <c r="J18445" s="3">
        <v>0</v>
      </c>
      <c r="K18445" s="3">
        <v>0</v>
      </c>
      <c r="L18445" s="3">
        <v>0</v>
      </c>
      <c r="M18445" s="3">
        <v>31</v>
      </c>
      <c r="N18445" s="3">
        <v>0</v>
      </c>
      <c r="O18445" s="3" t="s">
        <v>10</v>
      </c>
      <c r="P18445" s="3" t="s">
        <v>9</v>
      </c>
      <c r="Q18445" s="3"/>
    </row>
    <row r="18446" spans="1:17" ht="15" x14ac:dyDescent="0.25">
      <c r="A18446" s="3">
        <f>18439</f>
        <v>18439</v>
      </c>
      <c r="B18446" s="3" t="s">
        <v>18448</v>
      </c>
      <c r="C18446" s="3" t="s">
        <v>10</v>
      </c>
      <c r="D18446" s="3" t="s">
        <v>9</v>
      </c>
      <c r="E18446" s="3">
        <v>0</v>
      </c>
      <c r="F18446" s="3">
        <v>0</v>
      </c>
      <c r="G18446" s="3">
        <v>0</v>
      </c>
      <c r="H18446" s="3">
        <v>31</v>
      </c>
      <c r="I18446" s="3">
        <v>0</v>
      </c>
      <c r="J18446" s="3">
        <v>0</v>
      </c>
      <c r="K18446" s="3">
        <v>0</v>
      </c>
      <c r="L18446" s="3">
        <v>0</v>
      </c>
      <c r="M18446" s="3">
        <v>31</v>
      </c>
      <c r="N18446" s="3">
        <v>0</v>
      </c>
      <c r="O18446" s="3" t="s">
        <v>10</v>
      </c>
      <c r="P18446" s="3" t="s">
        <v>9</v>
      </c>
      <c r="Q18446" s="3"/>
    </row>
    <row r="18447" spans="1:17" ht="15" x14ac:dyDescent="0.25">
      <c r="A18447" s="3">
        <f>18440</f>
        <v>18440</v>
      </c>
      <c r="B18447" s="3" t="s">
        <v>18449</v>
      </c>
      <c r="C18447" s="3" t="s">
        <v>10</v>
      </c>
      <c r="D18447" s="3" t="s">
        <v>9</v>
      </c>
      <c r="E18447" s="3">
        <v>0</v>
      </c>
      <c r="F18447" s="3">
        <v>0</v>
      </c>
      <c r="G18447" s="3">
        <v>0</v>
      </c>
      <c r="H18447" s="3">
        <v>31</v>
      </c>
      <c r="I18447" s="3">
        <v>0</v>
      </c>
      <c r="J18447" s="3">
        <v>0</v>
      </c>
      <c r="K18447" s="3">
        <v>0</v>
      </c>
      <c r="L18447" s="3">
        <v>0</v>
      </c>
      <c r="M18447" s="3">
        <v>31</v>
      </c>
      <c r="N18447" s="3">
        <v>0</v>
      </c>
      <c r="O18447" s="3" t="s">
        <v>10</v>
      </c>
      <c r="P18447" s="3" t="s">
        <v>9</v>
      </c>
      <c r="Q18447" s="3"/>
    </row>
    <row r="18448" spans="1:17" ht="15" x14ac:dyDescent="0.25">
      <c r="A18448" s="3">
        <f>18441</f>
        <v>18441</v>
      </c>
      <c r="B18448" s="3" t="s">
        <v>18450</v>
      </c>
      <c r="C18448" s="3" t="s">
        <v>10</v>
      </c>
      <c r="D18448" s="3" t="s">
        <v>9</v>
      </c>
      <c r="E18448" s="3">
        <v>0</v>
      </c>
      <c r="F18448" s="3">
        <v>0</v>
      </c>
      <c r="G18448" s="3">
        <v>0</v>
      </c>
      <c r="H18448" s="3">
        <v>31</v>
      </c>
      <c r="I18448" s="3">
        <v>0</v>
      </c>
      <c r="J18448" s="3">
        <v>0</v>
      </c>
      <c r="K18448" s="3">
        <v>0</v>
      </c>
      <c r="L18448" s="3">
        <v>0</v>
      </c>
      <c r="M18448" s="3">
        <v>31</v>
      </c>
      <c r="N18448" s="3">
        <v>0</v>
      </c>
      <c r="O18448" s="3" t="s">
        <v>10</v>
      </c>
      <c r="P18448" s="3" t="s">
        <v>9</v>
      </c>
      <c r="Q18448" s="3"/>
    </row>
    <row r="18449" spans="1:17" ht="15" x14ac:dyDescent="0.25">
      <c r="A18449" s="3">
        <f>18442</f>
        <v>18442</v>
      </c>
      <c r="B18449" s="3" t="s">
        <v>18451</v>
      </c>
      <c r="C18449" s="3" t="s">
        <v>10</v>
      </c>
      <c r="D18449" s="3" t="s">
        <v>9</v>
      </c>
      <c r="E18449" s="3">
        <v>0</v>
      </c>
      <c r="F18449" s="3">
        <v>0</v>
      </c>
      <c r="G18449" s="3">
        <v>0</v>
      </c>
      <c r="H18449" s="3">
        <v>31</v>
      </c>
      <c r="I18449" s="3">
        <v>0</v>
      </c>
      <c r="J18449" s="3">
        <v>0</v>
      </c>
      <c r="K18449" s="3">
        <v>0</v>
      </c>
      <c r="L18449" s="3">
        <v>0</v>
      </c>
      <c r="M18449" s="3">
        <v>31</v>
      </c>
      <c r="N18449" s="3">
        <v>0</v>
      </c>
      <c r="O18449" s="3" t="s">
        <v>10</v>
      </c>
      <c r="P18449" s="3" t="s">
        <v>9</v>
      </c>
      <c r="Q18449" s="3"/>
    </row>
    <row r="18450" spans="1:17" ht="15" x14ac:dyDescent="0.25">
      <c r="A18450" s="3">
        <f>18443</f>
        <v>18443</v>
      </c>
      <c r="B18450" s="3" t="s">
        <v>18452</v>
      </c>
      <c r="C18450" s="3" t="s">
        <v>10</v>
      </c>
      <c r="D18450" s="3" t="s">
        <v>9</v>
      </c>
      <c r="E18450" s="3">
        <v>0</v>
      </c>
      <c r="F18450" s="3">
        <v>0</v>
      </c>
      <c r="G18450" s="3">
        <v>0</v>
      </c>
      <c r="H18450" s="3">
        <v>31</v>
      </c>
      <c r="I18450" s="3">
        <v>0</v>
      </c>
      <c r="J18450" s="3">
        <v>0</v>
      </c>
      <c r="K18450" s="3">
        <v>0</v>
      </c>
      <c r="L18450" s="3">
        <v>0</v>
      </c>
      <c r="M18450" s="3">
        <v>31</v>
      </c>
      <c r="N18450" s="3">
        <v>0</v>
      </c>
      <c r="O18450" s="3" t="s">
        <v>10</v>
      </c>
      <c r="P18450" s="3" t="s">
        <v>9</v>
      </c>
      <c r="Q18450" s="3"/>
    </row>
    <row r="18451" spans="1:17" ht="15" x14ac:dyDescent="0.25">
      <c r="A18451" s="3">
        <f>18444</f>
        <v>18444</v>
      </c>
      <c r="B18451" s="3" t="s">
        <v>18453</v>
      </c>
      <c r="C18451" s="3" t="s">
        <v>10</v>
      </c>
      <c r="D18451" s="3" t="s">
        <v>9</v>
      </c>
      <c r="E18451" s="3">
        <v>0</v>
      </c>
      <c r="F18451" s="3">
        <v>0</v>
      </c>
      <c r="G18451" s="3">
        <v>0</v>
      </c>
      <c r="H18451" s="3">
        <v>31</v>
      </c>
      <c r="I18451" s="3">
        <v>0</v>
      </c>
      <c r="J18451" s="3">
        <v>0</v>
      </c>
      <c r="K18451" s="3">
        <v>0</v>
      </c>
      <c r="L18451" s="3">
        <v>0</v>
      </c>
      <c r="M18451" s="3">
        <v>31</v>
      </c>
      <c r="N18451" s="3">
        <v>0</v>
      </c>
      <c r="O18451" s="3" t="s">
        <v>10</v>
      </c>
      <c r="P18451" s="3" t="s">
        <v>9</v>
      </c>
      <c r="Q18451" s="3"/>
    </row>
    <row r="18452" spans="1:17" ht="15" x14ac:dyDescent="0.25">
      <c r="A18452" s="3">
        <f>18445</f>
        <v>18445</v>
      </c>
      <c r="B18452" s="3" t="s">
        <v>18454</v>
      </c>
      <c r="C18452" s="3" t="s">
        <v>10</v>
      </c>
      <c r="D18452" s="3" t="s">
        <v>9</v>
      </c>
      <c r="E18452" s="3">
        <v>0</v>
      </c>
      <c r="F18452" s="3">
        <v>0</v>
      </c>
      <c r="G18452" s="3">
        <v>0</v>
      </c>
      <c r="H18452" s="3">
        <v>31</v>
      </c>
      <c r="I18452" s="3">
        <v>0</v>
      </c>
      <c r="J18452" s="3">
        <v>0</v>
      </c>
      <c r="K18452" s="3">
        <v>0</v>
      </c>
      <c r="L18452" s="3">
        <v>0</v>
      </c>
      <c r="M18452" s="3">
        <v>31</v>
      </c>
      <c r="N18452" s="3">
        <v>0</v>
      </c>
      <c r="O18452" s="3" t="s">
        <v>10</v>
      </c>
      <c r="P18452" s="3" t="s">
        <v>9</v>
      </c>
      <c r="Q18452" s="3"/>
    </row>
    <row r="18453" spans="1:17" ht="15" x14ac:dyDescent="0.25">
      <c r="A18453" s="3">
        <f>18446</f>
        <v>18446</v>
      </c>
      <c r="B18453" s="3" t="s">
        <v>18455</v>
      </c>
      <c r="C18453" s="3" t="s">
        <v>10</v>
      </c>
      <c r="D18453" s="3" t="s">
        <v>9</v>
      </c>
      <c r="E18453" s="3">
        <v>0</v>
      </c>
      <c r="F18453" s="3">
        <v>0</v>
      </c>
      <c r="G18453" s="3">
        <v>0</v>
      </c>
      <c r="H18453" s="3">
        <v>31</v>
      </c>
      <c r="I18453" s="3">
        <v>0</v>
      </c>
      <c r="J18453" s="3">
        <v>0</v>
      </c>
      <c r="K18453" s="3">
        <v>0</v>
      </c>
      <c r="L18453" s="3">
        <v>0</v>
      </c>
      <c r="M18453" s="3">
        <v>31</v>
      </c>
      <c r="N18453" s="3">
        <v>0</v>
      </c>
      <c r="O18453" s="3" t="s">
        <v>10</v>
      </c>
      <c r="P18453" s="3" t="s">
        <v>9</v>
      </c>
      <c r="Q18453" s="3"/>
    </row>
    <row r="18454" spans="1:17" ht="15" x14ac:dyDescent="0.25">
      <c r="A18454" s="3">
        <f>18447</f>
        <v>18447</v>
      </c>
      <c r="B18454" s="3" t="s">
        <v>18456</v>
      </c>
      <c r="C18454" s="3" t="s">
        <v>10</v>
      </c>
      <c r="D18454" s="3" t="s">
        <v>9</v>
      </c>
      <c r="E18454" s="3">
        <v>0</v>
      </c>
      <c r="F18454" s="3">
        <v>0</v>
      </c>
      <c r="G18454" s="3">
        <v>0</v>
      </c>
      <c r="H18454" s="3">
        <v>31</v>
      </c>
      <c r="I18454" s="3">
        <v>0</v>
      </c>
      <c r="J18454" s="3">
        <v>0</v>
      </c>
      <c r="K18454" s="3">
        <v>0</v>
      </c>
      <c r="L18454" s="3">
        <v>0</v>
      </c>
      <c r="M18454" s="3">
        <v>31</v>
      </c>
      <c r="N18454" s="3">
        <v>0</v>
      </c>
      <c r="O18454" s="3" t="s">
        <v>10</v>
      </c>
      <c r="P18454" s="3" t="s">
        <v>9</v>
      </c>
      <c r="Q18454" s="3"/>
    </row>
    <row r="18455" spans="1:17" ht="15" x14ac:dyDescent="0.25">
      <c r="A18455" s="3">
        <f>18448</f>
        <v>18448</v>
      </c>
      <c r="B18455" s="3" t="s">
        <v>18457</v>
      </c>
      <c r="C18455" s="3" t="s">
        <v>10</v>
      </c>
      <c r="D18455" s="3" t="s">
        <v>9</v>
      </c>
      <c r="E18455" s="3">
        <v>0</v>
      </c>
      <c r="F18455" s="3">
        <v>0</v>
      </c>
      <c r="G18455" s="3">
        <v>0</v>
      </c>
      <c r="H18455" s="3">
        <v>31</v>
      </c>
      <c r="I18455" s="3">
        <v>0</v>
      </c>
      <c r="J18455" s="3">
        <v>0</v>
      </c>
      <c r="K18455" s="3">
        <v>0</v>
      </c>
      <c r="L18455" s="3">
        <v>0</v>
      </c>
      <c r="M18455" s="3">
        <v>31</v>
      </c>
      <c r="N18455" s="3">
        <v>0</v>
      </c>
      <c r="O18455" s="3" t="s">
        <v>10</v>
      </c>
      <c r="P18455" s="3" t="s">
        <v>9</v>
      </c>
      <c r="Q18455" s="3"/>
    </row>
    <row r="18456" spans="1:17" ht="15" x14ac:dyDescent="0.25">
      <c r="A18456" s="3">
        <f>18449</f>
        <v>18449</v>
      </c>
      <c r="B18456" s="3" t="s">
        <v>18458</v>
      </c>
      <c r="C18456" s="3" t="s">
        <v>10</v>
      </c>
      <c r="D18456" s="3" t="s">
        <v>9</v>
      </c>
      <c r="E18456" s="3">
        <v>0</v>
      </c>
      <c r="F18456" s="3">
        <v>0</v>
      </c>
      <c r="G18456" s="3">
        <v>0</v>
      </c>
      <c r="H18456" s="3">
        <v>31</v>
      </c>
      <c r="I18456" s="3">
        <v>0</v>
      </c>
      <c r="J18456" s="3">
        <v>0</v>
      </c>
      <c r="K18456" s="3">
        <v>0</v>
      </c>
      <c r="L18456" s="3">
        <v>0</v>
      </c>
      <c r="M18456" s="3">
        <v>31</v>
      </c>
      <c r="N18456" s="3">
        <v>0</v>
      </c>
      <c r="O18456" s="3" t="s">
        <v>10</v>
      </c>
      <c r="P18456" s="3" t="s">
        <v>9</v>
      </c>
      <c r="Q18456" s="3"/>
    </row>
    <row r="18457" spans="1:17" ht="15" x14ac:dyDescent="0.25">
      <c r="A18457" s="3">
        <f>18450</f>
        <v>18450</v>
      </c>
      <c r="B18457" s="3" t="s">
        <v>18459</v>
      </c>
      <c r="C18457" s="3" t="s">
        <v>10</v>
      </c>
      <c r="D18457" s="3" t="s">
        <v>9</v>
      </c>
      <c r="E18457" s="3">
        <v>0</v>
      </c>
      <c r="F18457" s="3">
        <v>0</v>
      </c>
      <c r="G18457" s="3">
        <v>0</v>
      </c>
      <c r="H18457" s="3">
        <v>31</v>
      </c>
      <c r="I18457" s="3">
        <v>0</v>
      </c>
      <c r="J18457" s="3">
        <v>0</v>
      </c>
      <c r="K18457" s="3">
        <v>0</v>
      </c>
      <c r="L18457" s="3">
        <v>0</v>
      </c>
      <c r="M18457" s="3">
        <v>31</v>
      </c>
      <c r="N18457" s="3">
        <v>0</v>
      </c>
      <c r="O18457" s="3" t="s">
        <v>10</v>
      </c>
      <c r="P18457" s="3" t="s">
        <v>9</v>
      </c>
      <c r="Q18457" s="3"/>
    </row>
    <row r="18458" spans="1:17" ht="15" x14ac:dyDescent="0.25">
      <c r="A18458" s="3">
        <f>18451</f>
        <v>18451</v>
      </c>
      <c r="B18458" s="3" t="s">
        <v>18460</v>
      </c>
      <c r="C18458" s="3" t="s">
        <v>10</v>
      </c>
      <c r="D18458" s="3" t="s">
        <v>9</v>
      </c>
      <c r="E18458" s="3">
        <v>0</v>
      </c>
      <c r="F18458" s="3">
        <v>0</v>
      </c>
      <c r="G18458" s="3">
        <v>0</v>
      </c>
      <c r="H18458" s="3">
        <v>31</v>
      </c>
      <c r="I18458" s="3">
        <v>0</v>
      </c>
      <c r="J18458" s="3">
        <v>0</v>
      </c>
      <c r="K18458" s="3">
        <v>0</v>
      </c>
      <c r="L18458" s="3">
        <v>0</v>
      </c>
      <c r="M18458" s="3">
        <v>31</v>
      </c>
      <c r="N18458" s="3">
        <v>0</v>
      </c>
      <c r="O18458" s="3" t="s">
        <v>10</v>
      </c>
      <c r="P18458" s="3" t="s">
        <v>9</v>
      </c>
      <c r="Q18458" s="3"/>
    </row>
    <row r="18459" spans="1:17" ht="15" x14ac:dyDescent="0.25">
      <c r="A18459" s="3">
        <f>18452</f>
        <v>18452</v>
      </c>
      <c r="B18459" s="3" t="s">
        <v>18461</v>
      </c>
      <c r="C18459" s="3" t="s">
        <v>10</v>
      </c>
      <c r="D18459" s="3" t="s">
        <v>9</v>
      </c>
      <c r="E18459" s="3">
        <v>0</v>
      </c>
      <c r="F18459" s="3">
        <v>0</v>
      </c>
      <c r="G18459" s="3">
        <v>0</v>
      </c>
      <c r="H18459" s="3">
        <v>31</v>
      </c>
      <c r="I18459" s="3">
        <v>0</v>
      </c>
      <c r="J18459" s="3">
        <v>0</v>
      </c>
      <c r="K18459" s="3">
        <v>0</v>
      </c>
      <c r="L18459" s="3">
        <v>0</v>
      </c>
      <c r="M18459" s="3">
        <v>31</v>
      </c>
      <c r="N18459" s="3">
        <v>0</v>
      </c>
      <c r="O18459" s="3" t="s">
        <v>10</v>
      </c>
      <c r="P18459" s="3" t="s">
        <v>9</v>
      </c>
      <c r="Q18459" s="3"/>
    </row>
    <row r="18460" spans="1:17" ht="15" x14ac:dyDescent="0.25">
      <c r="A18460" s="3">
        <f>18453</f>
        <v>18453</v>
      </c>
      <c r="B18460" s="3" t="s">
        <v>18462</v>
      </c>
      <c r="C18460" s="3" t="s">
        <v>10</v>
      </c>
      <c r="D18460" s="3" t="s">
        <v>9</v>
      </c>
      <c r="E18460" s="3">
        <v>0</v>
      </c>
      <c r="F18460" s="3">
        <v>0</v>
      </c>
      <c r="G18460" s="3">
        <v>0</v>
      </c>
      <c r="H18460" s="3">
        <v>31</v>
      </c>
      <c r="I18460" s="3">
        <v>0</v>
      </c>
      <c r="J18460" s="3">
        <v>0</v>
      </c>
      <c r="K18460" s="3">
        <v>0</v>
      </c>
      <c r="L18460" s="3">
        <v>0</v>
      </c>
      <c r="M18460" s="3">
        <v>31</v>
      </c>
      <c r="N18460" s="3">
        <v>0</v>
      </c>
      <c r="O18460" s="3" t="s">
        <v>10</v>
      </c>
      <c r="P18460" s="3" t="s">
        <v>9</v>
      </c>
      <c r="Q18460" s="3"/>
    </row>
    <row r="18461" spans="1:17" ht="15" x14ac:dyDescent="0.25">
      <c r="A18461" s="3">
        <f>18454</f>
        <v>18454</v>
      </c>
      <c r="B18461" s="3" t="s">
        <v>18463</v>
      </c>
      <c r="C18461" s="3" t="s">
        <v>10</v>
      </c>
      <c r="D18461" s="3" t="s">
        <v>9</v>
      </c>
      <c r="E18461" s="3">
        <v>0</v>
      </c>
      <c r="F18461" s="3">
        <v>0</v>
      </c>
      <c r="G18461" s="3">
        <v>0</v>
      </c>
      <c r="H18461" s="3">
        <v>31</v>
      </c>
      <c r="I18461" s="3">
        <v>0</v>
      </c>
      <c r="J18461" s="3">
        <v>0</v>
      </c>
      <c r="K18461" s="3">
        <v>0</v>
      </c>
      <c r="L18461" s="3">
        <v>0</v>
      </c>
      <c r="M18461" s="3">
        <v>31</v>
      </c>
      <c r="N18461" s="3">
        <v>0</v>
      </c>
      <c r="O18461" s="3" t="s">
        <v>10</v>
      </c>
      <c r="P18461" s="3" t="s">
        <v>9</v>
      </c>
      <c r="Q18461" s="3"/>
    </row>
    <row r="18462" spans="1:17" ht="15" x14ac:dyDescent="0.25">
      <c r="A18462" s="3">
        <f>18455</f>
        <v>18455</v>
      </c>
      <c r="B18462" s="3" t="s">
        <v>18464</v>
      </c>
      <c r="C18462" s="3" t="s">
        <v>10</v>
      </c>
      <c r="D18462" s="3" t="s">
        <v>9</v>
      </c>
      <c r="E18462" s="3">
        <v>0</v>
      </c>
      <c r="F18462" s="3">
        <v>0</v>
      </c>
      <c r="G18462" s="3">
        <v>0</v>
      </c>
      <c r="H18462" s="3">
        <v>31</v>
      </c>
      <c r="I18462" s="3">
        <v>0</v>
      </c>
      <c r="J18462" s="3">
        <v>0</v>
      </c>
      <c r="K18462" s="3">
        <v>0</v>
      </c>
      <c r="L18462" s="3">
        <v>0</v>
      </c>
      <c r="M18462" s="3">
        <v>31</v>
      </c>
      <c r="N18462" s="3">
        <v>0</v>
      </c>
      <c r="O18462" s="3" t="s">
        <v>10</v>
      </c>
      <c r="P18462" s="3" t="s">
        <v>9</v>
      </c>
      <c r="Q18462" s="3"/>
    </row>
    <row r="18463" spans="1:17" ht="15" x14ac:dyDescent="0.25">
      <c r="A18463" s="3">
        <f>18456</f>
        <v>18456</v>
      </c>
      <c r="B18463" s="3" t="s">
        <v>18465</v>
      </c>
      <c r="C18463" s="3" t="s">
        <v>10</v>
      </c>
      <c r="D18463" s="3" t="s">
        <v>9</v>
      </c>
      <c r="E18463" s="3">
        <v>0</v>
      </c>
      <c r="F18463" s="3">
        <v>0</v>
      </c>
      <c r="G18463" s="3">
        <v>0</v>
      </c>
      <c r="H18463" s="3">
        <v>31</v>
      </c>
      <c r="I18463" s="3">
        <v>0</v>
      </c>
      <c r="J18463" s="3">
        <v>0</v>
      </c>
      <c r="K18463" s="3">
        <v>0</v>
      </c>
      <c r="L18463" s="3">
        <v>0</v>
      </c>
      <c r="M18463" s="3">
        <v>31</v>
      </c>
      <c r="N18463" s="3">
        <v>0</v>
      </c>
      <c r="O18463" s="3" t="s">
        <v>10</v>
      </c>
      <c r="P18463" s="3" t="s">
        <v>9</v>
      </c>
      <c r="Q18463" s="3"/>
    </row>
    <row r="18464" spans="1:17" ht="15" x14ac:dyDescent="0.25">
      <c r="A18464" s="3">
        <f>18457</f>
        <v>18457</v>
      </c>
      <c r="B18464" s="3" t="s">
        <v>18466</v>
      </c>
      <c r="C18464" s="3" t="s">
        <v>10</v>
      </c>
      <c r="D18464" s="3" t="s">
        <v>9</v>
      </c>
      <c r="E18464" s="3">
        <v>0</v>
      </c>
      <c r="F18464" s="3">
        <v>0</v>
      </c>
      <c r="G18464" s="3">
        <v>0</v>
      </c>
      <c r="H18464" s="3">
        <v>31</v>
      </c>
      <c r="I18464" s="3">
        <v>0</v>
      </c>
      <c r="J18464" s="3">
        <v>0</v>
      </c>
      <c r="K18464" s="3">
        <v>0</v>
      </c>
      <c r="L18464" s="3">
        <v>0</v>
      </c>
      <c r="M18464" s="3">
        <v>31</v>
      </c>
      <c r="N18464" s="3">
        <v>0</v>
      </c>
      <c r="O18464" s="3" t="s">
        <v>10</v>
      </c>
      <c r="P18464" s="3" t="s">
        <v>9</v>
      </c>
      <c r="Q18464" s="3"/>
    </row>
    <row r="18465" spans="1:17" ht="15" x14ac:dyDescent="0.25">
      <c r="A18465" s="3">
        <f>18458</f>
        <v>18458</v>
      </c>
      <c r="B18465" s="3" t="s">
        <v>18467</v>
      </c>
      <c r="C18465" s="3" t="s">
        <v>10</v>
      </c>
      <c r="D18465" s="3" t="s">
        <v>9</v>
      </c>
      <c r="E18465" s="3">
        <v>0</v>
      </c>
      <c r="F18465" s="3">
        <v>0</v>
      </c>
      <c r="G18465" s="3">
        <v>0</v>
      </c>
      <c r="H18465" s="3">
        <v>31</v>
      </c>
      <c r="I18465" s="3">
        <v>0</v>
      </c>
      <c r="J18465" s="3">
        <v>0</v>
      </c>
      <c r="K18465" s="3">
        <v>0</v>
      </c>
      <c r="L18465" s="3">
        <v>0</v>
      </c>
      <c r="M18465" s="3">
        <v>31</v>
      </c>
      <c r="N18465" s="3">
        <v>0</v>
      </c>
      <c r="O18465" s="3" t="s">
        <v>10</v>
      </c>
      <c r="P18465" s="3" t="s">
        <v>9</v>
      </c>
      <c r="Q18465" s="3"/>
    </row>
    <row r="18466" spans="1:17" ht="15" x14ac:dyDescent="0.25">
      <c r="A18466" s="3">
        <f>18459</f>
        <v>18459</v>
      </c>
      <c r="B18466" s="3" t="s">
        <v>18468</v>
      </c>
      <c r="C18466" s="3" t="s">
        <v>10</v>
      </c>
      <c r="D18466" s="3" t="s">
        <v>9</v>
      </c>
      <c r="E18466" s="3">
        <v>0</v>
      </c>
      <c r="F18466" s="3">
        <v>0</v>
      </c>
      <c r="G18466" s="3">
        <v>0</v>
      </c>
      <c r="H18466" s="3">
        <v>31</v>
      </c>
      <c r="I18466" s="3">
        <v>0</v>
      </c>
      <c r="J18466" s="3">
        <v>0</v>
      </c>
      <c r="K18466" s="3">
        <v>0</v>
      </c>
      <c r="L18466" s="3">
        <v>0</v>
      </c>
      <c r="M18466" s="3">
        <v>31</v>
      </c>
      <c r="N18466" s="3">
        <v>0</v>
      </c>
      <c r="O18466" s="3" t="s">
        <v>10</v>
      </c>
      <c r="P18466" s="3" t="s">
        <v>9</v>
      </c>
      <c r="Q18466" s="3"/>
    </row>
    <row r="18467" spans="1:17" ht="15" x14ac:dyDescent="0.25">
      <c r="A18467" s="3">
        <f>18460</f>
        <v>18460</v>
      </c>
      <c r="B18467" s="3" t="s">
        <v>18469</v>
      </c>
      <c r="C18467" s="3" t="s">
        <v>10</v>
      </c>
      <c r="D18467" s="3" t="s">
        <v>9</v>
      </c>
      <c r="E18467" s="3">
        <v>0</v>
      </c>
      <c r="F18467" s="3">
        <v>0</v>
      </c>
      <c r="G18467" s="3">
        <v>0</v>
      </c>
      <c r="H18467" s="3">
        <v>31</v>
      </c>
      <c r="I18467" s="3">
        <v>0</v>
      </c>
      <c r="J18467" s="3">
        <v>0</v>
      </c>
      <c r="K18467" s="3">
        <v>0</v>
      </c>
      <c r="L18467" s="3">
        <v>0</v>
      </c>
      <c r="M18467" s="3">
        <v>31</v>
      </c>
      <c r="N18467" s="3">
        <v>0</v>
      </c>
      <c r="O18467" s="3" t="s">
        <v>10</v>
      </c>
      <c r="P18467" s="3" t="s">
        <v>9</v>
      </c>
      <c r="Q18467" s="3"/>
    </row>
    <row r="18468" spans="1:17" ht="15" x14ac:dyDescent="0.25">
      <c r="A18468" s="3">
        <f>18461</f>
        <v>18461</v>
      </c>
      <c r="B18468" s="3" t="s">
        <v>18470</v>
      </c>
      <c r="C18468" s="3" t="s">
        <v>10</v>
      </c>
      <c r="D18468" s="3" t="s">
        <v>9</v>
      </c>
      <c r="E18468" s="3">
        <v>0</v>
      </c>
      <c r="F18468" s="3">
        <v>0</v>
      </c>
      <c r="G18468" s="3">
        <v>0</v>
      </c>
      <c r="H18468" s="3">
        <v>31</v>
      </c>
      <c r="I18468" s="3">
        <v>0</v>
      </c>
      <c r="J18468" s="3">
        <v>0</v>
      </c>
      <c r="K18468" s="3">
        <v>0</v>
      </c>
      <c r="L18468" s="3">
        <v>0</v>
      </c>
      <c r="M18468" s="3">
        <v>31</v>
      </c>
      <c r="N18468" s="3">
        <v>0</v>
      </c>
      <c r="O18468" s="3" t="s">
        <v>10</v>
      </c>
      <c r="P18468" s="3" t="s">
        <v>9</v>
      </c>
      <c r="Q18468" s="3"/>
    </row>
    <row r="18469" spans="1:17" ht="15" x14ac:dyDescent="0.25">
      <c r="A18469" s="3">
        <f>18462</f>
        <v>18462</v>
      </c>
      <c r="B18469" s="3" t="s">
        <v>18471</v>
      </c>
      <c r="C18469" s="3" t="s">
        <v>10</v>
      </c>
      <c r="D18469" s="3" t="s">
        <v>9</v>
      </c>
      <c r="E18469" s="3">
        <v>0</v>
      </c>
      <c r="F18469" s="3">
        <v>0</v>
      </c>
      <c r="G18469" s="3">
        <v>0</v>
      </c>
      <c r="H18469" s="3">
        <v>31</v>
      </c>
      <c r="I18469" s="3">
        <v>0</v>
      </c>
      <c r="J18469" s="3">
        <v>0</v>
      </c>
      <c r="K18469" s="3">
        <v>0</v>
      </c>
      <c r="L18469" s="3">
        <v>0</v>
      </c>
      <c r="M18469" s="3">
        <v>31</v>
      </c>
      <c r="N18469" s="3">
        <v>0</v>
      </c>
      <c r="O18469" s="3" t="s">
        <v>10</v>
      </c>
      <c r="P18469" s="3" t="s">
        <v>9</v>
      </c>
      <c r="Q18469" s="3"/>
    </row>
    <row r="18470" spans="1:17" ht="15" x14ac:dyDescent="0.25">
      <c r="A18470" s="3">
        <f>18463</f>
        <v>18463</v>
      </c>
      <c r="B18470" s="3" t="s">
        <v>18472</v>
      </c>
      <c r="C18470" s="3" t="s">
        <v>10</v>
      </c>
      <c r="D18470" s="3" t="s">
        <v>9</v>
      </c>
      <c r="E18470" s="3">
        <v>0</v>
      </c>
      <c r="F18470" s="3">
        <v>0</v>
      </c>
      <c r="G18470" s="3">
        <v>0</v>
      </c>
      <c r="H18470" s="3">
        <v>31</v>
      </c>
      <c r="I18470" s="3">
        <v>0</v>
      </c>
      <c r="J18470" s="3">
        <v>0</v>
      </c>
      <c r="K18470" s="3">
        <v>0</v>
      </c>
      <c r="L18470" s="3">
        <v>0</v>
      </c>
      <c r="M18470" s="3">
        <v>31</v>
      </c>
      <c r="N18470" s="3">
        <v>0</v>
      </c>
      <c r="O18470" s="3" t="s">
        <v>10</v>
      </c>
      <c r="P18470" s="3" t="s">
        <v>9</v>
      </c>
      <c r="Q18470" s="3"/>
    </row>
    <row r="18471" spans="1:17" ht="15" x14ac:dyDescent="0.25">
      <c r="A18471" s="3">
        <f>18464</f>
        <v>18464</v>
      </c>
      <c r="B18471" s="3" t="s">
        <v>18473</v>
      </c>
      <c r="C18471" s="3" t="s">
        <v>10</v>
      </c>
      <c r="D18471" s="3" t="s">
        <v>9</v>
      </c>
      <c r="E18471" s="3">
        <v>0</v>
      </c>
      <c r="F18471" s="3">
        <v>0</v>
      </c>
      <c r="G18471" s="3">
        <v>0</v>
      </c>
      <c r="H18471" s="3">
        <v>31</v>
      </c>
      <c r="I18471" s="3">
        <v>0</v>
      </c>
      <c r="J18471" s="3">
        <v>0</v>
      </c>
      <c r="K18471" s="3">
        <v>0</v>
      </c>
      <c r="L18471" s="3">
        <v>0</v>
      </c>
      <c r="M18471" s="3">
        <v>31</v>
      </c>
      <c r="N18471" s="3">
        <v>0</v>
      </c>
      <c r="O18471" s="3" t="s">
        <v>10</v>
      </c>
      <c r="P18471" s="3" t="s">
        <v>9</v>
      </c>
      <c r="Q18471" s="3"/>
    </row>
    <row r="18472" spans="1:17" ht="15" x14ac:dyDescent="0.25">
      <c r="A18472" s="3">
        <f>18465</f>
        <v>18465</v>
      </c>
      <c r="B18472" s="3" t="s">
        <v>18474</v>
      </c>
      <c r="C18472" s="3" t="s">
        <v>10</v>
      </c>
      <c r="D18472" s="3" t="s">
        <v>9</v>
      </c>
      <c r="E18472" s="3">
        <v>0</v>
      </c>
      <c r="F18472" s="3">
        <v>0</v>
      </c>
      <c r="G18472" s="3">
        <v>0</v>
      </c>
      <c r="H18472" s="3">
        <v>31</v>
      </c>
      <c r="I18472" s="3">
        <v>0</v>
      </c>
      <c r="J18472" s="3">
        <v>0</v>
      </c>
      <c r="K18472" s="3">
        <v>0</v>
      </c>
      <c r="L18472" s="3">
        <v>0</v>
      </c>
      <c r="M18472" s="3">
        <v>31</v>
      </c>
      <c r="N18472" s="3">
        <v>0</v>
      </c>
      <c r="O18472" s="3" t="s">
        <v>10</v>
      </c>
      <c r="P18472" s="3" t="s">
        <v>9</v>
      </c>
      <c r="Q18472" s="3"/>
    </row>
    <row r="18473" spans="1:17" ht="15" x14ac:dyDescent="0.25">
      <c r="A18473" s="3">
        <f>18466</f>
        <v>18466</v>
      </c>
      <c r="B18473" s="3" t="s">
        <v>18475</v>
      </c>
      <c r="C18473" s="3" t="s">
        <v>10</v>
      </c>
      <c r="D18473" s="3" t="s">
        <v>9</v>
      </c>
      <c r="E18473" s="3">
        <v>0</v>
      </c>
      <c r="F18473" s="3">
        <v>0</v>
      </c>
      <c r="G18473" s="3">
        <v>0</v>
      </c>
      <c r="H18473" s="3">
        <v>31</v>
      </c>
      <c r="I18473" s="3">
        <v>0</v>
      </c>
      <c r="J18473" s="3">
        <v>0</v>
      </c>
      <c r="K18473" s="3">
        <v>0</v>
      </c>
      <c r="L18473" s="3">
        <v>0</v>
      </c>
      <c r="M18473" s="3">
        <v>31</v>
      </c>
      <c r="N18473" s="3">
        <v>0</v>
      </c>
      <c r="O18473" s="3" t="s">
        <v>10</v>
      </c>
      <c r="P18473" s="3" t="s">
        <v>9</v>
      </c>
      <c r="Q18473" s="3"/>
    </row>
    <row r="18474" spans="1:17" ht="15" x14ac:dyDescent="0.25">
      <c r="A18474" s="3">
        <f>18467</f>
        <v>18467</v>
      </c>
      <c r="B18474" s="3" t="s">
        <v>18476</v>
      </c>
      <c r="C18474" s="3" t="s">
        <v>10</v>
      </c>
      <c r="D18474" s="3" t="s">
        <v>9</v>
      </c>
      <c r="E18474" s="3">
        <v>0</v>
      </c>
      <c r="F18474" s="3">
        <v>0</v>
      </c>
      <c r="G18474" s="3">
        <v>0</v>
      </c>
      <c r="H18474" s="3">
        <v>31</v>
      </c>
      <c r="I18474" s="3">
        <v>0</v>
      </c>
      <c r="J18474" s="3">
        <v>0</v>
      </c>
      <c r="K18474" s="3">
        <v>0</v>
      </c>
      <c r="L18474" s="3">
        <v>0</v>
      </c>
      <c r="M18474" s="3">
        <v>31</v>
      </c>
      <c r="N18474" s="3">
        <v>0</v>
      </c>
      <c r="O18474" s="3" t="s">
        <v>10</v>
      </c>
      <c r="P18474" s="3" t="s">
        <v>9</v>
      </c>
      <c r="Q18474" s="3"/>
    </row>
    <row r="18475" spans="1:17" ht="15" x14ac:dyDescent="0.25">
      <c r="A18475" s="3">
        <f>18468</f>
        <v>18468</v>
      </c>
      <c r="B18475" s="3" t="s">
        <v>18477</v>
      </c>
      <c r="C18475" s="3" t="s">
        <v>10</v>
      </c>
      <c r="D18475" s="3" t="s">
        <v>9</v>
      </c>
      <c r="E18475" s="3">
        <v>0</v>
      </c>
      <c r="F18475" s="3">
        <v>0</v>
      </c>
      <c r="G18475" s="3">
        <v>0</v>
      </c>
      <c r="H18475" s="3">
        <v>31</v>
      </c>
      <c r="I18475" s="3">
        <v>0</v>
      </c>
      <c r="J18475" s="3">
        <v>0</v>
      </c>
      <c r="K18475" s="3">
        <v>0</v>
      </c>
      <c r="L18475" s="3">
        <v>0</v>
      </c>
      <c r="M18475" s="3">
        <v>31</v>
      </c>
      <c r="N18475" s="3">
        <v>0</v>
      </c>
      <c r="O18475" s="3" t="s">
        <v>10</v>
      </c>
      <c r="P18475" s="3" t="s">
        <v>9</v>
      </c>
      <c r="Q18475" s="3"/>
    </row>
    <row r="18476" spans="1:17" ht="15" x14ac:dyDescent="0.25">
      <c r="A18476" s="3">
        <f>18469</f>
        <v>18469</v>
      </c>
      <c r="B18476" s="3" t="s">
        <v>18478</v>
      </c>
      <c r="C18476" s="3" t="s">
        <v>10</v>
      </c>
      <c r="D18476" s="3" t="s">
        <v>9</v>
      </c>
      <c r="E18476" s="3">
        <v>0</v>
      </c>
      <c r="F18476" s="3">
        <v>0</v>
      </c>
      <c r="G18476" s="3">
        <v>0</v>
      </c>
      <c r="H18476" s="3">
        <v>31</v>
      </c>
      <c r="I18476" s="3">
        <v>0</v>
      </c>
      <c r="J18476" s="3">
        <v>0</v>
      </c>
      <c r="K18476" s="3">
        <v>0</v>
      </c>
      <c r="L18476" s="3">
        <v>0</v>
      </c>
      <c r="M18476" s="3">
        <v>31</v>
      </c>
      <c r="N18476" s="3">
        <v>0</v>
      </c>
      <c r="O18476" s="3" t="s">
        <v>10</v>
      </c>
      <c r="P18476" s="3" t="s">
        <v>9</v>
      </c>
      <c r="Q18476" s="3"/>
    </row>
    <row r="18477" spans="1:17" ht="15" x14ac:dyDescent="0.25">
      <c r="A18477" s="3">
        <f>18470</f>
        <v>18470</v>
      </c>
      <c r="B18477" s="3" t="s">
        <v>18479</v>
      </c>
      <c r="C18477" s="3" t="s">
        <v>10</v>
      </c>
      <c r="D18477" s="3" t="s">
        <v>9</v>
      </c>
      <c r="E18477" s="3">
        <v>0</v>
      </c>
      <c r="F18477" s="3">
        <v>0</v>
      </c>
      <c r="G18477" s="3">
        <v>0</v>
      </c>
      <c r="H18477" s="3">
        <v>31</v>
      </c>
      <c r="I18477" s="3">
        <v>0</v>
      </c>
      <c r="J18477" s="3">
        <v>0</v>
      </c>
      <c r="K18477" s="3">
        <v>0</v>
      </c>
      <c r="L18477" s="3">
        <v>0</v>
      </c>
      <c r="M18477" s="3">
        <v>31</v>
      </c>
      <c r="N18477" s="3">
        <v>0</v>
      </c>
      <c r="O18477" s="3" t="s">
        <v>10</v>
      </c>
      <c r="P18477" s="3" t="s">
        <v>9</v>
      </c>
      <c r="Q18477" s="3"/>
    </row>
    <row r="18478" spans="1:17" ht="15" x14ac:dyDescent="0.25">
      <c r="A18478" s="3">
        <f>18471</f>
        <v>18471</v>
      </c>
      <c r="B18478" s="3" t="s">
        <v>18480</v>
      </c>
      <c r="C18478" s="3" t="s">
        <v>10</v>
      </c>
      <c r="D18478" s="3" t="s">
        <v>9</v>
      </c>
      <c r="E18478" s="3">
        <v>0</v>
      </c>
      <c r="F18478" s="3">
        <v>0</v>
      </c>
      <c r="G18478" s="3">
        <v>0</v>
      </c>
      <c r="H18478" s="3">
        <v>31</v>
      </c>
      <c r="I18478" s="3">
        <v>0</v>
      </c>
      <c r="J18478" s="3">
        <v>0</v>
      </c>
      <c r="K18478" s="3">
        <v>0</v>
      </c>
      <c r="L18478" s="3">
        <v>0</v>
      </c>
      <c r="M18478" s="3">
        <v>31</v>
      </c>
      <c r="N18478" s="3">
        <v>0</v>
      </c>
      <c r="O18478" s="3" t="s">
        <v>10</v>
      </c>
      <c r="P18478" s="3" t="s">
        <v>9</v>
      </c>
      <c r="Q18478" s="3"/>
    </row>
    <row r="18479" spans="1:17" ht="15" x14ac:dyDescent="0.25">
      <c r="A18479" s="3">
        <f>18472</f>
        <v>18472</v>
      </c>
      <c r="B18479" s="3" t="s">
        <v>18481</v>
      </c>
      <c r="C18479" s="3" t="s">
        <v>10</v>
      </c>
      <c r="D18479" s="3" t="s">
        <v>9</v>
      </c>
      <c r="E18479" s="3">
        <v>0</v>
      </c>
      <c r="F18479" s="3">
        <v>0</v>
      </c>
      <c r="G18479" s="3">
        <v>0</v>
      </c>
      <c r="H18479" s="3">
        <v>31</v>
      </c>
      <c r="I18479" s="3">
        <v>0</v>
      </c>
      <c r="J18479" s="3">
        <v>0</v>
      </c>
      <c r="K18479" s="3">
        <v>0</v>
      </c>
      <c r="L18479" s="3">
        <v>0</v>
      </c>
      <c r="M18479" s="3">
        <v>31</v>
      </c>
      <c r="N18479" s="3">
        <v>0</v>
      </c>
      <c r="O18479" s="3" t="s">
        <v>10</v>
      </c>
      <c r="P18479" s="3" t="s">
        <v>9</v>
      </c>
      <c r="Q18479" s="3"/>
    </row>
    <row r="18480" spans="1:17" ht="15" x14ac:dyDescent="0.25">
      <c r="A18480" s="3">
        <f>18473</f>
        <v>18473</v>
      </c>
      <c r="B18480" s="3" t="s">
        <v>18482</v>
      </c>
      <c r="C18480" s="3" t="s">
        <v>10</v>
      </c>
      <c r="D18480" s="3" t="s">
        <v>9</v>
      </c>
      <c r="E18480" s="3">
        <v>0</v>
      </c>
      <c r="F18480" s="3">
        <v>0</v>
      </c>
      <c r="G18480" s="3">
        <v>0</v>
      </c>
      <c r="H18480" s="3">
        <v>31</v>
      </c>
      <c r="I18480" s="3">
        <v>0</v>
      </c>
      <c r="J18480" s="3">
        <v>0</v>
      </c>
      <c r="K18480" s="3">
        <v>0</v>
      </c>
      <c r="L18480" s="3">
        <v>0</v>
      </c>
      <c r="M18480" s="3">
        <v>31</v>
      </c>
      <c r="N18480" s="3">
        <v>0</v>
      </c>
      <c r="O18480" s="3" t="s">
        <v>10</v>
      </c>
      <c r="P18480" s="3" t="s">
        <v>9</v>
      </c>
      <c r="Q18480" s="3"/>
    </row>
    <row r="18481" spans="1:17" ht="15" x14ac:dyDescent="0.25">
      <c r="A18481" s="3">
        <f>18474</f>
        <v>18474</v>
      </c>
      <c r="B18481" s="3" t="s">
        <v>18483</v>
      </c>
      <c r="C18481" s="3" t="s">
        <v>10</v>
      </c>
      <c r="D18481" s="3" t="s">
        <v>9</v>
      </c>
      <c r="E18481" s="3">
        <v>0</v>
      </c>
      <c r="F18481" s="3">
        <v>0</v>
      </c>
      <c r="G18481" s="3">
        <v>0</v>
      </c>
      <c r="H18481" s="3">
        <v>31</v>
      </c>
      <c r="I18481" s="3">
        <v>0</v>
      </c>
      <c r="J18481" s="3">
        <v>0</v>
      </c>
      <c r="K18481" s="3">
        <v>0</v>
      </c>
      <c r="L18481" s="3">
        <v>0</v>
      </c>
      <c r="M18481" s="3">
        <v>31</v>
      </c>
      <c r="N18481" s="3">
        <v>0</v>
      </c>
      <c r="O18481" s="3" t="s">
        <v>10</v>
      </c>
      <c r="P18481" s="3" t="s">
        <v>9</v>
      </c>
      <c r="Q18481" s="3"/>
    </row>
    <row r="18482" spans="1:17" ht="15" x14ac:dyDescent="0.25">
      <c r="A18482" s="3">
        <f>18475</f>
        <v>18475</v>
      </c>
      <c r="B18482" s="3" t="s">
        <v>18484</v>
      </c>
      <c r="C18482" s="3" t="s">
        <v>10</v>
      </c>
      <c r="D18482" s="3" t="s">
        <v>9</v>
      </c>
      <c r="E18482" s="3">
        <v>0</v>
      </c>
      <c r="F18482" s="3">
        <v>0</v>
      </c>
      <c r="G18482" s="3">
        <v>0</v>
      </c>
      <c r="H18482" s="3">
        <v>31</v>
      </c>
      <c r="I18482" s="3">
        <v>0</v>
      </c>
      <c r="J18482" s="3">
        <v>0</v>
      </c>
      <c r="K18482" s="3">
        <v>0</v>
      </c>
      <c r="L18482" s="3">
        <v>0</v>
      </c>
      <c r="M18482" s="3">
        <v>31</v>
      </c>
      <c r="N18482" s="3">
        <v>0</v>
      </c>
      <c r="O18482" s="3" t="s">
        <v>10</v>
      </c>
      <c r="P18482" s="3" t="s">
        <v>9</v>
      </c>
      <c r="Q18482" s="3"/>
    </row>
    <row r="18483" spans="1:17" ht="15" x14ac:dyDescent="0.25">
      <c r="A18483" s="3">
        <f>18476</f>
        <v>18476</v>
      </c>
      <c r="B18483" s="3" t="s">
        <v>18485</v>
      </c>
      <c r="C18483" s="3" t="s">
        <v>10</v>
      </c>
      <c r="D18483" s="3" t="s">
        <v>9</v>
      </c>
      <c r="E18483" s="3">
        <v>0</v>
      </c>
      <c r="F18483" s="3">
        <v>0</v>
      </c>
      <c r="G18483" s="3">
        <v>0</v>
      </c>
      <c r="H18483" s="3">
        <v>31</v>
      </c>
      <c r="I18483" s="3">
        <v>0</v>
      </c>
      <c r="J18483" s="3">
        <v>0</v>
      </c>
      <c r="K18483" s="3">
        <v>0</v>
      </c>
      <c r="L18483" s="3">
        <v>0</v>
      </c>
      <c r="M18483" s="3">
        <v>31</v>
      </c>
      <c r="N18483" s="3">
        <v>0</v>
      </c>
      <c r="O18483" s="3" t="s">
        <v>10</v>
      </c>
      <c r="P18483" s="3" t="s">
        <v>9</v>
      </c>
      <c r="Q18483" s="3"/>
    </row>
    <row r="18484" spans="1:17" ht="15" x14ac:dyDescent="0.25">
      <c r="A18484" s="3">
        <f>18477</f>
        <v>18477</v>
      </c>
      <c r="B18484" s="3" t="s">
        <v>18486</v>
      </c>
      <c r="C18484" s="3" t="s">
        <v>10</v>
      </c>
      <c r="D18484" s="3" t="s">
        <v>9</v>
      </c>
      <c r="E18484" s="3">
        <v>0</v>
      </c>
      <c r="F18484" s="3">
        <v>0</v>
      </c>
      <c r="G18484" s="3">
        <v>0</v>
      </c>
      <c r="H18484" s="3">
        <v>31</v>
      </c>
      <c r="I18484" s="3">
        <v>0</v>
      </c>
      <c r="J18484" s="3">
        <v>0</v>
      </c>
      <c r="K18484" s="3">
        <v>0</v>
      </c>
      <c r="L18484" s="3">
        <v>0</v>
      </c>
      <c r="M18484" s="3">
        <v>31</v>
      </c>
      <c r="N18484" s="3">
        <v>0</v>
      </c>
      <c r="O18484" s="3" t="s">
        <v>10</v>
      </c>
      <c r="P18484" s="3" t="s">
        <v>9</v>
      </c>
      <c r="Q18484" s="3"/>
    </row>
    <row r="18485" spans="1:17" ht="15" x14ac:dyDescent="0.25">
      <c r="A18485" s="3">
        <f>18478</f>
        <v>18478</v>
      </c>
      <c r="B18485" s="3" t="s">
        <v>18487</v>
      </c>
      <c r="C18485" s="3" t="s">
        <v>10</v>
      </c>
      <c r="D18485" s="3" t="s">
        <v>9</v>
      </c>
      <c r="E18485" s="3">
        <v>0</v>
      </c>
      <c r="F18485" s="3">
        <v>0</v>
      </c>
      <c r="G18485" s="3">
        <v>0</v>
      </c>
      <c r="H18485" s="3">
        <v>31</v>
      </c>
      <c r="I18485" s="3">
        <v>0</v>
      </c>
      <c r="J18485" s="3">
        <v>0</v>
      </c>
      <c r="K18485" s="3">
        <v>0</v>
      </c>
      <c r="L18485" s="3">
        <v>0</v>
      </c>
      <c r="M18485" s="3">
        <v>31</v>
      </c>
      <c r="N18485" s="3">
        <v>0</v>
      </c>
      <c r="O18485" s="3" t="s">
        <v>10</v>
      </c>
      <c r="P18485" s="3" t="s">
        <v>9</v>
      </c>
      <c r="Q18485" s="3"/>
    </row>
    <row r="18486" spans="1:17" ht="15" x14ac:dyDescent="0.25">
      <c r="A18486" s="3">
        <f>18479</f>
        <v>18479</v>
      </c>
      <c r="B18486" s="3" t="s">
        <v>18488</v>
      </c>
      <c r="C18486" s="3" t="s">
        <v>10</v>
      </c>
      <c r="D18486" s="3" t="s">
        <v>9</v>
      </c>
      <c r="E18486" s="3">
        <v>0</v>
      </c>
      <c r="F18486" s="3">
        <v>0</v>
      </c>
      <c r="G18486" s="3">
        <v>0</v>
      </c>
      <c r="H18486" s="3">
        <v>31</v>
      </c>
      <c r="I18486" s="3">
        <v>0</v>
      </c>
      <c r="J18486" s="3">
        <v>0</v>
      </c>
      <c r="K18486" s="3">
        <v>0</v>
      </c>
      <c r="L18486" s="3">
        <v>0</v>
      </c>
      <c r="M18486" s="3">
        <v>31</v>
      </c>
      <c r="N18486" s="3">
        <v>0</v>
      </c>
      <c r="O18486" s="3" t="s">
        <v>10</v>
      </c>
      <c r="P18486" s="3" t="s">
        <v>9</v>
      </c>
      <c r="Q18486" s="3"/>
    </row>
    <row r="18487" spans="1:17" ht="15" x14ac:dyDescent="0.25">
      <c r="A18487" s="3">
        <f>18480</f>
        <v>18480</v>
      </c>
      <c r="B18487" s="3" t="s">
        <v>18489</v>
      </c>
      <c r="C18487" s="3" t="s">
        <v>10</v>
      </c>
      <c r="D18487" s="3" t="s">
        <v>9</v>
      </c>
      <c r="E18487" s="3">
        <v>0</v>
      </c>
      <c r="F18487" s="3">
        <v>0</v>
      </c>
      <c r="G18487" s="3">
        <v>0</v>
      </c>
      <c r="H18487" s="3">
        <v>31</v>
      </c>
      <c r="I18487" s="3">
        <v>0</v>
      </c>
      <c r="J18487" s="3">
        <v>0</v>
      </c>
      <c r="K18487" s="3">
        <v>0</v>
      </c>
      <c r="L18487" s="3">
        <v>0</v>
      </c>
      <c r="M18487" s="3">
        <v>31</v>
      </c>
      <c r="N18487" s="3">
        <v>0</v>
      </c>
      <c r="O18487" s="3" t="s">
        <v>10</v>
      </c>
      <c r="P18487" s="3" t="s">
        <v>9</v>
      </c>
      <c r="Q18487" s="3"/>
    </row>
    <row r="18488" spans="1:17" ht="15" x14ac:dyDescent="0.25">
      <c r="A18488" s="3">
        <f>18481</f>
        <v>18481</v>
      </c>
      <c r="B18488" s="3" t="s">
        <v>18490</v>
      </c>
      <c r="C18488" s="3" t="s">
        <v>9</v>
      </c>
      <c r="D18488" s="3" t="s">
        <v>10</v>
      </c>
      <c r="E18488" s="3">
        <v>0</v>
      </c>
      <c r="F18488" s="3">
        <v>0</v>
      </c>
      <c r="G18488" s="3">
        <v>0</v>
      </c>
      <c r="H18488" s="3">
        <v>31</v>
      </c>
      <c r="I18488" s="3">
        <v>0</v>
      </c>
      <c r="J18488" s="3">
        <v>0</v>
      </c>
      <c r="K18488" s="3">
        <v>0</v>
      </c>
      <c r="L18488" s="3">
        <v>0</v>
      </c>
      <c r="M18488" s="3">
        <v>31</v>
      </c>
      <c r="N18488" s="3">
        <v>0</v>
      </c>
      <c r="O18488" s="3" t="s">
        <v>10</v>
      </c>
      <c r="P18488" s="3" t="s">
        <v>9</v>
      </c>
      <c r="Q18488" s="3"/>
    </row>
    <row r="18489" spans="1:17" ht="15" x14ac:dyDescent="0.25">
      <c r="A18489" s="3">
        <f>18482</f>
        <v>18482</v>
      </c>
      <c r="B18489" s="3" t="s">
        <v>18491</v>
      </c>
      <c r="C18489" s="3" t="s">
        <v>9</v>
      </c>
      <c r="D18489" s="3" t="s">
        <v>10</v>
      </c>
      <c r="E18489" s="3">
        <v>0</v>
      </c>
      <c r="F18489" s="3">
        <v>0</v>
      </c>
      <c r="G18489" s="3">
        <v>0</v>
      </c>
      <c r="H18489" s="3">
        <v>31</v>
      </c>
      <c r="I18489" s="3">
        <v>0</v>
      </c>
      <c r="J18489" s="3">
        <v>0</v>
      </c>
      <c r="K18489" s="3">
        <v>0</v>
      </c>
      <c r="L18489" s="3">
        <v>0</v>
      </c>
      <c r="M18489" s="3">
        <v>31</v>
      </c>
      <c r="N18489" s="3">
        <v>0</v>
      </c>
      <c r="O18489" s="3" t="s">
        <v>10</v>
      </c>
      <c r="P18489" s="3" t="s">
        <v>9</v>
      </c>
      <c r="Q18489" s="3"/>
    </row>
    <row r="18490" spans="1:17" ht="15" x14ac:dyDescent="0.25">
      <c r="A18490" s="3">
        <f>18483</f>
        <v>18483</v>
      </c>
      <c r="B18490" s="3" t="s">
        <v>18492</v>
      </c>
      <c r="C18490" s="3" t="s">
        <v>9</v>
      </c>
      <c r="D18490" s="3" t="s">
        <v>10</v>
      </c>
      <c r="E18490" s="3">
        <v>0</v>
      </c>
      <c r="F18490" s="3">
        <v>0</v>
      </c>
      <c r="G18490" s="3">
        <v>0</v>
      </c>
      <c r="H18490" s="3">
        <v>31</v>
      </c>
      <c r="I18490" s="3">
        <v>0</v>
      </c>
      <c r="J18490" s="3">
        <v>0</v>
      </c>
      <c r="K18490" s="3">
        <v>0</v>
      </c>
      <c r="L18490" s="3">
        <v>0</v>
      </c>
      <c r="M18490" s="3">
        <v>31</v>
      </c>
      <c r="N18490" s="3">
        <v>0</v>
      </c>
      <c r="O18490" s="3" t="s">
        <v>10</v>
      </c>
      <c r="P18490" s="3" t="s">
        <v>9</v>
      </c>
      <c r="Q18490" s="3"/>
    </row>
    <row r="18491" spans="1:17" ht="15" x14ac:dyDescent="0.25">
      <c r="A18491" s="3">
        <f>18484</f>
        <v>18484</v>
      </c>
      <c r="B18491" s="3" t="s">
        <v>18493</v>
      </c>
      <c r="C18491" s="3" t="s">
        <v>9</v>
      </c>
      <c r="D18491" s="3" t="s">
        <v>10</v>
      </c>
      <c r="E18491" s="3">
        <v>0</v>
      </c>
      <c r="F18491" s="3">
        <v>0</v>
      </c>
      <c r="G18491" s="3">
        <v>0</v>
      </c>
      <c r="H18491" s="3">
        <v>31</v>
      </c>
      <c r="I18491" s="3">
        <v>0</v>
      </c>
      <c r="J18491" s="3">
        <v>0</v>
      </c>
      <c r="K18491" s="3">
        <v>0</v>
      </c>
      <c r="L18491" s="3">
        <v>0</v>
      </c>
      <c r="M18491" s="3">
        <v>31</v>
      </c>
      <c r="N18491" s="3">
        <v>0</v>
      </c>
      <c r="O18491" s="3" t="s">
        <v>10</v>
      </c>
      <c r="P18491" s="3" t="s">
        <v>9</v>
      </c>
      <c r="Q18491" s="3"/>
    </row>
    <row r="18492" spans="1:17" ht="15" x14ac:dyDescent="0.25">
      <c r="A18492" s="3">
        <f>18485</f>
        <v>18485</v>
      </c>
      <c r="B18492" s="3" t="s">
        <v>18494</v>
      </c>
      <c r="C18492" s="3" t="s">
        <v>9</v>
      </c>
      <c r="D18492" s="3" t="s">
        <v>10</v>
      </c>
      <c r="E18492" s="3">
        <v>0</v>
      </c>
      <c r="F18492" s="3">
        <v>0</v>
      </c>
      <c r="G18492" s="3">
        <v>0</v>
      </c>
      <c r="H18492" s="3">
        <v>31</v>
      </c>
      <c r="I18492" s="3">
        <v>0</v>
      </c>
      <c r="J18492" s="3">
        <v>0</v>
      </c>
      <c r="K18492" s="3">
        <v>0</v>
      </c>
      <c r="L18492" s="3">
        <v>0</v>
      </c>
      <c r="M18492" s="3">
        <v>31</v>
      </c>
      <c r="N18492" s="3">
        <v>0</v>
      </c>
      <c r="O18492" s="3" t="s">
        <v>10</v>
      </c>
      <c r="P18492" s="3" t="s">
        <v>9</v>
      </c>
      <c r="Q18492" s="3"/>
    </row>
    <row r="18493" spans="1:17" ht="15" x14ac:dyDescent="0.25">
      <c r="A18493" s="3">
        <f>18486</f>
        <v>18486</v>
      </c>
      <c r="B18493" s="3" t="s">
        <v>18495</v>
      </c>
      <c r="C18493" s="3" t="s">
        <v>9</v>
      </c>
      <c r="D18493" s="3" t="s">
        <v>10</v>
      </c>
      <c r="E18493" s="3">
        <v>0</v>
      </c>
      <c r="F18493" s="3">
        <v>0</v>
      </c>
      <c r="G18493" s="3">
        <v>0</v>
      </c>
      <c r="H18493" s="3">
        <v>31</v>
      </c>
      <c r="I18493" s="3">
        <v>0</v>
      </c>
      <c r="J18493" s="3">
        <v>0</v>
      </c>
      <c r="K18493" s="3">
        <v>0</v>
      </c>
      <c r="L18493" s="3">
        <v>0</v>
      </c>
      <c r="M18493" s="3">
        <v>31</v>
      </c>
      <c r="N18493" s="3">
        <v>0</v>
      </c>
      <c r="O18493" s="3" t="s">
        <v>10</v>
      </c>
      <c r="P18493" s="3" t="s">
        <v>9</v>
      </c>
      <c r="Q18493" s="3"/>
    </row>
    <row r="18494" spans="1:17" ht="15" x14ac:dyDescent="0.25">
      <c r="A18494" s="3">
        <f>18487</f>
        <v>18487</v>
      </c>
      <c r="B18494" s="3" t="s">
        <v>18496</v>
      </c>
      <c r="C18494" s="3" t="s">
        <v>9</v>
      </c>
      <c r="D18494" s="3" t="s">
        <v>10</v>
      </c>
      <c r="E18494" s="3">
        <v>0</v>
      </c>
      <c r="F18494" s="3">
        <v>0</v>
      </c>
      <c r="G18494" s="3">
        <v>0</v>
      </c>
      <c r="H18494" s="3">
        <v>31</v>
      </c>
      <c r="I18494" s="3">
        <v>0</v>
      </c>
      <c r="J18494" s="3">
        <v>0</v>
      </c>
      <c r="K18494" s="3">
        <v>0</v>
      </c>
      <c r="L18494" s="3">
        <v>0</v>
      </c>
      <c r="M18494" s="3">
        <v>31</v>
      </c>
      <c r="N18494" s="3">
        <v>0</v>
      </c>
      <c r="O18494" s="3" t="s">
        <v>10</v>
      </c>
      <c r="P18494" s="3" t="s">
        <v>9</v>
      </c>
      <c r="Q18494" s="3"/>
    </row>
    <row r="18495" spans="1:17" ht="15" x14ac:dyDescent="0.25">
      <c r="A18495" s="3">
        <f>18488</f>
        <v>18488</v>
      </c>
      <c r="B18495" s="3" t="s">
        <v>18497</v>
      </c>
      <c r="C18495" s="3" t="s">
        <v>9</v>
      </c>
      <c r="D18495" s="3" t="s">
        <v>10</v>
      </c>
      <c r="E18495" s="3">
        <v>0</v>
      </c>
      <c r="F18495" s="3">
        <v>0</v>
      </c>
      <c r="G18495" s="3">
        <v>0</v>
      </c>
      <c r="H18495" s="3">
        <v>31</v>
      </c>
      <c r="I18495" s="3">
        <v>0</v>
      </c>
      <c r="J18495" s="3">
        <v>0</v>
      </c>
      <c r="K18495" s="3">
        <v>0</v>
      </c>
      <c r="L18495" s="3">
        <v>0</v>
      </c>
      <c r="M18495" s="3">
        <v>31</v>
      </c>
      <c r="N18495" s="3">
        <v>0</v>
      </c>
      <c r="O18495" s="3" t="s">
        <v>10</v>
      </c>
      <c r="P18495" s="3" t="s">
        <v>9</v>
      </c>
      <c r="Q18495" s="3"/>
    </row>
    <row r="18496" spans="1:17" ht="15" x14ac:dyDescent="0.25">
      <c r="A18496" s="3">
        <f>18489</f>
        <v>18489</v>
      </c>
      <c r="B18496" s="3" t="s">
        <v>18498</v>
      </c>
      <c r="C18496" s="3" t="s">
        <v>9</v>
      </c>
      <c r="D18496" s="3" t="s">
        <v>10</v>
      </c>
      <c r="E18496" s="3">
        <v>0</v>
      </c>
      <c r="F18496" s="3">
        <v>0</v>
      </c>
      <c r="G18496" s="3">
        <v>0</v>
      </c>
      <c r="H18496" s="3">
        <v>31</v>
      </c>
      <c r="I18496" s="3">
        <v>0</v>
      </c>
      <c r="J18496" s="3">
        <v>0</v>
      </c>
      <c r="K18496" s="3">
        <v>0</v>
      </c>
      <c r="L18496" s="3">
        <v>0</v>
      </c>
      <c r="M18496" s="3">
        <v>31</v>
      </c>
      <c r="N18496" s="3">
        <v>0</v>
      </c>
      <c r="O18496" s="3" t="s">
        <v>10</v>
      </c>
      <c r="P18496" s="3" t="s">
        <v>9</v>
      </c>
      <c r="Q18496" s="3"/>
    </row>
    <row r="18497" spans="1:17" ht="15" x14ac:dyDescent="0.25">
      <c r="A18497" s="3">
        <f>18490</f>
        <v>18490</v>
      </c>
      <c r="B18497" s="3" t="s">
        <v>18499</v>
      </c>
      <c r="C18497" s="3" t="s">
        <v>9</v>
      </c>
      <c r="D18497" s="3" t="s">
        <v>10</v>
      </c>
      <c r="E18497" s="3">
        <v>0</v>
      </c>
      <c r="F18497" s="3">
        <v>0</v>
      </c>
      <c r="G18497" s="3">
        <v>0</v>
      </c>
      <c r="H18497" s="3">
        <v>31</v>
      </c>
      <c r="I18497" s="3">
        <v>0</v>
      </c>
      <c r="J18497" s="3">
        <v>0</v>
      </c>
      <c r="K18497" s="3">
        <v>0</v>
      </c>
      <c r="L18497" s="3">
        <v>0</v>
      </c>
      <c r="M18497" s="3">
        <v>31</v>
      </c>
      <c r="N18497" s="3">
        <v>0</v>
      </c>
      <c r="O18497" s="3" t="s">
        <v>10</v>
      </c>
      <c r="P18497" s="3" t="s">
        <v>9</v>
      </c>
      <c r="Q18497" s="3"/>
    </row>
    <row r="18498" spans="1:17" ht="15" x14ac:dyDescent="0.25">
      <c r="A18498" s="3">
        <f>18491</f>
        <v>18491</v>
      </c>
      <c r="B18498" s="3" t="s">
        <v>18500</v>
      </c>
      <c r="C18498" s="3" t="s">
        <v>9</v>
      </c>
      <c r="D18498" s="3" t="s">
        <v>10</v>
      </c>
      <c r="E18498" s="3">
        <v>0</v>
      </c>
      <c r="F18498" s="3">
        <v>0</v>
      </c>
      <c r="G18498" s="3">
        <v>0</v>
      </c>
      <c r="H18498" s="3">
        <v>31</v>
      </c>
      <c r="I18498" s="3">
        <v>0</v>
      </c>
      <c r="J18498" s="3">
        <v>0</v>
      </c>
      <c r="K18498" s="3">
        <v>0</v>
      </c>
      <c r="L18498" s="3">
        <v>0</v>
      </c>
      <c r="M18498" s="3">
        <v>31</v>
      </c>
      <c r="N18498" s="3">
        <v>0</v>
      </c>
      <c r="O18498" s="3" t="s">
        <v>10</v>
      </c>
      <c r="P18498" s="3" t="s">
        <v>9</v>
      </c>
      <c r="Q18498" s="3"/>
    </row>
    <row r="18499" spans="1:17" ht="15" x14ac:dyDescent="0.25">
      <c r="A18499" s="3">
        <f>18492</f>
        <v>18492</v>
      </c>
      <c r="B18499" s="3" t="s">
        <v>18501</v>
      </c>
      <c r="C18499" s="3" t="s">
        <v>9</v>
      </c>
      <c r="D18499" s="3" t="s">
        <v>10</v>
      </c>
      <c r="E18499" s="3">
        <v>0</v>
      </c>
      <c r="F18499" s="3">
        <v>0</v>
      </c>
      <c r="G18499" s="3">
        <v>0</v>
      </c>
      <c r="H18499" s="3">
        <v>31</v>
      </c>
      <c r="I18499" s="3">
        <v>0</v>
      </c>
      <c r="J18499" s="3">
        <v>0</v>
      </c>
      <c r="K18499" s="3">
        <v>0</v>
      </c>
      <c r="L18499" s="3">
        <v>0</v>
      </c>
      <c r="M18499" s="3">
        <v>31</v>
      </c>
      <c r="N18499" s="3">
        <v>0</v>
      </c>
      <c r="O18499" s="3" t="s">
        <v>10</v>
      </c>
      <c r="P18499" s="3" t="s">
        <v>9</v>
      </c>
      <c r="Q18499" s="3"/>
    </row>
    <row r="18500" spans="1:17" ht="15" x14ac:dyDescent="0.25">
      <c r="A18500" s="3">
        <f>18493</f>
        <v>18493</v>
      </c>
      <c r="B18500" s="3" t="s">
        <v>18502</v>
      </c>
      <c r="C18500" s="3" t="s">
        <v>9</v>
      </c>
      <c r="D18500" s="3" t="s">
        <v>10</v>
      </c>
      <c r="E18500" s="3">
        <v>0</v>
      </c>
      <c r="F18500" s="3">
        <v>0</v>
      </c>
      <c r="G18500" s="3">
        <v>0</v>
      </c>
      <c r="H18500" s="3">
        <v>31</v>
      </c>
      <c r="I18500" s="3">
        <v>0</v>
      </c>
      <c r="J18500" s="3">
        <v>0</v>
      </c>
      <c r="K18500" s="3">
        <v>0</v>
      </c>
      <c r="L18500" s="3">
        <v>0</v>
      </c>
      <c r="M18500" s="3">
        <v>31</v>
      </c>
      <c r="N18500" s="3">
        <v>0</v>
      </c>
      <c r="O18500" s="3" t="s">
        <v>10</v>
      </c>
      <c r="P18500" s="3" t="s">
        <v>9</v>
      </c>
      <c r="Q18500" s="3"/>
    </row>
    <row r="18501" spans="1:17" ht="15" x14ac:dyDescent="0.25">
      <c r="A18501" s="3">
        <f>18494</f>
        <v>18494</v>
      </c>
      <c r="B18501" s="3" t="s">
        <v>18503</v>
      </c>
      <c r="C18501" s="3" t="s">
        <v>9</v>
      </c>
      <c r="D18501" s="3" t="s">
        <v>10</v>
      </c>
      <c r="E18501" s="3">
        <v>0</v>
      </c>
      <c r="F18501" s="3">
        <v>0</v>
      </c>
      <c r="G18501" s="3">
        <v>0</v>
      </c>
      <c r="H18501" s="3">
        <v>31</v>
      </c>
      <c r="I18501" s="3">
        <v>0</v>
      </c>
      <c r="J18501" s="3">
        <v>0</v>
      </c>
      <c r="K18501" s="3">
        <v>0</v>
      </c>
      <c r="L18501" s="3">
        <v>0</v>
      </c>
      <c r="M18501" s="3">
        <v>31</v>
      </c>
      <c r="N18501" s="3">
        <v>0</v>
      </c>
      <c r="O18501" s="3" t="s">
        <v>10</v>
      </c>
      <c r="P18501" s="3" t="s">
        <v>9</v>
      </c>
      <c r="Q18501" s="3"/>
    </row>
    <row r="18502" spans="1:17" ht="15" x14ac:dyDescent="0.25">
      <c r="A18502" s="3">
        <f>18495</f>
        <v>18495</v>
      </c>
      <c r="B18502" s="3" t="s">
        <v>18504</v>
      </c>
      <c r="C18502" s="3" t="s">
        <v>9</v>
      </c>
      <c r="D18502" s="3" t="s">
        <v>10</v>
      </c>
      <c r="E18502" s="3">
        <v>0</v>
      </c>
      <c r="F18502" s="3">
        <v>0</v>
      </c>
      <c r="G18502" s="3">
        <v>0</v>
      </c>
      <c r="H18502" s="3">
        <v>31</v>
      </c>
      <c r="I18502" s="3">
        <v>0</v>
      </c>
      <c r="J18502" s="3">
        <v>0</v>
      </c>
      <c r="K18502" s="3">
        <v>0</v>
      </c>
      <c r="L18502" s="3">
        <v>0</v>
      </c>
      <c r="M18502" s="3">
        <v>31</v>
      </c>
      <c r="N18502" s="3">
        <v>0</v>
      </c>
      <c r="O18502" s="3" t="s">
        <v>10</v>
      </c>
      <c r="P18502" s="3" t="s">
        <v>9</v>
      </c>
      <c r="Q18502" s="3"/>
    </row>
    <row r="18503" spans="1:17" ht="15" x14ac:dyDescent="0.25">
      <c r="A18503" s="3">
        <f>18496</f>
        <v>18496</v>
      </c>
      <c r="B18503" s="3" t="s">
        <v>18505</v>
      </c>
      <c r="C18503" s="3" t="s">
        <v>9</v>
      </c>
      <c r="D18503" s="3" t="s">
        <v>10</v>
      </c>
      <c r="E18503" s="3">
        <v>0</v>
      </c>
      <c r="F18503" s="3">
        <v>0</v>
      </c>
      <c r="G18503" s="3">
        <v>0</v>
      </c>
      <c r="H18503" s="3">
        <v>31</v>
      </c>
      <c r="I18503" s="3">
        <v>0</v>
      </c>
      <c r="J18503" s="3">
        <v>0</v>
      </c>
      <c r="K18503" s="3">
        <v>0</v>
      </c>
      <c r="L18503" s="3">
        <v>0</v>
      </c>
      <c r="M18503" s="3">
        <v>31</v>
      </c>
      <c r="N18503" s="3">
        <v>0</v>
      </c>
      <c r="O18503" s="3" t="s">
        <v>10</v>
      </c>
      <c r="P18503" s="3" t="s">
        <v>9</v>
      </c>
      <c r="Q18503" s="3"/>
    </row>
    <row r="18504" spans="1:17" ht="15" x14ac:dyDescent="0.25">
      <c r="A18504" s="3">
        <f>18497</f>
        <v>18497</v>
      </c>
      <c r="B18504" s="3" t="s">
        <v>18506</v>
      </c>
      <c r="C18504" s="3" t="s">
        <v>9</v>
      </c>
      <c r="D18504" s="3" t="s">
        <v>10</v>
      </c>
      <c r="E18504" s="3">
        <v>0</v>
      </c>
      <c r="F18504" s="3">
        <v>0</v>
      </c>
      <c r="G18504" s="3">
        <v>0</v>
      </c>
      <c r="H18504" s="3">
        <v>31</v>
      </c>
      <c r="I18504" s="3">
        <v>0</v>
      </c>
      <c r="J18504" s="3">
        <v>0</v>
      </c>
      <c r="K18504" s="3">
        <v>0</v>
      </c>
      <c r="L18504" s="3">
        <v>0</v>
      </c>
      <c r="M18504" s="3">
        <v>31</v>
      </c>
      <c r="N18504" s="3">
        <v>0</v>
      </c>
      <c r="O18504" s="3" t="s">
        <v>10</v>
      </c>
      <c r="P18504" s="3" t="s">
        <v>9</v>
      </c>
      <c r="Q18504" s="3"/>
    </row>
    <row r="18505" spans="1:17" ht="15" x14ac:dyDescent="0.25">
      <c r="A18505" s="3">
        <f>18498</f>
        <v>18498</v>
      </c>
      <c r="B18505" s="3" t="s">
        <v>18507</v>
      </c>
      <c r="C18505" s="3" t="s">
        <v>9</v>
      </c>
      <c r="D18505" s="3" t="s">
        <v>10</v>
      </c>
      <c r="E18505" s="3">
        <v>0</v>
      </c>
      <c r="F18505" s="3">
        <v>0</v>
      </c>
      <c r="G18505" s="3">
        <v>0</v>
      </c>
      <c r="H18505" s="3">
        <v>31</v>
      </c>
      <c r="I18505" s="3">
        <v>0</v>
      </c>
      <c r="J18505" s="3">
        <v>0</v>
      </c>
      <c r="K18505" s="3">
        <v>0</v>
      </c>
      <c r="L18505" s="3">
        <v>0</v>
      </c>
      <c r="M18505" s="3">
        <v>31</v>
      </c>
      <c r="N18505" s="3">
        <v>0</v>
      </c>
      <c r="O18505" s="3" t="s">
        <v>10</v>
      </c>
      <c r="P18505" s="3" t="s">
        <v>9</v>
      </c>
      <c r="Q18505" s="3"/>
    </row>
    <row r="18506" spans="1:17" ht="15" x14ac:dyDescent="0.25">
      <c r="A18506" s="3">
        <f>18499</f>
        <v>18499</v>
      </c>
      <c r="B18506" s="3" t="s">
        <v>18508</v>
      </c>
      <c r="C18506" s="3" t="s">
        <v>9</v>
      </c>
      <c r="D18506" s="3" t="s">
        <v>10</v>
      </c>
      <c r="E18506" s="3">
        <v>0</v>
      </c>
      <c r="F18506" s="3">
        <v>0</v>
      </c>
      <c r="G18506" s="3">
        <v>0</v>
      </c>
      <c r="H18506" s="3">
        <v>31</v>
      </c>
      <c r="I18506" s="3">
        <v>0</v>
      </c>
      <c r="J18506" s="3">
        <v>0</v>
      </c>
      <c r="K18506" s="3">
        <v>0</v>
      </c>
      <c r="L18506" s="3">
        <v>0</v>
      </c>
      <c r="M18506" s="3">
        <v>31</v>
      </c>
      <c r="N18506" s="3">
        <v>0</v>
      </c>
      <c r="O18506" s="3" t="s">
        <v>10</v>
      </c>
      <c r="P18506" s="3" t="s">
        <v>9</v>
      </c>
      <c r="Q18506" s="3"/>
    </row>
    <row r="18507" spans="1:17" ht="15" x14ac:dyDescent="0.25">
      <c r="A18507" s="3">
        <f>18500</f>
        <v>18500</v>
      </c>
      <c r="B18507" s="3" t="s">
        <v>18509</v>
      </c>
      <c r="C18507" s="3" t="s">
        <v>9</v>
      </c>
      <c r="D18507" s="3" t="s">
        <v>10</v>
      </c>
      <c r="E18507" s="3">
        <v>0</v>
      </c>
      <c r="F18507" s="3">
        <v>0</v>
      </c>
      <c r="G18507" s="3">
        <v>0</v>
      </c>
      <c r="H18507" s="3">
        <v>31</v>
      </c>
      <c r="I18507" s="3">
        <v>0</v>
      </c>
      <c r="J18507" s="3">
        <v>0</v>
      </c>
      <c r="K18507" s="3">
        <v>0</v>
      </c>
      <c r="L18507" s="3">
        <v>0</v>
      </c>
      <c r="M18507" s="3">
        <v>31</v>
      </c>
      <c r="N18507" s="3">
        <v>0</v>
      </c>
      <c r="O18507" s="3" t="s">
        <v>10</v>
      </c>
      <c r="P18507" s="3" t="s">
        <v>9</v>
      </c>
      <c r="Q18507" s="3"/>
    </row>
    <row r="18508" spans="1:17" ht="15" x14ac:dyDescent="0.25">
      <c r="A18508" s="3">
        <f>18501</f>
        <v>18501</v>
      </c>
      <c r="B18508" s="3" t="s">
        <v>18510</v>
      </c>
      <c r="C18508" s="3" t="s">
        <v>9</v>
      </c>
      <c r="D18508" s="3" t="s">
        <v>10</v>
      </c>
      <c r="E18508" s="3">
        <v>0</v>
      </c>
      <c r="F18508" s="3">
        <v>0</v>
      </c>
      <c r="G18508" s="3">
        <v>0</v>
      </c>
      <c r="H18508" s="3">
        <v>31</v>
      </c>
      <c r="I18508" s="3">
        <v>0</v>
      </c>
      <c r="J18508" s="3">
        <v>0</v>
      </c>
      <c r="K18508" s="3">
        <v>0</v>
      </c>
      <c r="L18508" s="3">
        <v>0</v>
      </c>
      <c r="M18508" s="3">
        <v>31</v>
      </c>
      <c r="N18508" s="3">
        <v>0</v>
      </c>
      <c r="O18508" s="3" t="s">
        <v>10</v>
      </c>
      <c r="P18508" s="3" t="s">
        <v>9</v>
      </c>
      <c r="Q18508" s="3"/>
    </row>
    <row r="18509" spans="1:17" ht="15" x14ac:dyDescent="0.25">
      <c r="A18509" s="3">
        <f>18502</f>
        <v>18502</v>
      </c>
      <c r="B18509" s="3" t="s">
        <v>18511</v>
      </c>
      <c r="C18509" s="3" t="s">
        <v>9</v>
      </c>
      <c r="D18509" s="3" t="s">
        <v>10</v>
      </c>
      <c r="E18509" s="3">
        <v>0</v>
      </c>
      <c r="F18509" s="3">
        <v>0</v>
      </c>
      <c r="G18509" s="3">
        <v>0</v>
      </c>
      <c r="H18509" s="3">
        <v>31</v>
      </c>
      <c r="I18509" s="3">
        <v>0</v>
      </c>
      <c r="J18509" s="3">
        <v>0</v>
      </c>
      <c r="K18509" s="3">
        <v>0</v>
      </c>
      <c r="L18509" s="3">
        <v>0</v>
      </c>
      <c r="M18509" s="3">
        <v>31</v>
      </c>
      <c r="N18509" s="3">
        <v>0</v>
      </c>
      <c r="O18509" s="3" t="s">
        <v>10</v>
      </c>
      <c r="P18509" s="3" t="s">
        <v>9</v>
      </c>
      <c r="Q18509" s="3"/>
    </row>
    <row r="18510" spans="1:17" ht="15" x14ac:dyDescent="0.25">
      <c r="A18510" s="3">
        <f>18503</f>
        <v>18503</v>
      </c>
      <c r="B18510" s="3" t="s">
        <v>18512</v>
      </c>
      <c r="C18510" s="3" t="s">
        <v>9</v>
      </c>
      <c r="D18510" s="3" t="s">
        <v>10</v>
      </c>
      <c r="E18510" s="3">
        <v>0</v>
      </c>
      <c r="F18510" s="3">
        <v>0</v>
      </c>
      <c r="G18510" s="3">
        <v>0</v>
      </c>
      <c r="H18510" s="3">
        <v>31</v>
      </c>
      <c r="I18510" s="3">
        <v>0</v>
      </c>
      <c r="J18510" s="3">
        <v>0</v>
      </c>
      <c r="K18510" s="3">
        <v>0</v>
      </c>
      <c r="L18510" s="3">
        <v>0</v>
      </c>
      <c r="M18510" s="3">
        <v>31</v>
      </c>
      <c r="N18510" s="3">
        <v>0</v>
      </c>
      <c r="O18510" s="3" t="s">
        <v>10</v>
      </c>
      <c r="P18510" s="3" t="s">
        <v>9</v>
      </c>
      <c r="Q18510" s="3"/>
    </row>
    <row r="18511" spans="1:17" ht="15" x14ac:dyDescent="0.25">
      <c r="A18511" s="3">
        <f>18504</f>
        <v>18504</v>
      </c>
      <c r="B18511" s="3" t="s">
        <v>18513</v>
      </c>
      <c r="C18511" s="3" t="s">
        <v>9</v>
      </c>
      <c r="D18511" s="3" t="s">
        <v>10</v>
      </c>
      <c r="E18511" s="3">
        <v>0</v>
      </c>
      <c r="F18511" s="3">
        <v>0</v>
      </c>
      <c r="G18511" s="3">
        <v>0</v>
      </c>
      <c r="H18511" s="3">
        <v>31</v>
      </c>
      <c r="I18511" s="3">
        <v>0</v>
      </c>
      <c r="J18511" s="3">
        <v>0</v>
      </c>
      <c r="K18511" s="3">
        <v>0</v>
      </c>
      <c r="L18511" s="3">
        <v>0</v>
      </c>
      <c r="M18511" s="3">
        <v>31</v>
      </c>
      <c r="N18511" s="3">
        <v>0</v>
      </c>
      <c r="O18511" s="3" t="s">
        <v>10</v>
      </c>
      <c r="P18511" s="3" t="s">
        <v>9</v>
      </c>
      <c r="Q18511" s="3"/>
    </row>
    <row r="18512" spans="1:17" ht="15" x14ac:dyDescent="0.25">
      <c r="A18512" s="3">
        <f>18505</f>
        <v>18505</v>
      </c>
      <c r="B18512" s="3" t="s">
        <v>18514</v>
      </c>
      <c r="C18512" s="3" t="s">
        <v>9</v>
      </c>
      <c r="D18512" s="3" t="s">
        <v>10</v>
      </c>
      <c r="E18512" s="3">
        <v>0</v>
      </c>
      <c r="F18512" s="3">
        <v>0</v>
      </c>
      <c r="G18512" s="3">
        <v>0</v>
      </c>
      <c r="H18512" s="3">
        <v>31</v>
      </c>
      <c r="I18512" s="3">
        <v>0</v>
      </c>
      <c r="J18512" s="3">
        <v>0</v>
      </c>
      <c r="K18512" s="3">
        <v>0</v>
      </c>
      <c r="L18512" s="3">
        <v>0</v>
      </c>
      <c r="M18512" s="3">
        <v>31</v>
      </c>
      <c r="N18512" s="3">
        <v>0</v>
      </c>
      <c r="O18512" s="3" t="s">
        <v>10</v>
      </c>
      <c r="P18512" s="3" t="s">
        <v>9</v>
      </c>
      <c r="Q18512" s="3"/>
    </row>
    <row r="18513" spans="1:17" ht="15" x14ac:dyDescent="0.25">
      <c r="A18513" s="3">
        <f>18506</f>
        <v>18506</v>
      </c>
      <c r="B18513" s="3" t="s">
        <v>18515</v>
      </c>
      <c r="C18513" s="3" t="s">
        <v>9</v>
      </c>
      <c r="D18513" s="3" t="s">
        <v>10</v>
      </c>
      <c r="E18513" s="3">
        <v>0</v>
      </c>
      <c r="F18513" s="3">
        <v>0</v>
      </c>
      <c r="G18513" s="3">
        <v>0</v>
      </c>
      <c r="H18513" s="3">
        <v>31</v>
      </c>
      <c r="I18513" s="3">
        <v>0</v>
      </c>
      <c r="J18513" s="3">
        <v>0</v>
      </c>
      <c r="K18513" s="3">
        <v>0</v>
      </c>
      <c r="L18513" s="3">
        <v>0</v>
      </c>
      <c r="M18513" s="3">
        <v>31</v>
      </c>
      <c r="N18513" s="3">
        <v>0</v>
      </c>
      <c r="O18513" s="3" t="s">
        <v>10</v>
      </c>
      <c r="P18513" s="3" t="s">
        <v>9</v>
      </c>
      <c r="Q18513" s="3"/>
    </row>
    <row r="18514" spans="1:17" ht="15" x14ac:dyDescent="0.25">
      <c r="A18514" s="3">
        <f>18507</f>
        <v>18507</v>
      </c>
      <c r="B18514" s="3" t="s">
        <v>18516</v>
      </c>
      <c r="C18514" s="3" t="s">
        <v>9</v>
      </c>
      <c r="D18514" s="3" t="s">
        <v>10</v>
      </c>
      <c r="E18514" s="3">
        <v>0</v>
      </c>
      <c r="F18514" s="3">
        <v>0</v>
      </c>
      <c r="G18514" s="3">
        <v>0</v>
      </c>
      <c r="H18514" s="3">
        <v>31</v>
      </c>
      <c r="I18514" s="3">
        <v>0</v>
      </c>
      <c r="J18514" s="3">
        <v>0</v>
      </c>
      <c r="K18514" s="3">
        <v>0</v>
      </c>
      <c r="L18514" s="3">
        <v>0</v>
      </c>
      <c r="M18514" s="3">
        <v>31</v>
      </c>
      <c r="N18514" s="3">
        <v>0</v>
      </c>
      <c r="O18514" s="3" t="s">
        <v>10</v>
      </c>
      <c r="P18514" s="3" t="s">
        <v>9</v>
      </c>
      <c r="Q18514" s="3"/>
    </row>
    <row r="18515" spans="1:17" ht="15" x14ac:dyDescent="0.25">
      <c r="A18515" s="3">
        <f>18508</f>
        <v>18508</v>
      </c>
      <c r="B18515" s="3" t="s">
        <v>18517</v>
      </c>
      <c r="C18515" s="3" t="s">
        <v>9</v>
      </c>
      <c r="D18515" s="3" t="s">
        <v>10</v>
      </c>
      <c r="E18515" s="3">
        <v>0</v>
      </c>
      <c r="F18515" s="3">
        <v>0</v>
      </c>
      <c r="G18515" s="3">
        <v>0</v>
      </c>
      <c r="H18515" s="3">
        <v>31</v>
      </c>
      <c r="I18515" s="3">
        <v>0</v>
      </c>
      <c r="J18515" s="3">
        <v>0</v>
      </c>
      <c r="K18515" s="3">
        <v>0</v>
      </c>
      <c r="L18515" s="3">
        <v>0</v>
      </c>
      <c r="M18515" s="3">
        <v>31</v>
      </c>
      <c r="N18515" s="3">
        <v>0</v>
      </c>
      <c r="O18515" s="3" t="s">
        <v>10</v>
      </c>
      <c r="P18515" s="3" t="s">
        <v>9</v>
      </c>
      <c r="Q18515" s="3"/>
    </row>
    <row r="18516" spans="1:17" ht="15" x14ac:dyDescent="0.25">
      <c r="A18516" s="3">
        <f>18509</f>
        <v>18509</v>
      </c>
      <c r="B18516" s="3" t="s">
        <v>18518</v>
      </c>
      <c r="C18516" s="3" t="s">
        <v>9</v>
      </c>
      <c r="D18516" s="3" t="s">
        <v>10</v>
      </c>
      <c r="E18516" s="3">
        <v>0</v>
      </c>
      <c r="F18516" s="3">
        <v>0</v>
      </c>
      <c r="G18516" s="3">
        <v>0</v>
      </c>
      <c r="H18516" s="3">
        <v>31</v>
      </c>
      <c r="I18516" s="3">
        <v>0</v>
      </c>
      <c r="J18516" s="3">
        <v>0</v>
      </c>
      <c r="K18516" s="3">
        <v>0</v>
      </c>
      <c r="L18516" s="3">
        <v>0</v>
      </c>
      <c r="M18516" s="3">
        <v>31</v>
      </c>
      <c r="N18516" s="3">
        <v>0</v>
      </c>
      <c r="O18516" s="3" t="s">
        <v>10</v>
      </c>
      <c r="P18516" s="3" t="s">
        <v>9</v>
      </c>
      <c r="Q18516" s="3"/>
    </row>
    <row r="18517" spans="1:17" ht="15" x14ac:dyDescent="0.25">
      <c r="A18517" s="3">
        <f>18510</f>
        <v>18510</v>
      </c>
      <c r="B18517" s="3" t="s">
        <v>18519</v>
      </c>
      <c r="C18517" s="3" t="s">
        <v>9</v>
      </c>
      <c r="D18517" s="3" t="s">
        <v>10</v>
      </c>
      <c r="E18517" s="3">
        <v>0</v>
      </c>
      <c r="F18517" s="3">
        <v>0</v>
      </c>
      <c r="G18517" s="3">
        <v>0</v>
      </c>
      <c r="H18517" s="3">
        <v>31</v>
      </c>
      <c r="I18517" s="3">
        <v>0</v>
      </c>
      <c r="J18517" s="3">
        <v>0</v>
      </c>
      <c r="K18517" s="3">
        <v>0</v>
      </c>
      <c r="L18517" s="3">
        <v>0</v>
      </c>
      <c r="M18517" s="3">
        <v>31</v>
      </c>
      <c r="N18517" s="3">
        <v>0</v>
      </c>
      <c r="O18517" s="3" t="s">
        <v>10</v>
      </c>
      <c r="P18517" s="3" t="s">
        <v>9</v>
      </c>
      <c r="Q18517" s="3"/>
    </row>
    <row r="18518" spans="1:17" ht="15" x14ac:dyDescent="0.25">
      <c r="A18518" s="3">
        <f>18511</f>
        <v>18511</v>
      </c>
      <c r="B18518" s="3" t="s">
        <v>18520</v>
      </c>
      <c r="C18518" s="3" t="s">
        <v>9</v>
      </c>
      <c r="D18518" s="3" t="s">
        <v>10</v>
      </c>
      <c r="E18518" s="3">
        <v>0</v>
      </c>
      <c r="F18518" s="3">
        <v>0</v>
      </c>
      <c r="G18518" s="3">
        <v>0</v>
      </c>
      <c r="H18518" s="3">
        <v>31</v>
      </c>
      <c r="I18518" s="3">
        <v>0</v>
      </c>
      <c r="J18518" s="3">
        <v>0</v>
      </c>
      <c r="K18518" s="3">
        <v>0</v>
      </c>
      <c r="L18518" s="3">
        <v>0</v>
      </c>
      <c r="M18518" s="3">
        <v>31</v>
      </c>
      <c r="N18518" s="3">
        <v>0</v>
      </c>
      <c r="O18518" s="3" t="s">
        <v>10</v>
      </c>
      <c r="P18518" s="3" t="s">
        <v>9</v>
      </c>
      <c r="Q18518" s="3"/>
    </row>
    <row r="18519" spans="1:17" ht="15" x14ac:dyDescent="0.25">
      <c r="A18519" s="3">
        <f>18512</f>
        <v>18512</v>
      </c>
      <c r="B18519" s="3" t="s">
        <v>18521</v>
      </c>
      <c r="C18519" s="3" t="s">
        <v>9</v>
      </c>
      <c r="D18519" s="3" t="s">
        <v>10</v>
      </c>
      <c r="E18519" s="3">
        <v>0</v>
      </c>
      <c r="F18519" s="3">
        <v>0</v>
      </c>
      <c r="G18519" s="3">
        <v>0</v>
      </c>
      <c r="H18519" s="3">
        <v>31</v>
      </c>
      <c r="I18519" s="3">
        <v>0</v>
      </c>
      <c r="J18519" s="3">
        <v>0</v>
      </c>
      <c r="K18519" s="3">
        <v>0</v>
      </c>
      <c r="L18519" s="3">
        <v>0</v>
      </c>
      <c r="M18519" s="3">
        <v>31</v>
      </c>
      <c r="N18519" s="3">
        <v>0</v>
      </c>
      <c r="O18519" s="3" t="s">
        <v>10</v>
      </c>
      <c r="P18519" s="3" t="s">
        <v>9</v>
      </c>
      <c r="Q18519" s="3"/>
    </row>
    <row r="18520" spans="1:17" ht="15" x14ac:dyDescent="0.25">
      <c r="A18520" s="3">
        <f>18513</f>
        <v>18513</v>
      </c>
      <c r="B18520" s="3" t="s">
        <v>18522</v>
      </c>
      <c r="C18520" s="3" t="s">
        <v>9</v>
      </c>
      <c r="D18520" s="3" t="s">
        <v>10</v>
      </c>
      <c r="E18520" s="3">
        <v>0</v>
      </c>
      <c r="F18520" s="3">
        <v>0</v>
      </c>
      <c r="G18520" s="3">
        <v>0</v>
      </c>
      <c r="H18520" s="3">
        <v>31</v>
      </c>
      <c r="I18520" s="3">
        <v>0</v>
      </c>
      <c r="J18520" s="3">
        <v>0</v>
      </c>
      <c r="K18520" s="3">
        <v>0</v>
      </c>
      <c r="L18520" s="3">
        <v>0</v>
      </c>
      <c r="M18520" s="3">
        <v>31</v>
      </c>
      <c r="N18520" s="3">
        <v>0</v>
      </c>
      <c r="O18520" s="3" t="s">
        <v>10</v>
      </c>
      <c r="P18520" s="3" t="s">
        <v>9</v>
      </c>
      <c r="Q18520" s="3"/>
    </row>
    <row r="18521" spans="1:17" ht="15" x14ac:dyDescent="0.25">
      <c r="A18521" s="3">
        <f>18514</f>
        <v>18514</v>
      </c>
      <c r="B18521" s="3" t="s">
        <v>18523</v>
      </c>
      <c r="C18521" s="3" t="s">
        <v>9</v>
      </c>
      <c r="D18521" s="3" t="s">
        <v>10</v>
      </c>
      <c r="E18521" s="3">
        <v>0</v>
      </c>
      <c r="F18521" s="3">
        <v>0</v>
      </c>
      <c r="G18521" s="3">
        <v>0</v>
      </c>
      <c r="H18521" s="3">
        <v>31</v>
      </c>
      <c r="I18521" s="3">
        <v>0</v>
      </c>
      <c r="J18521" s="3">
        <v>0</v>
      </c>
      <c r="K18521" s="3">
        <v>0</v>
      </c>
      <c r="L18521" s="3">
        <v>0</v>
      </c>
      <c r="M18521" s="3">
        <v>31</v>
      </c>
      <c r="N18521" s="3">
        <v>0</v>
      </c>
      <c r="O18521" s="3" t="s">
        <v>10</v>
      </c>
      <c r="P18521" s="3" t="s">
        <v>9</v>
      </c>
      <c r="Q18521" s="3"/>
    </row>
    <row r="18522" spans="1:17" ht="15" x14ac:dyDescent="0.25">
      <c r="A18522" s="3">
        <f>18515</f>
        <v>18515</v>
      </c>
      <c r="B18522" s="3" t="s">
        <v>18524</v>
      </c>
      <c r="C18522" s="3" t="s">
        <v>9</v>
      </c>
      <c r="D18522" s="3" t="s">
        <v>10</v>
      </c>
      <c r="E18522" s="3">
        <v>0</v>
      </c>
      <c r="F18522" s="3">
        <v>0</v>
      </c>
      <c r="G18522" s="3">
        <v>0</v>
      </c>
      <c r="H18522" s="3">
        <v>31</v>
      </c>
      <c r="I18522" s="3">
        <v>0</v>
      </c>
      <c r="J18522" s="3">
        <v>0</v>
      </c>
      <c r="K18522" s="3">
        <v>0</v>
      </c>
      <c r="L18522" s="3">
        <v>0</v>
      </c>
      <c r="M18522" s="3">
        <v>31</v>
      </c>
      <c r="N18522" s="3">
        <v>0</v>
      </c>
      <c r="O18522" s="3" t="s">
        <v>10</v>
      </c>
      <c r="P18522" s="3" t="s">
        <v>9</v>
      </c>
      <c r="Q18522" s="3"/>
    </row>
    <row r="18523" spans="1:17" ht="15" x14ac:dyDescent="0.25">
      <c r="A18523" s="3">
        <f>18516</f>
        <v>18516</v>
      </c>
      <c r="B18523" s="3" t="s">
        <v>18525</v>
      </c>
      <c r="C18523" s="3" t="s">
        <v>9</v>
      </c>
      <c r="D18523" s="3" t="s">
        <v>10</v>
      </c>
      <c r="E18523" s="3">
        <v>0</v>
      </c>
      <c r="F18523" s="3">
        <v>0</v>
      </c>
      <c r="G18523" s="3">
        <v>0</v>
      </c>
      <c r="H18523" s="3">
        <v>31</v>
      </c>
      <c r="I18523" s="3">
        <v>0</v>
      </c>
      <c r="J18523" s="3">
        <v>0</v>
      </c>
      <c r="K18523" s="3">
        <v>0</v>
      </c>
      <c r="L18523" s="3">
        <v>0</v>
      </c>
      <c r="M18523" s="3">
        <v>31</v>
      </c>
      <c r="N18523" s="3">
        <v>0</v>
      </c>
      <c r="O18523" s="3" t="s">
        <v>10</v>
      </c>
      <c r="P18523" s="3" t="s">
        <v>9</v>
      </c>
      <c r="Q18523" s="3"/>
    </row>
    <row r="18524" spans="1:17" ht="15" x14ac:dyDescent="0.25">
      <c r="A18524" s="3">
        <f>18517</f>
        <v>18517</v>
      </c>
      <c r="B18524" s="3" t="s">
        <v>18526</v>
      </c>
      <c r="C18524" s="3" t="s">
        <v>9</v>
      </c>
      <c r="D18524" s="3" t="s">
        <v>10</v>
      </c>
      <c r="E18524" s="3">
        <v>0</v>
      </c>
      <c r="F18524" s="3">
        <v>0</v>
      </c>
      <c r="G18524" s="3">
        <v>0</v>
      </c>
      <c r="H18524" s="3">
        <v>31</v>
      </c>
      <c r="I18524" s="3">
        <v>0</v>
      </c>
      <c r="J18524" s="3">
        <v>0</v>
      </c>
      <c r="K18524" s="3">
        <v>0</v>
      </c>
      <c r="L18524" s="3">
        <v>0</v>
      </c>
      <c r="M18524" s="3">
        <v>31</v>
      </c>
      <c r="N18524" s="3">
        <v>0</v>
      </c>
      <c r="O18524" s="3" t="s">
        <v>10</v>
      </c>
      <c r="P18524" s="3" t="s">
        <v>9</v>
      </c>
      <c r="Q18524" s="3"/>
    </row>
    <row r="18525" spans="1:17" ht="15" x14ac:dyDescent="0.25">
      <c r="A18525" s="3">
        <f>18518</f>
        <v>18518</v>
      </c>
      <c r="B18525" s="3" t="s">
        <v>18527</v>
      </c>
      <c r="C18525" s="3" t="s">
        <v>9</v>
      </c>
      <c r="D18525" s="3" t="s">
        <v>10</v>
      </c>
      <c r="E18525" s="3">
        <v>0</v>
      </c>
      <c r="F18525" s="3">
        <v>0</v>
      </c>
      <c r="G18525" s="3">
        <v>0</v>
      </c>
      <c r="H18525" s="3">
        <v>31</v>
      </c>
      <c r="I18525" s="3">
        <v>0</v>
      </c>
      <c r="J18525" s="3">
        <v>0</v>
      </c>
      <c r="K18525" s="3">
        <v>0</v>
      </c>
      <c r="L18525" s="3">
        <v>0</v>
      </c>
      <c r="M18525" s="3">
        <v>31</v>
      </c>
      <c r="N18525" s="3">
        <v>0</v>
      </c>
      <c r="O18525" s="3" t="s">
        <v>10</v>
      </c>
      <c r="P18525" s="3" t="s">
        <v>9</v>
      </c>
      <c r="Q18525" s="3"/>
    </row>
    <row r="18526" spans="1:17" ht="15" x14ac:dyDescent="0.25">
      <c r="A18526" s="3">
        <f>18519</f>
        <v>18519</v>
      </c>
      <c r="B18526" s="3" t="s">
        <v>18528</v>
      </c>
      <c r="C18526" s="3" t="s">
        <v>9</v>
      </c>
      <c r="D18526" s="3" t="s">
        <v>10</v>
      </c>
      <c r="E18526" s="3">
        <v>0</v>
      </c>
      <c r="F18526" s="3">
        <v>0</v>
      </c>
      <c r="G18526" s="3">
        <v>0</v>
      </c>
      <c r="H18526" s="3">
        <v>31</v>
      </c>
      <c r="I18526" s="3">
        <v>0</v>
      </c>
      <c r="J18526" s="3">
        <v>0</v>
      </c>
      <c r="K18526" s="3">
        <v>0</v>
      </c>
      <c r="L18526" s="3">
        <v>0</v>
      </c>
      <c r="M18526" s="3">
        <v>31</v>
      </c>
      <c r="N18526" s="3">
        <v>0</v>
      </c>
      <c r="O18526" s="3" t="s">
        <v>10</v>
      </c>
      <c r="P18526" s="3" t="s">
        <v>9</v>
      </c>
      <c r="Q18526" s="3"/>
    </row>
    <row r="18527" spans="1:17" ht="15" x14ac:dyDescent="0.25">
      <c r="A18527" s="3">
        <f>18520</f>
        <v>18520</v>
      </c>
      <c r="B18527" s="3" t="s">
        <v>18529</v>
      </c>
      <c r="C18527" s="3" t="s">
        <v>9</v>
      </c>
      <c r="D18527" s="3" t="s">
        <v>10</v>
      </c>
      <c r="E18527" s="3">
        <v>0</v>
      </c>
      <c r="F18527" s="3">
        <v>0</v>
      </c>
      <c r="G18527" s="3">
        <v>0</v>
      </c>
      <c r="H18527" s="3">
        <v>31</v>
      </c>
      <c r="I18527" s="3">
        <v>0</v>
      </c>
      <c r="J18527" s="3">
        <v>0</v>
      </c>
      <c r="K18527" s="3">
        <v>0</v>
      </c>
      <c r="L18527" s="3">
        <v>0</v>
      </c>
      <c r="M18527" s="3">
        <v>31</v>
      </c>
      <c r="N18527" s="3">
        <v>0</v>
      </c>
      <c r="O18527" s="3" t="s">
        <v>10</v>
      </c>
      <c r="P18527" s="3" t="s">
        <v>9</v>
      </c>
      <c r="Q18527" s="3"/>
    </row>
    <row r="18528" spans="1:17" ht="15" x14ac:dyDescent="0.25">
      <c r="A18528" s="3">
        <f>18521</f>
        <v>18521</v>
      </c>
      <c r="B18528" s="3" t="s">
        <v>18530</v>
      </c>
      <c r="C18528" s="3" t="s">
        <v>9</v>
      </c>
      <c r="D18528" s="3" t="s">
        <v>10</v>
      </c>
      <c r="E18528" s="3">
        <v>0</v>
      </c>
      <c r="F18528" s="3">
        <v>0</v>
      </c>
      <c r="G18528" s="3">
        <v>0</v>
      </c>
      <c r="H18528" s="3">
        <v>31</v>
      </c>
      <c r="I18528" s="3">
        <v>0</v>
      </c>
      <c r="J18528" s="3">
        <v>0</v>
      </c>
      <c r="K18528" s="3">
        <v>0</v>
      </c>
      <c r="L18528" s="3">
        <v>0</v>
      </c>
      <c r="M18528" s="3">
        <v>31</v>
      </c>
      <c r="N18528" s="3">
        <v>0</v>
      </c>
      <c r="O18528" s="3" t="s">
        <v>10</v>
      </c>
      <c r="P18528" s="3" t="s">
        <v>9</v>
      </c>
      <c r="Q18528" s="3"/>
    </row>
    <row r="18529" spans="1:17" ht="15" x14ac:dyDescent="0.25">
      <c r="A18529" s="3">
        <f>18522</f>
        <v>18522</v>
      </c>
      <c r="B18529" s="3" t="s">
        <v>18531</v>
      </c>
      <c r="C18529" s="3" t="s">
        <v>9</v>
      </c>
      <c r="D18529" s="3" t="s">
        <v>10</v>
      </c>
      <c r="E18529" s="3">
        <v>0</v>
      </c>
      <c r="F18529" s="3">
        <v>0</v>
      </c>
      <c r="G18529" s="3">
        <v>0</v>
      </c>
      <c r="H18529" s="3">
        <v>31</v>
      </c>
      <c r="I18529" s="3">
        <v>0</v>
      </c>
      <c r="J18529" s="3">
        <v>0</v>
      </c>
      <c r="K18529" s="3">
        <v>0</v>
      </c>
      <c r="L18529" s="3">
        <v>0</v>
      </c>
      <c r="M18529" s="3">
        <v>31</v>
      </c>
      <c r="N18529" s="3">
        <v>0</v>
      </c>
      <c r="O18529" s="3" t="s">
        <v>10</v>
      </c>
      <c r="P18529" s="3" t="s">
        <v>9</v>
      </c>
      <c r="Q18529" s="3"/>
    </row>
    <row r="18530" spans="1:17" ht="15" x14ac:dyDescent="0.25">
      <c r="A18530" s="3">
        <f>18523</f>
        <v>18523</v>
      </c>
      <c r="B18530" s="3" t="s">
        <v>18532</v>
      </c>
      <c r="C18530" s="3" t="s">
        <v>9</v>
      </c>
      <c r="D18530" s="3" t="s">
        <v>10</v>
      </c>
      <c r="E18530" s="3">
        <v>0</v>
      </c>
      <c r="F18530" s="3">
        <v>0</v>
      </c>
      <c r="G18530" s="3">
        <v>0</v>
      </c>
      <c r="H18530" s="3">
        <v>31</v>
      </c>
      <c r="I18530" s="3">
        <v>0</v>
      </c>
      <c r="J18530" s="3">
        <v>0</v>
      </c>
      <c r="K18530" s="3">
        <v>0</v>
      </c>
      <c r="L18530" s="3">
        <v>0</v>
      </c>
      <c r="M18530" s="3">
        <v>31</v>
      </c>
      <c r="N18530" s="3">
        <v>0</v>
      </c>
      <c r="O18530" s="3" t="s">
        <v>10</v>
      </c>
      <c r="P18530" s="3" t="s">
        <v>9</v>
      </c>
      <c r="Q18530" s="3"/>
    </row>
    <row r="18531" spans="1:17" ht="15" x14ac:dyDescent="0.25">
      <c r="A18531" s="3">
        <f>18524</f>
        <v>18524</v>
      </c>
      <c r="B18531" s="3" t="s">
        <v>18533</v>
      </c>
      <c r="C18531" s="3" t="s">
        <v>9</v>
      </c>
      <c r="D18531" s="3" t="s">
        <v>10</v>
      </c>
      <c r="E18531" s="3">
        <v>0</v>
      </c>
      <c r="F18531" s="3">
        <v>0</v>
      </c>
      <c r="G18531" s="3">
        <v>0</v>
      </c>
      <c r="H18531" s="3">
        <v>31</v>
      </c>
      <c r="I18531" s="3">
        <v>0</v>
      </c>
      <c r="J18531" s="3">
        <v>0</v>
      </c>
      <c r="K18531" s="3">
        <v>0</v>
      </c>
      <c r="L18531" s="3">
        <v>0</v>
      </c>
      <c r="M18531" s="3">
        <v>31</v>
      </c>
      <c r="N18531" s="3">
        <v>0</v>
      </c>
      <c r="O18531" s="3" t="s">
        <v>10</v>
      </c>
      <c r="P18531" s="3" t="s">
        <v>9</v>
      </c>
      <c r="Q18531" s="3"/>
    </row>
    <row r="18532" spans="1:17" ht="15" x14ac:dyDescent="0.25">
      <c r="A18532" s="3">
        <f>18525</f>
        <v>18525</v>
      </c>
      <c r="B18532" s="3" t="s">
        <v>18534</v>
      </c>
      <c r="C18532" s="3" t="s">
        <v>9</v>
      </c>
      <c r="D18532" s="3" t="s">
        <v>10</v>
      </c>
      <c r="E18532" s="3">
        <v>0</v>
      </c>
      <c r="F18532" s="3">
        <v>0</v>
      </c>
      <c r="G18532" s="3">
        <v>0</v>
      </c>
      <c r="H18532" s="3">
        <v>31</v>
      </c>
      <c r="I18532" s="3">
        <v>0</v>
      </c>
      <c r="J18532" s="3">
        <v>0</v>
      </c>
      <c r="K18532" s="3">
        <v>0</v>
      </c>
      <c r="L18532" s="3">
        <v>0</v>
      </c>
      <c r="M18532" s="3">
        <v>31</v>
      </c>
      <c r="N18532" s="3">
        <v>0</v>
      </c>
      <c r="O18532" s="3" t="s">
        <v>10</v>
      </c>
      <c r="P18532" s="3" t="s">
        <v>9</v>
      </c>
      <c r="Q18532" s="3"/>
    </row>
    <row r="18533" spans="1:17" ht="15" x14ac:dyDescent="0.25">
      <c r="A18533" s="3">
        <f>18526</f>
        <v>18526</v>
      </c>
      <c r="B18533" s="3" t="s">
        <v>18535</v>
      </c>
      <c r="C18533" s="3" t="s">
        <v>9</v>
      </c>
      <c r="D18533" s="3" t="s">
        <v>10</v>
      </c>
      <c r="E18533" s="3">
        <v>0</v>
      </c>
      <c r="F18533" s="3">
        <v>0</v>
      </c>
      <c r="G18533" s="3">
        <v>0</v>
      </c>
      <c r="H18533" s="3">
        <v>31</v>
      </c>
      <c r="I18533" s="3">
        <v>0</v>
      </c>
      <c r="J18533" s="3">
        <v>0</v>
      </c>
      <c r="K18533" s="3">
        <v>0</v>
      </c>
      <c r="L18533" s="3">
        <v>0</v>
      </c>
      <c r="M18533" s="3">
        <v>31</v>
      </c>
      <c r="N18533" s="3">
        <v>0</v>
      </c>
      <c r="O18533" s="3" t="s">
        <v>10</v>
      </c>
      <c r="P18533" s="3" t="s">
        <v>9</v>
      </c>
      <c r="Q18533" s="3"/>
    </row>
    <row r="18534" spans="1:17" ht="15" x14ac:dyDescent="0.25">
      <c r="A18534" s="3">
        <f>18527</f>
        <v>18527</v>
      </c>
      <c r="B18534" s="3" t="s">
        <v>18536</v>
      </c>
      <c r="C18534" s="3" t="s">
        <v>9</v>
      </c>
      <c r="D18534" s="3" t="s">
        <v>10</v>
      </c>
      <c r="E18534" s="3">
        <v>0</v>
      </c>
      <c r="F18534" s="3">
        <v>0</v>
      </c>
      <c r="G18534" s="3">
        <v>0</v>
      </c>
      <c r="H18534" s="3">
        <v>31</v>
      </c>
      <c r="I18534" s="3">
        <v>0</v>
      </c>
      <c r="J18534" s="3">
        <v>0</v>
      </c>
      <c r="K18534" s="3">
        <v>0</v>
      </c>
      <c r="L18534" s="3">
        <v>0</v>
      </c>
      <c r="M18534" s="3">
        <v>31</v>
      </c>
      <c r="N18534" s="3">
        <v>0</v>
      </c>
      <c r="O18534" s="3" t="s">
        <v>10</v>
      </c>
      <c r="P18534" s="3" t="s">
        <v>9</v>
      </c>
      <c r="Q18534" s="3"/>
    </row>
    <row r="18535" spans="1:17" ht="15" x14ac:dyDescent="0.25">
      <c r="A18535" s="3">
        <f>18528</f>
        <v>18528</v>
      </c>
      <c r="B18535" s="3" t="s">
        <v>18537</v>
      </c>
      <c r="C18535" s="3" t="s">
        <v>9</v>
      </c>
      <c r="D18535" s="3" t="s">
        <v>10</v>
      </c>
      <c r="E18535" s="3">
        <v>0</v>
      </c>
      <c r="F18535" s="3">
        <v>0</v>
      </c>
      <c r="G18535" s="3">
        <v>0</v>
      </c>
      <c r="H18535" s="3">
        <v>31</v>
      </c>
      <c r="I18535" s="3">
        <v>0</v>
      </c>
      <c r="J18535" s="3">
        <v>0</v>
      </c>
      <c r="K18535" s="3">
        <v>0</v>
      </c>
      <c r="L18535" s="3">
        <v>0</v>
      </c>
      <c r="M18535" s="3">
        <v>31</v>
      </c>
      <c r="N18535" s="3">
        <v>0</v>
      </c>
      <c r="O18535" s="3" t="s">
        <v>10</v>
      </c>
      <c r="P18535" s="3" t="s">
        <v>9</v>
      </c>
      <c r="Q18535" s="3"/>
    </row>
    <row r="18536" spans="1:17" ht="15" x14ac:dyDescent="0.25">
      <c r="A18536" s="3">
        <f>18529</f>
        <v>18529</v>
      </c>
      <c r="B18536" s="3" t="s">
        <v>18538</v>
      </c>
      <c r="C18536" s="3" t="s">
        <v>9</v>
      </c>
      <c r="D18536" s="3" t="s">
        <v>10</v>
      </c>
      <c r="E18536" s="3">
        <v>0</v>
      </c>
      <c r="F18536" s="3">
        <v>0</v>
      </c>
      <c r="G18536" s="3">
        <v>0</v>
      </c>
      <c r="H18536" s="3">
        <v>31</v>
      </c>
      <c r="I18536" s="3">
        <v>0</v>
      </c>
      <c r="J18536" s="3">
        <v>0</v>
      </c>
      <c r="K18536" s="3">
        <v>0</v>
      </c>
      <c r="L18536" s="3">
        <v>0</v>
      </c>
      <c r="M18536" s="3">
        <v>31</v>
      </c>
      <c r="N18536" s="3">
        <v>0</v>
      </c>
      <c r="O18536" s="3" t="s">
        <v>10</v>
      </c>
      <c r="P18536" s="3" t="s">
        <v>9</v>
      </c>
      <c r="Q18536" s="3"/>
    </row>
    <row r="18537" spans="1:17" ht="15" x14ac:dyDescent="0.25">
      <c r="A18537" s="3">
        <f>18530</f>
        <v>18530</v>
      </c>
      <c r="B18537" s="3" t="s">
        <v>18539</v>
      </c>
      <c r="C18537" s="3" t="s">
        <v>9</v>
      </c>
      <c r="D18537" s="3" t="s">
        <v>10</v>
      </c>
      <c r="E18537" s="3">
        <v>0</v>
      </c>
      <c r="F18537" s="3">
        <v>0</v>
      </c>
      <c r="G18537" s="3">
        <v>0</v>
      </c>
      <c r="H18537" s="3">
        <v>31</v>
      </c>
      <c r="I18537" s="3">
        <v>0</v>
      </c>
      <c r="J18537" s="3">
        <v>0</v>
      </c>
      <c r="K18537" s="3">
        <v>0</v>
      </c>
      <c r="L18537" s="3">
        <v>0</v>
      </c>
      <c r="M18537" s="3">
        <v>31</v>
      </c>
      <c r="N18537" s="3">
        <v>0</v>
      </c>
      <c r="O18537" s="3" t="s">
        <v>10</v>
      </c>
      <c r="P18537" s="3" t="s">
        <v>9</v>
      </c>
      <c r="Q18537" s="3"/>
    </row>
    <row r="18538" spans="1:17" ht="15" x14ac:dyDescent="0.25">
      <c r="A18538" s="3">
        <f>18531</f>
        <v>18531</v>
      </c>
      <c r="B18538" s="3" t="s">
        <v>18540</v>
      </c>
      <c r="C18538" s="3" t="s">
        <v>9</v>
      </c>
      <c r="D18538" s="3" t="s">
        <v>10</v>
      </c>
      <c r="E18538" s="3">
        <v>0</v>
      </c>
      <c r="F18538" s="3">
        <v>0</v>
      </c>
      <c r="G18538" s="3">
        <v>0</v>
      </c>
      <c r="H18538" s="3">
        <v>31</v>
      </c>
      <c r="I18538" s="3">
        <v>0</v>
      </c>
      <c r="J18538" s="3">
        <v>0</v>
      </c>
      <c r="K18538" s="3">
        <v>0</v>
      </c>
      <c r="L18538" s="3">
        <v>0</v>
      </c>
      <c r="M18538" s="3">
        <v>31</v>
      </c>
      <c r="N18538" s="3">
        <v>0</v>
      </c>
      <c r="O18538" s="3" t="s">
        <v>10</v>
      </c>
      <c r="P18538" s="3" t="s">
        <v>9</v>
      </c>
      <c r="Q18538" s="3"/>
    </row>
    <row r="18539" spans="1:17" ht="15" x14ac:dyDescent="0.25">
      <c r="A18539" s="3">
        <f>18532</f>
        <v>18532</v>
      </c>
      <c r="B18539" s="3" t="s">
        <v>18541</v>
      </c>
      <c r="C18539" s="3" t="s">
        <v>9</v>
      </c>
      <c r="D18539" s="3" t="s">
        <v>10</v>
      </c>
      <c r="E18539" s="3">
        <v>0</v>
      </c>
      <c r="F18539" s="3">
        <v>0</v>
      </c>
      <c r="G18539" s="3">
        <v>0</v>
      </c>
      <c r="H18539" s="3">
        <v>31</v>
      </c>
      <c r="I18539" s="3">
        <v>0</v>
      </c>
      <c r="J18539" s="3">
        <v>0</v>
      </c>
      <c r="K18539" s="3">
        <v>0</v>
      </c>
      <c r="L18539" s="3">
        <v>0</v>
      </c>
      <c r="M18539" s="3">
        <v>31</v>
      </c>
      <c r="N18539" s="3">
        <v>0</v>
      </c>
      <c r="O18539" s="3" t="s">
        <v>10</v>
      </c>
      <c r="P18539" s="3" t="s">
        <v>9</v>
      </c>
      <c r="Q18539" s="3"/>
    </row>
    <row r="18540" spans="1:17" ht="15" x14ac:dyDescent="0.25">
      <c r="A18540" s="3">
        <f>18533</f>
        <v>18533</v>
      </c>
      <c r="B18540" s="3" t="s">
        <v>18542</v>
      </c>
      <c r="C18540" s="3" t="s">
        <v>9</v>
      </c>
      <c r="D18540" s="3" t="s">
        <v>10</v>
      </c>
      <c r="E18540" s="3">
        <v>0</v>
      </c>
      <c r="F18540" s="3">
        <v>0</v>
      </c>
      <c r="G18540" s="3">
        <v>0</v>
      </c>
      <c r="H18540" s="3">
        <v>31</v>
      </c>
      <c r="I18540" s="3">
        <v>0</v>
      </c>
      <c r="J18540" s="3">
        <v>0</v>
      </c>
      <c r="K18540" s="3">
        <v>0</v>
      </c>
      <c r="L18540" s="3">
        <v>0</v>
      </c>
      <c r="M18540" s="3">
        <v>31</v>
      </c>
      <c r="N18540" s="3">
        <v>0</v>
      </c>
      <c r="O18540" s="3" t="s">
        <v>10</v>
      </c>
      <c r="P18540" s="3" t="s">
        <v>9</v>
      </c>
      <c r="Q18540" s="3"/>
    </row>
    <row r="18541" spans="1:17" ht="15" x14ac:dyDescent="0.25">
      <c r="A18541" s="3">
        <f>18534</f>
        <v>18534</v>
      </c>
      <c r="B18541" s="3" t="s">
        <v>18543</v>
      </c>
      <c r="C18541" s="3" t="s">
        <v>9</v>
      </c>
      <c r="D18541" s="3" t="s">
        <v>10</v>
      </c>
      <c r="E18541" s="3">
        <v>0</v>
      </c>
      <c r="F18541" s="3">
        <v>0</v>
      </c>
      <c r="G18541" s="3">
        <v>0</v>
      </c>
      <c r="H18541" s="3">
        <v>31</v>
      </c>
      <c r="I18541" s="3">
        <v>0</v>
      </c>
      <c r="J18541" s="3">
        <v>0</v>
      </c>
      <c r="K18541" s="3">
        <v>0</v>
      </c>
      <c r="L18541" s="3">
        <v>0</v>
      </c>
      <c r="M18541" s="3">
        <v>31</v>
      </c>
      <c r="N18541" s="3">
        <v>0</v>
      </c>
      <c r="O18541" s="3" t="s">
        <v>10</v>
      </c>
      <c r="P18541" s="3" t="s">
        <v>9</v>
      </c>
      <c r="Q18541" s="3"/>
    </row>
    <row r="18542" spans="1:17" ht="15" x14ac:dyDescent="0.25">
      <c r="A18542" s="3">
        <f>18535</f>
        <v>18535</v>
      </c>
      <c r="B18542" s="3" t="s">
        <v>18544</v>
      </c>
      <c r="C18542" s="3" t="s">
        <v>9</v>
      </c>
      <c r="D18542" s="3" t="s">
        <v>10</v>
      </c>
      <c r="E18542" s="3">
        <v>0</v>
      </c>
      <c r="F18542" s="3">
        <v>0</v>
      </c>
      <c r="G18542" s="3">
        <v>0</v>
      </c>
      <c r="H18542" s="3">
        <v>31</v>
      </c>
      <c r="I18542" s="3">
        <v>0</v>
      </c>
      <c r="J18542" s="3">
        <v>0</v>
      </c>
      <c r="K18542" s="3">
        <v>0</v>
      </c>
      <c r="L18542" s="3">
        <v>0</v>
      </c>
      <c r="M18542" s="3">
        <v>31</v>
      </c>
      <c r="N18542" s="3">
        <v>0</v>
      </c>
      <c r="O18542" s="3" t="s">
        <v>10</v>
      </c>
      <c r="P18542" s="3" t="s">
        <v>9</v>
      </c>
      <c r="Q18542" s="3"/>
    </row>
    <row r="18543" spans="1:17" ht="15" x14ac:dyDescent="0.25">
      <c r="A18543" s="3">
        <f>18536</f>
        <v>18536</v>
      </c>
      <c r="B18543" s="3" t="s">
        <v>18545</v>
      </c>
      <c r="C18543" s="3" t="s">
        <v>9</v>
      </c>
      <c r="D18543" s="3" t="s">
        <v>10</v>
      </c>
      <c r="E18543" s="3">
        <v>0</v>
      </c>
      <c r="F18543" s="3">
        <v>0</v>
      </c>
      <c r="G18543" s="3">
        <v>0</v>
      </c>
      <c r="H18543" s="3">
        <v>31</v>
      </c>
      <c r="I18543" s="3">
        <v>0</v>
      </c>
      <c r="J18543" s="3">
        <v>0</v>
      </c>
      <c r="K18543" s="3">
        <v>0</v>
      </c>
      <c r="L18543" s="3">
        <v>0</v>
      </c>
      <c r="M18543" s="3">
        <v>31</v>
      </c>
      <c r="N18543" s="3">
        <v>0</v>
      </c>
      <c r="O18543" s="3" t="s">
        <v>10</v>
      </c>
      <c r="P18543" s="3" t="s">
        <v>9</v>
      </c>
      <c r="Q18543" s="3"/>
    </row>
    <row r="18544" spans="1:17" ht="15" x14ac:dyDescent="0.25">
      <c r="A18544" s="3">
        <f>18537</f>
        <v>18537</v>
      </c>
      <c r="B18544" s="3" t="s">
        <v>18546</v>
      </c>
      <c r="C18544" s="3" t="s">
        <v>9</v>
      </c>
      <c r="D18544" s="3" t="s">
        <v>10</v>
      </c>
      <c r="E18544" s="3">
        <v>0</v>
      </c>
      <c r="F18544" s="3">
        <v>0</v>
      </c>
      <c r="G18544" s="3">
        <v>0</v>
      </c>
      <c r="H18544" s="3">
        <v>31</v>
      </c>
      <c r="I18544" s="3">
        <v>0</v>
      </c>
      <c r="J18544" s="3">
        <v>0</v>
      </c>
      <c r="K18544" s="3">
        <v>0</v>
      </c>
      <c r="L18544" s="3">
        <v>0</v>
      </c>
      <c r="M18544" s="3">
        <v>31</v>
      </c>
      <c r="N18544" s="3">
        <v>0</v>
      </c>
      <c r="O18544" s="3" t="s">
        <v>10</v>
      </c>
      <c r="P18544" s="3" t="s">
        <v>9</v>
      </c>
      <c r="Q18544" s="3"/>
    </row>
    <row r="18545" spans="1:17" ht="15" x14ac:dyDescent="0.25">
      <c r="A18545" s="3">
        <f>18538</f>
        <v>18538</v>
      </c>
      <c r="B18545" s="3" t="s">
        <v>18547</v>
      </c>
      <c r="C18545" s="3" t="s">
        <v>9</v>
      </c>
      <c r="D18545" s="3" t="s">
        <v>10</v>
      </c>
      <c r="E18545" s="3">
        <v>0</v>
      </c>
      <c r="F18545" s="3">
        <v>0</v>
      </c>
      <c r="G18545" s="3">
        <v>0</v>
      </c>
      <c r="H18545" s="3">
        <v>31</v>
      </c>
      <c r="I18545" s="3">
        <v>0</v>
      </c>
      <c r="J18545" s="3">
        <v>0</v>
      </c>
      <c r="K18545" s="3">
        <v>0</v>
      </c>
      <c r="L18545" s="3">
        <v>0</v>
      </c>
      <c r="M18545" s="3">
        <v>31</v>
      </c>
      <c r="N18545" s="3">
        <v>0</v>
      </c>
      <c r="O18545" s="3" t="s">
        <v>10</v>
      </c>
      <c r="P18545" s="3" t="s">
        <v>9</v>
      </c>
      <c r="Q18545" s="3"/>
    </row>
    <row r="18546" spans="1:17" ht="15" x14ac:dyDescent="0.25">
      <c r="A18546" s="3">
        <f>18539</f>
        <v>18539</v>
      </c>
      <c r="B18546" s="3" t="s">
        <v>18548</v>
      </c>
      <c r="C18546" s="3" t="s">
        <v>9</v>
      </c>
      <c r="D18546" s="3" t="s">
        <v>10</v>
      </c>
      <c r="E18546" s="3">
        <v>0</v>
      </c>
      <c r="F18546" s="3">
        <v>0</v>
      </c>
      <c r="G18546" s="3">
        <v>0</v>
      </c>
      <c r="H18546" s="3">
        <v>31</v>
      </c>
      <c r="I18546" s="3">
        <v>0</v>
      </c>
      <c r="J18546" s="3">
        <v>0</v>
      </c>
      <c r="K18546" s="3">
        <v>0</v>
      </c>
      <c r="L18546" s="3">
        <v>0</v>
      </c>
      <c r="M18546" s="3">
        <v>31</v>
      </c>
      <c r="N18546" s="3">
        <v>0</v>
      </c>
      <c r="O18546" s="3" t="s">
        <v>10</v>
      </c>
      <c r="P18546" s="3" t="s">
        <v>9</v>
      </c>
      <c r="Q18546" s="3"/>
    </row>
    <row r="18547" spans="1:17" ht="15" x14ac:dyDescent="0.25">
      <c r="A18547" s="3">
        <f>18540</f>
        <v>18540</v>
      </c>
      <c r="B18547" s="3" t="s">
        <v>18549</v>
      </c>
      <c r="C18547" s="3" t="s">
        <v>9</v>
      </c>
      <c r="D18547" s="3" t="s">
        <v>10</v>
      </c>
      <c r="E18547" s="3">
        <v>0</v>
      </c>
      <c r="F18547" s="3">
        <v>0</v>
      </c>
      <c r="G18547" s="3">
        <v>0</v>
      </c>
      <c r="H18547" s="3">
        <v>31</v>
      </c>
      <c r="I18547" s="3">
        <v>0</v>
      </c>
      <c r="J18547" s="3">
        <v>0</v>
      </c>
      <c r="K18547" s="3">
        <v>0</v>
      </c>
      <c r="L18547" s="3">
        <v>0</v>
      </c>
      <c r="M18547" s="3">
        <v>31</v>
      </c>
      <c r="N18547" s="3">
        <v>0</v>
      </c>
      <c r="O18547" s="3" t="s">
        <v>10</v>
      </c>
      <c r="P18547" s="3" t="s">
        <v>9</v>
      </c>
      <c r="Q18547" s="3"/>
    </row>
    <row r="18548" spans="1:17" ht="15" x14ac:dyDescent="0.25">
      <c r="A18548" s="3">
        <f>18541</f>
        <v>18541</v>
      </c>
      <c r="B18548" s="3" t="s">
        <v>18550</v>
      </c>
      <c r="C18548" s="3" t="s">
        <v>9</v>
      </c>
      <c r="D18548" s="3" t="s">
        <v>10</v>
      </c>
      <c r="E18548" s="3">
        <v>0</v>
      </c>
      <c r="F18548" s="3">
        <v>0</v>
      </c>
      <c r="G18548" s="3">
        <v>0</v>
      </c>
      <c r="H18548" s="3">
        <v>31</v>
      </c>
      <c r="I18548" s="3">
        <v>0</v>
      </c>
      <c r="J18548" s="3">
        <v>0</v>
      </c>
      <c r="K18548" s="3">
        <v>0</v>
      </c>
      <c r="L18548" s="3">
        <v>0</v>
      </c>
      <c r="M18548" s="3">
        <v>31</v>
      </c>
      <c r="N18548" s="3">
        <v>0</v>
      </c>
      <c r="O18548" s="3" t="s">
        <v>10</v>
      </c>
      <c r="P18548" s="3" t="s">
        <v>9</v>
      </c>
      <c r="Q18548" s="3"/>
    </row>
    <row r="18549" spans="1:17" ht="15" x14ac:dyDescent="0.25">
      <c r="A18549" s="3">
        <f>18542</f>
        <v>18542</v>
      </c>
      <c r="B18549" s="3" t="s">
        <v>18551</v>
      </c>
      <c r="C18549" s="3" t="s">
        <v>9</v>
      </c>
      <c r="D18549" s="3" t="s">
        <v>10</v>
      </c>
      <c r="E18549" s="3">
        <v>0</v>
      </c>
      <c r="F18549" s="3">
        <v>0</v>
      </c>
      <c r="G18549" s="3">
        <v>0</v>
      </c>
      <c r="H18549" s="3">
        <v>31</v>
      </c>
      <c r="I18549" s="3">
        <v>0</v>
      </c>
      <c r="J18549" s="3">
        <v>0</v>
      </c>
      <c r="K18549" s="3">
        <v>0</v>
      </c>
      <c r="L18549" s="3">
        <v>0</v>
      </c>
      <c r="M18549" s="3">
        <v>31</v>
      </c>
      <c r="N18549" s="3">
        <v>0</v>
      </c>
      <c r="O18549" s="3" t="s">
        <v>10</v>
      </c>
      <c r="P18549" s="3" t="s">
        <v>9</v>
      </c>
      <c r="Q18549" s="3"/>
    </row>
    <row r="18550" spans="1:17" ht="15" x14ac:dyDescent="0.25">
      <c r="A18550" s="3">
        <f>18543</f>
        <v>18543</v>
      </c>
      <c r="B18550" s="3" t="s">
        <v>18552</v>
      </c>
      <c r="C18550" s="3" t="s">
        <v>9</v>
      </c>
      <c r="D18550" s="3" t="s">
        <v>10</v>
      </c>
      <c r="E18550" s="3">
        <v>0</v>
      </c>
      <c r="F18550" s="3">
        <v>0</v>
      </c>
      <c r="G18550" s="3">
        <v>0</v>
      </c>
      <c r="H18550" s="3">
        <v>31</v>
      </c>
      <c r="I18550" s="3">
        <v>0</v>
      </c>
      <c r="J18550" s="3">
        <v>0</v>
      </c>
      <c r="K18550" s="3">
        <v>0</v>
      </c>
      <c r="L18550" s="3">
        <v>0</v>
      </c>
      <c r="M18550" s="3">
        <v>31</v>
      </c>
      <c r="N18550" s="3">
        <v>0</v>
      </c>
      <c r="O18550" s="3" t="s">
        <v>10</v>
      </c>
      <c r="P18550" s="3" t="s">
        <v>9</v>
      </c>
      <c r="Q18550" s="3"/>
    </row>
    <row r="18551" spans="1:17" ht="15" x14ac:dyDescent="0.25">
      <c r="A18551" s="3">
        <f>18544</f>
        <v>18544</v>
      </c>
      <c r="B18551" s="3" t="s">
        <v>18553</v>
      </c>
      <c r="C18551" s="3" t="s">
        <v>9</v>
      </c>
      <c r="D18551" s="3" t="s">
        <v>10</v>
      </c>
      <c r="E18551" s="3">
        <v>0</v>
      </c>
      <c r="F18551" s="3">
        <v>0</v>
      </c>
      <c r="G18551" s="3">
        <v>0</v>
      </c>
      <c r="H18551" s="3">
        <v>31</v>
      </c>
      <c r="I18551" s="3">
        <v>0</v>
      </c>
      <c r="J18551" s="3">
        <v>0</v>
      </c>
      <c r="K18551" s="3">
        <v>0</v>
      </c>
      <c r="L18551" s="3">
        <v>0</v>
      </c>
      <c r="M18551" s="3">
        <v>31</v>
      </c>
      <c r="N18551" s="3">
        <v>0</v>
      </c>
      <c r="O18551" s="3" t="s">
        <v>10</v>
      </c>
      <c r="P18551" s="3" t="s">
        <v>9</v>
      </c>
      <c r="Q18551" s="3"/>
    </row>
    <row r="18552" spans="1:17" ht="15" x14ac:dyDescent="0.25">
      <c r="A18552" s="3">
        <f>18545</f>
        <v>18545</v>
      </c>
      <c r="B18552" s="3" t="s">
        <v>18554</v>
      </c>
      <c r="C18552" s="3" t="s">
        <v>9</v>
      </c>
      <c r="D18552" s="3" t="s">
        <v>10</v>
      </c>
      <c r="E18552" s="3">
        <v>0</v>
      </c>
      <c r="F18552" s="3">
        <v>0</v>
      </c>
      <c r="G18552" s="3">
        <v>0</v>
      </c>
      <c r="H18552" s="3">
        <v>31</v>
      </c>
      <c r="I18552" s="3">
        <v>0</v>
      </c>
      <c r="J18552" s="3">
        <v>0</v>
      </c>
      <c r="K18552" s="3">
        <v>0</v>
      </c>
      <c r="L18552" s="3">
        <v>0</v>
      </c>
      <c r="M18552" s="3">
        <v>31</v>
      </c>
      <c r="N18552" s="3">
        <v>0</v>
      </c>
      <c r="O18552" s="3" t="s">
        <v>10</v>
      </c>
      <c r="P18552" s="3" t="s">
        <v>9</v>
      </c>
      <c r="Q18552" s="3"/>
    </row>
    <row r="18553" spans="1:17" ht="15" x14ac:dyDescent="0.25">
      <c r="A18553" s="3">
        <f>18546</f>
        <v>18546</v>
      </c>
      <c r="B18553" s="3" t="s">
        <v>18555</v>
      </c>
      <c r="C18553" s="3" t="s">
        <v>9</v>
      </c>
      <c r="D18553" s="3" t="s">
        <v>10</v>
      </c>
      <c r="E18553" s="3">
        <v>0</v>
      </c>
      <c r="F18553" s="3">
        <v>0</v>
      </c>
      <c r="G18553" s="3">
        <v>0</v>
      </c>
      <c r="H18553" s="3">
        <v>31</v>
      </c>
      <c r="I18553" s="3">
        <v>0</v>
      </c>
      <c r="J18553" s="3">
        <v>0</v>
      </c>
      <c r="K18553" s="3">
        <v>0</v>
      </c>
      <c r="L18553" s="3">
        <v>0</v>
      </c>
      <c r="M18553" s="3">
        <v>31</v>
      </c>
      <c r="N18553" s="3">
        <v>0</v>
      </c>
      <c r="O18553" s="3" t="s">
        <v>10</v>
      </c>
      <c r="P18553" s="3" t="s">
        <v>9</v>
      </c>
      <c r="Q18553" s="3"/>
    </row>
    <row r="18554" spans="1:17" ht="15" x14ac:dyDescent="0.25">
      <c r="A18554" s="3">
        <f>18547</f>
        <v>18547</v>
      </c>
      <c r="B18554" s="3" t="s">
        <v>18556</v>
      </c>
      <c r="C18554" s="3" t="s">
        <v>9</v>
      </c>
      <c r="D18554" s="3" t="s">
        <v>10</v>
      </c>
      <c r="E18554" s="3">
        <v>0</v>
      </c>
      <c r="F18554" s="3">
        <v>0</v>
      </c>
      <c r="G18554" s="3">
        <v>0</v>
      </c>
      <c r="H18554" s="3">
        <v>31</v>
      </c>
      <c r="I18554" s="3">
        <v>0</v>
      </c>
      <c r="J18554" s="3">
        <v>0</v>
      </c>
      <c r="K18554" s="3">
        <v>0</v>
      </c>
      <c r="L18554" s="3">
        <v>0</v>
      </c>
      <c r="M18554" s="3">
        <v>31</v>
      </c>
      <c r="N18554" s="3">
        <v>0</v>
      </c>
      <c r="O18554" s="3" t="s">
        <v>10</v>
      </c>
      <c r="P18554" s="3" t="s">
        <v>9</v>
      </c>
      <c r="Q18554" s="3"/>
    </row>
    <row r="18555" spans="1:17" ht="15" x14ac:dyDescent="0.25">
      <c r="A18555" s="3">
        <f>18548</f>
        <v>18548</v>
      </c>
      <c r="B18555" s="3" t="s">
        <v>18557</v>
      </c>
      <c r="C18555" s="3" t="s">
        <v>9</v>
      </c>
      <c r="D18555" s="3" t="s">
        <v>10</v>
      </c>
      <c r="E18555" s="3">
        <v>0</v>
      </c>
      <c r="F18555" s="3">
        <v>0</v>
      </c>
      <c r="G18555" s="3">
        <v>0</v>
      </c>
      <c r="H18555" s="3">
        <v>31</v>
      </c>
      <c r="I18555" s="3">
        <v>0</v>
      </c>
      <c r="J18555" s="3">
        <v>0</v>
      </c>
      <c r="K18555" s="3">
        <v>0</v>
      </c>
      <c r="L18555" s="3">
        <v>0</v>
      </c>
      <c r="M18555" s="3">
        <v>31</v>
      </c>
      <c r="N18555" s="3">
        <v>0</v>
      </c>
      <c r="O18555" s="3" t="s">
        <v>10</v>
      </c>
      <c r="P18555" s="3" t="s">
        <v>9</v>
      </c>
      <c r="Q18555" s="3"/>
    </row>
    <row r="18556" spans="1:17" ht="15" x14ac:dyDescent="0.25">
      <c r="A18556" s="3">
        <f>18549</f>
        <v>18549</v>
      </c>
      <c r="B18556" s="3" t="s">
        <v>18558</v>
      </c>
      <c r="C18556" s="3" t="s">
        <v>9</v>
      </c>
      <c r="D18556" s="3" t="s">
        <v>10</v>
      </c>
      <c r="E18556" s="3">
        <v>0</v>
      </c>
      <c r="F18556" s="3">
        <v>0</v>
      </c>
      <c r="G18556" s="3">
        <v>0</v>
      </c>
      <c r="H18556" s="3">
        <v>31</v>
      </c>
      <c r="I18556" s="3">
        <v>0</v>
      </c>
      <c r="J18556" s="3">
        <v>0</v>
      </c>
      <c r="K18556" s="3">
        <v>0</v>
      </c>
      <c r="L18556" s="3">
        <v>0</v>
      </c>
      <c r="M18556" s="3">
        <v>31</v>
      </c>
      <c r="N18556" s="3">
        <v>0</v>
      </c>
      <c r="O18556" s="3" t="s">
        <v>10</v>
      </c>
      <c r="P18556" s="3" t="s">
        <v>9</v>
      </c>
      <c r="Q18556" s="3"/>
    </row>
    <row r="18557" spans="1:17" ht="15" x14ac:dyDescent="0.25">
      <c r="A18557" s="3">
        <f>18550</f>
        <v>18550</v>
      </c>
      <c r="B18557" s="3" t="s">
        <v>18559</v>
      </c>
      <c r="C18557" s="3" t="s">
        <v>9</v>
      </c>
      <c r="D18557" s="3" t="s">
        <v>10</v>
      </c>
      <c r="E18557" s="3">
        <v>0</v>
      </c>
      <c r="F18557" s="3">
        <v>0</v>
      </c>
      <c r="G18557" s="3">
        <v>0</v>
      </c>
      <c r="H18557" s="3">
        <v>31</v>
      </c>
      <c r="I18557" s="3">
        <v>0</v>
      </c>
      <c r="J18557" s="3">
        <v>0</v>
      </c>
      <c r="K18557" s="3">
        <v>0</v>
      </c>
      <c r="L18557" s="3">
        <v>0</v>
      </c>
      <c r="M18557" s="3">
        <v>31</v>
      </c>
      <c r="N18557" s="3">
        <v>0</v>
      </c>
      <c r="O18557" s="3" t="s">
        <v>10</v>
      </c>
      <c r="P18557" s="3" t="s">
        <v>9</v>
      </c>
      <c r="Q18557" s="3"/>
    </row>
    <row r="18558" spans="1:17" ht="15" x14ac:dyDescent="0.25">
      <c r="A18558" s="3">
        <f>18551</f>
        <v>18551</v>
      </c>
      <c r="B18558" s="3" t="s">
        <v>18560</v>
      </c>
      <c r="C18558" s="3" t="s">
        <v>9</v>
      </c>
      <c r="D18558" s="3" t="s">
        <v>10</v>
      </c>
      <c r="E18558" s="3">
        <v>0</v>
      </c>
      <c r="F18558" s="3">
        <v>0</v>
      </c>
      <c r="G18558" s="3">
        <v>0</v>
      </c>
      <c r="H18558" s="3">
        <v>31</v>
      </c>
      <c r="I18558" s="3">
        <v>0</v>
      </c>
      <c r="J18558" s="3">
        <v>0</v>
      </c>
      <c r="K18558" s="3">
        <v>0</v>
      </c>
      <c r="L18558" s="3">
        <v>0</v>
      </c>
      <c r="M18558" s="3">
        <v>31</v>
      </c>
      <c r="N18558" s="3">
        <v>0</v>
      </c>
      <c r="O18558" s="3" t="s">
        <v>10</v>
      </c>
      <c r="P18558" s="3" t="s">
        <v>9</v>
      </c>
      <c r="Q18558" s="3"/>
    </row>
    <row r="18559" spans="1:17" ht="15" x14ac:dyDescent="0.25">
      <c r="A18559" s="3">
        <f>18552</f>
        <v>18552</v>
      </c>
      <c r="B18559" s="3" t="s">
        <v>18561</v>
      </c>
      <c r="C18559" s="3" t="s">
        <v>9</v>
      </c>
      <c r="D18559" s="3" t="s">
        <v>10</v>
      </c>
      <c r="E18559" s="3">
        <v>0</v>
      </c>
      <c r="F18559" s="3">
        <v>0</v>
      </c>
      <c r="G18559" s="3">
        <v>0</v>
      </c>
      <c r="H18559" s="3">
        <v>31</v>
      </c>
      <c r="I18559" s="3">
        <v>0</v>
      </c>
      <c r="J18559" s="3">
        <v>0</v>
      </c>
      <c r="K18559" s="3">
        <v>0</v>
      </c>
      <c r="L18559" s="3">
        <v>0</v>
      </c>
      <c r="M18559" s="3">
        <v>31</v>
      </c>
      <c r="N18559" s="3">
        <v>0</v>
      </c>
      <c r="O18559" s="3" t="s">
        <v>10</v>
      </c>
      <c r="P18559" s="3" t="s">
        <v>9</v>
      </c>
      <c r="Q18559" s="3"/>
    </row>
    <row r="18560" spans="1:17" ht="15" x14ac:dyDescent="0.25">
      <c r="A18560" s="3">
        <f>18553</f>
        <v>18553</v>
      </c>
      <c r="B18560" s="3" t="s">
        <v>18562</v>
      </c>
      <c r="C18560" s="3" t="s">
        <v>9</v>
      </c>
      <c r="D18560" s="3" t="s">
        <v>10</v>
      </c>
      <c r="E18560" s="3">
        <v>0</v>
      </c>
      <c r="F18560" s="3">
        <v>0</v>
      </c>
      <c r="G18560" s="3">
        <v>0</v>
      </c>
      <c r="H18560" s="3">
        <v>31</v>
      </c>
      <c r="I18560" s="3">
        <v>0</v>
      </c>
      <c r="J18560" s="3">
        <v>0</v>
      </c>
      <c r="K18560" s="3">
        <v>0</v>
      </c>
      <c r="L18560" s="3">
        <v>0</v>
      </c>
      <c r="M18560" s="3">
        <v>31</v>
      </c>
      <c r="N18560" s="3">
        <v>0</v>
      </c>
      <c r="O18560" s="3" t="s">
        <v>10</v>
      </c>
      <c r="P18560" s="3" t="s">
        <v>9</v>
      </c>
      <c r="Q18560" s="3"/>
    </row>
    <row r="18561" spans="1:17" ht="15" x14ac:dyDescent="0.25">
      <c r="A18561" s="3">
        <f>18554</f>
        <v>18554</v>
      </c>
      <c r="B18561" s="3" t="s">
        <v>18563</v>
      </c>
      <c r="C18561" s="3" t="s">
        <v>9</v>
      </c>
      <c r="D18561" s="3" t="s">
        <v>10</v>
      </c>
      <c r="E18561" s="3">
        <v>0</v>
      </c>
      <c r="F18561" s="3">
        <v>0</v>
      </c>
      <c r="G18561" s="3">
        <v>0</v>
      </c>
      <c r="H18561" s="3">
        <v>31</v>
      </c>
      <c r="I18561" s="3">
        <v>0</v>
      </c>
      <c r="J18561" s="3">
        <v>0</v>
      </c>
      <c r="K18561" s="3">
        <v>0</v>
      </c>
      <c r="L18561" s="3">
        <v>0</v>
      </c>
      <c r="M18561" s="3">
        <v>31</v>
      </c>
      <c r="N18561" s="3">
        <v>0</v>
      </c>
      <c r="O18561" s="3" t="s">
        <v>10</v>
      </c>
      <c r="P18561" s="3" t="s">
        <v>9</v>
      </c>
      <c r="Q18561" s="3"/>
    </row>
    <row r="18562" spans="1:17" ht="15" x14ac:dyDescent="0.25">
      <c r="A18562" s="3">
        <f>18555</f>
        <v>18555</v>
      </c>
      <c r="B18562" s="3" t="s">
        <v>18564</v>
      </c>
      <c r="C18562" s="3" t="s">
        <v>9</v>
      </c>
      <c r="D18562" s="3" t="s">
        <v>10</v>
      </c>
      <c r="E18562" s="3">
        <v>0</v>
      </c>
      <c r="F18562" s="3">
        <v>0</v>
      </c>
      <c r="G18562" s="3">
        <v>0</v>
      </c>
      <c r="H18562" s="3">
        <v>31</v>
      </c>
      <c r="I18562" s="3">
        <v>0</v>
      </c>
      <c r="J18562" s="3">
        <v>0</v>
      </c>
      <c r="K18562" s="3">
        <v>0</v>
      </c>
      <c r="L18562" s="3">
        <v>0</v>
      </c>
      <c r="M18562" s="3">
        <v>31</v>
      </c>
      <c r="N18562" s="3">
        <v>0</v>
      </c>
      <c r="O18562" s="3" t="s">
        <v>10</v>
      </c>
      <c r="P18562" s="3" t="s">
        <v>9</v>
      </c>
      <c r="Q18562" s="3"/>
    </row>
    <row r="18563" spans="1:17" ht="15" x14ac:dyDescent="0.25">
      <c r="A18563" s="3">
        <f>18556</f>
        <v>18556</v>
      </c>
      <c r="B18563" s="3" t="s">
        <v>18565</v>
      </c>
      <c r="C18563" s="3" t="s">
        <v>9</v>
      </c>
      <c r="D18563" s="3" t="s">
        <v>10</v>
      </c>
      <c r="E18563" s="3">
        <v>0</v>
      </c>
      <c r="F18563" s="3">
        <v>0</v>
      </c>
      <c r="G18563" s="3">
        <v>0</v>
      </c>
      <c r="H18563" s="3">
        <v>31</v>
      </c>
      <c r="I18563" s="3">
        <v>0</v>
      </c>
      <c r="J18563" s="3">
        <v>0</v>
      </c>
      <c r="K18563" s="3">
        <v>0</v>
      </c>
      <c r="L18563" s="3">
        <v>0</v>
      </c>
      <c r="M18563" s="3">
        <v>31</v>
      </c>
      <c r="N18563" s="3">
        <v>0</v>
      </c>
      <c r="O18563" s="3" t="s">
        <v>10</v>
      </c>
      <c r="P18563" s="3" t="s">
        <v>9</v>
      </c>
      <c r="Q18563" s="3"/>
    </row>
    <row r="18564" spans="1:17" ht="15" x14ac:dyDescent="0.25">
      <c r="A18564" s="3">
        <f>18557</f>
        <v>18557</v>
      </c>
      <c r="B18564" s="3" t="s">
        <v>18566</v>
      </c>
      <c r="C18564" s="3" t="s">
        <v>9</v>
      </c>
      <c r="D18564" s="3" t="s">
        <v>10</v>
      </c>
      <c r="E18564" s="3">
        <v>0</v>
      </c>
      <c r="F18564" s="3">
        <v>0</v>
      </c>
      <c r="G18564" s="3">
        <v>0</v>
      </c>
      <c r="H18564" s="3">
        <v>31</v>
      </c>
      <c r="I18564" s="3">
        <v>0</v>
      </c>
      <c r="J18564" s="3">
        <v>0</v>
      </c>
      <c r="K18564" s="3">
        <v>0</v>
      </c>
      <c r="L18564" s="3">
        <v>0</v>
      </c>
      <c r="M18564" s="3">
        <v>31</v>
      </c>
      <c r="N18564" s="3">
        <v>0</v>
      </c>
      <c r="O18564" s="3" t="s">
        <v>10</v>
      </c>
      <c r="P18564" s="3" t="s">
        <v>9</v>
      </c>
      <c r="Q18564" s="3"/>
    </row>
    <row r="18565" spans="1:17" ht="15" x14ac:dyDescent="0.25">
      <c r="A18565" s="3">
        <f>18558</f>
        <v>18558</v>
      </c>
      <c r="B18565" s="3" t="s">
        <v>18567</v>
      </c>
      <c r="C18565" s="3" t="s">
        <v>9</v>
      </c>
      <c r="D18565" s="3" t="s">
        <v>10</v>
      </c>
      <c r="E18565" s="3">
        <v>0</v>
      </c>
      <c r="F18565" s="3">
        <v>0</v>
      </c>
      <c r="G18565" s="3">
        <v>0</v>
      </c>
      <c r="H18565" s="3">
        <v>31</v>
      </c>
      <c r="I18565" s="3">
        <v>0</v>
      </c>
      <c r="J18565" s="3">
        <v>0</v>
      </c>
      <c r="K18565" s="3">
        <v>0</v>
      </c>
      <c r="L18565" s="3">
        <v>0</v>
      </c>
      <c r="M18565" s="3">
        <v>31</v>
      </c>
      <c r="N18565" s="3">
        <v>0</v>
      </c>
      <c r="O18565" s="3" t="s">
        <v>10</v>
      </c>
      <c r="P18565" s="3" t="s">
        <v>9</v>
      </c>
      <c r="Q18565" s="3"/>
    </row>
    <row r="18566" spans="1:17" ht="15" x14ac:dyDescent="0.25">
      <c r="A18566" s="3">
        <f>18559</f>
        <v>18559</v>
      </c>
      <c r="B18566" s="3" t="s">
        <v>18568</v>
      </c>
      <c r="C18566" s="3" t="s">
        <v>9</v>
      </c>
      <c r="D18566" s="3" t="s">
        <v>10</v>
      </c>
      <c r="E18566" s="3">
        <v>0</v>
      </c>
      <c r="F18566" s="3">
        <v>0</v>
      </c>
      <c r="G18566" s="3">
        <v>0</v>
      </c>
      <c r="H18566" s="3">
        <v>31</v>
      </c>
      <c r="I18566" s="3">
        <v>0</v>
      </c>
      <c r="J18566" s="3">
        <v>0</v>
      </c>
      <c r="K18566" s="3">
        <v>0</v>
      </c>
      <c r="L18566" s="3">
        <v>0</v>
      </c>
      <c r="M18566" s="3">
        <v>31</v>
      </c>
      <c r="N18566" s="3">
        <v>0</v>
      </c>
      <c r="O18566" s="3" t="s">
        <v>10</v>
      </c>
      <c r="P18566" s="3" t="s">
        <v>9</v>
      </c>
      <c r="Q18566" s="3"/>
    </row>
    <row r="18567" spans="1:17" ht="15" x14ac:dyDescent="0.25">
      <c r="A18567" s="3">
        <f>18560</f>
        <v>18560</v>
      </c>
      <c r="B18567" s="3" t="s">
        <v>18569</v>
      </c>
      <c r="C18567" s="3" t="s">
        <v>9</v>
      </c>
      <c r="D18567" s="3" t="s">
        <v>10</v>
      </c>
      <c r="E18567" s="3">
        <v>0</v>
      </c>
      <c r="F18567" s="3">
        <v>0</v>
      </c>
      <c r="G18567" s="3">
        <v>0</v>
      </c>
      <c r="H18567" s="3">
        <v>31</v>
      </c>
      <c r="I18567" s="3">
        <v>0</v>
      </c>
      <c r="J18567" s="3">
        <v>0</v>
      </c>
      <c r="K18567" s="3">
        <v>0</v>
      </c>
      <c r="L18567" s="3">
        <v>0</v>
      </c>
      <c r="M18567" s="3">
        <v>31</v>
      </c>
      <c r="N18567" s="3">
        <v>0</v>
      </c>
      <c r="O18567" s="3" t="s">
        <v>10</v>
      </c>
      <c r="P18567" s="3" t="s">
        <v>9</v>
      </c>
      <c r="Q18567" s="3"/>
    </row>
    <row r="18568" spans="1:17" ht="15" x14ac:dyDescent="0.25">
      <c r="A18568" s="3">
        <f>18561</f>
        <v>18561</v>
      </c>
      <c r="B18568" s="3" t="s">
        <v>18570</v>
      </c>
      <c r="C18568" s="3" t="s">
        <v>9</v>
      </c>
      <c r="D18568" s="3" t="s">
        <v>10</v>
      </c>
      <c r="E18568" s="3">
        <v>0</v>
      </c>
      <c r="F18568" s="3">
        <v>0</v>
      </c>
      <c r="G18568" s="3">
        <v>0</v>
      </c>
      <c r="H18568" s="3">
        <v>31</v>
      </c>
      <c r="I18568" s="3">
        <v>0</v>
      </c>
      <c r="J18568" s="3">
        <v>0</v>
      </c>
      <c r="K18568" s="3">
        <v>0</v>
      </c>
      <c r="L18568" s="3">
        <v>0</v>
      </c>
      <c r="M18568" s="3">
        <v>31</v>
      </c>
      <c r="N18568" s="3">
        <v>0</v>
      </c>
      <c r="O18568" s="3" t="s">
        <v>10</v>
      </c>
      <c r="P18568" s="3" t="s">
        <v>9</v>
      </c>
      <c r="Q18568" s="3"/>
    </row>
    <row r="18569" spans="1:17" ht="15" x14ac:dyDescent="0.25">
      <c r="A18569" s="3">
        <f>18562</f>
        <v>18562</v>
      </c>
      <c r="B18569" s="3" t="s">
        <v>18571</v>
      </c>
      <c r="C18569" s="3" t="s">
        <v>9</v>
      </c>
      <c r="D18569" s="3" t="s">
        <v>10</v>
      </c>
      <c r="E18569" s="3">
        <v>0</v>
      </c>
      <c r="F18569" s="3">
        <v>0</v>
      </c>
      <c r="G18569" s="3">
        <v>0</v>
      </c>
      <c r="H18569" s="3">
        <v>31</v>
      </c>
      <c r="I18569" s="3">
        <v>0</v>
      </c>
      <c r="J18569" s="3">
        <v>0</v>
      </c>
      <c r="K18569" s="3">
        <v>0</v>
      </c>
      <c r="L18569" s="3">
        <v>0</v>
      </c>
      <c r="M18569" s="3">
        <v>31</v>
      </c>
      <c r="N18569" s="3">
        <v>0</v>
      </c>
      <c r="O18569" s="3" t="s">
        <v>10</v>
      </c>
      <c r="P18569" s="3" t="s">
        <v>9</v>
      </c>
      <c r="Q18569" s="3"/>
    </row>
    <row r="18570" spans="1:17" ht="15" x14ac:dyDescent="0.25">
      <c r="A18570" s="3">
        <f>18563</f>
        <v>18563</v>
      </c>
      <c r="B18570" s="3" t="s">
        <v>18572</v>
      </c>
      <c r="C18570" s="3" t="s">
        <v>9</v>
      </c>
      <c r="D18570" s="3" t="s">
        <v>10</v>
      </c>
      <c r="E18570" s="3">
        <v>0</v>
      </c>
      <c r="F18570" s="3">
        <v>0</v>
      </c>
      <c r="G18570" s="3">
        <v>0</v>
      </c>
      <c r="H18570" s="3">
        <v>31</v>
      </c>
      <c r="I18570" s="3">
        <v>0</v>
      </c>
      <c r="J18570" s="3">
        <v>0</v>
      </c>
      <c r="K18570" s="3">
        <v>0</v>
      </c>
      <c r="L18570" s="3">
        <v>0</v>
      </c>
      <c r="M18570" s="3">
        <v>31</v>
      </c>
      <c r="N18570" s="3">
        <v>0</v>
      </c>
      <c r="O18570" s="3" t="s">
        <v>10</v>
      </c>
      <c r="P18570" s="3" t="s">
        <v>9</v>
      </c>
      <c r="Q18570" s="3"/>
    </row>
    <row r="18571" spans="1:17" ht="15" x14ac:dyDescent="0.25">
      <c r="A18571" s="3">
        <f>18564</f>
        <v>18564</v>
      </c>
      <c r="B18571" s="3" t="s">
        <v>18573</v>
      </c>
      <c r="C18571" s="3" t="s">
        <v>9</v>
      </c>
      <c r="D18571" s="3" t="s">
        <v>10</v>
      </c>
      <c r="E18571" s="3">
        <v>0</v>
      </c>
      <c r="F18571" s="3">
        <v>0</v>
      </c>
      <c r="G18571" s="3">
        <v>0</v>
      </c>
      <c r="H18571" s="3">
        <v>31</v>
      </c>
      <c r="I18571" s="3">
        <v>0</v>
      </c>
      <c r="J18571" s="3">
        <v>0</v>
      </c>
      <c r="K18571" s="3">
        <v>0</v>
      </c>
      <c r="L18571" s="3">
        <v>0</v>
      </c>
      <c r="M18571" s="3">
        <v>31</v>
      </c>
      <c r="N18571" s="3">
        <v>0</v>
      </c>
      <c r="O18571" s="3" t="s">
        <v>10</v>
      </c>
      <c r="P18571" s="3" t="s">
        <v>9</v>
      </c>
      <c r="Q18571" s="3"/>
    </row>
    <row r="18572" spans="1:17" ht="15" x14ac:dyDescent="0.25">
      <c r="A18572" s="3">
        <f>18565</f>
        <v>18565</v>
      </c>
      <c r="B18572" s="3" t="s">
        <v>18574</v>
      </c>
      <c r="C18572" s="3" t="s">
        <v>9</v>
      </c>
      <c r="D18572" s="3" t="s">
        <v>10</v>
      </c>
      <c r="E18572" s="3">
        <v>0</v>
      </c>
      <c r="F18572" s="3">
        <v>0</v>
      </c>
      <c r="G18572" s="3">
        <v>0</v>
      </c>
      <c r="H18572" s="3">
        <v>31</v>
      </c>
      <c r="I18572" s="3">
        <v>0</v>
      </c>
      <c r="J18572" s="3">
        <v>0</v>
      </c>
      <c r="K18572" s="3">
        <v>0</v>
      </c>
      <c r="L18572" s="3">
        <v>0</v>
      </c>
      <c r="M18572" s="3">
        <v>31</v>
      </c>
      <c r="N18572" s="3">
        <v>0</v>
      </c>
      <c r="O18572" s="3" t="s">
        <v>10</v>
      </c>
      <c r="P18572" s="3" t="s">
        <v>9</v>
      </c>
      <c r="Q18572" s="3"/>
    </row>
    <row r="18573" spans="1:17" ht="15" x14ac:dyDescent="0.25">
      <c r="A18573" s="3">
        <f>18566</f>
        <v>18566</v>
      </c>
      <c r="B18573" s="3" t="s">
        <v>18575</v>
      </c>
      <c r="C18573" s="3" t="s">
        <v>9</v>
      </c>
      <c r="D18573" s="3" t="s">
        <v>10</v>
      </c>
      <c r="E18573" s="3">
        <v>0</v>
      </c>
      <c r="F18573" s="3">
        <v>0</v>
      </c>
      <c r="G18573" s="3">
        <v>0</v>
      </c>
      <c r="H18573" s="3">
        <v>31</v>
      </c>
      <c r="I18573" s="3">
        <v>0</v>
      </c>
      <c r="J18573" s="3">
        <v>0</v>
      </c>
      <c r="K18573" s="3">
        <v>0</v>
      </c>
      <c r="L18573" s="3">
        <v>0</v>
      </c>
      <c r="M18573" s="3">
        <v>31</v>
      </c>
      <c r="N18573" s="3">
        <v>0</v>
      </c>
      <c r="O18573" s="3" t="s">
        <v>10</v>
      </c>
      <c r="P18573" s="3" t="s">
        <v>9</v>
      </c>
      <c r="Q18573" s="3"/>
    </row>
    <row r="18574" spans="1:17" ht="15" x14ac:dyDescent="0.25">
      <c r="A18574" s="3">
        <f>18567</f>
        <v>18567</v>
      </c>
      <c r="B18574" s="3" t="s">
        <v>18576</v>
      </c>
      <c r="C18574" s="3" t="s">
        <v>9</v>
      </c>
      <c r="D18574" s="3" t="s">
        <v>10</v>
      </c>
      <c r="E18574" s="3">
        <v>0</v>
      </c>
      <c r="F18574" s="3">
        <v>0</v>
      </c>
      <c r="G18574" s="3">
        <v>0</v>
      </c>
      <c r="H18574" s="3">
        <v>31</v>
      </c>
      <c r="I18574" s="3">
        <v>0</v>
      </c>
      <c r="J18574" s="3">
        <v>0</v>
      </c>
      <c r="K18574" s="3">
        <v>0</v>
      </c>
      <c r="L18574" s="3">
        <v>0</v>
      </c>
      <c r="M18574" s="3">
        <v>31</v>
      </c>
      <c r="N18574" s="3">
        <v>0</v>
      </c>
      <c r="O18574" s="3" t="s">
        <v>10</v>
      </c>
      <c r="P18574" s="3" t="s">
        <v>9</v>
      </c>
      <c r="Q18574" s="3"/>
    </row>
    <row r="18575" spans="1:17" ht="15" x14ac:dyDescent="0.25">
      <c r="A18575" s="3">
        <f>18568</f>
        <v>18568</v>
      </c>
      <c r="B18575" s="3" t="s">
        <v>18577</v>
      </c>
      <c r="C18575" s="3" t="s">
        <v>9</v>
      </c>
      <c r="D18575" s="3" t="s">
        <v>10</v>
      </c>
      <c r="E18575" s="3">
        <v>0</v>
      </c>
      <c r="F18575" s="3">
        <v>0</v>
      </c>
      <c r="G18575" s="3">
        <v>0</v>
      </c>
      <c r="H18575" s="3">
        <v>31</v>
      </c>
      <c r="I18575" s="3">
        <v>0</v>
      </c>
      <c r="J18575" s="3">
        <v>0</v>
      </c>
      <c r="K18575" s="3">
        <v>0</v>
      </c>
      <c r="L18575" s="3">
        <v>0</v>
      </c>
      <c r="M18575" s="3">
        <v>31</v>
      </c>
      <c r="N18575" s="3">
        <v>0</v>
      </c>
      <c r="O18575" s="3" t="s">
        <v>10</v>
      </c>
      <c r="P18575" s="3" t="s">
        <v>9</v>
      </c>
      <c r="Q18575" s="3"/>
    </row>
    <row r="18576" spans="1:17" ht="15" x14ac:dyDescent="0.25">
      <c r="A18576" s="3">
        <f>18569</f>
        <v>18569</v>
      </c>
      <c r="B18576" s="3" t="s">
        <v>18578</v>
      </c>
      <c r="C18576" s="3" t="s">
        <v>9</v>
      </c>
      <c r="D18576" s="3" t="s">
        <v>10</v>
      </c>
      <c r="E18576" s="3">
        <v>0</v>
      </c>
      <c r="F18576" s="3">
        <v>0</v>
      </c>
      <c r="G18576" s="3">
        <v>0</v>
      </c>
      <c r="H18576" s="3">
        <v>31</v>
      </c>
      <c r="I18576" s="3">
        <v>0</v>
      </c>
      <c r="J18576" s="3">
        <v>0</v>
      </c>
      <c r="K18576" s="3">
        <v>0</v>
      </c>
      <c r="L18576" s="3">
        <v>0</v>
      </c>
      <c r="M18576" s="3">
        <v>31</v>
      </c>
      <c r="N18576" s="3">
        <v>0</v>
      </c>
      <c r="O18576" s="3" t="s">
        <v>10</v>
      </c>
      <c r="P18576" s="3" t="s">
        <v>9</v>
      </c>
      <c r="Q18576" s="3"/>
    </row>
    <row r="18577" spans="1:17" ht="15" x14ac:dyDescent="0.25">
      <c r="A18577" s="3">
        <f>18570</f>
        <v>18570</v>
      </c>
      <c r="B18577" s="3" t="s">
        <v>18579</v>
      </c>
      <c r="C18577" s="3" t="s">
        <v>9</v>
      </c>
      <c r="D18577" s="3" t="s">
        <v>10</v>
      </c>
      <c r="E18577" s="3">
        <v>0</v>
      </c>
      <c r="F18577" s="3">
        <v>0</v>
      </c>
      <c r="G18577" s="3">
        <v>0</v>
      </c>
      <c r="H18577" s="3">
        <v>31</v>
      </c>
      <c r="I18577" s="3">
        <v>0</v>
      </c>
      <c r="J18577" s="3">
        <v>0</v>
      </c>
      <c r="K18577" s="3">
        <v>0</v>
      </c>
      <c r="L18577" s="3">
        <v>0</v>
      </c>
      <c r="M18577" s="3">
        <v>31</v>
      </c>
      <c r="N18577" s="3">
        <v>0</v>
      </c>
      <c r="O18577" s="3" t="s">
        <v>10</v>
      </c>
      <c r="P18577" s="3" t="s">
        <v>9</v>
      </c>
      <c r="Q18577" s="3"/>
    </row>
    <row r="18578" spans="1:17" ht="15" x14ac:dyDescent="0.25">
      <c r="A18578" s="3">
        <f>18571</f>
        <v>18571</v>
      </c>
      <c r="B18578" s="3" t="s">
        <v>18580</v>
      </c>
      <c r="C18578" s="3" t="s">
        <v>9</v>
      </c>
      <c r="D18578" s="3" t="s">
        <v>10</v>
      </c>
      <c r="E18578" s="3">
        <v>0</v>
      </c>
      <c r="F18578" s="3">
        <v>0</v>
      </c>
      <c r="G18578" s="3">
        <v>0</v>
      </c>
      <c r="H18578" s="3">
        <v>31</v>
      </c>
      <c r="I18578" s="3">
        <v>0</v>
      </c>
      <c r="J18578" s="3">
        <v>0</v>
      </c>
      <c r="K18578" s="3">
        <v>0</v>
      </c>
      <c r="L18578" s="3">
        <v>0</v>
      </c>
      <c r="M18578" s="3">
        <v>31</v>
      </c>
      <c r="N18578" s="3">
        <v>0</v>
      </c>
      <c r="O18578" s="3" t="s">
        <v>10</v>
      </c>
      <c r="P18578" s="3" t="s">
        <v>9</v>
      </c>
      <c r="Q18578" s="3"/>
    </row>
    <row r="18579" spans="1:17" ht="15" x14ac:dyDescent="0.25">
      <c r="A18579" s="3">
        <f>18572</f>
        <v>18572</v>
      </c>
      <c r="B18579" s="3" t="s">
        <v>18581</v>
      </c>
      <c r="C18579" s="3" t="s">
        <v>9</v>
      </c>
      <c r="D18579" s="3" t="s">
        <v>10</v>
      </c>
      <c r="E18579" s="3">
        <v>0</v>
      </c>
      <c r="F18579" s="3">
        <v>0</v>
      </c>
      <c r="G18579" s="3">
        <v>0</v>
      </c>
      <c r="H18579" s="3">
        <v>31</v>
      </c>
      <c r="I18579" s="3">
        <v>0</v>
      </c>
      <c r="J18579" s="3">
        <v>0</v>
      </c>
      <c r="K18579" s="3">
        <v>0</v>
      </c>
      <c r="L18579" s="3">
        <v>0</v>
      </c>
      <c r="M18579" s="3">
        <v>31</v>
      </c>
      <c r="N18579" s="3">
        <v>0</v>
      </c>
      <c r="O18579" s="3" t="s">
        <v>10</v>
      </c>
      <c r="P18579" s="3" t="s">
        <v>9</v>
      </c>
      <c r="Q18579" s="3"/>
    </row>
    <row r="18580" spans="1:17" ht="15" x14ac:dyDescent="0.25">
      <c r="A18580" s="3">
        <f>18573</f>
        <v>18573</v>
      </c>
      <c r="B18580" s="3" t="s">
        <v>18582</v>
      </c>
      <c r="C18580" s="3" t="s">
        <v>9</v>
      </c>
      <c r="D18580" s="3" t="s">
        <v>10</v>
      </c>
      <c r="E18580" s="3">
        <v>0</v>
      </c>
      <c r="F18580" s="3">
        <v>0</v>
      </c>
      <c r="G18580" s="3">
        <v>0</v>
      </c>
      <c r="H18580" s="3">
        <v>31</v>
      </c>
      <c r="I18580" s="3">
        <v>0</v>
      </c>
      <c r="J18580" s="3">
        <v>0</v>
      </c>
      <c r="K18580" s="3">
        <v>0</v>
      </c>
      <c r="L18580" s="3">
        <v>0</v>
      </c>
      <c r="M18580" s="3">
        <v>31</v>
      </c>
      <c r="N18580" s="3">
        <v>0</v>
      </c>
      <c r="O18580" s="3" t="s">
        <v>10</v>
      </c>
      <c r="P18580" s="3" t="s">
        <v>9</v>
      </c>
      <c r="Q18580" s="3"/>
    </row>
    <row r="18581" spans="1:17" ht="15" x14ac:dyDescent="0.25">
      <c r="A18581" s="3">
        <f>18574</f>
        <v>18574</v>
      </c>
      <c r="B18581" s="3" t="s">
        <v>18583</v>
      </c>
      <c r="C18581" s="3" t="s">
        <v>9</v>
      </c>
      <c r="D18581" s="3" t="s">
        <v>10</v>
      </c>
      <c r="E18581" s="3">
        <v>0</v>
      </c>
      <c r="F18581" s="3">
        <v>0</v>
      </c>
      <c r="G18581" s="3">
        <v>0</v>
      </c>
      <c r="H18581" s="3">
        <v>31</v>
      </c>
      <c r="I18581" s="3">
        <v>0</v>
      </c>
      <c r="J18581" s="3">
        <v>0</v>
      </c>
      <c r="K18581" s="3">
        <v>0</v>
      </c>
      <c r="L18581" s="3">
        <v>0</v>
      </c>
      <c r="M18581" s="3">
        <v>31</v>
      </c>
      <c r="N18581" s="3">
        <v>0</v>
      </c>
      <c r="O18581" s="3" t="s">
        <v>10</v>
      </c>
      <c r="P18581" s="3" t="s">
        <v>9</v>
      </c>
      <c r="Q18581" s="3"/>
    </row>
    <row r="18582" spans="1:17" ht="15" x14ac:dyDescent="0.25">
      <c r="A18582" s="3">
        <f>18575</f>
        <v>18575</v>
      </c>
      <c r="B18582" s="3" t="s">
        <v>18584</v>
      </c>
      <c r="C18582" s="3" t="s">
        <v>9</v>
      </c>
      <c r="D18582" s="3" t="s">
        <v>10</v>
      </c>
      <c r="E18582" s="3">
        <v>0</v>
      </c>
      <c r="F18582" s="3">
        <v>0</v>
      </c>
      <c r="G18582" s="3">
        <v>0</v>
      </c>
      <c r="H18582" s="3">
        <v>31</v>
      </c>
      <c r="I18582" s="3">
        <v>0</v>
      </c>
      <c r="J18582" s="3">
        <v>0</v>
      </c>
      <c r="K18582" s="3">
        <v>0</v>
      </c>
      <c r="L18582" s="3">
        <v>0</v>
      </c>
      <c r="M18582" s="3">
        <v>31</v>
      </c>
      <c r="N18582" s="3">
        <v>0</v>
      </c>
      <c r="O18582" s="3" t="s">
        <v>10</v>
      </c>
      <c r="P18582" s="3" t="s">
        <v>9</v>
      </c>
      <c r="Q18582" s="3"/>
    </row>
    <row r="18583" spans="1:17" ht="15" x14ac:dyDescent="0.25">
      <c r="A18583" s="3">
        <f>18576</f>
        <v>18576</v>
      </c>
      <c r="B18583" s="3" t="s">
        <v>18585</v>
      </c>
      <c r="C18583" s="3" t="s">
        <v>9</v>
      </c>
      <c r="D18583" s="3" t="s">
        <v>10</v>
      </c>
      <c r="E18583" s="3">
        <v>0</v>
      </c>
      <c r="F18583" s="3">
        <v>0</v>
      </c>
      <c r="G18583" s="3">
        <v>0</v>
      </c>
      <c r="H18583" s="3">
        <v>31</v>
      </c>
      <c r="I18583" s="3">
        <v>0</v>
      </c>
      <c r="J18583" s="3">
        <v>0</v>
      </c>
      <c r="K18583" s="3">
        <v>0</v>
      </c>
      <c r="L18583" s="3">
        <v>0</v>
      </c>
      <c r="M18583" s="3">
        <v>31</v>
      </c>
      <c r="N18583" s="3">
        <v>0</v>
      </c>
      <c r="O18583" s="3" t="s">
        <v>10</v>
      </c>
      <c r="P18583" s="3" t="s">
        <v>9</v>
      </c>
      <c r="Q18583" s="3"/>
    </row>
    <row r="18584" spans="1:17" ht="15" x14ac:dyDescent="0.25">
      <c r="A18584" s="3">
        <f>18577</f>
        <v>18577</v>
      </c>
      <c r="B18584" s="3" t="s">
        <v>18586</v>
      </c>
      <c r="C18584" s="3" t="s">
        <v>9</v>
      </c>
      <c r="D18584" s="3" t="s">
        <v>10</v>
      </c>
      <c r="E18584" s="3">
        <v>0</v>
      </c>
      <c r="F18584" s="3">
        <v>0</v>
      </c>
      <c r="G18584" s="3">
        <v>0</v>
      </c>
      <c r="H18584" s="3">
        <v>31</v>
      </c>
      <c r="I18584" s="3">
        <v>0</v>
      </c>
      <c r="J18584" s="3">
        <v>0</v>
      </c>
      <c r="K18584" s="3">
        <v>0</v>
      </c>
      <c r="L18584" s="3">
        <v>0</v>
      </c>
      <c r="M18584" s="3">
        <v>31</v>
      </c>
      <c r="N18584" s="3">
        <v>0</v>
      </c>
      <c r="O18584" s="3" t="s">
        <v>10</v>
      </c>
      <c r="P18584" s="3" t="s">
        <v>9</v>
      </c>
      <c r="Q18584" s="3"/>
    </row>
    <row r="18585" spans="1:17" ht="15" x14ac:dyDescent="0.25">
      <c r="A18585" s="3">
        <f>18578</f>
        <v>18578</v>
      </c>
      <c r="B18585" s="3" t="s">
        <v>18587</v>
      </c>
      <c r="C18585" s="3" t="s">
        <v>9</v>
      </c>
      <c r="D18585" s="3" t="s">
        <v>10</v>
      </c>
      <c r="E18585" s="3">
        <v>0</v>
      </c>
      <c r="F18585" s="3">
        <v>0</v>
      </c>
      <c r="G18585" s="3">
        <v>0</v>
      </c>
      <c r="H18585" s="3">
        <v>31</v>
      </c>
      <c r="I18585" s="3">
        <v>0</v>
      </c>
      <c r="J18585" s="3">
        <v>0</v>
      </c>
      <c r="K18585" s="3">
        <v>0</v>
      </c>
      <c r="L18585" s="3">
        <v>0</v>
      </c>
      <c r="M18585" s="3">
        <v>31</v>
      </c>
      <c r="N18585" s="3">
        <v>0</v>
      </c>
      <c r="O18585" s="3" t="s">
        <v>10</v>
      </c>
      <c r="P18585" s="3" t="s">
        <v>9</v>
      </c>
      <c r="Q18585" s="3"/>
    </row>
    <row r="18586" spans="1:17" ht="15" x14ac:dyDescent="0.25">
      <c r="A18586" s="3">
        <f>18579</f>
        <v>18579</v>
      </c>
      <c r="B18586" s="3" t="s">
        <v>18588</v>
      </c>
      <c r="C18586" s="3" t="s">
        <v>9</v>
      </c>
      <c r="D18586" s="3" t="s">
        <v>10</v>
      </c>
      <c r="E18586" s="3">
        <v>0</v>
      </c>
      <c r="F18586" s="3">
        <v>0</v>
      </c>
      <c r="G18586" s="3">
        <v>0</v>
      </c>
      <c r="H18586" s="3">
        <v>31</v>
      </c>
      <c r="I18586" s="3">
        <v>0</v>
      </c>
      <c r="J18586" s="3">
        <v>0</v>
      </c>
      <c r="K18586" s="3">
        <v>0</v>
      </c>
      <c r="L18586" s="3">
        <v>0</v>
      </c>
      <c r="M18586" s="3">
        <v>31</v>
      </c>
      <c r="N18586" s="3">
        <v>0</v>
      </c>
      <c r="O18586" s="3" t="s">
        <v>10</v>
      </c>
      <c r="P18586" s="3" t="s">
        <v>9</v>
      </c>
      <c r="Q18586" s="3"/>
    </row>
    <row r="18587" spans="1:17" ht="15" x14ac:dyDescent="0.25">
      <c r="A18587" s="3">
        <f>18580</f>
        <v>18580</v>
      </c>
      <c r="B18587" s="3" t="s">
        <v>18589</v>
      </c>
      <c r="C18587" s="3" t="s">
        <v>9</v>
      </c>
      <c r="D18587" s="3" t="s">
        <v>10</v>
      </c>
      <c r="E18587" s="3">
        <v>0</v>
      </c>
      <c r="F18587" s="3">
        <v>0</v>
      </c>
      <c r="G18587" s="3">
        <v>0</v>
      </c>
      <c r="H18587" s="3">
        <v>31</v>
      </c>
      <c r="I18587" s="3">
        <v>0</v>
      </c>
      <c r="J18587" s="3">
        <v>0</v>
      </c>
      <c r="K18587" s="3">
        <v>0</v>
      </c>
      <c r="L18587" s="3">
        <v>0</v>
      </c>
      <c r="M18587" s="3">
        <v>31</v>
      </c>
      <c r="N18587" s="3">
        <v>0</v>
      </c>
      <c r="O18587" s="3" t="s">
        <v>10</v>
      </c>
      <c r="P18587" s="3" t="s">
        <v>9</v>
      </c>
      <c r="Q18587" s="3"/>
    </row>
    <row r="18588" spans="1:17" ht="15" x14ac:dyDescent="0.25">
      <c r="A18588" s="3">
        <f>18581</f>
        <v>18581</v>
      </c>
      <c r="B18588" s="3" t="s">
        <v>18590</v>
      </c>
      <c r="C18588" s="3" t="s">
        <v>9</v>
      </c>
      <c r="D18588" s="3" t="s">
        <v>10</v>
      </c>
      <c r="E18588" s="3">
        <v>0</v>
      </c>
      <c r="F18588" s="3">
        <v>0</v>
      </c>
      <c r="G18588" s="3">
        <v>0</v>
      </c>
      <c r="H18588" s="3">
        <v>31</v>
      </c>
      <c r="I18588" s="3">
        <v>0</v>
      </c>
      <c r="J18588" s="3">
        <v>0</v>
      </c>
      <c r="K18588" s="3">
        <v>0</v>
      </c>
      <c r="L18588" s="3">
        <v>0</v>
      </c>
      <c r="M18588" s="3">
        <v>31</v>
      </c>
      <c r="N18588" s="3">
        <v>0</v>
      </c>
      <c r="O18588" s="3" t="s">
        <v>10</v>
      </c>
      <c r="P18588" s="3" t="s">
        <v>9</v>
      </c>
      <c r="Q18588" s="3"/>
    </row>
    <row r="18589" spans="1:17" ht="15" x14ac:dyDescent="0.25">
      <c r="A18589" s="3">
        <f>18582</f>
        <v>18582</v>
      </c>
      <c r="B18589" s="3" t="s">
        <v>18591</v>
      </c>
      <c r="C18589" s="3" t="s">
        <v>9</v>
      </c>
      <c r="D18589" s="3" t="s">
        <v>10</v>
      </c>
      <c r="E18589" s="3">
        <v>0</v>
      </c>
      <c r="F18589" s="3">
        <v>0</v>
      </c>
      <c r="G18589" s="3">
        <v>0</v>
      </c>
      <c r="H18589" s="3">
        <v>31</v>
      </c>
      <c r="I18589" s="3">
        <v>0</v>
      </c>
      <c r="J18589" s="3">
        <v>0</v>
      </c>
      <c r="K18589" s="3">
        <v>0</v>
      </c>
      <c r="L18589" s="3">
        <v>0</v>
      </c>
      <c r="M18589" s="3">
        <v>31</v>
      </c>
      <c r="N18589" s="3">
        <v>0</v>
      </c>
      <c r="O18589" s="3" t="s">
        <v>10</v>
      </c>
      <c r="P18589" s="3" t="s">
        <v>9</v>
      </c>
      <c r="Q18589" s="3"/>
    </row>
    <row r="18590" spans="1:17" ht="15" x14ac:dyDescent="0.25">
      <c r="A18590" s="3">
        <f>18583</f>
        <v>18583</v>
      </c>
      <c r="B18590" s="3" t="s">
        <v>18592</v>
      </c>
      <c r="C18590" s="3" t="s">
        <v>9</v>
      </c>
      <c r="D18590" s="3" t="s">
        <v>10</v>
      </c>
      <c r="E18590" s="3">
        <v>0</v>
      </c>
      <c r="F18590" s="3">
        <v>0</v>
      </c>
      <c r="G18590" s="3">
        <v>0</v>
      </c>
      <c r="H18590" s="3">
        <v>31</v>
      </c>
      <c r="I18590" s="3">
        <v>0</v>
      </c>
      <c r="J18590" s="3">
        <v>0</v>
      </c>
      <c r="K18590" s="3">
        <v>0</v>
      </c>
      <c r="L18590" s="3">
        <v>0</v>
      </c>
      <c r="M18590" s="3">
        <v>31</v>
      </c>
      <c r="N18590" s="3">
        <v>0</v>
      </c>
      <c r="O18590" s="3" t="s">
        <v>10</v>
      </c>
      <c r="P18590" s="3" t="s">
        <v>9</v>
      </c>
      <c r="Q18590" s="3"/>
    </row>
    <row r="18591" spans="1:17" ht="15" x14ac:dyDescent="0.25">
      <c r="A18591" s="3">
        <f>18584</f>
        <v>18584</v>
      </c>
      <c r="B18591" s="3" t="s">
        <v>18593</v>
      </c>
      <c r="C18591" s="3" t="s">
        <v>9</v>
      </c>
      <c r="D18591" s="3" t="s">
        <v>10</v>
      </c>
      <c r="E18591" s="3">
        <v>0</v>
      </c>
      <c r="F18591" s="3">
        <v>0</v>
      </c>
      <c r="G18591" s="3">
        <v>0</v>
      </c>
      <c r="H18591" s="3">
        <v>31</v>
      </c>
      <c r="I18591" s="3">
        <v>0</v>
      </c>
      <c r="J18591" s="3">
        <v>0</v>
      </c>
      <c r="K18591" s="3">
        <v>0</v>
      </c>
      <c r="L18591" s="3">
        <v>0</v>
      </c>
      <c r="M18591" s="3">
        <v>31</v>
      </c>
      <c r="N18591" s="3">
        <v>0</v>
      </c>
      <c r="O18591" s="3" t="s">
        <v>10</v>
      </c>
      <c r="P18591" s="3" t="s">
        <v>9</v>
      </c>
      <c r="Q18591" s="3"/>
    </row>
    <row r="18592" spans="1:17" ht="15" x14ac:dyDescent="0.25">
      <c r="A18592" s="3">
        <f>18585</f>
        <v>18585</v>
      </c>
      <c r="B18592" s="3" t="s">
        <v>18594</v>
      </c>
      <c r="C18592" s="3" t="s">
        <v>9</v>
      </c>
      <c r="D18592" s="3" t="s">
        <v>10</v>
      </c>
      <c r="E18592" s="3">
        <v>0</v>
      </c>
      <c r="F18592" s="3">
        <v>0</v>
      </c>
      <c r="G18592" s="3">
        <v>0</v>
      </c>
      <c r="H18592" s="3">
        <v>31</v>
      </c>
      <c r="I18592" s="3">
        <v>0</v>
      </c>
      <c r="J18592" s="3">
        <v>0</v>
      </c>
      <c r="K18592" s="3">
        <v>0</v>
      </c>
      <c r="L18592" s="3">
        <v>0</v>
      </c>
      <c r="M18592" s="3">
        <v>31</v>
      </c>
      <c r="N18592" s="3">
        <v>0</v>
      </c>
      <c r="O18592" s="3" t="s">
        <v>10</v>
      </c>
      <c r="P18592" s="3" t="s">
        <v>9</v>
      </c>
      <c r="Q18592" s="3"/>
    </row>
    <row r="18593" spans="1:17" ht="15" x14ac:dyDescent="0.25">
      <c r="A18593" s="3">
        <f>18586</f>
        <v>18586</v>
      </c>
      <c r="B18593" s="3" t="s">
        <v>18595</v>
      </c>
      <c r="C18593" s="3" t="s">
        <v>9</v>
      </c>
      <c r="D18593" s="3" t="s">
        <v>10</v>
      </c>
      <c r="E18593" s="3">
        <v>0</v>
      </c>
      <c r="F18593" s="3">
        <v>0</v>
      </c>
      <c r="G18593" s="3">
        <v>0</v>
      </c>
      <c r="H18593" s="3">
        <v>31</v>
      </c>
      <c r="I18593" s="3">
        <v>0</v>
      </c>
      <c r="J18593" s="3">
        <v>0</v>
      </c>
      <c r="K18593" s="3">
        <v>0</v>
      </c>
      <c r="L18593" s="3">
        <v>0</v>
      </c>
      <c r="M18593" s="3">
        <v>31</v>
      </c>
      <c r="N18593" s="3">
        <v>0</v>
      </c>
      <c r="O18593" s="3" t="s">
        <v>10</v>
      </c>
      <c r="P18593" s="3" t="s">
        <v>9</v>
      </c>
      <c r="Q18593" s="3"/>
    </row>
    <row r="18594" spans="1:17" ht="15" x14ac:dyDescent="0.25">
      <c r="A18594" s="3">
        <f>18587</f>
        <v>18587</v>
      </c>
      <c r="B18594" s="3" t="s">
        <v>18596</v>
      </c>
      <c r="C18594" s="3" t="s">
        <v>9</v>
      </c>
      <c r="D18594" s="3" t="s">
        <v>10</v>
      </c>
      <c r="E18594" s="3">
        <v>0</v>
      </c>
      <c r="F18594" s="3">
        <v>0</v>
      </c>
      <c r="G18594" s="3">
        <v>0</v>
      </c>
      <c r="H18594" s="3">
        <v>31</v>
      </c>
      <c r="I18594" s="3">
        <v>0</v>
      </c>
      <c r="J18594" s="3">
        <v>0</v>
      </c>
      <c r="K18594" s="3">
        <v>0</v>
      </c>
      <c r="L18594" s="3">
        <v>0</v>
      </c>
      <c r="M18594" s="3">
        <v>31</v>
      </c>
      <c r="N18594" s="3">
        <v>0</v>
      </c>
      <c r="O18594" s="3" t="s">
        <v>10</v>
      </c>
      <c r="P18594" s="3" t="s">
        <v>9</v>
      </c>
      <c r="Q18594" s="3"/>
    </row>
    <row r="18595" spans="1:17" ht="15" x14ac:dyDescent="0.25">
      <c r="A18595" s="3">
        <f>18588</f>
        <v>18588</v>
      </c>
      <c r="B18595" s="3" t="s">
        <v>18597</v>
      </c>
      <c r="C18595" s="3" t="s">
        <v>9</v>
      </c>
      <c r="D18595" s="3" t="s">
        <v>10</v>
      </c>
      <c r="E18595" s="3">
        <v>0</v>
      </c>
      <c r="F18595" s="3">
        <v>0</v>
      </c>
      <c r="G18595" s="3">
        <v>0</v>
      </c>
      <c r="H18595" s="3">
        <v>31</v>
      </c>
      <c r="I18595" s="3">
        <v>0</v>
      </c>
      <c r="J18595" s="3">
        <v>0</v>
      </c>
      <c r="K18595" s="3">
        <v>0</v>
      </c>
      <c r="L18595" s="3">
        <v>0</v>
      </c>
      <c r="M18595" s="3">
        <v>31</v>
      </c>
      <c r="N18595" s="3">
        <v>0</v>
      </c>
      <c r="O18595" s="3" t="s">
        <v>10</v>
      </c>
      <c r="P18595" s="3" t="s">
        <v>9</v>
      </c>
      <c r="Q18595" s="3"/>
    </row>
    <row r="18596" spans="1:17" ht="15" x14ac:dyDescent="0.25">
      <c r="A18596" s="3">
        <f>18589</f>
        <v>18589</v>
      </c>
      <c r="B18596" s="3" t="s">
        <v>18598</v>
      </c>
      <c r="C18596" s="3" t="s">
        <v>9</v>
      </c>
      <c r="D18596" s="3" t="s">
        <v>10</v>
      </c>
      <c r="E18596" s="3">
        <v>0</v>
      </c>
      <c r="F18596" s="3">
        <v>0</v>
      </c>
      <c r="G18596" s="3">
        <v>0</v>
      </c>
      <c r="H18596" s="3">
        <v>31</v>
      </c>
      <c r="I18596" s="3">
        <v>0</v>
      </c>
      <c r="J18596" s="3">
        <v>0</v>
      </c>
      <c r="K18596" s="3">
        <v>0</v>
      </c>
      <c r="L18596" s="3">
        <v>0</v>
      </c>
      <c r="M18596" s="3">
        <v>31</v>
      </c>
      <c r="N18596" s="3">
        <v>0</v>
      </c>
      <c r="O18596" s="3" t="s">
        <v>10</v>
      </c>
      <c r="P18596" s="3" t="s">
        <v>9</v>
      </c>
      <c r="Q18596" s="3"/>
    </row>
    <row r="18597" spans="1:17" ht="15" x14ac:dyDescent="0.25">
      <c r="A18597" s="3">
        <f>18590</f>
        <v>18590</v>
      </c>
      <c r="B18597" s="3" t="s">
        <v>18599</v>
      </c>
      <c r="C18597" s="3" t="s">
        <v>9</v>
      </c>
      <c r="D18597" s="3" t="s">
        <v>10</v>
      </c>
      <c r="E18597" s="3">
        <v>0</v>
      </c>
      <c r="F18597" s="3">
        <v>0</v>
      </c>
      <c r="G18597" s="3">
        <v>0</v>
      </c>
      <c r="H18597" s="3">
        <v>31</v>
      </c>
      <c r="I18597" s="3">
        <v>0</v>
      </c>
      <c r="J18597" s="3">
        <v>0</v>
      </c>
      <c r="K18597" s="3">
        <v>0</v>
      </c>
      <c r="L18597" s="3">
        <v>0</v>
      </c>
      <c r="M18597" s="3">
        <v>31</v>
      </c>
      <c r="N18597" s="3">
        <v>0</v>
      </c>
      <c r="O18597" s="3" t="s">
        <v>10</v>
      </c>
      <c r="P18597" s="3" t="s">
        <v>9</v>
      </c>
      <c r="Q18597" s="3"/>
    </row>
    <row r="18598" spans="1:17" ht="15" x14ac:dyDescent="0.25">
      <c r="A18598" s="3">
        <f>18591</f>
        <v>18591</v>
      </c>
      <c r="B18598" s="3" t="s">
        <v>18600</v>
      </c>
      <c r="C18598" s="3" t="s">
        <v>9</v>
      </c>
      <c r="D18598" s="3" t="s">
        <v>10</v>
      </c>
      <c r="E18598" s="3">
        <v>0</v>
      </c>
      <c r="F18598" s="3">
        <v>0</v>
      </c>
      <c r="G18598" s="3">
        <v>0</v>
      </c>
      <c r="H18598" s="3">
        <v>31</v>
      </c>
      <c r="I18598" s="3">
        <v>0</v>
      </c>
      <c r="J18598" s="3">
        <v>0</v>
      </c>
      <c r="K18598" s="3">
        <v>0</v>
      </c>
      <c r="L18598" s="3">
        <v>0</v>
      </c>
      <c r="M18598" s="3">
        <v>31</v>
      </c>
      <c r="N18598" s="3">
        <v>0</v>
      </c>
      <c r="O18598" s="3" t="s">
        <v>10</v>
      </c>
      <c r="P18598" s="3" t="s">
        <v>9</v>
      </c>
      <c r="Q18598" s="3"/>
    </row>
    <row r="18599" spans="1:17" ht="15" x14ac:dyDescent="0.25">
      <c r="A18599" s="3">
        <f>18592</f>
        <v>18592</v>
      </c>
      <c r="B18599" s="3" t="s">
        <v>18601</v>
      </c>
      <c r="C18599" s="3" t="s">
        <v>9</v>
      </c>
      <c r="D18599" s="3" t="s">
        <v>10</v>
      </c>
      <c r="E18599" s="3">
        <v>0</v>
      </c>
      <c r="F18599" s="3">
        <v>0</v>
      </c>
      <c r="G18599" s="3">
        <v>0</v>
      </c>
      <c r="H18599" s="3">
        <v>31</v>
      </c>
      <c r="I18599" s="3">
        <v>0</v>
      </c>
      <c r="J18599" s="3">
        <v>0</v>
      </c>
      <c r="K18599" s="3">
        <v>0</v>
      </c>
      <c r="L18599" s="3">
        <v>0</v>
      </c>
      <c r="M18599" s="3">
        <v>31</v>
      </c>
      <c r="N18599" s="3">
        <v>0</v>
      </c>
      <c r="O18599" s="3" t="s">
        <v>10</v>
      </c>
      <c r="P18599" s="3" t="s">
        <v>9</v>
      </c>
      <c r="Q18599" s="3"/>
    </row>
    <row r="18600" spans="1:17" ht="15" x14ac:dyDescent="0.25">
      <c r="A18600" s="3">
        <f>18593</f>
        <v>18593</v>
      </c>
      <c r="B18600" s="3" t="s">
        <v>18602</v>
      </c>
      <c r="C18600" s="3" t="s">
        <v>9</v>
      </c>
      <c r="D18600" s="3" t="s">
        <v>10</v>
      </c>
      <c r="E18600" s="3">
        <v>0</v>
      </c>
      <c r="F18600" s="3">
        <v>0</v>
      </c>
      <c r="G18600" s="3">
        <v>0</v>
      </c>
      <c r="H18600" s="3">
        <v>31</v>
      </c>
      <c r="I18600" s="3">
        <v>0</v>
      </c>
      <c r="J18600" s="3">
        <v>0</v>
      </c>
      <c r="K18600" s="3">
        <v>0</v>
      </c>
      <c r="L18600" s="3">
        <v>0</v>
      </c>
      <c r="M18600" s="3">
        <v>31</v>
      </c>
      <c r="N18600" s="3">
        <v>0</v>
      </c>
      <c r="O18600" s="3" t="s">
        <v>10</v>
      </c>
      <c r="P18600" s="3" t="s">
        <v>9</v>
      </c>
      <c r="Q18600" s="3"/>
    </row>
    <row r="18601" spans="1:17" ht="15" x14ac:dyDescent="0.25">
      <c r="A18601" s="3">
        <f>18594</f>
        <v>18594</v>
      </c>
      <c r="B18601" s="3" t="s">
        <v>18603</v>
      </c>
      <c r="C18601" s="3" t="s">
        <v>9</v>
      </c>
      <c r="D18601" s="3" t="s">
        <v>10</v>
      </c>
      <c r="E18601" s="3">
        <v>0</v>
      </c>
      <c r="F18601" s="3">
        <v>0</v>
      </c>
      <c r="G18601" s="3">
        <v>0</v>
      </c>
      <c r="H18601" s="3">
        <v>31</v>
      </c>
      <c r="I18601" s="3">
        <v>0</v>
      </c>
      <c r="J18601" s="3">
        <v>0</v>
      </c>
      <c r="K18601" s="3">
        <v>0</v>
      </c>
      <c r="L18601" s="3">
        <v>0</v>
      </c>
      <c r="M18601" s="3">
        <v>31</v>
      </c>
      <c r="N18601" s="3">
        <v>0</v>
      </c>
      <c r="O18601" s="3" t="s">
        <v>10</v>
      </c>
      <c r="P18601" s="3" t="s">
        <v>9</v>
      </c>
      <c r="Q18601" s="3"/>
    </row>
    <row r="18602" spans="1:17" ht="15" x14ac:dyDescent="0.25">
      <c r="A18602" s="3">
        <f>18595</f>
        <v>18595</v>
      </c>
      <c r="B18602" s="3" t="s">
        <v>18604</v>
      </c>
      <c r="C18602" s="3" t="s">
        <v>9</v>
      </c>
      <c r="D18602" s="3" t="s">
        <v>10</v>
      </c>
      <c r="E18602" s="3">
        <v>0</v>
      </c>
      <c r="F18602" s="3">
        <v>0</v>
      </c>
      <c r="G18602" s="3">
        <v>0</v>
      </c>
      <c r="H18602" s="3">
        <v>31</v>
      </c>
      <c r="I18602" s="3">
        <v>0</v>
      </c>
      <c r="J18602" s="3">
        <v>0</v>
      </c>
      <c r="K18602" s="3">
        <v>0</v>
      </c>
      <c r="L18602" s="3">
        <v>0</v>
      </c>
      <c r="M18602" s="3">
        <v>31</v>
      </c>
      <c r="N18602" s="3">
        <v>0</v>
      </c>
      <c r="O18602" s="3" t="s">
        <v>10</v>
      </c>
      <c r="P18602" s="3" t="s">
        <v>9</v>
      </c>
      <c r="Q18602" s="3"/>
    </row>
    <row r="18603" spans="1:17" ht="15" x14ac:dyDescent="0.25">
      <c r="A18603" s="3">
        <f>18596</f>
        <v>18596</v>
      </c>
      <c r="B18603" s="3" t="s">
        <v>18605</v>
      </c>
      <c r="C18603" s="3" t="s">
        <v>9</v>
      </c>
      <c r="D18603" s="3" t="s">
        <v>10</v>
      </c>
      <c r="E18603" s="3">
        <v>0</v>
      </c>
      <c r="F18603" s="3">
        <v>0</v>
      </c>
      <c r="G18603" s="3">
        <v>0</v>
      </c>
      <c r="H18603" s="3">
        <v>31</v>
      </c>
      <c r="I18603" s="3">
        <v>0</v>
      </c>
      <c r="J18603" s="3">
        <v>0</v>
      </c>
      <c r="K18603" s="3">
        <v>0</v>
      </c>
      <c r="L18603" s="3">
        <v>0</v>
      </c>
      <c r="M18603" s="3">
        <v>31</v>
      </c>
      <c r="N18603" s="3">
        <v>0</v>
      </c>
      <c r="O18603" s="3" t="s">
        <v>10</v>
      </c>
      <c r="P18603" s="3" t="s">
        <v>9</v>
      </c>
      <c r="Q18603" s="3"/>
    </row>
    <row r="18604" spans="1:17" ht="15" x14ac:dyDescent="0.25">
      <c r="A18604" s="3">
        <f>18597</f>
        <v>18597</v>
      </c>
      <c r="B18604" s="3" t="s">
        <v>18606</v>
      </c>
      <c r="C18604" s="3" t="s">
        <v>9</v>
      </c>
      <c r="D18604" s="3" t="s">
        <v>10</v>
      </c>
      <c r="E18604" s="3">
        <v>0</v>
      </c>
      <c r="F18604" s="3">
        <v>0</v>
      </c>
      <c r="G18604" s="3">
        <v>0</v>
      </c>
      <c r="H18604" s="3">
        <v>31</v>
      </c>
      <c r="I18604" s="3">
        <v>0</v>
      </c>
      <c r="J18604" s="3">
        <v>0</v>
      </c>
      <c r="K18604" s="3">
        <v>0</v>
      </c>
      <c r="L18604" s="3">
        <v>0</v>
      </c>
      <c r="M18604" s="3">
        <v>31</v>
      </c>
      <c r="N18604" s="3">
        <v>0</v>
      </c>
      <c r="O18604" s="3" t="s">
        <v>10</v>
      </c>
      <c r="P18604" s="3" t="s">
        <v>9</v>
      </c>
      <c r="Q18604" s="3"/>
    </row>
    <row r="18605" spans="1:17" ht="15" x14ac:dyDescent="0.25">
      <c r="A18605" s="3">
        <f>18598</f>
        <v>18598</v>
      </c>
      <c r="B18605" s="3" t="s">
        <v>18607</v>
      </c>
      <c r="C18605" s="3" t="s">
        <v>9</v>
      </c>
      <c r="D18605" s="3" t="s">
        <v>10</v>
      </c>
      <c r="E18605" s="3">
        <v>0</v>
      </c>
      <c r="F18605" s="3">
        <v>0</v>
      </c>
      <c r="G18605" s="3">
        <v>0</v>
      </c>
      <c r="H18605" s="3">
        <v>31</v>
      </c>
      <c r="I18605" s="3">
        <v>0</v>
      </c>
      <c r="J18605" s="3">
        <v>0</v>
      </c>
      <c r="K18605" s="3">
        <v>0</v>
      </c>
      <c r="L18605" s="3">
        <v>0</v>
      </c>
      <c r="M18605" s="3">
        <v>31</v>
      </c>
      <c r="N18605" s="3">
        <v>0</v>
      </c>
      <c r="O18605" s="3" t="s">
        <v>10</v>
      </c>
      <c r="P18605" s="3" t="s">
        <v>9</v>
      </c>
      <c r="Q18605" s="3"/>
    </row>
    <row r="18606" spans="1:17" ht="15" x14ac:dyDescent="0.25">
      <c r="A18606" s="3">
        <f>18599</f>
        <v>18599</v>
      </c>
      <c r="B18606" s="3" t="s">
        <v>18608</v>
      </c>
      <c r="C18606" s="3" t="s">
        <v>9</v>
      </c>
      <c r="D18606" s="3" t="s">
        <v>10</v>
      </c>
      <c r="E18606" s="3">
        <v>0</v>
      </c>
      <c r="F18606" s="3">
        <v>0</v>
      </c>
      <c r="G18606" s="3">
        <v>0</v>
      </c>
      <c r="H18606" s="3">
        <v>31</v>
      </c>
      <c r="I18606" s="3">
        <v>0</v>
      </c>
      <c r="J18606" s="3">
        <v>0</v>
      </c>
      <c r="K18606" s="3">
        <v>0</v>
      </c>
      <c r="L18606" s="3">
        <v>0</v>
      </c>
      <c r="M18606" s="3">
        <v>31</v>
      </c>
      <c r="N18606" s="3">
        <v>0</v>
      </c>
      <c r="O18606" s="3" t="s">
        <v>10</v>
      </c>
      <c r="P18606" s="3" t="s">
        <v>9</v>
      </c>
      <c r="Q18606" s="3"/>
    </row>
    <row r="18607" spans="1:17" ht="15" x14ac:dyDescent="0.25">
      <c r="A18607" s="3">
        <f>18600</f>
        <v>18600</v>
      </c>
      <c r="B18607" s="3" t="s">
        <v>18609</v>
      </c>
      <c r="C18607" s="3" t="s">
        <v>9</v>
      </c>
      <c r="D18607" s="3" t="s">
        <v>10</v>
      </c>
      <c r="E18607" s="3">
        <v>0</v>
      </c>
      <c r="F18607" s="3">
        <v>0</v>
      </c>
      <c r="G18607" s="3">
        <v>0</v>
      </c>
      <c r="H18607" s="3">
        <v>31</v>
      </c>
      <c r="I18607" s="3">
        <v>0</v>
      </c>
      <c r="J18607" s="3">
        <v>0</v>
      </c>
      <c r="K18607" s="3">
        <v>0</v>
      </c>
      <c r="L18607" s="3">
        <v>0</v>
      </c>
      <c r="M18607" s="3">
        <v>31</v>
      </c>
      <c r="N18607" s="3">
        <v>0</v>
      </c>
      <c r="O18607" s="3" t="s">
        <v>10</v>
      </c>
      <c r="P18607" s="3" t="s">
        <v>9</v>
      </c>
      <c r="Q18607" s="3"/>
    </row>
    <row r="18608" spans="1:17" ht="15" x14ac:dyDescent="0.25">
      <c r="A18608" s="3">
        <f>18601</f>
        <v>18601</v>
      </c>
      <c r="B18608" s="3" t="s">
        <v>18610</v>
      </c>
      <c r="C18608" s="3" t="s">
        <v>9</v>
      </c>
      <c r="D18608" s="3" t="s">
        <v>10</v>
      </c>
      <c r="E18608" s="3">
        <v>0</v>
      </c>
      <c r="F18608" s="3">
        <v>0</v>
      </c>
      <c r="G18608" s="3">
        <v>0</v>
      </c>
      <c r="H18608" s="3">
        <v>31</v>
      </c>
      <c r="I18608" s="3">
        <v>0</v>
      </c>
      <c r="J18608" s="3">
        <v>0</v>
      </c>
      <c r="K18608" s="3">
        <v>0</v>
      </c>
      <c r="L18608" s="3">
        <v>0</v>
      </c>
      <c r="M18608" s="3">
        <v>31</v>
      </c>
      <c r="N18608" s="3">
        <v>0</v>
      </c>
      <c r="O18608" s="3" t="s">
        <v>10</v>
      </c>
      <c r="P18608" s="3" t="s">
        <v>9</v>
      </c>
      <c r="Q18608" s="3"/>
    </row>
    <row r="18609" spans="1:17" ht="15" x14ac:dyDescent="0.25">
      <c r="A18609" s="3">
        <f>18602</f>
        <v>18602</v>
      </c>
      <c r="B18609" s="3" t="s">
        <v>18611</v>
      </c>
      <c r="C18609" s="3" t="s">
        <v>9</v>
      </c>
      <c r="D18609" s="3" t="s">
        <v>10</v>
      </c>
      <c r="E18609" s="3">
        <v>0</v>
      </c>
      <c r="F18609" s="3">
        <v>0</v>
      </c>
      <c r="G18609" s="3">
        <v>0</v>
      </c>
      <c r="H18609" s="3">
        <v>31</v>
      </c>
      <c r="I18609" s="3">
        <v>0</v>
      </c>
      <c r="J18609" s="3">
        <v>0</v>
      </c>
      <c r="K18609" s="3">
        <v>0</v>
      </c>
      <c r="L18609" s="3">
        <v>0</v>
      </c>
      <c r="M18609" s="3">
        <v>31</v>
      </c>
      <c r="N18609" s="3">
        <v>0</v>
      </c>
      <c r="O18609" s="3" t="s">
        <v>10</v>
      </c>
      <c r="P18609" s="3" t="s">
        <v>9</v>
      </c>
      <c r="Q18609" s="3"/>
    </row>
    <row r="18610" spans="1:17" ht="15" x14ac:dyDescent="0.25">
      <c r="A18610" s="3">
        <f>18603</f>
        <v>18603</v>
      </c>
      <c r="B18610" s="3" t="s">
        <v>18612</v>
      </c>
      <c r="C18610" s="3" t="s">
        <v>10</v>
      </c>
      <c r="D18610" s="3" t="s">
        <v>9</v>
      </c>
      <c r="E18610" s="3">
        <v>0</v>
      </c>
      <c r="F18610" s="3">
        <v>0</v>
      </c>
      <c r="G18610" s="3">
        <v>0</v>
      </c>
      <c r="H18610" s="3">
        <v>31</v>
      </c>
      <c r="I18610" s="3">
        <v>0</v>
      </c>
      <c r="J18610" s="3">
        <v>0</v>
      </c>
      <c r="K18610" s="3">
        <v>0</v>
      </c>
      <c r="L18610" s="3">
        <v>0</v>
      </c>
      <c r="M18610" s="3">
        <v>31</v>
      </c>
      <c r="N18610" s="3">
        <v>0</v>
      </c>
      <c r="O18610" s="3" t="s">
        <v>10</v>
      </c>
      <c r="P18610" s="3" t="s">
        <v>9</v>
      </c>
      <c r="Q18610" s="3"/>
    </row>
    <row r="18611" spans="1:17" ht="15" x14ac:dyDescent="0.25">
      <c r="A18611" s="3">
        <f>18604</f>
        <v>18604</v>
      </c>
      <c r="B18611" s="3" t="s">
        <v>18613</v>
      </c>
      <c r="C18611" s="3" t="s">
        <v>10</v>
      </c>
      <c r="D18611" s="3" t="s">
        <v>9</v>
      </c>
      <c r="E18611" s="3">
        <v>0</v>
      </c>
      <c r="F18611" s="3">
        <v>0</v>
      </c>
      <c r="G18611" s="3">
        <v>0</v>
      </c>
      <c r="H18611" s="3">
        <v>31</v>
      </c>
      <c r="I18611" s="3">
        <v>0</v>
      </c>
      <c r="J18611" s="3">
        <v>0</v>
      </c>
      <c r="K18611" s="3">
        <v>0</v>
      </c>
      <c r="L18611" s="3">
        <v>0</v>
      </c>
      <c r="M18611" s="3">
        <v>31</v>
      </c>
      <c r="N18611" s="3">
        <v>0</v>
      </c>
      <c r="O18611" s="3" t="s">
        <v>10</v>
      </c>
      <c r="P18611" s="3" t="s">
        <v>9</v>
      </c>
      <c r="Q18611" s="3"/>
    </row>
    <row r="18612" spans="1:17" ht="15" x14ac:dyDescent="0.25">
      <c r="A18612" s="3">
        <f>18605</f>
        <v>18605</v>
      </c>
      <c r="B18612" s="3" t="s">
        <v>18614</v>
      </c>
      <c r="C18612" s="3" t="s">
        <v>10</v>
      </c>
      <c r="D18612" s="3" t="s">
        <v>9</v>
      </c>
      <c r="E18612" s="3">
        <v>0</v>
      </c>
      <c r="F18612" s="3">
        <v>0</v>
      </c>
      <c r="G18612" s="3">
        <v>0</v>
      </c>
      <c r="H18612" s="3">
        <v>31</v>
      </c>
      <c r="I18612" s="3">
        <v>0</v>
      </c>
      <c r="J18612" s="3">
        <v>0</v>
      </c>
      <c r="K18612" s="3">
        <v>0</v>
      </c>
      <c r="L18612" s="3">
        <v>0</v>
      </c>
      <c r="M18612" s="3">
        <v>31</v>
      </c>
      <c r="N18612" s="3">
        <v>0</v>
      </c>
      <c r="O18612" s="3" t="s">
        <v>10</v>
      </c>
      <c r="P18612" s="3" t="s">
        <v>9</v>
      </c>
      <c r="Q18612" s="3"/>
    </row>
    <row r="18613" spans="1:17" ht="15" x14ac:dyDescent="0.25">
      <c r="A18613" s="3">
        <f>18606</f>
        <v>18606</v>
      </c>
      <c r="B18613" s="3" t="s">
        <v>18615</v>
      </c>
      <c r="C18613" s="3" t="s">
        <v>10</v>
      </c>
      <c r="D18613" s="3" t="s">
        <v>9</v>
      </c>
      <c r="E18613" s="3">
        <v>0</v>
      </c>
      <c r="F18613" s="3">
        <v>0</v>
      </c>
      <c r="G18613" s="3">
        <v>0</v>
      </c>
      <c r="H18613" s="3">
        <v>31</v>
      </c>
      <c r="I18613" s="3">
        <v>0</v>
      </c>
      <c r="J18613" s="3">
        <v>0</v>
      </c>
      <c r="K18613" s="3">
        <v>0</v>
      </c>
      <c r="L18613" s="3">
        <v>0</v>
      </c>
      <c r="M18613" s="3">
        <v>31</v>
      </c>
      <c r="N18613" s="3">
        <v>0</v>
      </c>
      <c r="O18613" s="3" t="s">
        <v>10</v>
      </c>
      <c r="P18613" s="3" t="s">
        <v>9</v>
      </c>
      <c r="Q18613" s="3"/>
    </row>
    <row r="18614" spans="1:17" ht="15" x14ac:dyDescent="0.25">
      <c r="A18614" s="3">
        <f>18607</f>
        <v>18607</v>
      </c>
      <c r="B18614" s="3" t="s">
        <v>18616</v>
      </c>
      <c r="C18614" s="3" t="s">
        <v>10</v>
      </c>
      <c r="D18614" s="3" t="s">
        <v>9</v>
      </c>
      <c r="E18614" s="3">
        <v>0</v>
      </c>
      <c r="F18614" s="3">
        <v>0</v>
      </c>
      <c r="G18614" s="3">
        <v>0</v>
      </c>
      <c r="H18614" s="3">
        <v>31</v>
      </c>
      <c r="I18614" s="3">
        <v>0</v>
      </c>
      <c r="J18614" s="3">
        <v>0</v>
      </c>
      <c r="K18614" s="3">
        <v>0</v>
      </c>
      <c r="L18614" s="3">
        <v>0</v>
      </c>
      <c r="M18614" s="3">
        <v>31</v>
      </c>
      <c r="N18614" s="3">
        <v>0</v>
      </c>
      <c r="O18614" s="3" t="s">
        <v>10</v>
      </c>
      <c r="P18614" s="3" t="s">
        <v>9</v>
      </c>
      <c r="Q18614" s="3"/>
    </row>
    <row r="18615" spans="1:17" ht="15" x14ac:dyDescent="0.25">
      <c r="A18615" s="3">
        <f>18608</f>
        <v>18608</v>
      </c>
      <c r="B18615" s="3" t="s">
        <v>18617</v>
      </c>
      <c r="C18615" s="3" t="s">
        <v>10</v>
      </c>
      <c r="D18615" s="3" t="s">
        <v>9</v>
      </c>
      <c r="E18615" s="3">
        <v>0</v>
      </c>
      <c r="F18615" s="3">
        <v>0</v>
      </c>
      <c r="G18615" s="3">
        <v>0</v>
      </c>
      <c r="H18615" s="3">
        <v>31</v>
      </c>
      <c r="I18615" s="3">
        <v>0</v>
      </c>
      <c r="J18615" s="3">
        <v>0</v>
      </c>
      <c r="K18615" s="3">
        <v>0</v>
      </c>
      <c r="L18615" s="3">
        <v>0</v>
      </c>
      <c r="M18615" s="3">
        <v>31</v>
      </c>
      <c r="N18615" s="3">
        <v>0</v>
      </c>
      <c r="O18615" s="3" t="s">
        <v>10</v>
      </c>
      <c r="P18615" s="3" t="s">
        <v>9</v>
      </c>
      <c r="Q18615" s="3"/>
    </row>
    <row r="18616" spans="1:17" ht="15" x14ac:dyDescent="0.25">
      <c r="A18616" s="3">
        <f>18609</f>
        <v>18609</v>
      </c>
      <c r="B18616" s="3" t="s">
        <v>18618</v>
      </c>
      <c r="C18616" s="3" t="s">
        <v>10</v>
      </c>
      <c r="D18616" s="3" t="s">
        <v>9</v>
      </c>
      <c r="E18616" s="3">
        <v>0</v>
      </c>
      <c r="F18616" s="3">
        <v>0</v>
      </c>
      <c r="G18616" s="3">
        <v>0</v>
      </c>
      <c r="H18616" s="3">
        <v>31</v>
      </c>
      <c r="I18616" s="3">
        <v>0</v>
      </c>
      <c r="J18616" s="3">
        <v>0</v>
      </c>
      <c r="K18616" s="3">
        <v>0</v>
      </c>
      <c r="L18616" s="3">
        <v>0</v>
      </c>
      <c r="M18616" s="3">
        <v>31</v>
      </c>
      <c r="N18616" s="3">
        <v>0</v>
      </c>
      <c r="O18616" s="3" t="s">
        <v>10</v>
      </c>
      <c r="P18616" s="3" t="s">
        <v>9</v>
      </c>
      <c r="Q18616" s="3"/>
    </row>
    <row r="18617" spans="1:17" ht="15" x14ac:dyDescent="0.25">
      <c r="A18617" s="3">
        <f>18610</f>
        <v>18610</v>
      </c>
      <c r="B18617" s="3" t="s">
        <v>18619</v>
      </c>
      <c r="C18617" s="3" t="s">
        <v>10</v>
      </c>
      <c r="D18617" s="3" t="s">
        <v>9</v>
      </c>
      <c r="E18617" s="3">
        <v>0</v>
      </c>
      <c r="F18617" s="3">
        <v>0</v>
      </c>
      <c r="G18617" s="3">
        <v>0</v>
      </c>
      <c r="H18617" s="3">
        <v>31</v>
      </c>
      <c r="I18617" s="3">
        <v>0</v>
      </c>
      <c r="J18617" s="3">
        <v>0</v>
      </c>
      <c r="K18617" s="3">
        <v>0</v>
      </c>
      <c r="L18617" s="3">
        <v>0</v>
      </c>
      <c r="M18617" s="3">
        <v>31</v>
      </c>
      <c r="N18617" s="3">
        <v>0</v>
      </c>
      <c r="O18617" s="3" t="s">
        <v>10</v>
      </c>
      <c r="P18617" s="3" t="s">
        <v>9</v>
      </c>
      <c r="Q18617" s="3"/>
    </row>
    <row r="18618" spans="1:17" ht="15" x14ac:dyDescent="0.25">
      <c r="A18618" s="3">
        <f>18611</f>
        <v>18611</v>
      </c>
      <c r="B18618" s="3" t="s">
        <v>18620</v>
      </c>
      <c r="C18618" s="3" t="s">
        <v>10</v>
      </c>
      <c r="D18618" s="3" t="s">
        <v>9</v>
      </c>
      <c r="E18618" s="3">
        <v>0</v>
      </c>
      <c r="F18618" s="3">
        <v>0</v>
      </c>
      <c r="G18618" s="3">
        <v>0</v>
      </c>
      <c r="H18618" s="3">
        <v>31</v>
      </c>
      <c r="I18618" s="3">
        <v>0</v>
      </c>
      <c r="J18618" s="3">
        <v>0</v>
      </c>
      <c r="K18618" s="3">
        <v>0</v>
      </c>
      <c r="L18618" s="3">
        <v>0</v>
      </c>
      <c r="M18618" s="3">
        <v>31</v>
      </c>
      <c r="N18618" s="3">
        <v>0</v>
      </c>
      <c r="O18618" s="3" t="s">
        <v>10</v>
      </c>
      <c r="P18618" s="3" t="s">
        <v>9</v>
      </c>
      <c r="Q18618" s="3"/>
    </row>
    <row r="18619" spans="1:17" ht="15" x14ac:dyDescent="0.25">
      <c r="A18619" s="3">
        <f>18612</f>
        <v>18612</v>
      </c>
      <c r="B18619" s="3" t="s">
        <v>18621</v>
      </c>
      <c r="C18619" s="3" t="s">
        <v>10</v>
      </c>
      <c r="D18619" s="3" t="s">
        <v>9</v>
      </c>
      <c r="E18619" s="3">
        <v>0</v>
      </c>
      <c r="F18619" s="3">
        <v>0</v>
      </c>
      <c r="G18619" s="3">
        <v>0</v>
      </c>
      <c r="H18619" s="3">
        <v>31</v>
      </c>
      <c r="I18619" s="3">
        <v>0</v>
      </c>
      <c r="J18619" s="3">
        <v>0</v>
      </c>
      <c r="K18619" s="3">
        <v>0</v>
      </c>
      <c r="L18619" s="3">
        <v>0</v>
      </c>
      <c r="M18619" s="3">
        <v>31</v>
      </c>
      <c r="N18619" s="3">
        <v>0</v>
      </c>
      <c r="O18619" s="3" t="s">
        <v>10</v>
      </c>
      <c r="P18619" s="3" t="s">
        <v>9</v>
      </c>
      <c r="Q18619" s="3"/>
    </row>
    <row r="18620" spans="1:17" ht="15" x14ac:dyDescent="0.25">
      <c r="A18620" s="3">
        <f>18613</f>
        <v>18613</v>
      </c>
      <c r="B18620" s="3" t="s">
        <v>18622</v>
      </c>
      <c r="C18620" s="3" t="s">
        <v>10</v>
      </c>
      <c r="D18620" s="3" t="s">
        <v>9</v>
      </c>
      <c r="E18620" s="3">
        <v>0</v>
      </c>
      <c r="F18620" s="3">
        <v>0</v>
      </c>
      <c r="G18620" s="3">
        <v>0</v>
      </c>
      <c r="H18620" s="3">
        <v>31</v>
      </c>
      <c r="I18620" s="3">
        <v>0</v>
      </c>
      <c r="J18620" s="3">
        <v>0</v>
      </c>
      <c r="K18620" s="3">
        <v>0</v>
      </c>
      <c r="L18620" s="3">
        <v>0</v>
      </c>
      <c r="M18620" s="3">
        <v>31</v>
      </c>
      <c r="N18620" s="3">
        <v>0</v>
      </c>
      <c r="O18620" s="3" t="s">
        <v>10</v>
      </c>
      <c r="P18620" s="3" t="s">
        <v>9</v>
      </c>
      <c r="Q18620" s="3"/>
    </row>
    <row r="18621" spans="1:17" ht="15" x14ac:dyDescent="0.25">
      <c r="A18621" s="3">
        <f>18614</f>
        <v>18614</v>
      </c>
      <c r="B18621" s="3" t="s">
        <v>18623</v>
      </c>
      <c r="C18621" s="3" t="s">
        <v>10</v>
      </c>
      <c r="D18621" s="3" t="s">
        <v>9</v>
      </c>
      <c r="E18621" s="3">
        <v>0</v>
      </c>
      <c r="F18621" s="3">
        <v>0</v>
      </c>
      <c r="G18621" s="3">
        <v>0</v>
      </c>
      <c r="H18621" s="3">
        <v>31</v>
      </c>
      <c r="I18621" s="3">
        <v>0</v>
      </c>
      <c r="J18621" s="3">
        <v>0</v>
      </c>
      <c r="K18621" s="3">
        <v>0</v>
      </c>
      <c r="L18621" s="3">
        <v>0</v>
      </c>
      <c r="M18621" s="3">
        <v>31</v>
      </c>
      <c r="N18621" s="3">
        <v>0</v>
      </c>
      <c r="O18621" s="3" t="s">
        <v>10</v>
      </c>
      <c r="P18621" s="3" t="s">
        <v>9</v>
      </c>
      <c r="Q18621" s="3"/>
    </row>
    <row r="18622" spans="1:17" ht="15" x14ac:dyDescent="0.25">
      <c r="A18622" s="3">
        <f>18615</f>
        <v>18615</v>
      </c>
      <c r="B18622" s="3" t="s">
        <v>18624</v>
      </c>
      <c r="C18622" s="3" t="s">
        <v>10</v>
      </c>
      <c r="D18622" s="3" t="s">
        <v>9</v>
      </c>
      <c r="E18622" s="3">
        <v>0</v>
      </c>
      <c r="F18622" s="3">
        <v>0</v>
      </c>
      <c r="G18622" s="3">
        <v>0</v>
      </c>
      <c r="H18622" s="3">
        <v>31</v>
      </c>
      <c r="I18622" s="3">
        <v>0</v>
      </c>
      <c r="J18622" s="3">
        <v>0</v>
      </c>
      <c r="K18622" s="3">
        <v>0</v>
      </c>
      <c r="L18622" s="3">
        <v>0</v>
      </c>
      <c r="M18622" s="3">
        <v>31</v>
      </c>
      <c r="N18622" s="3">
        <v>0</v>
      </c>
      <c r="O18622" s="3" t="s">
        <v>10</v>
      </c>
      <c r="P18622" s="3" t="s">
        <v>9</v>
      </c>
      <c r="Q18622" s="3"/>
    </row>
    <row r="18623" spans="1:17" ht="15" x14ac:dyDescent="0.25">
      <c r="A18623" s="3">
        <f>18616</f>
        <v>18616</v>
      </c>
      <c r="B18623" s="3" t="s">
        <v>18625</v>
      </c>
      <c r="C18623" s="3" t="s">
        <v>10</v>
      </c>
      <c r="D18623" s="3" t="s">
        <v>9</v>
      </c>
      <c r="E18623" s="3">
        <v>0</v>
      </c>
      <c r="F18623" s="3">
        <v>0</v>
      </c>
      <c r="G18623" s="3">
        <v>0</v>
      </c>
      <c r="H18623" s="3">
        <v>31</v>
      </c>
      <c r="I18623" s="3">
        <v>0</v>
      </c>
      <c r="J18623" s="3">
        <v>0</v>
      </c>
      <c r="K18623" s="3">
        <v>0</v>
      </c>
      <c r="L18623" s="3">
        <v>0</v>
      </c>
      <c r="M18623" s="3">
        <v>31</v>
      </c>
      <c r="N18623" s="3">
        <v>0</v>
      </c>
      <c r="O18623" s="3" t="s">
        <v>10</v>
      </c>
      <c r="P18623" s="3" t="s">
        <v>9</v>
      </c>
      <c r="Q18623" s="3"/>
    </row>
    <row r="18624" spans="1:17" ht="15" x14ac:dyDescent="0.25">
      <c r="A18624" s="3">
        <f>18617</f>
        <v>18617</v>
      </c>
      <c r="B18624" s="3" t="s">
        <v>18626</v>
      </c>
      <c r="C18624" s="3" t="s">
        <v>10</v>
      </c>
      <c r="D18624" s="3" t="s">
        <v>9</v>
      </c>
      <c r="E18624" s="3">
        <v>0</v>
      </c>
      <c r="F18624" s="3">
        <v>0</v>
      </c>
      <c r="G18624" s="3">
        <v>0</v>
      </c>
      <c r="H18624" s="3">
        <v>31</v>
      </c>
      <c r="I18624" s="3">
        <v>0</v>
      </c>
      <c r="J18624" s="3">
        <v>0</v>
      </c>
      <c r="K18624" s="3">
        <v>0</v>
      </c>
      <c r="L18624" s="3">
        <v>0</v>
      </c>
      <c r="M18624" s="3">
        <v>31</v>
      </c>
      <c r="N18624" s="3">
        <v>0</v>
      </c>
      <c r="O18624" s="3" t="s">
        <v>10</v>
      </c>
      <c r="P18624" s="3" t="s">
        <v>9</v>
      </c>
      <c r="Q18624" s="3"/>
    </row>
    <row r="18625" spans="1:17" ht="15" x14ac:dyDescent="0.25">
      <c r="A18625" s="3">
        <f>18618</f>
        <v>18618</v>
      </c>
      <c r="B18625" s="3" t="s">
        <v>18627</v>
      </c>
      <c r="C18625" s="3" t="s">
        <v>10</v>
      </c>
      <c r="D18625" s="3" t="s">
        <v>9</v>
      </c>
      <c r="E18625" s="3">
        <v>0</v>
      </c>
      <c r="F18625" s="3">
        <v>0</v>
      </c>
      <c r="G18625" s="3">
        <v>0</v>
      </c>
      <c r="H18625" s="3">
        <v>31</v>
      </c>
      <c r="I18625" s="3">
        <v>0</v>
      </c>
      <c r="J18625" s="3">
        <v>0</v>
      </c>
      <c r="K18625" s="3">
        <v>0</v>
      </c>
      <c r="L18625" s="3">
        <v>0</v>
      </c>
      <c r="M18625" s="3">
        <v>31</v>
      </c>
      <c r="N18625" s="3">
        <v>0</v>
      </c>
      <c r="O18625" s="3" t="s">
        <v>10</v>
      </c>
      <c r="P18625" s="3" t="s">
        <v>9</v>
      </c>
      <c r="Q18625" s="3"/>
    </row>
    <row r="18626" spans="1:17" ht="15" x14ac:dyDescent="0.25">
      <c r="A18626" s="3">
        <f>18619</f>
        <v>18619</v>
      </c>
      <c r="B18626" s="3" t="s">
        <v>18628</v>
      </c>
      <c r="C18626" s="3" t="s">
        <v>10</v>
      </c>
      <c r="D18626" s="3" t="s">
        <v>9</v>
      </c>
      <c r="E18626" s="3">
        <v>0</v>
      </c>
      <c r="F18626" s="3">
        <v>0</v>
      </c>
      <c r="G18626" s="3">
        <v>0</v>
      </c>
      <c r="H18626" s="3">
        <v>31</v>
      </c>
      <c r="I18626" s="3">
        <v>0</v>
      </c>
      <c r="J18626" s="3">
        <v>0</v>
      </c>
      <c r="K18626" s="3">
        <v>0</v>
      </c>
      <c r="L18626" s="3">
        <v>0</v>
      </c>
      <c r="M18626" s="3">
        <v>31</v>
      </c>
      <c r="N18626" s="3">
        <v>0</v>
      </c>
      <c r="O18626" s="3" t="s">
        <v>10</v>
      </c>
      <c r="P18626" s="3" t="s">
        <v>9</v>
      </c>
      <c r="Q18626" s="3"/>
    </row>
    <row r="18627" spans="1:17" ht="15" x14ac:dyDescent="0.25">
      <c r="A18627" s="3">
        <f>18620</f>
        <v>18620</v>
      </c>
      <c r="B18627" s="3" t="s">
        <v>18629</v>
      </c>
      <c r="C18627" s="3" t="s">
        <v>10</v>
      </c>
      <c r="D18627" s="3" t="s">
        <v>9</v>
      </c>
      <c r="E18627" s="3">
        <v>0</v>
      </c>
      <c r="F18627" s="3">
        <v>0</v>
      </c>
      <c r="G18627" s="3">
        <v>0</v>
      </c>
      <c r="H18627" s="3">
        <v>31</v>
      </c>
      <c r="I18627" s="3">
        <v>0</v>
      </c>
      <c r="J18627" s="3">
        <v>0</v>
      </c>
      <c r="K18627" s="3">
        <v>0</v>
      </c>
      <c r="L18627" s="3">
        <v>0</v>
      </c>
      <c r="M18627" s="3">
        <v>31</v>
      </c>
      <c r="N18627" s="3">
        <v>0</v>
      </c>
      <c r="O18627" s="3" t="s">
        <v>10</v>
      </c>
      <c r="P18627" s="3" t="s">
        <v>9</v>
      </c>
      <c r="Q18627" s="3"/>
    </row>
    <row r="18628" spans="1:17" ht="15" x14ac:dyDescent="0.25">
      <c r="A18628" s="3">
        <f>18621</f>
        <v>18621</v>
      </c>
      <c r="B18628" s="3" t="s">
        <v>18630</v>
      </c>
      <c r="C18628" s="3" t="s">
        <v>10</v>
      </c>
      <c r="D18628" s="3" t="s">
        <v>9</v>
      </c>
      <c r="E18628" s="3">
        <v>0</v>
      </c>
      <c r="F18628" s="3">
        <v>0</v>
      </c>
      <c r="G18628" s="3">
        <v>0</v>
      </c>
      <c r="H18628" s="3">
        <v>31</v>
      </c>
      <c r="I18628" s="3">
        <v>0</v>
      </c>
      <c r="J18628" s="3">
        <v>0</v>
      </c>
      <c r="K18628" s="3">
        <v>0</v>
      </c>
      <c r="L18628" s="3">
        <v>0</v>
      </c>
      <c r="M18628" s="3">
        <v>31</v>
      </c>
      <c r="N18628" s="3">
        <v>0</v>
      </c>
      <c r="O18628" s="3" t="s">
        <v>10</v>
      </c>
      <c r="P18628" s="3" t="s">
        <v>9</v>
      </c>
      <c r="Q18628" s="3"/>
    </row>
    <row r="18629" spans="1:17" ht="15" x14ac:dyDescent="0.25">
      <c r="A18629" s="3">
        <f>18622</f>
        <v>18622</v>
      </c>
      <c r="B18629" s="3" t="s">
        <v>18631</v>
      </c>
      <c r="C18629" s="3" t="s">
        <v>10</v>
      </c>
      <c r="D18629" s="3" t="s">
        <v>9</v>
      </c>
      <c r="E18629" s="3">
        <v>0</v>
      </c>
      <c r="F18629" s="3">
        <v>0</v>
      </c>
      <c r="G18629" s="3">
        <v>0</v>
      </c>
      <c r="H18629" s="3">
        <v>31</v>
      </c>
      <c r="I18629" s="3">
        <v>0</v>
      </c>
      <c r="J18629" s="3">
        <v>0</v>
      </c>
      <c r="K18629" s="3">
        <v>0</v>
      </c>
      <c r="L18629" s="3">
        <v>0</v>
      </c>
      <c r="M18629" s="3">
        <v>31</v>
      </c>
      <c r="N18629" s="3">
        <v>0</v>
      </c>
      <c r="O18629" s="3" t="s">
        <v>10</v>
      </c>
      <c r="P18629" s="3" t="s">
        <v>9</v>
      </c>
      <c r="Q18629" s="3"/>
    </row>
    <row r="18630" spans="1:17" ht="15" x14ac:dyDescent="0.25">
      <c r="A18630" s="3">
        <f>18623</f>
        <v>18623</v>
      </c>
      <c r="B18630" s="3" t="s">
        <v>18632</v>
      </c>
      <c r="C18630" s="3" t="s">
        <v>10</v>
      </c>
      <c r="D18630" s="3" t="s">
        <v>9</v>
      </c>
      <c r="E18630" s="3">
        <v>0</v>
      </c>
      <c r="F18630" s="3">
        <v>0</v>
      </c>
      <c r="G18630" s="3">
        <v>0</v>
      </c>
      <c r="H18630" s="3">
        <v>31</v>
      </c>
      <c r="I18630" s="3">
        <v>0</v>
      </c>
      <c r="J18630" s="3">
        <v>0</v>
      </c>
      <c r="K18630" s="3">
        <v>0</v>
      </c>
      <c r="L18630" s="3">
        <v>0</v>
      </c>
      <c r="M18630" s="3">
        <v>31</v>
      </c>
      <c r="N18630" s="3">
        <v>0</v>
      </c>
      <c r="O18630" s="3" t="s">
        <v>10</v>
      </c>
      <c r="P18630" s="3" t="s">
        <v>9</v>
      </c>
      <c r="Q18630" s="3"/>
    </row>
    <row r="18631" spans="1:17" ht="15" x14ac:dyDescent="0.25">
      <c r="A18631" s="3">
        <f>18624</f>
        <v>18624</v>
      </c>
      <c r="B18631" s="3" t="s">
        <v>18633</v>
      </c>
      <c r="C18631" s="3" t="s">
        <v>10</v>
      </c>
      <c r="D18631" s="3" t="s">
        <v>9</v>
      </c>
      <c r="E18631" s="3">
        <v>0</v>
      </c>
      <c r="F18631" s="3">
        <v>0</v>
      </c>
      <c r="G18631" s="3">
        <v>0</v>
      </c>
      <c r="H18631" s="3">
        <v>31</v>
      </c>
      <c r="I18631" s="3">
        <v>0</v>
      </c>
      <c r="J18631" s="3">
        <v>0</v>
      </c>
      <c r="K18631" s="3">
        <v>0</v>
      </c>
      <c r="L18631" s="3">
        <v>0</v>
      </c>
      <c r="M18631" s="3">
        <v>31</v>
      </c>
      <c r="N18631" s="3">
        <v>0</v>
      </c>
      <c r="O18631" s="3" t="s">
        <v>10</v>
      </c>
      <c r="P18631" s="3" t="s">
        <v>9</v>
      </c>
      <c r="Q18631" s="3"/>
    </row>
    <row r="18632" spans="1:17" ht="15" x14ac:dyDescent="0.25">
      <c r="A18632" s="3">
        <f>18625</f>
        <v>18625</v>
      </c>
      <c r="B18632" s="3" t="s">
        <v>18634</v>
      </c>
      <c r="C18632" s="3" t="s">
        <v>10</v>
      </c>
      <c r="D18632" s="3" t="s">
        <v>9</v>
      </c>
      <c r="E18632" s="3">
        <v>0</v>
      </c>
      <c r="F18632" s="3">
        <v>0</v>
      </c>
      <c r="G18632" s="3">
        <v>0</v>
      </c>
      <c r="H18632" s="3">
        <v>31</v>
      </c>
      <c r="I18632" s="3">
        <v>0</v>
      </c>
      <c r="J18632" s="3">
        <v>0</v>
      </c>
      <c r="K18632" s="3">
        <v>0</v>
      </c>
      <c r="L18632" s="3">
        <v>0</v>
      </c>
      <c r="M18632" s="3">
        <v>31</v>
      </c>
      <c r="N18632" s="3">
        <v>0</v>
      </c>
      <c r="O18632" s="3" t="s">
        <v>10</v>
      </c>
      <c r="P18632" s="3" t="s">
        <v>9</v>
      </c>
      <c r="Q18632" s="3"/>
    </row>
    <row r="18633" spans="1:17" ht="15" x14ac:dyDescent="0.25">
      <c r="A18633" s="3">
        <f>18626</f>
        <v>18626</v>
      </c>
      <c r="B18633" s="3" t="s">
        <v>18635</v>
      </c>
      <c r="C18633" s="3" t="s">
        <v>10</v>
      </c>
      <c r="D18633" s="3" t="s">
        <v>9</v>
      </c>
      <c r="E18633" s="3">
        <v>0</v>
      </c>
      <c r="F18633" s="3">
        <v>0</v>
      </c>
      <c r="G18633" s="3">
        <v>0</v>
      </c>
      <c r="H18633" s="3">
        <v>31</v>
      </c>
      <c r="I18633" s="3">
        <v>0</v>
      </c>
      <c r="J18633" s="3">
        <v>0</v>
      </c>
      <c r="K18633" s="3">
        <v>0</v>
      </c>
      <c r="L18633" s="3">
        <v>0</v>
      </c>
      <c r="M18633" s="3">
        <v>31</v>
      </c>
      <c r="N18633" s="3">
        <v>0</v>
      </c>
      <c r="O18633" s="3" t="s">
        <v>10</v>
      </c>
      <c r="P18633" s="3" t="s">
        <v>9</v>
      </c>
      <c r="Q18633" s="3"/>
    </row>
    <row r="18634" spans="1:17" ht="15" x14ac:dyDescent="0.25">
      <c r="A18634" s="3">
        <f>18627</f>
        <v>18627</v>
      </c>
      <c r="B18634" s="3" t="s">
        <v>18636</v>
      </c>
      <c r="C18634" s="3" t="s">
        <v>10</v>
      </c>
      <c r="D18634" s="3" t="s">
        <v>9</v>
      </c>
      <c r="E18634" s="3">
        <v>0</v>
      </c>
      <c r="F18634" s="3">
        <v>0</v>
      </c>
      <c r="G18634" s="3">
        <v>0</v>
      </c>
      <c r="H18634" s="3">
        <v>31</v>
      </c>
      <c r="I18634" s="3">
        <v>0</v>
      </c>
      <c r="J18634" s="3">
        <v>0</v>
      </c>
      <c r="K18634" s="3">
        <v>0</v>
      </c>
      <c r="L18634" s="3">
        <v>0</v>
      </c>
      <c r="M18634" s="3">
        <v>31</v>
      </c>
      <c r="N18634" s="3">
        <v>0</v>
      </c>
      <c r="O18634" s="3" t="s">
        <v>10</v>
      </c>
      <c r="P18634" s="3" t="s">
        <v>9</v>
      </c>
      <c r="Q18634" s="3"/>
    </row>
    <row r="18635" spans="1:17" ht="15" x14ac:dyDescent="0.25">
      <c r="A18635" s="3">
        <f>18628</f>
        <v>18628</v>
      </c>
      <c r="B18635" s="3" t="s">
        <v>18637</v>
      </c>
      <c r="C18635" s="3" t="s">
        <v>10</v>
      </c>
      <c r="D18635" s="3" t="s">
        <v>9</v>
      </c>
      <c r="E18635" s="3">
        <v>0</v>
      </c>
      <c r="F18635" s="3">
        <v>0</v>
      </c>
      <c r="G18635" s="3">
        <v>0</v>
      </c>
      <c r="H18635" s="3">
        <v>31</v>
      </c>
      <c r="I18635" s="3">
        <v>0</v>
      </c>
      <c r="J18635" s="3">
        <v>0</v>
      </c>
      <c r="K18635" s="3">
        <v>0</v>
      </c>
      <c r="L18635" s="3">
        <v>0</v>
      </c>
      <c r="M18635" s="3">
        <v>31</v>
      </c>
      <c r="N18635" s="3">
        <v>0</v>
      </c>
      <c r="O18635" s="3" t="s">
        <v>10</v>
      </c>
      <c r="P18635" s="3" t="s">
        <v>9</v>
      </c>
      <c r="Q18635" s="3"/>
    </row>
    <row r="18636" spans="1:17" ht="15" x14ac:dyDescent="0.25">
      <c r="A18636" s="3">
        <f>18629</f>
        <v>18629</v>
      </c>
      <c r="B18636" s="3" t="s">
        <v>18638</v>
      </c>
      <c r="C18636" s="3" t="s">
        <v>10</v>
      </c>
      <c r="D18636" s="3" t="s">
        <v>9</v>
      </c>
      <c r="E18636" s="3">
        <v>0</v>
      </c>
      <c r="F18636" s="3">
        <v>0</v>
      </c>
      <c r="G18636" s="3">
        <v>0</v>
      </c>
      <c r="H18636" s="3">
        <v>31</v>
      </c>
      <c r="I18636" s="3">
        <v>0</v>
      </c>
      <c r="J18636" s="3">
        <v>0</v>
      </c>
      <c r="K18636" s="3">
        <v>0</v>
      </c>
      <c r="L18636" s="3">
        <v>0</v>
      </c>
      <c r="M18636" s="3">
        <v>31</v>
      </c>
      <c r="N18636" s="3">
        <v>0</v>
      </c>
      <c r="O18636" s="3" t="s">
        <v>10</v>
      </c>
      <c r="P18636" s="3" t="s">
        <v>9</v>
      </c>
      <c r="Q18636" s="3"/>
    </row>
    <row r="18637" spans="1:17" ht="15" x14ac:dyDescent="0.25">
      <c r="A18637" s="3">
        <f>18630</f>
        <v>18630</v>
      </c>
      <c r="B18637" s="3" t="s">
        <v>18639</v>
      </c>
      <c r="C18637" s="3" t="s">
        <v>10</v>
      </c>
      <c r="D18637" s="3" t="s">
        <v>9</v>
      </c>
      <c r="E18637" s="3">
        <v>0</v>
      </c>
      <c r="F18637" s="3">
        <v>0</v>
      </c>
      <c r="G18637" s="3">
        <v>0</v>
      </c>
      <c r="H18637" s="3">
        <v>31</v>
      </c>
      <c r="I18637" s="3">
        <v>0</v>
      </c>
      <c r="J18637" s="3">
        <v>0</v>
      </c>
      <c r="K18637" s="3">
        <v>0</v>
      </c>
      <c r="L18637" s="3">
        <v>0</v>
      </c>
      <c r="M18637" s="3">
        <v>31</v>
      </c>
      <c r="N18637" s="3">
        <v>0</v>
      </c>
      <c r="O18637" s="3" t="s">
        <v>10</v>
      </c>
      <c r="P18637" s="3" t="s">
        <v>9</v>
      </c>
      <c r="Q18637" s="3"/>
    </row>
    <row r="18638" spans="1:17" ht="15" x14ac:dyDescent="0.25">
      <c r="A18638" s="3">
        <f>18631</f>
        <v>18631</v>
      </c>
      <c r="B18638" s="3" t="s">
        <v>18640</v>
      </c>
      <c r="C18638" s="3" t="s">
        <v>10</v>
      </c>
      <c r="D18638" s="3" t="s">
        <v>9</v>
      </c>
      <c r="E18638" s="3">
        <v>0</v>
      </c>
      <c r="F18638" s="3">
        <v>0</v>
      </c>
      <c r="G18638" s="3">
        <v>0</v>
      </c>
      <c r="H18638" s="3">
        <v>31</v>
      </c>
      <c r="I18638" s="3">
        <v>0</v>
      </c>
      <c r="J18638" s="3">
        <v>0</v>
      </c>
      <c r="K18638" s="3">
        <v>0</v>
      </c>
      <c r="L18638" s="3">
        <v>0</v>
      </c>
      <c r="M18638" s="3">
        <v>31</v>
      </c>
      <c r="N18638" s="3">
        <v>0</v>
      </c>
      <c r="O18638" s="3" t="s">
        <v>10</v>
      </c>
      <c r="P18638" s="3" t="s">
        <v>9</v>
      </c>
      <c r="Q18638" s="3"/>
    </row>
    <row r="18639" spans="1:17" ht="15" x14ac:dyDescent="0.25">
      <c r="A18639" s="3">
        <f>18632</f>
        <v>18632</v>
      </c>
      <c r="B18639" s="3" t="s">
        <v>18641</v>
      </c>
      <c r="C18639" s="3" t="s">
        <v>10</v>
      </c>
      <c r="D18639" s="3" t="s">
        <v>9</v>
      </c>
      <c r="E18639" s="3">
        <v>0</v>
      </c>
      <c r="F18639" s="3">
        <v>0</v>
      </c>
      <c r="G18639" s="3">
        <v>0</v>
      </c>
      <c r="H18639" s="3">
        <v>31</v>
      </c>
      <c r="I18639" s="3">
        <v>0</v>
      </c>
      <c r="J18639" s="3">
        <v>0</v>
      </c>
      <c r="K18639" s="3">
        <v>0</v>
      </c>
      <c r="L18639" s="3">
        <v>0</v>
      </c>
      <c r="M18639" s="3">
        <v>31</v>
      </c>
      <c r="N18639" s="3">
        <v>0</v>
      </c>
      <c r="O18639" s="3" t="s">
        <v>10</v>
      </c>
      <c r="P18639" s="3" t="s">
        <v>9</v>
      </c>
      <c r="Q18639" s="3"/>
    </row>
    <row r="18640" spans="1:17" ht="15" x14ac:dyDescent="0.25">
      <c r="A18640" s="3">
        <f>18633</f>
        <v>18633</v>
      </c>
      <c r="B18640" s="3" t="s">
        <v>18642</v>
      </c>
      <c r="C18640" s="3" t="s">
        <v>10</v>
      </c>
      <c r="D18640" s="3" t="s">
        <v>9</v>
      </c>
      <c r="E18640" s="3">
        <v>0</v>
      </c>
      <c r="F18640" s="3">
        <v>0</v>
      </c>
      <c r="G18640" s="3">
        <v>0</v>
      </c>
      <c r="H18640" s="3">
        <v>31</v>
      </c>
      <c r="I18640" s="3">
        <v>0</v>
      </c>
      <c r="J18640" s="3">
        <v>0</v>
      </c>
      <c r="K18640" s="3">
        <v>0</v>
      </c>
      <c r="L18640" s="3">
        <v>0</v>
      </c>
      <c r="M18640" s="3">
        <v>31</v>
      </c>
      <c r="N18640" s="3">
        <v>0</v>
      </c>
      <c r="O18640" s="3" t="s">
        <v>10</v>
      </c>
      <c r="P18640" s="3" t="s">
        <v>9</v>
      </c>
      <c r="Q18640" s="3"/>
    </row>
    <row r="18641" spans="1:17" ht="15" x14ac:dyDescent="0.25">
      <c r="A18641" s="3">
        <f>18634</f>
        <v>18634</v>
      </c>
      <c r="B18641" s="3" t="s">
        <v>18643</v>
      </c>
      <c r="C18641" s="3" t="s">
        <v>10</v>
      </c>
      <c r="D18641" s="3" t="s">
        <v>9</v>
      </c>
      <c r="E18641" s="3">
        <v>0</v>
      </c>
      <c r="F18641" s="3">
        <v>0</v>
      </c>
      <c r="G18641" s="3">
        <v>0</v>
      </c>
      <c r="H18641" s="3">
        <v>31</v>
      </c>
      <c r="I18641" s="3">
        <v>0</v>
      </c>
      <c r="J18641" s="3">
        <v>0</v>
      </c>
      <c r="K18641" s="3">
        <v>0</v>
      </c>
      <c r="L18641" s="3">
        <v>0</v>
      </c>
      <c r="M18641" s="3">
        <v>31</v>
      </c>
      <c r="N18641" s="3">
        <v>0</v>
      </c>
      <c r="O18641" s="3" t="s">
        <v>10</v>
      </c>
      <c r="P18641" s="3" t="s">
        <v>9</v>
      </c>
      <c r="Q18641" s="3"/>
    </row>
    <row r="18642" spans="1:17" ht="15" x14ac:dyDescent="0.25">
      <c r="A18642" s="3">
        <f>18635</f>
        <v>18635</v>
      </c>
      <c r="B18642" s="3" t="s">
        <v>18644</v>
      </c>
      <c r="C18642" s="3" t="s">
        <v>10</v>
      </c>
      <c r="D18642" s="3" t="s">
        <v>9</v>
      </c>
      <c r="E18642" s="3">
        <v>0</v>
      </c>
      <c r="F18642" s="3">
        <v>0</v>
      </c>
      <c r="G18642" s="3">
        <v>0</v>
      </c>
      <c r="H18642" s="3">
        <v>31</v>
      </c>
      <c r="I18642" s="3">
        <v>0</v>
      </c>
      <c r="J18642" s="3">
        <v>0</v>
      </c>
      <c r="K18642" s="3">
        <v>0</v>
      </c>
      <c r="L18642" s="3">
        <v>0</v>
      </c>
      <c r="M18642" s="3">
        <v>31</v>
      </c>
      <c r="N18642" s="3">
        <v>0</v>
      </c>
      <c r="O18642" s="3" t="s">
        <v>10</v>
      </c>
      <c r="P18642" s="3" t="s">
        <v>9</v>
      </c>
      <c r="Q18642" s="3"/>
    </row>
    <row r="18643" spans="1:17" ht="15" x14ac:dyDescent="0.25">
      <c r="A18643" s="3">
        <f>18636</f>
        <v>18636</v>
      </c>
      <c r="B18643" s="3" t="s">
        <v>18645</v>
      </c>
      <c r="C18643" s="3" t="s">
        <v>10</v>
      </c>
      <c r="D18643" s="3" t="s">
        <v>9</v>
      </c>
      <c r="E18643" s="3">
        <v>0</v>
      </c>
      <c r="F18643" s="3">
        <v>0</v>
      </c>
      <c r="G18643" s="3">
        <v>0</v>
      </c>
      <c r="H18643" s="3">
        <v>31</v>
      </c>
      <c r="I18643" s="3">
        <v>0</v>
      </c>
      <c r="J18643" s="3">
        <v>0</v>
      </c>
      <c r="K18643" s="3">
        <v>0</v>
      </c>
      <c r="L18643" s="3">
        <v>0</v>
      </c>
      <c r="M18643" s="3">
        <v>31</v>
      </c>
      <c r="N18643" s="3">
        <v>0</v>
      </c>
      <c r="O18643" s="3" t="s">
        <v>10</v>
      </c>
      <c r="P18643" s="3" t="s">
        <v>9</v>
      </c>
      <c r="Q18643" s="3"/>
    </row>
    <row r="18644" spans="1:17" ht="15" x14ac:dyDescent="0.25">
      <c r="A18644" s="3">
        <f>18637</f>
        <v>18637</v>
      </c>
      <c r="B18644" s="3" t="s">
        <v>18646</v>
      </c>
      <c r="C18644" s="3" t="s">
        <v>10</v>
      </c>
      <c r="D18644" s="3" t="s">
        <v>9</v>
      </c>
      <c r="E18644" s="3">
        <v>0</v>
      </c>
      <c r="F18644" s="3">
        <v>0</v>
      </c>
      <c r="G18644" s="3">
        <v>0</v>
      </c>
      <c r="H18644" s="3">
        <v>31</v>
      </c>
      <c r="I18644" s="3">
        <v>0</v>
      </c>
      <c r="J18644" s="3">
        <v>0</v>
      </c>
      <c r="K18644" s="3">
        <v>0</v>
      </c>
      <c r="L18644" s="3">
        <v>0</v>
      </c>
      <c r="M18644" s="3">
        <v>31</v>
      </c>
      <c r="N18644" s="3">
        <v>0</v>
      </c>
      <c r="O18644" s="3" t="s">
        <v>10</v>
      </c>
      <c r="P18644" s="3" t="s">
        <v>9</v>
      </c>
      <c r="Q18644" s="3"/>
    </row>
    <row r="18645" spans="1:17" ht="15" x14ac:dyDescent="0.25">
      <c r="A18645" s="3">
        <f>18638</f>
        <v>18638</v>
      </c>
      <c r="B18645" s="3" t="s">
        <v>18647</v>
      </c>
      <c r="C18645" s="3" t="s">
        <v>10</v>
      </c>
      <c r="D18645" s="3" t="s">
        <v>9</v>
      </c>
      <c r="E18645" s="3">
        <v>0</v>
      </c>
      <c r="F18645" s="3">
        <v>0</v>
      </c>
      <c r="G18645" s="3">
        <v>0</v>
      </c>
      <c r="H18645" s="3">
        <v>31</v>
      </c>
      <c r="I18645" s="3">
        <v>0</v>
      </c>
      <c r="J18645" s="3">
        <v>0</v>
      </c>
      <c r="K18645" s="3">
        <v>0</v>
      </c>
      <c r="L18645" s="3">
        <v>0</v>
      </c>
      <c r="M18645" s="3">
        <v>31</v>
      </c>
      <c r="N18645" s="3">
        <v>0</v>
      </c>
      <c r="O18645" s="3" t="s">
        <v>10</v>
      </c>
      <c r="P18645" s="3" t="s">
        <v>9</v>
      </c>
      <c r="Q18645" s="3"/>
    </row>
    <row r="18646" spans="1:17" ht="15" x14ac:dyDescent="0.25">
      <c r="A18646" s="3">
        <f>18639</f>
        <v>18639</v>
      </c>
      <c r="B18646" s="3" t="s">
        <v>18648</v>
      </c>
      <c r="C18646" s="3" t="s">
        <v>10</v>
      </c>
      <c r="D18646" s="3" t="s">
        <v>9</v>
      </c>
      <c r="E18646" s="3">
        <v>0</v>
      </c>
      <c r="F18646" s="3">
        <v>0</v>
      </c>
      <c r="G18646" s="3">
        <v>0</v>
      </c>
      <c r="H18646" s="3">
        <v>31</v>
      </c>
      <c r="I18646" s="3">
        <v>0</v>
      </c>
      <c r="J18646" s="3">
        <v>0</v>
      </c>
      <c r="K18646" s="3">
        <v>0</v>
      </c>
      <c r="L18646" s="3">
        <v>0</v>
      </c>
      <c r="M18646" s="3">
        <v>31</v>
      </c>
      <c r="N18646" s="3">
        <v>0</v>
      </c>
      <c r="O18646" s="3" t="s">
        <v>10</v>
      </c>
      <c r="P18646" s="3" t="s">
        <v>9</v>
      </c>
      <c r="Q18646" s="3"/>
    </row>
    <row r="18647" spans="1:17" ht="15" x14ac:dyDescent="0.25">
      <c r="A18647" s="3">
        <f>18640</f>
        <v>18640</v>
      </c>
      <c r="B18647" s="3" t="s">
        <v>18649</v>
      </c>
      <c r="C18647" s="3" t="s">
        <v>10</v>
      </c>
      <c r="D18647" s="3" t="s">
        <v>9</v>
      </c>
      <c r="E18647" s="3">
        <v>0</v>
      </c>
      <c r="F18647" s="3">
        <v>0</v>
      </c>
      <c r="G18647" s="3">
        <v>0</v>
      </c>
      <c r="H18647" s="3">
        <v>31</v>
      </c>
      <c r="I18647" s="3">
        <v>0</v>
      </c>
      <c r="J18647" s="3">
        <v>0</v>
      </c>
      <c r="K18647" s="3">
        <v>0</v>
      </c>
      <c r="L18647" s="3">
        <v>0</v>
      </c>
      <c r="M18647" s="3">
        <v>31</v>
      </c>
      <c r="N18647" s="3">
        <v>0</v>
      </c>
      <c r="O18647" s="3" t="s">
        <v>10</v>
      </c>
      <c r="P18647" s="3" t="s">
        <v>9</v>
      </c>
      <c r="Q18647" s="3"/>
    </row>
    <row r="18648" spans="1:17" ht="15" x14ac:dyDescent="0.25">
      <c r="A18648" s="3">
        <f>18641</f>
        <v>18641</v>
      </c>
      <c r="B18648" s="3" t="s">
        <v>18650</v>
      </c>
      <c r="C18648" s="3" t="s">
        <v>10</v>
      </c>
      <c r="D18648" s="3" t="s">
        <v>9</v>
      </c>
      <c r="E18648" s="3">
        <v>0</v>
      </c>
      <c r="F18648" s="3">
        <v>0</v>
      </c>
      <c r="G18648" s="3">
        <v>0</v>
      </c>
      <c r="H18648" s="3">
        <v>31</v>
      </c>
      <c r="I18648" s="3">
        <v>0</v>
      </c>
      <c r="J18648" s="3">
        <v>0</v>
      </c>
      <c r="K18648" s="3">
        <v>0</v>
      </c>
      <c r="L18648" s="3">
        <v>0</v>
      </c>
      <c r="M18648" s="3">
        <v>31</v>
      </c>
      <c r="N18648" s="3">
        <v>0</v>
      </c>
      <c r="O18648" s="3" t="s">
        <v>10</v>
      </c>
      <c r="P18648" s="3" t="s">
        <v>9</v>
      </c>
      <c r="Q18648" s="3"/>
    </row>
    <row r="18649" spans="1:17" ht="15" x14ac:dyDescent="0.25">
      <c r="A18649" s="3">
        <f>18642</f>
        <v>18642</v>
      </c>
      <c r="B18649" s="3" t="s">
        <v>18651</v>
      </c>
      <c r="C18649" s="3" t="s">
        <v>10</v>
      </c>
      <c r="D18649" s="3" t="s">
        <v>9</v>
      </c>
      <c r="E18649" s="3">
        <v>0</v>
      </c>
      <c r="F18649" s="3">
        <v>0</v>
      </c>
      <c r="G18649" s="3">
        <v>0</v>
      </c>
      <c r="H18649" s="3">
        <v>31</v>
      </c>
      <c r="I18649" s="3">
        <v>0</v>
      </c>
      <c r="J18649" s="3">
        <v>0</v>
      </c>
      <c r="K18649" s="3">
        <v>0</v>
      </c>
      <c r="L18649" s="3">
        <v>0</v>
      </c>
      <c r="M18649" s="3">
        <v>31</v>
      </c>
      <c r="N18649" s="3">
        <v>0</v>
      </c>
      <c r="O18649" s="3" t="s">
        <v>10</v>
      </c>
      <c r="P18649" s="3" t="s">
        <v>9</v>
      </c>
      <c r="Q18649" s="3"/>
    </row>
    <row r="18650" spans="1:17" ht="15" x14ac:dyDescent="0.25">
      <c r="A18650" s="3">
        <f>18643</f>
        <v>18643</v>
      </c>
      <c r="B18650" s="3" t="s">
        <v>18652</v>
      </c>
      <c r="C18650" s="3" t="s">
        <v>10</v>
      </c>
      <c r="D18650" s="3" t="s">
        <v>9</v>
      </c>
      <c r="E18650" s="3">
        <v>0</v>
      </c>
      <c r="F18650" s="3">
        <v>0</v>
      </c>
      <c r="G18650" s="3">
        <v>0</v>
      </c>
      <c r="H18650" s="3">
        <v>31</v>
      </c>
      <c r="I18650" s="3">
        <v>0</v>
      </c>
      <c r="J18650" s="3">
        <v>0</v>
      </c>
      <c r="K18650" s="3">
        <v>0</v>
      </c>
      <c r="L18650" s="3">
        <v>0</v>
      </c>
      <c r="M18650" s="3">
        <v>31</v>
      </c>
      <c r="N18650" s="3">
        <v>0</v>
      </c>
      <c r="O18650" s="3" t="s">
        <v>10</v>
      </c>
      <c r="P18650" s="3" t="s">
        <v>9</v>
      </c>
      <c r="Q18650" s="3"/>
    </row>
    <row r="18651" spans="1:17" ht="15" x14ac:dyDescent="0.25">
      <c r="A18651" s="3">
        <f>18644</f>
        <v>18644</v>
      </c>
      <c r="B18651" s="3" t="s">
        <v>18653</v>
      </c>
      <c r="C18651" s="3" t="s">
        <v>10</v>
      </c>
      <c r="D18651" s="3" t="s">
        <v>9</v>
      </c>
      <c r="E18651" s="3">
        <v>0</v>
      </c>
      <c r="F18651" s="3">
        <v>0</v>
      </c>
      <c r="G18651" s="3">
        <v>0</v>
      </c>
      <c r="H18651" s="3">
        <v>31</v>
      </c>
      <c r="I18651" s="3">
        <v>0</v>
      </c>
      <c r="J18651" s="3">
        <v>0</v>
      </c>
      <c r="K18651" s="3">
        <v>0</v>
      </c>
      <c r="L18651" s="3">
        <v>0</v>
      </c>
      <c r="M18651" s="3">
        <v>31</v>
      </c>
      <c r="N18651" s="3">
        <v>0</v>
      </c>
      <c r="O18651" s="3" t="s">
        <v>10</v>
      </c>
      <c r="P18651" s="3" t="s">
        <v>9</v>
      </c>
      <c r="Q18651" s="3"/>
    </row>
    <row r="18652" spans="1:17" ht="15" x14ac:dyDescent="0.25">
      <c r="A18652" s="3">
        <f>18645</f>
        <v>18645</v>
      </c>
      <c r="B18652" s="3" t="s">
        <v>18654</v>
      </c>
      <c r="C18652" s="3" t="s">
        <v>10</v>
      </c>
      <c r="D18652" s="3" t="s">
        <v>9</v>
      </c>
      <c r="E18652" s="3">
        <v>0</v>
      </c>
      <c r="F18652" s="3">
        <v>0</v>
      </c>
      <c r="G18652" s="3">
        <v>0</v>
      </c>
      <c r="H18652" s="3">
        <v>31</v>
      </c>
      <c r="I18652" s="3">
        <v>0</v>
      </c>
      <c r="J18652" s="3">
        <v>0</v>
      </c>
      <c r="K18652" s="3">
        <v>0</v>
      </c>
      <c r="L18652" s="3">
        <v>0</v>
      </c>
      <c r="M18652" s="3">
        <v>31</v>
      </c>
      <c r="N18652" s="3">
        <v>0</v>
      </c>
      <c r="O18652" s="3" t="s">
        <v>10</v>
      </c>
      <c r="P18652" s="3" t="s">
        <v>9</v>
      </c>
      <c r="Q18652" s="3"/>
    </row>
    <row r="18653" spans="1:17" ht="15" x14ac:dyDescent="0.25">
      <c r="A18653" s="3">
        <f>18646</f>
        <v>18646</v>
      </c>
      <c r="B18653" s="3" t="s">
        <v>18655</v>
      </c>
      <c r="C18653" s="3" t="s">
        <v>10</v>
      </c>
      <c r="D18653" s="3" t="s">
        <v>9</v>
      </c>
      <c r="E18653" s="3">
        <v>0</v>
      </c>
      <c r="F18653" s="3">
        <v>0</v>
      </c>
      <c r="G18653" s="3">
        <v>0</v>
      </c>
      <c r="H18653" s="3">
        <v>31</v>
      </c>
      <c r="I18653" s="3">
        <v>0</v>
      </c>
      <c r="J18653" s="3">
        <v>0</v>
      </c>
      <c r="K18653" s="3">
        <v>0</v>
      </c>
      <c r="L18653" s="3">
        <v>0</v>
      </c>
      <c r="M18653" s="3">
        <v>31</v>
      </c>
      <c r="N18653" s="3">
        <v>0</v>
      </c>
      <c r="O18653" s="3" t="s">
        <v>10</v>
      </c>
      <c r="P18653" s="3" t="s">
        <v>9</v>
      </c>
      <c r="Q18653" s="3"/>
    </row>
    <row r="18654" spans="1:17" ht="15" x14ac:dyDescent="0.25">
      <c r="A18654" s="3">
        <f>18647</f>
        <v>18647</v>
      </c>
      <c r="B18654" s="3" t="s">
        <v>18656</v>
      </c>
      <c r="C18654" s="3" t="s">
        <v>10</v>
      </c>
      <c r="D18654" s="3" t="s">
        <v>9</v>
      </c>
      <c r="E18654" s="3">
        <v>0</v>
      </c>
      <c r="F18654" s="3">
        <v>0</v>
      </c>
      <c r="G18654" s="3">
        <v>0</v>
      </c>
      <c r="H18654" s="3">
        <v>31</v>
      </c>
      <c r="I18654" s="3">
        <v>0</v>
      </c>
      <c r="J18654" s="3">
        <v>0</v>
      </c>
      <c r="K18654" s="3">
        <v>0</v>
      </c>
      <c r="L18654" s="3">
        <v>0</v>
      </c>
      <c r="M18654" s="3">
        <v>31</v>
      </c>
      <c r="N18654" s="3">
        <v>0</v>
      </c>
      <c r="O18654" s="3" t="s">
        <v>10</v>
      </c>
      <c r="P18654" s="3" t="s">
        <v>9</v>
      </c>
      <c r="Q18654" s="3"/>
    </row>
    <row r="18655" spans="1:17" ht="15" x14ac:dyDescent="0.25">
      <c r="A18655" s="3">
        <f>18648</f>
        <v>18648</v>
      </c>
      <c r="B18655" s="3" t="s">
        <v>18657</v>
      </c>
      <c r="C18655" s="3" t="s">
        <v>10</v>
      </c>
      <c r="D18655" s="3" t="s">
        <v>9</v>
      </c>
      <c r="E18655" s="3">
        <v>0</v>
      </c>
      <c r="F18655" s="3">
        <v>0</v>
      </c>
      <c r="G18655" s="3">
        <v>0</v>
      </c>
      <c r="H18655" s="3">
        <v>31</v>
      </c>
      <c r="I18655" s="3">
        <v>0</v>
      </c>
      <c r="J18655" s="3">
        <v>0</v>
      </c>
      <c r="K18655" s="3">
        <v>0</v>
      </c>
      <c r="L18655" s="3">
        <v>0</v>
      </c>
      <c r="M18655" s="3">
        <v>31</v>
      </c>
      <c r="N18655" s="3">
        <v>0</v>
      </c>
      <c r="O18655" s="3" t="s">
        <v>10</v>
      </c>
      <c r="P18655" s="3" t="s">
        <v>9</v>
      </c>
      <c r="Q18655" s="3"/>
    </row>
    <row r="18656" spans="1:17" ht="15" x14ac:dyDescent="0.25">
      <c r="A18656" s="3">
        <f>18649</f>
        <v>18649</v>
      </c>
      <c r="B18656" s="3" t="s">
        <v>18658</v>
      </c>
      <c r="C18656" s="3" t="s">
        <v>10</v>
      </c>
      <c r="D18656" s="3" t="s">
        <v>9</v>
      </c>
      <c r="E18656" s="3">
        <v>0</v>
      </c>
      <c r="F18656" s="3">
        <v>0</v>
      </c>
      <c r="G18656" s="3">
        <v>0</v>
      </c>
      <c r="H18656" s="3">
        <v>31</v>
      </c>
      <c r="I18656" s="3">
        <v>0</v>
      </c>
      <c r="J18656" s="3">
        <v>0</v>
      </c>
      <c r="K18656" s="3">
        <v>0</v>
      </c>
      <c r="L18656" s="3">
        <v>0</v>
      </c>
      <c r="M18656" s="3">
        <v>31</v>
      </c>
      <c r="N18656" s="3">
        <v>0</v>
      </c>
      <c r="O18656" s="3" t="s">
        <v>10</v>
      </c>
      <c r="P18656" s="3" t="s">
        <v>9</v>
      </c>
      <c r="Q18656" s="3"/>
    </row>
    <row r="18657" spans="1:17" ht="15" x14ac:dyDescent="0.25">
      <c r="A18657" s="3">
        <f>18650</f>
        <v>18650</v>
      </c>
      <c r="B18657" s="3" t="s">
        <v>18659</v>
      </c>
      <c r="C18657" s="3" t="s">
        <v>10</v>
      </c>
      <c r="D18657" s="3" t="s">
        <v>9</v>
      </c>
      <c r="E18657" s="3">
        <v>0</v>
      </c>
      <c r="F18657" s="3">
        <v>0</v>
      </c>
      <c r="G18657" s="3">
        <v>0</v>
      </c>
      <c r="H18657" s="3">
        <v>31</v>
      </c>
      <c r="I18657" s="3">
        <v>0</v>
      </c>
      <c r="J18657" s="3">
        <v>0</v>
      </c>
      <c r="K18657" s="3">
        <v>0</v>
      </c>
      <c r="L18657" s="3">
        <v>0</v>
      </c>
      <c r="M18657" s="3">
        <v>31</v>
      </c>
      <c r="N18657" s="3">
        <v>0</v>
      </c>
      <c r="O18657" s="3" t="s">
        <v>10</v>
      </c>
      <c r="P18657" s="3" t="s">
        <v>9</v>
      </c>
      <c r="Q18657" s="3"/>
    </row>
    <row r="18658" spans="1:17" ht="15" x14ac:dyDescent="0.25">
      <c r="A18658" s="3">
        <f>18651</f>
        <v>18651</v>
      </c>
      <c r="B18658" s="3" t="s">
        <v>18660</v>
      </c>
      <c r="C18658" s="3" t="s">
        <v>10</v>
      </c>
      <c r="D18658" s="3" t="s">
        <v>9</v>
      </c>
      <c r="E18658" s="3">
        <v>0</v>
      </c>
      <c r="F18658" s="3">
        <v>0</v>
      </c>
      <c r="G18658" s="3">
        <v>0</v>
      </c>
      <c r="H18658" s="3">
        <v>31</v>
      </c>
      <c r="I18658" s="3">
        <v>0</v>
      </c>
      <c r="J18658" s="3">
        <v>0</v>
      </c>
      <c r="K18658" s="3">
        <v>0</v>
      </c>
      <c r="L18658" s="3">
        <v>0</v>
      </c>
      <c r="M18658" s="3">
        <v>31</v>
      </c>
      <c r="N18658" s="3">
        <v>0</v>
      </c>
      <c r="O18658" s="3" t="s">
        <v>10</v>
      </c>
      <c r="P18658" s="3" t="s">
        <v>9</v>
      </c>
      <c r="Q18658" s="3"/>
    </row>
    <row r="18659" spans="1:17" ht="15" x14ac:dyDescent="0.25">
      <c r="A18659" s="3">
        <f>18652</f>
        <v>18652</v>
      </c>
      <c r="B18659" s="3" t="s">
        <v>18661</v>
      </c>
      <c r="C18659" s="3" t="s">
        <v>10</v>
      </c>
      <c r="D18659" s="3" t="s">
        <v>9</v>
      </c>
      <c r="E18659" s="3">
        <v>0</v>
      </c>
      <c r="F18659" s="3">
        <v>0</v>
      </c>
      <c r="G18659" s="3">
        <v>0</v>
      </c>
      <c r="H18659" s="3">
        <v>31</v>
      </c>
      <c r="I18659" s="3">
        <v>0</v>
      </c>
      <c r="J18659" s="3">
        <v>0</v>
      </c>
      <c r="K18659" s="3">
        <v>0</v>
      </c>
      <c r="L18659" s="3">
        <v>0</v>
      </c>
      <c r="M18659" s="3">
        <v>31</v>
      </c>
      <c r="N18659" s="3">
        <v>0</v>
      </c>
      <c r="O18659" s="3" t="s">
        <v>10</v>
      </c>
      <c r="P18659" s="3" t="s">
        <v>9</v>
      </c>
      <c r="Q18659" s="3"/>
    </row>
    <row r="18660" spans="1:17" ht="15" x14ac:dyDescent="0.25">
      <c r="A18660" s="3">
        <f>18653</f>
        <v>18653</v>
      </c>
      <c r="B18660" s="3" t="s">
        <v>18662</v>
      </c>
      <c r="C18660" s="3" t="s">
        <v>10</v>
      </c>
      <c r="D18660" s="3" t="s">
        <v>9</v>
      </c>
      <c r="E18660" s="3">
        <v>0</v>
      </c>
      <c r="F18660" s="3">
        <v>0</v>
      </c>
      <c r="G18660" s="3">
        <v>0</v>
      </c>
      <c r="H18660" s="3">
        <v>31</v>
      </c>
      <c r="I18660" s="3">
        <v>0</v>
      </c>
      <c r="J18660" s="3">
        <v>0</v>
      </c>
      <c r="K18660" s="3">
        <v>0</v>
      </c>
      <c r="L18660" s="3">
        <v>0</v>
      </c>
      <c r="M18660" s="3">
        <v>31</v>
      </c>
      <c r="N18660" s="3">
        <v>0</v>
      </c>
      <c r="O18660" s="3" t="s">
        <v>10</v>
      </c>
      <c r="P18660" s="3" t="s">
        <v>9</v>
      </c>
      <c r="Q18660" s="3"/>
    </row>
    <row r="18661" spans="1:17" ht="15" x14ac:dyDescent="0.25">
      <c r="A18661" s="3">
        <f>18654</f>
        <v>18654</v>
      </c>
      <c r="B18661" s="3" t="s">
        <v>18663</v>
      </c>
      <c r="C18661" s="3" t="s">
        <v>10</v>
      </c>
      <c r="D18661" s="3" t="s">
        <v>9</v>
      </c>
      <c r="E18661" s="3">
        <v>0</v>
      </c>
      <c r="F18661" s="3">
        <v>0</v>
      </c>
      <c r="G18661" s="3">
        <v>0</v>
      </c>
      <c r="H18661" s="3">
        <v>31</v>
      </c>
      <c r="I18661" s="3">
        <v>0</v>
      </c>
      <c r="J18661" s="3">
        <v>0</v>
      </c>
      <c r="K18661" s="3">
        <v>0</v>
      </c>
      <c r="L18661" s="3">
        <v>0</v>
      </c>
      <c r="M18661" s="3">
        <v>31</v>
      </c>
      <c r="N18661" s="3">
        <v>0</v>
      </c>
      <c r="O18661" s="3" t="s">
        <v>10</v>
      </c>
      <c r="P18661" s="3" t="s">
        <v>9</v>
      </c>
      <c r="Q18661" s="3"/>
    </row>
    <row r="18662" spans="1:17" ht="15" x14ac:dyDescent="0.25">
      <c r="A18662" s="3">
        <f>18655</f>
        <v>18655</v>
      </c>
      <c r="B18662" s="3" t="s">
        <v>18664</v>
      </c>
      <c r="C18662" s="3" t="s">
        <v>10</v>
      </c>
      <c r="D18662" s="3" t="s">
        <v>9</v>
      </c>
      <c r="E18662" s="3">
        <v>0</v>
      </c>
      <c r="F18662" s="3">
        <v>0</v>
      </c>
      <c r="G18662" s="3">
        <v>0</v>
      </c>
      <c r="H18662" s="3">
        <v>31</v>
      </c>
      <c r="I18662" s="3">
        <v>0</v>
      </c>
      <c r="J18662" s="3">
        <v>0</v>
      </c>
      <c r="K18662" s="3">
        <v>0</v>
      </c>
      <c r="L18662" s="3">
        <v>0</v>
      </c>
      <c r="M18662" s="3">
        <v>31</v>
      </c>
      <c r="N18662" s="3">
        <v>0</v>
      </c>
      <c r="O18662" s="3" t="s">
        <v>10</v>
      </c>
      <c r="P18662" s="3" t="s">
        <v>9</v>
      </c>
      <c r="Q18662" s="3"/>
    </row>
    <row r="18663" spans="1:17" ht="15" x14ac:dyDescent="0.25">
      <c r="A18663" s="3">
        <f>18656</f>
        <v>18656</v>
      </c>
      <c r="B18663" s="3" t="s">
        <v>18665</v>
      </c>
      <c r="C18663" s="3" t="s">
        <v>10</v>
      </c>
      <c r="D18663" s="3" t="s">
        <v>9</v>
      </c>
      <c r="E18663" s="3">
        <v>0</v>
      </c>
      <c r="F18663" s="3">
        <v>0</v>
      </c>
      <c r="G18663" s="3">
        <v>0</v>
      </c>
      <c r="H18663" s="3">
        <v>31</v>
      </c>
      <c r="I18663" s="3">
        <v>0</v>
      </c>
      <c r="J18663" s="3">
        <v>0</v>
      </c>
      <c r="K18663" s="3">
        <v>0</v>
      </c>
      <c r="L18663" s="3">
        <v>0</v>
      </c>
      <c r="M18663" s="3">
        <v>31</v>
      </c>
      <c r="N18663" s="3">
        <v>0</v>
      </c>
      <c r="O18663" s="3" t="s">
        <v>10</v>
      </c>
      <c r="P18663" s="3" t="s">
        <v>9</v>
      </c>
      <c r="Q18663" s="3"/>
    </row>
    <row r="18664" spans="1:17" ht="15" x14ac:dyDescent="0.25">
      <c r="A18664" s="3">
        <f>18657</f>
        <v>18657</v>
      </c>
      <c r="B18664" s="3" t="s">
        <v>18666</v>
      </c>
      <c r="C18664" s="3" t="s">
        <v>10</v>
      </c>
      <c r="D18664" s="3" t="s">
        <v>9</v>
      </c>
      <c r="E18664" s="3">
        <v>0</v>
      </c>
      <c r="F18664" s="3">
        <v>0</v>
      </c>
      <c r="G18664" s="3">
        <v>0</v>
      </c>
      <c r="H18664" s="3">
        <v>31</v>
      </c>
      <c r="I18664" s="3">
        <v>0</v>
      </c>
      <c r="J18664" s="3">
        <v>0</v>
      </c>
      <c r="K18664" s="3">
        <v>0</v>
      </c>
      <c r="L18664" s="3">
        <v>0</v>
      </c>
      <c r="M18664" s="3">
        <v>31</v>
      </c>
      <c r="N18664" s="3">
        <v>0</v>
      </c>
      <c r="O18664" s="3" t="s">
        <v>10</v>
      </c>
      <c r="P18664" s="3" t="s">
        <v>9</v>
      </c>
      <c r="Q18664" s="3"/>
    </row>
    <row r="18665" spans="1:17" ht="15" x14ac:dyDescent="0.25">
      <c r="A18665" s="3">
        <f>18658</f>
        <v>18658</v>
      </c>
      <c r="B18665" s="3" t="s">
        <v>18667</v>
      </c>
      <c r="C18665" s="3" t="s">
        <v>10</v>
      </c>
      <c r="D18665" s="3" t="s">
        <v>9</v>
      </c>
      <c r="E18665" s="3">
        <v>0</v>
      </c>
      <c r="F18665" s="3">
        <v>0</v>
      </c>
      <c r="G18665" s="3">
        <v>0</v>
      </c>
      <c r="H18665" s="3">
        <v>31</v>
      </c>
      <c r="I18665" s="3">
        <v>0</v>
      </c>
      <c r="J18665" s="3">
        <v>0</v>
      </c>
      <c r="K18665" s="3">
        <v>0</v>
      </c>
      <c r="L18665" s="3">
        <v>0</v>
      </c>
      <c r="M18665" s="3">
        <v>31</v>
      </c>
      <c r="N18665" s="3">
        <v>0</v>
      </c>
      <c r="O18665" s="3" t="s">
        <v>10</v>
      </c>
      <c r="P18665" s="3" t="s">
        <v>9</v>
      </c>
      <c r="Q18665" s="3"/>
    </row>
    <row r="18666" spans="1:17" ht="15" x14ac:dyDescent="0.25">
      <c r="A18666" s="3">
        <f>18659</f>
        <v>18659</v>
      </c>
      <c r="B18666" s="3" t="s">
        <v>18668</v>
      </c>
      <c r="C18666" s="3" t="s">
        <v>10</v>
      </c>
      <c r="D18666" s="3" t="s">
        <v>9</v>
      </c>
      <c r="E18666" s="3">
        <v>0</v>
      </c>
      <c r="F18666" s="3">
        <v>0</v>
      </c>
      <c r="G18666" s="3">
        <v>0</v>
      </c>
      <c r="H18666" s="3">
        <v>31</v>
      </c>
      <c r="I18666" s="3">
        <v>0</v>
      </c>
      <c r="J18666" s="3">
        <v>0</v>
      </c>
      <c r="K18666" s="3">
        <v>0</v>
      </c>
      <c r="L18666" s="3">
        <v>0</v>
      </c>
      <c r="M18666" s="3">
        <v>31</v>
      </c>
      <c r="N18666" s="3">
        <v>0</v>
      </c>
      <c r="O18666" s="3" t="s">
        <v>10</v>
      </c>
      <c r="P18666" s="3" t="s">
        <v>9</v>
      </c>
      <c r="Q18666" s="3"/>
    </row>
    <row r="18667" spans="1:17" ht="15" x14ac:dyDescent="0.25">
      <c r="A18667" s="3">
        <f>18660</f>
        <v>18660</v>
      </c>
      <c r="B18667" s="3" t="s">
        <v>18669</v>
      </c>
      <c r="C18667" s="3" t="s">
        <v>10</v>
      </c>
      <c r="D18667" s="3" t="s">
        <v>9</v>
      </c>
      <c r="E18667" s="3">
        <v>0</v>
      </c>
      <c r="F18667" s="3">
        <v>0</v>
      </c>
      <c r="G18667" s="3">
        <v>0</v>
      </c>
      <c r="H18667" s="3">
        <v>31</v>
      </c>
      <c r="I18667" s="3">
        <v>0</v>
      </c>
      <c r="J18667" s="3">
        <v>0</v>
      </c>
      <c r="K18667" s="3">
        <v>0</v>
      </c>
      <c r="L18667" s="3">
        <v>0</v>
      </c>
      <c r="M18667" s="3">
        <v>31</v>
      </c>
      <c r="N18667" s="3">
        <v>0</v>
      </c>
      <c r="O18667" s="3" t="s">
        <v>10</v>
      </c>
      <c r="P18667" s="3" t="s">
        <v>9</v>
      </c>
      <c r="Q18667" s="3"/>
    </row>
    <row r="18668" spans="1:17" ht="15" x14ac:dyDescent="0.25">
      <c r="A18668" s="3">
        <f>18661</f>
        <v>18661</v>
      </c>
      <c r="B18668" s="3" t="s">
        <v>18670</v>
      </c>
      <c r="C18668" s="3" t="s">
        <v>10</v>
      </c>
      <c r="D18668" s="3" t="s">
        <v>9</v>
      </c>
      <c r="E18668" s="3">
        <v>0</v>
      </c>
      <c r="F18668" s="3">
        <v>0</v>
      </c>
      <c r="G18668" s="3">
        <v>0</v>
      </c>
      <c r="H18668" s="3">
        <v>31</v>
      </c>
      <c r="I18668" s="3">
        <v>0</v>
      </c>
      <c r="J18668" s="3">
        <v>0</v>
      </c>
      <c r="K18668" s="3">
        <v>0</v>
      </c>
      <c r="L18668" s="3">
        <v>0</v>
      </c>
      <c r="M18668" s="3">
        <v>31</v>
      </c>
      <c r="N18668" s="3">
        <v>0</v>
      </c>
      <c r="O18668" s="3" t="s">
        <v>10</v>
      </c>
      <c r="P18668" s="3" t="s">
        <v>9</v>
      </c>
      <c r="Q18668" s="3"/>
    </row>
    <row r="18669" spans="1:17" ht="15" x14ac:dyDescent="0.25">
      <c r="A18669" s="3">
        <f>18662</f>
        <v>18662</v>
      </c>
      <c r="B18669" s="3" t="s">
        <v>18671</v>
      </c>
      <c r="C18669" s="3" t="s">
        <v>10</v>
      </c>
      <c r="D18669" s="3" t="s">
        <v>9</v>
      </c>
      <c r="E18669" s="3">
        <v>0</v>
      </c>
      <c r="F18669" s="3">
        <v>0</v>
      </c>
      <c r="G18669" s="3">
        <v>0</v>
      </c>
      <c r="H18669" s="3">
        <v>31</v>
      </c>
      <c r="I18669" s="3">
        <v>0</v>
      </c>
      <c r="J18669" s="3">
        <v>0</v>
      </c>
      <c r="K18669" s="3">
        <v>0</v>
      </c>
      <c r="L18669" s="3">
        <v>0</v>
      </c>
      <c r="M18669" s="3">
        <v>31</v>
      </c>
      <c r="N18669" s="3">
        <v>0</v>
      </c>
      <c r="O18669" s="3" t="s">
        <v>10</v>
      </c>
      <c r="P18669" s="3" t="s">
        <v>9</v>
      </c>
      <c r="Q18669" s="3"/>
    </row>
    <row r="18670" spans="1:17" ht="15" x14ac:dyDescent="0.25">
      <c r="A18670" s="3">
        <f>18663</f>
        <v>18663</v>
      </c>
      <c r="B18670" s="3" t="s">
        <v>18672</v>
      </c>
      <c r="C18670" s="3" t="s">
        <v>10</v>
      </c>
      <c r="D18670" s="3" t="s">
        <v>9</v>
      </c>
      <c r="E18670" s="3">
        <v>0</v>
      </c>
      <c r="F18670" s="3">
        <v>0</v>
      </c>
      <c r="G18670" s="3">
        <v>0</v>
      </c>
      <c r="H18670" s="3">
        <v>31</v>
      </c>
      <c r="I18670" s="3">
        <v>0</v>
      </c>
      <c r="J18670" s="3">
        <v>0</v>
      </c>
      <c r="K18670" s="3">
        <v>0</v>
      </c>
      <c r="L18670" s="3">
        <v>0</v>
      </c>
      <c r="M18670" s="3">
        <v>31</v>
      </c>
      <c r="N18670" s="3">
        <v>0</v>
      </c>
      <c r="O18670" s="3" t="s">
        <v>10</v>
      </c>
      <c r="P18670" s="3" t="s">
        <v>9</v>
      </c>
      <c r="Q18670" s="3"/>
    </row>
    <row r="18671" spans="1:17" ht="15" x14ac:dyDescent="0.25">
      <c r="A18671" s="3">
        <f>18664</f>
        <v>18664</v>
      </c>
      <c r="B18671" s="3" t="s">
        <v>18673</v>
      </c>
      <c r="C18671" s="3" t="s">
        <v>10</v>
      </c>
      <c r="D18671" s="3" t="s">
        <v>9</v>
      </c>
      <c r="E18671" s="3">
        <v>0</v>
      </c>
      <c r="F18671" s="3">
        <v>0</v>
      </c>
      <c r="G18671" s="3">
        <v>0</v>
      </c>
      <c r="H18671" s="3">
        <v>31</v>
      </c>
      <c r="I18671" s="3">
        <v>0</v>
      </c>
      <c r="J18671" s="3">
        <v>0</v>
      </c>
      <c r="K18671" s="3">
        <v>0</v>
      </c>
      <c r="L18671" s="3">
        <v>0</v>
      </c>
      <c r="M18671" s="3">
        <v>31</v>
      </c>
      <c r="N18671" s="3">
        <v>0</v>
      </c>
      <c r="O18671" s="3" t="s">
        <v>10</v>
      </c>
      <c r="P18671" s="3" t="s">
        <v>9</v>
      </c>
      <c r="Q18671" s="3"/>
    </row>
    <row r="18672" spans="1:17" ht="15" x14ac:dyDescent="0.25">
      <c r="A18672" s="3">
        <f>18665</f>
        <v>18665</v>
      </c>
      <c r="B18672" s="3" t="s">
        <v>18674</v>
      </c>
      <c r="C18672" s="3" t="s">
        <v>10</v>
      </c>
      <c r="D18672" s="3" t="s">
        <v>9</v>
      </c>
      <c r="E18672" s="3">
        <v>0</v>
      </c>
      <c r="F18672" s="3">
        <v>0</v>
      </c>
      <c r="G18672" s="3">
        <v>0</v>
      </c>
      <c r="H18672" s="3">
        <v>31</v>
      </c>
      <c r="I18672" s="3">
        <v>0</v>
      </c>
      <c r="J18672" s="3">
        <v>0</v>
      </c>
      <c r="K18672" s="3">
        <v>0</v>
      </c>
      <c r="L18672" s="3">
        <v>0</v>
      </c>
      <c r="M18672" s="3">
        <v>31</v>
      </c>
      <c r="N18672" s="3">
        <v>0</v>
      </c>
      <c r="O18672" s="3" t="s">
        <v>10</v>
      </c>
      <c r="P18672" s="3" t="s">
        <v>9</v>
      </c>
      <c r="Q18672" s="3"/>
    </row>
    <row r="18673" spans="1:17" ht="15" x14ac:dyDescent="0.25">
      <c r="A18673" s="3">
        <f>18666</f>
        <v>18666</v>
      </c>
      <c r="B18673" s="3" t="s">
        <v>18675</v>
      </c>
      <c r="C18673" s="3" t="s">
        <v>10</v>
      </c>
      <c r="D18673" s="3" t="s">
        <v>9</v>
      </c>
      <c r="E18673" s="3">
        <v>0</v>
      </c>
      <c r="F18673" s="3">
        <v>0</v>
      </c>
      <c r="G18673" s="3">
        <v>0</v>
      </c>
      <c r="H18673" s="3">
        <v>31</v>
      </c>
      <c r="I18673" s="3">
        <v>0</v>
      </c>
      <c r="J18673" s="3">
        <v>0</v>
      </c>
      <c r="K18673" s="3">
        <v>0</v>
      </c>
      <c r="L18673" s="3">
        <v>0</v>
      </c>
      <c r="M18673" s="3">
        <v>31</v>
      </c>
      <c r="N18673" s="3">
        <v>0</v>
      </c>
      <c r="O18673" s="3" t="s">
        <v>10</v>
      </c>
      <c r="P18673" s="3" t="s">
        <v>9</v>
      </c>
      <c r="Q18673" s="3"/>
    </row>
    <row r="18674" spans="1:17" ht="15" x14ac:dyDescent="0.25">
      <c r="A18674" s="3">
        <f>18667</f>
        <v>18667</v>
      </c>
      <c r="B18674" s="3" t="s">
        <v>18676</v>
      </c>
      <c r="C18674" s="3" t="s">
        <v>10</v>
      </c>
      <c r="D18674" s="3" t="s">
        <v>9</v>
      </c>
      <c r="E18674" s="3">
        <v>0</v>
      </c>
      <c r="F18674" s="3">
        <v>0</v>
      </c>
      <c r="G18674" s="3">
        <v>0</v>
      </c>
      <c r="H18674" s="3">
        <v>31</v>
      </c>
      <c r="I18674" s="3">
        <v>0</v>
      </c>
      <c r="J18674" s="3">
        <v>0</v>
      </c>
      <c r="K18674" s="3">
        <v>0</v>
      </c>
      <c r="L18674" s="3">
        <v>0</v>
      </c>
      <c r="M18674" s="3">
        <v>31</v>
      </c>
      <c r="N18674" s="3">
        <v>0</v>
      </c>
      <c r="O18674" s="3" t="s">
        <v>10</v>
      </c>
      <c r="P18674" s="3" t="s">
        <v>9</v>
      </c>
      <c r="Q18674" s="3"/>
    </row>
    <row r="18675" spans="1:17" ht="15" x14ac:dyDescent="0.25">
      <c r="A18675" s="3">
        <f>18668</f>
        <v>18668</v>
      </c>
      <c r="B18675" s="3" t="s">
        <v>18677</v>
      </c>
      <c r="C18675" s="3" t="s">
        <v>10</v>
      </c>
      <c r="D18675" s="3" t="s">
        <v>9</v>
      </c>
      <c r="E18675" s="3">
        <v>0</v>
      </c>
      <c r="F18675" s="3">
        <v>0</v>
      </c>
      <c r="G18675" s="3">
        <v>0</v>
      </c>
      <c r="H18675" s="3">
        <v>31</v>
      </c>
      <c r="I18675" s="3">
        <v>0</v>
      </c>
      <c r="J18675" s="3">
        <v>0</v>
      </c>
      <c r="K18675" s="3">
        <v>0</v>
      </c>
      <c r="L18675" s="3">
        <v>0</v>
      </c>
      <c r="M18675" s="3">
        <v>31</v>
      </c>
      <c r="N18675" s="3">
        <v>0</v>
      </c>
      <c r="O18675" s="3" t="s">
        <v>10</v>
      </c>
      <c r="P18675" s="3" t="s">
        <v>9</v>
      </c>
      <c r="Q18675" s="3"/>
    </row>
    <row r="18676" spans="1:17" ht="15" x14ac:dyDescent="0.25">
      <c r="A18676" s="3">
        <f>18669</f>
        <v>18669</v>
      </c>
      <c r="B18676" s="3" t="s">
        <v>18678</v>
      </c>
      <c r="C18676" s="3" t="s">
        <v>10</v>
      </c>
      <c r="D18676" s="3" t="s">
        <v>9</v>
      </c>
      <c r="E18676" s="3">
        <v>0</v>
      </c>
      <c r="F18676" s="3">
        <v>0</v>
      </c>
      <c r="G18676" s="3">
        <v>0</v>
      </c>
      <c r="H18676" s="3">
        <v>31</v>
      </c>
      <c r="I18676" s="3">
        <v>0</v>
      </c>
      <c r="J18676" s="3">
        <v>0</v>
      </c>
      <c r="K18676" s="3">
        <v>0</v>
      </c>
      <c r="L18676" s="3">
        <v>0</v>
      </c>
      <c r="M18676" s="3">
        <v>31</v>
      </c>
      <c r="N18676" s="3">
        <v>0</v>
      </c>
      <c r="O18676" s="3" t="s">
        <v>10</v>
      </c>
      <c r="P18676" s="3" t="s">
        <v>9</v>
      </c>
      <c r="Q18676" s="3"/>
    </row>
    <row r="18677" spans="1:17" ht="15" x14ac:dyDescent="0.25">
      <c r="A18677" s="3">
        <f>18670</f>
        <v>18670</v>
      </c>
      <c r="B18677" s="3" t="s">
        <v>18679</v>
      </c>
      <c r="C18677" s="3" t="s">
        <v>10</v>
      </c>
      <c r="D18677" s="3" t="s">
        <v>9</v>
      </c>
      <c r="E18677" s="3">
        <v>0</v>
      </c>
      <c r="F18677" s="3">
        <v>0</v>
      </c>
      <c r="G18677" s="3">
        <v>0</v>
      </c>
      <c r="H18677" s="3">
        <v>31</v>
      </c>
      <c r="I18677" s="3">
        <v>0</v>
      </c>
      <c r="J18677" s="3">
        <v>0</v>
      </c>
      <c r="K18677" s="3">
        <v>0</v>
      </c>
      <c r="L18677" s="3">
        <v>0</v>
      </c>
      <c r="M18677" s="3">
        <v>31</v>
      </c>
      <c r="N18677" s="3">
        <v>0</v>
      </c>
      <c r="O18677" s="3" t="s">
        <v>10</v>
      </c>
      <c r="P18677" s="3" t="s">
        <v>9</v>
      </c>
      <c r="Q18677" s="3"/>
    </row>
    <row r="18678" spans="1:17" ht="15" x14ac:dyDescent="0.25">
      <c r="A18678" s="3">
        <f>18671</f>
        <v>18671</v>
      </c>
      <c r="B18678" s="3" t="s">
        <v>18680</v>
      </c>
      <c r="C18678" s="3" t="s">
        <v>10</v>
      </c>
      <c r="D18678" s="3" t="s">
        <v>9</v>
      </c>
      <c r="E18678" s="3">
        <v>0</v>
      </c>
      <c r="F18678" s="3">
        <v>0</v>
      </c>
      <c r="G18678" s="3">
        <v>0</v>
      </c>
      <c r="H18678" s="3">
        <v>31</v>
      </c>
      <c r="I18678" s="3">
        <v>0</v>
      </c>
      <c r="J18678" s="3">
        <v>0</v>
      </c>
      <c r="K18678" s="3">
        <v>0</v>
      </c>
      <c r="L18678" s="3">
        <v>0</v>
      </c>
      <c r="M18678" s="3">
        <v>31</v>
      </c>
      <c r="N18678" s="3">
        <v>0</v>
      </c>
      <c r="O18678" s="3" t="s">
        <v>10</v>
      </c>
      <c r="P18678" s="3" t="s">
        <v>9</v>
      </c>
      <c r="Q18678" s="3"/>
    </row>
    <row r="18679" spans="1:17" ht="15" x14ac:dyDescent="0.25">
      <c r="A18679" s="3">
        <f>18672</f>
        <v>18672</v>
      </c>
      <c r="B18679" s="3" t="s">
        <v>18681</v>
      </c>
      <c r="C18679" s="3" t="s">
        <v>10</v>
      </c>
      <c r="D18679" s="3" t="s">
        <v>9</v>
      </c>
      <c r="E18679" s="3">
        <v>0</v>
      </c>
      <c r="F18679" s="3">
        <v>0</v>
      </c>
      <c r="G18679" s="3">
        <v>0</v>
      </c>
      <c r="H18679" s="3">
        <v>31</v>
      </c>
      <c r="I18679" s="3">
        <v>0</v>
      </c>
      <c r="J18679" s="3">
        <v>0</v>
      </c>
      <c r="K18679" s="3">
        <v>0</v>
      </c>
      <c r="L18679" s="3">
        <v>0</v>
      </c>
      <c r="M18679" s="3">
        <v>31</v>
      </c>
      <c r="N18679" s="3">
        <v>0</v>
      </c>
      <c r="O18679" s="3" t="s">
        <v>10</v>
      </c>
      <c r="P18679" s="3" t="s">
        <v>9</v>
      </c>
      <c r="Q18679" s="3"/>
    </row>
    <row r="18680" spans="1:17" ht="15" x14ac:dyDescent="0.25">
      <c r="A18680" s="3">
        <f>18673</f>
        <v>18673</v>
      </c>
      <c r="B18680" s="3" t="s">
        <v>18682</v>
      </c>
      <c r="C18680" s="3" t="s">
        <v>10</v>
      </c>
      <c r="D18680" s="3" t="s">
        <v>9</v>
      </c>
      <c r="E18680" s="3">
        <v>0</v>
      </c>
      <c r="F18680" s="3">
        <v>0</v>
      </c>
      <c r="G18680" s="3">
        <v>0</v>
      </c>
      <c r="H18680" s="3">
        <v>31</v>
      </c>
      <c r="I18680" s="3">
        <v>0</v>
      </c>
      <c r="J18680" s="3">
        <v>0</v>
      </c>
      <c r="K18680" s="3">
        <v>0</v>
      </c>
      <c r="L18680" s="3">
        <v>0</v>
      </c>
      <c r="M18680" s="3">
        <v>31</v>
      </c>
      <c r="N18680" s="3">
        <v>0</v>
      </c>
      <c r="O18680" s="3" t="s">
        <v>10</v>
      </c>
      <c r="P18680" s="3" t="s">
        <v>9</v>
      </c>
      <c r="Q18680" s="3"/>
    </row>
    <row r="18681" spans="1:17" ht="15" x14ac:dyDescent="0.25">
      <c r="A18681" s="3">
        <f>18674</f>
        <v>18674</v>
      </c>
      <c r="B18681" s="3" t="s">
        <v>18683</v>
      </c>
      <c r="C18681" s="3" t="s">
        <v>10</v>
      </c>
      <c r="D18681" s="3" t="s">
        <v>9</v>
      </c>
      <c r="E18681" s="3">
        <v>0</v>
      </c>
      <c r="F18681" s="3">
        <v>0</v>
      </c>
      <c r="G18681" s="3">
        <v>0</v>
      </c>
      <c r="H18681" s="3">
        <v>31</v>
      </c>
      <c r="I18681" s="3">
        <v>0</v>
      </c>
      <c r="J18681" s="3">
        <v>0</v>
      </c>
      <c r="K18681" s="3">
        <v>0</v>
      </c>
      <c r="L18681" s="3">
        <v>0</v>
      </c>
      <c r="M18681" s="3">
        <v>31</v>
      </c>
      <c r="N18681" s="3">
        <v>0</v>
      </c>
      <c r="O18681" s="3" t="s">
        <v>10</v>
      </c>
      <c r="P18681" s="3" t="s">
        <v>9</v>
      </c>
      <c r="Q18681" s="3"/>
    </row>
    <row r="18682" spans="1:17" ht="15" x14ac:dyDescent="0.25">
      <c r="A18682" s="3">
        <f>18675</f>
        <v>18675</v>
      </c>
      <c r="B18682" s="3" t="s">
        <v>18684</v>
      </c>
      <c r="C18682" s="3" t="s">
        <v>10</v>
      </c>
      <c r="D18682" s="3" t="s">
        <v>9</v>
      </c>
      <c r="E18682" s="3">
        <v>0</v>
      </c>
      <c r="F18682" s="3">
        <v>0</v>
      </c>
      <c r="G18682" s="3">
        <v>0</v>
      </c>
      <c r="H18682" s="3">
        <v>31</v>
      </c>
      <c r="I18682" s="3">
        <v>0</v>
      </c>
      <c r="J18682" s="3">
        <v>0</v>
      </c>
      <c r="K18682" s="3">
        <v>0</v>
      </c>
      <c r="L18682" s="3">
        <v>0</v>
      </c>
      <c r="M18682" s="3">
        <v>31</v>
      </c>
      <c r="N18682" s="3">
        <v>0</v>
      </c>
      <c r="O18682" s="3" t="s">
        <v>10</v>
      </c>
      <c r="P18682" s="3" t="s">
        <v>9</v>
      </c>
      <c r="Q18682" s="3"/>
    </row>
    <row r="18683" spans="1:17" ht="15" x14ac:dyDescent="0.25">
      <c r="A18683" s="3">
        <f>18676</f>
        <v>18676</v>
      </c>
      <c r="B18683" s="3" t="s">
        <v>18685</v>
      </c>
      <c r="C18683" s="3" t="s">
        <v>10</v>
      </c>
      <c r="D18683" s="3" t="s">
        <v>9</v>
      </c>
      <c r="E18683" s="3">
        <v>0</v>
      </c>
      <c r="F18683" s="3">
        <v>0</v>
      </c>
      <c r="G18683" s="3">
        <v>0</v>
      </c>
      <c r="H18683" s="3">
        <v>31</v>
      </c>
      <c r="I18683" s="3">
        <v>0</v>
      </c>
      <c r="J18683" s="3">
        <v>0</v>
      </c>
      <c r="K18683" s="3">
        <v>0</v>
      </c>
      <c r="L18683" s="3">
        <v>0</v>
      </c>
      <c r="M18683" s="3">
        <v>31</v>
      </c>
      <c r="N18683" s="3">
        <v>0</v>
      </c>
      <c r="O18683" s="3" t="s">
        <v>10</v>
      </c>
      <c r="P18683" s="3" t="s">
        <v>9</v>
      </c>
      <c r="Q18683" s="3"/>
    </row>
    <row r="18684" spans="1:17" ht="15" x14ac:dyDescent="0.25">
      <c r="A18684" s="3">
        <f>18677</f>
        <v>18677</v>
      </c>
      <c r="B18684" s="3" t="s">
        <v>18686</v>
      </c>
      <c r="C18684" s="3" t="s">
        <v>10</v>
      </c>
      <c r="D18684" s="3" t="s">
        <v>9</v>
      </c>
      <c r="E18684" s="3">
        <v>0</v>
      </c>
      <c r="F18684" s="3">
        <v>0</v>
      </c>
      <c r="G18684" s="3">
        <v>0</v>
      </c>
      <c r="H18684" s="3">
        <v>31</v>
      </c>
      <c r="I18684" s="3">
        <v>0</v>
      </c>
      <c r="J18684" s="3">
        <v>0</v>
      </c>
      <c r="K18684" s="3">
        <v>0</v>
      </c>
      <c r="L18684" s="3">
        <v>0</v>
      </c>
      <c r="M18684" s="3">
        <v>31</v>
      </c>
      <c r="N18684" s="3">
        <v>0</v>
      </c>
      <c r="O18684" s="3" t="s">
        <v>10</v>
      </c>
      <c r="P18684" s="3" t="s">
        <v>9</v>
      </c>
      <c r="Q18684" s="3"/>
    </row>
    <row r="18685" spans="1:17" ht="15" x14ac:dyDescent="0.25">
      <c r="A18685" s="3">
        <f>18678</f>
        <v>18678</v>
      </c>
      <c r="B18685" s="3" t="s">
        <v>18687</v>
      </c>
      <c r="C18685" s="3" t="s">
        <v>10</v>
      </c>
      <c r="D18685" s="3" t="s">
        <v>9</v>
      </c>
      <c r="E18685" s="3">
        <v>0</v>
      </c>
      <c r="F18685" s="3">
        <v>0</v>
      </c>
      <c r="G18685" s="3">
        <v>0</v>
      </c>
      <c r="H18685" s="3">
        <v>31</v>
      </c>
      <c r="I18685" s="3">
        <v>0</v>
      </c>
      <c r="J18685" s="3">
        <v>0</v>
      </c>
      <c r="K18685" s="3">
        <v>0</v>
      </c>
      <c r="L18685" s="3">
        <v>0</v>
      </c>
      <c r="M18685" s="3">
        <v>31</v>
      </c>
      <c r="N18685" s="3">
        <v>0</v>
      </c>
      <c r="O18685" s="3" t="s">
        <v>10</v>
      </c>
      <c r="P18685" s="3" t="s">
        <v>9</v>
      </c>
      <c r="Q18685" s="3"/>
    </row>
    <row r="18686" spans="1:17" ht="15" x14ac:dyDescent="0.25">
      <c r="A18686" s="3">
        <f>18679</f>
        <v>18679</v>
      </c>
      <c r="B18686" s="3" t="s">
        <v>18688</v>
      </c>
      <c r="C18686" s="3" t="s">
        <v>10</v>
      </c>
      <c r="D18686" s="3" t="s">
        <v>9</v>
      </c>
      <c r="E18686" s="3">
        <v>0</v>
      </c>
      <c r="F18686" s="3">
        <v>0</v>
      </c>
      <c r="G18686" s="3">
        <v>0</v>
      </c>
      <c r="H18686" s="3">
        <v>31</v>
      </c>
      <c r="I18686" s="3">
        <v>0</v>
      </c>
      <c r="J18686" s="3">
        <v>0</v>
      </c>
      <c r="K18686" s="3">
        <v>0</v>
      </c>
      <c r="L18686" s="3">
        <v>0</v>
      </c>
      <c r="M18686" s="3">
        <v>31</v>
      </c>
      <c r="N18686" s="3">
        <v>0</v>
      </c>
      <c r="O18686" s="3" t="s">
        <v>10</v>
      </c>
      <c r="P18686" s="3" t="s">
        <v>9</v>
      </c>
      <c r="Q18686" s="3"/>
    </row>
    <row r="18687" spans="1:17" ht="15" x14ac:dyDescent="0.25">
      <c r="A18687" s="3">
        <f>18680</f>
        <v>18680</v>
      </c>
      <c r="B18687" s="3" t="s">
        <v>18689</v>
      </c>
      <c r="C18687" s="3" t="s">
        <v>10</v>
      </c>
      <c r="D18687" s="3" t="s">
        <v>9</v>
      </c>
      <c r="E18687" s="3">
        <v>0</v>
      </c>
      <c r="F18687" s="3">
        <v>0</v>
      </c>
      <c r="G18687" s="3">
        <v>0</v>
      </c>
      <c r="H18687" s="3">
        <v>31</v>
      </c>
      <c r="I18687" s="3">
        <v>0</v>
      </c>
      <c r="J18687" s="3">
        <v>0</v>
      </c>
      <c r="K18687" s="3">
        <v>0</v>
      </c>
      <c r="L18687" s="3">
        <v>0</v>
      </c>
      <c r="M18687" s="3">
        <v>31</v>
      </c>
      <c r="N18687" s="3">
        <v>0</v>
      </c>
      <c r="O18687" s="3" t="s">
        <v>10</v>
      </c>
      <c r="P18687" s="3" t="s">
        <v>9</v>
      </c>
      <c r="Q18687" s="3"/>
    </row>
    <row r="18688" spans="1:17" ht="15" x14ac:dyDescent="0.25">
      <c r="A18688" s="3">
        <f>18681</f>
        <v>18681</v>
      </c>
      <c r="B18688" s="3" t="s">
        <v>18690</v>
      </c>
      <c r="C18688" s="3" t="s">
        <v>10</v>
      </c>
      <c r="D18688" s="3" t="s">
        <v>9</v>
      </c>
      <c r="E18688" s="3">
        <v>0</v>
      </c>
      <c r="F18688" s="3">
        <v>0</v>
      </c>
      <c r="G18688" s="3">
        <v>0</v>
      </c>
      <c r="H18688" s="3">
        <v>31</v>
      </c>
      <c r="I18688" s="3">
        <v>0</v>
      </c>
      <c r="J18688" s="3">
        <v>0</v>
      </c>
      <c r="K18688" s="3">
        <v>0</v>
      </c>
      <c r="L18688" s="3">
        <v>0</v>
      </c>
      <c r="M18688" s="3">
        <v>31</v>
      </c>
      <c r="N18688" s="3">
        <v>0</v>
      </c>
      <c r="O18688" s="3" t="s">
        <v>10</v>
      </c>
      <c r="P18688" s="3" t="s">
        <v>9</v>
      </c>
      <c r="Q18688" s="3"/>
    </row>
    <row r="18689" spans="1:17" ht="15" x14ac:dyDescent="0.25">
      <c r="A18689" s="3">
        <f>18682</f>
        <v>18682</v>
      </c>
      <c r="B18689" s="3" t="s">
        <v>18691</v>
      </c>
      <c r="C18689" s="3" t="s">
        <v>10</v>
      </c>
      <c r="D18689" s="3" t="s">
        <v>9</v>
      </c>
      <c r="E18689" s="3">
        <v>0</v>
      </c>
      <c r="F18689" s="3">
        <v>0</v>
      </c>
      <c r="G18689" s="3">
        <v>0</v>
      </c>
      <c r="H18689" s="3">
        <v>31</v>
      </c>
      <c r="I18689" s="3">
        <v>0</v>
      </c>
      <c r="J18689" s="3">
        <v>0</v>
      </c>
      <c r="K18689" s="3">
        <v>0</v>
      </c>
      <c r="L18689" s="3">
        <v>0</v>
      </c>
      <c r="M18689" s="3">
        <v>31</v>
      </c>
      <c r="N18689" s="3">
        <v>0</v>
      </c>
      <c r="O18689" s="3" t="s">
        <v>10</v>
      </c>
      <c r="P18689" s="3" t="s">
        <v>9</v>
      </c>
      <c r="Q18689" s="3"/>
    </row>
    <row r="18690" spans="1:17" ht="15" x14ac:dyDescent="0.25">
      <c r="A18690" s="3">
        <f>18683</f>
        <v>18683</v>
      </c>
      <c r="B18690" s="3" t="s">
        <v>18692</v>
      </c>
      <c r="C18690" s="3" t="s">
        <v>10</v>
      </c>
      <c r="D18690" s="3" t="s">
        <v>9</v>
      </c>
      <c r="E18690" s="3">
        <v>0</v>
      </c>
      <c r="F18690" s="3">
        <v>0</v>
      </c>
      <c r="G18690" s="3">
        <v>0</v>
      </c>
      <c r="H18690" s="3">
        <v>31</v>
      </c>
      <c r="I18690" s="3">
        <v>0</v>
      </c>
      <c r="J18690" s="3">
        <v>0</v>
      </c>
      <c r="K18690" s="3">
        <v>0</v>
      </c>
      <c r="L18690" s="3">
        <v>0</v>
      </c>
      <c r="M18690" s="3">
        <v>31</v>
      </c>
      <c r="N18690" s="3">
        <v>0</v>
      </c>
      <c r="O18690" s="3" t="s">
        <v>10</v>
      </c>
      <c r="P18690" s="3" t="s">
        <v>9</v>
      </c>
      <c r="Q18690" s="3"/>
    </row>
    <row r="18691" spans="1:17" ht="15" x14ac:dyDescent="0.25">
      <c r="A18691" s="3">
        <f>18684</f>
        <v>18684</v>
      </c>
      <c r="B18691" s="3" t="s">
        <v>18693</v>
      </c>
      <c r="C18691" s="3" t="s">
        <v>9</v>
      </c>
      <c r="D18691" s="3" t="s">
        <v>9</v>
      </c>
      <c r="E18691" s="3">
        <v>0</v>
      </c>
      <c r="F18691" s="3">
        <v>0</v>
      </c>
      <c r="G18691" s="3">
        <v>0</v>
      </c>
      <c r="H18691" s="3">
        <v>0</v>
      </c>
      <c r="I18691" s="3">
        <v>0</v>
      </c>
      <c r="J18691" s="3">
        <v>0</v>
      </c>
      <c r="K18691" s="3">
        <v>0</v>
      </c>
      <c r="L18691" s="3">
        <v>0</v>
      </c>
      <c r="M18691" s="3">
        <v>0</v>
      </c>
      <c r="N18691" s="3">
        <v>0</v>
      </c>
      <c r="O18691" s="3" t="s">
        <v>9</v>
      </c>
      <c r="P18691" s="3" t="s">
        <v>9</v>
      </c>
      <c r="Q18691" s="3"/>
    </row>
    <row r="18692" spans="1:17" ht="15" x14ac:dyDescent="0.25">
      <c r="A18692" s="3">
        <f>18685</f>
        <v>18685</v>
      </c>
      <c r="B18692" s="3" t="s">
        <v>18694</v>
      </c>
      <c r="C18692" s="3" t="s">
        <v>9</v>
      </c>
      <c r="D18692" s="3" t="s">
        <v>9</v>
      </c>
      <c r="E18692" s="3">
        <v>0</v>
      </c>
      <c r="F18692" s="3">
        <v>0</v>
      </c>
      <c r="G18692" s="3">
        <v>0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3">
        <v>0</v>
      </c>
      <c r="N18692" s="3">
        <v>0</v>
      </c>
      <c r="O18692" s="3" t="s">
        <v>9</v>
      </c>
      <c r="P18692" s="3" t="s">
        <v>9</v>
      </c>
      <c r="Q18692" s="3"/>
    </row>
    <row r="18693" spans="1:17" ht="15" x14ac:dyDescent="0.25">
      <c r="A18693" s="3">
        <f>18686</f>
        <v>18686</v>
      </c>
      <c r="B18693" s="3" t="s">
        <v>18695</v>
      </c>
      <c r="C18693" s="3" t="s">
        <v>9</v>
      </c>
      <c r="D18693" s="3" t="s">
        <v>9</v>
      </c>
      <c r="E18693" s="3">
        <v>0</v>
      </c>
      <c r="F18693" s="3">
        <v>0</v>
      </c>
      <c r="G18693" s="3">
        <v>0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3">
        <v>0</v>
      </c>
      <c r="N18693" s="3">
        <v>0</v>
      </c>
      <c r="O18693" s="3" t="s">
        <v>9</v>
      </c>
      <c r="P18693" s="3" t="s">
        <v>9</v>
      </c>
      <c r="Q18693" s="3"/>
    </row>
    <row r="18694" spans="1:17" ht="15" x14ac:dyDescent="0.25">
      <c r="A18694" s="3">
        <f>18687</f>
        <v>18687</v>
      </c>
      <c r="B18694" s="3" t="s">
        <v>18696</v>
      </c>
      <c r="C18694" s="3" t="s">
        <v>9</v>
      </c>
      <c r="D18694" s="3" t="s">
        <v>9</v>
      </c>
      <c r="E18694" s="3">
        <v>0</v>
      </c>
      <c r="F18694" s="3">
        <v>0</v>
      </c>
      <c r="G18694" s="3">
        <v>0</v>
      </c>
      <c r="H18694" s="3">
        <v>0</v>
      </c>
      <c r="I18694" s="3">
        <v>0</v>
      </c>
      <c r="J18694" s="3">
        <v>0</v>
      </c>
      <c r="K18694" s="3">
        <v>0</v>
      </c>
      <c r="L18694" s="3">
        <v>0</v>
      </c>
      <c r="M18694" s="3">
        <v>0</v>
      </c>
      <c r="N18694" s="3">
        <v>0</v>
      </c>
      <c r="O18694" s="3" t="s">
        <v>9</v>
      </c>
      <c r="P18694" s="3" t="s">
        <v>9</v>
      </c>
      <c r="Q18694" s="3"/>
    </row>
    <row r="18695" spans="1:17" ht="15" x14ac:dyDescent="0.25">
      <c r="A18695" s="3">
        <f>18688</f>
        <v>18688</v>
      </c>
      <c r="B18695" s="3" t="s">
        <v>18697</v>
      </c>
      <c r="C18695" s="3" t="s">
        <v>9</v>
      </c>
      <c r="D18695" s="3" t="s">
        <v>9</v>
      </c>
      <c r="E18695" s="3">
        <v>0</v>
      </c>
      <c r="F18695" s="3">
        <v>0</v>
      </c>
      <c r="G18695" s="3">
        <v>0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3">
        <v>0</v>
      </c>
      <c r="N18695" s="3">
        <v>0</v>
      </c>
      <c r="O18695" s="3" t="s">
        <v>9</v>
      </c>
      <c r="P18695" s="3" t="s">
        <v>9</v>
      </c>
      <c r="Q18695" s="3"/>
    </row>
    <row r="18696" spans="1:17" ht="15" x14ac:dyDescent="0.25">
      <c r="A18696" s="3">
        <f>18689</f>
        <v>18689</v>
      </c>
      <c r="B18696" s="3" t="s">
        <v>18698</v>
      </c>
      <c r="C18696" s="3" t="s">
        <v>9</v>
      </c>
      <c r="D18696" s="3" t="s">
        <v>9</v>
      </c>
      <c r="E18696" s="3">
        <v>0</v>
      </c>
      <c r="F18696" s="3">
        <v>0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3">
        <v>0</v>
      </c>
      <c r="N18696" s="3">
        <v>0</v>
      </c>
      <c r="O18696" s="3" t="s">
        <v>9</v>
      </c>
      <c r="P18696" s="3" t="s">
        <v>9</v>
      </c>
      <c r="Q18696" s="3"/>
    </row>
    <row r="18697" spans="1:17" ht="15" x14ac:dyDescent="0.25">
      <c r="A18697" s="3">
        <f>18690</f>
        <v>18690</v>
      </c>
      <c r="B18697" s="3" t="s">
        <v>18699</v>
      </c>
      <c r="C18697" s="3" t="s">
        <v>9</v>
      </c>
      <c r="D18697" s="3" t="s">
        <v>9</v>
      </c>
      <c r="E18697" s="3">
        <v>0</v>
      </c>
      <c r="F18697" s="3">
        <v>0</v>
      </c>
      <c r="G18697" s="3">
        <v>0</v>
      </c>
      <c r="H18697" s="3">
        <v>0</v>
      </c>
      <c r="I18697" s="3">
        <v>0</v>
      </c>
      <c r="J18697" s="3">
        <v>0</v>
      </c>
      <c r="K18697" s="3">
        <v>0</v>
      </c>
      <c r="L18697" s="3">
        <v>0</v>
      </c>
      <c r="M18697" s="3">
        <v>0</v>
      </c>
      <c r="N18697" s="3">
        <v>0</v>
      </c>
      <c r="O18697" s="3" t="s">
        <v>9</v>
      </c>
      <c r="P18697" s="3" t="s">
        <v>9</v>
      </c>
      <c r="Q18697" s="3"/>
    </row>
    <row r="18698" spans="1:17" ht="15" x14ac:dyDescent="0.25">
      <c r="A18698" s="3">
        <f>18691</f>
        <v>18691</v>
      </c>
      <c r="B18698" s="3" t="s">
        <v>18700</v>
      </c>
      <c r="C18698" s="3" t="s">
        <v>9</v>
      </c>
      <c r="D18698" s="3" t="s">
        <v>9</v>
      </c>
      <c r="E18698" s="3">
        <v>0</v>
      </c>
      <c r="F18698" s="3">
        <v>0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  <c r="L18698" s="3">
        <v>0</v>
      </c>
      <c r="M18698" s="3">
        <v>0</v>
      </c>
      <c r="N18698" s="3">
        <v>0</v>
      </c>
      <c r="O18698" s="3" t="s">
        <v>9</v>
      </c>
      <c r="P18698" s="3" t="s">
        <v>9</v>
      </c>
      <c r="Q18698" s="3"/>
    </row>
    <row r="18699" spans="1:17" ht="15" x14ac:dyDescent="0.25">
      <c r="A18699" s="3">
        <f>18692</f>
        <v>18692</v>
      </c>
      <c r="B18699" s="3" t="s">
        <v>18701</v>
      </c>
      <c r="C18699" s="3" t="s">
        <v>9</v>
      </c>
      <c r="D18699" s="3" t="s">
        <v>9</v>
      </c>
      <c r="E18699" s="3">
        <v>0</v>
      </c>
      <c r="F18699" s="3">
        <v>0</v>
      </c>
      <c r="G18699" s="3">
        <v>0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3">
        <v>0</v>
      </c>
      <c r="N18699" s="3">
        <v>0</v>
      </c>
      <c r="O18699" s="3" t="s">
        <v>9</v>
      </c>
      <c r="P18699" s="3" t="s">
        <v>9</v>
      </c>
      <c r="Q18699" s="3"/>
    </row>
    <row r="18700" spans="1:17" ht="15" x14ac:dyDescent="0.25">
      <c r="A18700" s="3">
        <f>18693</f>
        <v>18693</v>
      </c>
      <c r="B18700" s="3" t="s">
        <v>18702</v>
      </c>
      <c r="C18700" s="3" t="s">
        <v>9</v>
      </c>
      <c r="D18700" s="3" t="s">
        <v>9</v>
      </c>
      <c r="E18700" s="3">
        <v>0</v>
      </c>
      <c r="F18700" s="3">
        <v>0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  <c r="L18700" s="3">
        <v>0</v>
      </c>
      <c r="M18700" s="3">
        <v>0</v>
      </c>
      <c r="N18700" s="3">
        <v>0</v>
      </c>
      <c r="O18700" s="3" t="s">
        <v>9</v>
      </c>
      <c r="P18700" s="3" t="s">
        <v>9</v>
      </c>
      <c r="Q18700" s="3"/>
    </row>
    <row r="18701" spans="1:17" ht="15" x14ac:dyDescent="0.25">
      <c r="A18701" s="3">
        <f>18694</f>
        <v>18694</v>
      </c>
      <c r="B18701" s="3" t="s">
        <v>18703</v>
      </c>
      <c r="C18701" s="3" t="s">
        <v>9</v>
      </c>
      <c r="D18701" s="3" t="s">
        <v>9</v>
      </c>
      <c r="E18701" s="3">
        <v>0</v>
      </c>
      <c r="F18701" s="3">
        <v>0</v>
      </c>
      <c r="G18701" s="3">
        <v>0</v>
      </c>
      <c r="H18701" s="3">
        <v>0</v>
      </c>
      <c r="I18701" s="3">
        <v>0</v>
      </c>
      <c r="J18701" s="3">
        <v>0</v>
      </c>
      <c r="K18701" s="3">
        <v>0</v>
      </c>
      <c r="L18701" s="3">
        <v>0</v>
      </c>
      <c r="M18701" s="3">
        <v>0</v>
      </c>
      <c r="N18701" s="3">
        <v>0</v>
      </c>
      <c r="O18701" s="3" t="s">
        <v>9</v>
      </c>
      <c r="P18701" s="3" t="s">
        <v>9</v>
      </c>
      <c r="Q18701" s="3"/>
    </row>
    <row r="18702" spans="1:17" ht="15" x14ac:dyDescent="0.25">
      <c r="A18702" s="3">
        <f>18695</f>
        <v>18695</v>
      </c>
      <c r="B18702" s="3" t="s">
        <v>18704</v>
      </c>
      <c r="C18702" s="3" t="s">
        <v>9</v>
      </c>
      <c r="D18702" s="3" t="s">
        <v>9</v>
      </c>
      <c r="E18702" s="3">
        <v>0</v>
      </c>
      <c r="F18702" s="3">
        <v>0</v>
      </c>
      <c r="G18702" s="3">
        <v>0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3">
        <v>0</v>
      </c>
      <c r="N18702" s="3">
        <v>0</v>
      </c>
      <c r="O18702" s="3" t="s">
        <v>9</v>
      </c>
      <c r="P18702" s="3" t="s">
        <v>9</v>
      </c>
      <c r="Q18702" s="3"/>
    </row>
    <row r="18703" spans="1:17" ht="15" x14ac:dyDescent="0.25">
      <c r="A18703" s="3">
        <f>18696</f>
        <v>18696</v>
      </c>
      <c r="B18703" s="3" t="s">
        <v>18705</v>
      </c>
      <c r="C18703" s="3" t="s">
        <v>9</v>
      </c>
      <c r="D18703" s="3" t="s">
        <v>9</v>
      </c>
      <c r="E18703" s="3">
        <v>0</v>
      </c>
      <c r="F18703" s="3">
        <v>0</v>
      </c>
      <c r="G18703" s="3">
        <v>0</v>
      </c>
      <c r="H18703" s="3">
        <v>0</v>
      </c>
      <c r="I18703" s="3">
        <v>0</v>
      </c>
      <c r="J18703" s="3">
        <v>0</v>
      </c>
      <c r="K18703" s="3">
        <v>0</v>
      </c>
      <c r="L18703" s="3">
        <v>0</v>
      </c>
      <c r="M18703" s="3">
        <v>0</v>
      </c>
      <c r="N18703" s="3">
        <v>0</v>
      </c>
      <c r="O18703" s="3" t="s">
        <v>9</v>
      </c>
      <c r="P18703" s="3" t="s">
        <v>9</v>
      </c>
      <c r="Q18703" s="3"/>
    </row>
    <row r="18704" spans="1:17" ht="15" x14ac:dyDescent="0.25">
      <c r="A18704" s="3">
        <f>18697</f>
        <v>18697</v>
      </c>
      <c r="B18704" s="3" t="s">
        <v>18706</v>
      </c>
      <c r="C18704" s="3" t="s">
        <v>9</v>
      </c>
      <c r="D18704" s="3" t="s">
        <v>9</v>
      </c>
      <c r="E18704" s="3">
        <v>0</v>
      </c>
      <c r="F18704" s="3">
        <v>0</v>
      </c>
      <c r="G18704" s="3">
        <v>0</v>
      </c>
      <c r="H18704" s="3">
        <v>0</v>
      </c>
      <c r="I18704" s="3">
        <v>0</v>
      </c>
      <c r="J18704" s="3">
        <v>0</v>
      </c>
      <c r="K18704" s="3">
        <v>0</v>
      </c>
      <c r="L18704" s="3">
        <v>0</v>
      </c>
      <c r="M18704" s="3">
        <v>0</v>
      </c>
      <c r="N18704" s="3">
        <v>0</v>
      </c>
      <c r="O18704" s="3" t="s">
        <v>9</v>
      </c>
      <c r="P18704" s="3" t="s">
        <v>9</v>
      </c>
      <c r="Q18704" s="3"/>
    </row>
    <row r="18705" spans="1:17" ht="15" x14ac:dyDescent="0.25">
      <c r="A18705" s="3">
        <f>18698</f>
        <v>18698</v>
      </c>
      <c r="B18705" s="3" t="s">
        <v>18707</v>
      </c>
      <c r="C18705" s="3" t="s">
        <v>9</v>
      </c>
      <c r="D18705" s="3" t="s">
        <v>9</v>
      </c>
      <c r="E18705" s="3">
        <v>0</v>
      </c>
      <c r="F18705" s="3">
        <v>0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  <c r="L18705" s="3">
        <v>0</v>
      </c>
      <c r="M18705" s="3">
        <v>0</v>
      </c>
      <c r="N18705" s="3">
        <v>0</v>
      </c>
      <c r="O18705" s="3" t="s">
        <v>9</v>
      </c>
      <c r="P18705" s="3" t="s">
        <v>9</v>
      </c>
      <c r="Q18705" s="3"/>
    </row>
    <row r="18706" spans="1:17" ht="15" x14ac:dyDescent="0.25">
      <c r="A18706" s="3">
        <f>18699</f>
        <v>18699</v>
      </c>
      <c r="B18706" s="3" t="s">
        <v>18708</v>
      </c>
      <c r="C18706" s="3" t="s">
        <v>9</v>
      </c>
      <c r="D18706" s="3" t="s">
        <v>9</v>
      </c>
      <c r="E18706" s="3">
        <v>0</v>
      </c>
      <c r="F18706" s="3">
        <v>0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  <c r="L18706" s="3">
        <v>0</v>
      </c>
      <c r="M18706" s="3">
        <v>0</v>
      </c>
      <c r="N18706" s="3">
        <v>0</v>
      </c>
      <c r="O18706" s="3" t="s">
        <v>9</v>
      </c>
      <c r="P18706" s="3" t="s">
        <v>9</v>
      </c>
      <c r="Q18706" s="3"/>
    </row>
    <row r="18707" spans="1:17" ht="15" x14ac:dyDescent="0.25">
      <c r="A18707" s="3">
        <f>18700</f>
        <v>18700</v>
      </c>
      <c r="B18707" s="3" t="s">
        <v>18709</v>
      </c>
      <c r="C18707" s="3" t="s">
        <v>9</v>
      </c>
      <c r="D18707" s="3" t="s">
        <v>9</v>
      </c>
      <c r="E18707" s="3">
        <v>0</v>
      </c>
      <c r="F18707" s="3">
        <v>0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  <c r="L18707" s="3">
        <v>0</v>
      </c>
      <c r="M18707" s="3">
        <v>0</v>
      </c>
      <c r="N18707" s="3">
        <v>0</v>
      </c>
      <c r="O18707" s="3" t="s">
        <v>9</v>
      </c>
      <c r="P18707" s="3" t="s">
        <v>9</v>
      </c>
      <c r="Q18707" s="3"/>
    </row>
    <row r="18708" spans="1:17" ht="15" x14ac:dyDescent="0.25">
      <c r="A18708" s="3">
        <f>18701</f>
        <v>18701</v>
      </c>
      <c r="B18708" s="3" t="s">
        <v>18710</v>
      </c>
      <c r="C18708" s="3" t="s">
        <v>10</v>
      </c>
      <c r="D18708" s="3" t="s">
        <v>9</v>
      </c>
      <c r="E18708" s="3">
        <v>0</v>
      </c>
      <c r="F18708" s="3">
        <v>0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3">
        <v>0</v>
      </c>
      <c r="N18708" s="3">
        <v>0</v>
      </c>
      <c r="O18708" s="3" t="s">
        <v>10</v>
      </c>
      <c r="P18708" s="3" t="s">
        <v>9</v>
      </c>
      <c r="Q18708" s="3"/>
    </row>
    <row r="18709" spans="1:17" ht="15" x14ac:dyDescent="0.25">
      <c r="A18709" s="3">
        <f>18702</f>
        <v>18702</v>
      </c>
      <c r="B18709" s="3" t="s">
        <v>18711</v>
      </c>
      <c r="C18709" s="3" t="s">
        <v>9</v>
      </c>
      <c r="D18709" s="3" t="s">
        <v>10</v>
      </c>
      <c r="E18709" s="3">
        <v>0</v>
      </c>
      <c r="F18709" s="3">
        <v>0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3">
        <v>0</v>
      </c>
      <c r="N18709" s="3">
        <v>0</v>
      </c>
      <c r="O18709" s="3" t="s">
        <v>10</v>
      </c>
      <c r="P18709" s="3" t="s">
        <v>9</v>
      </c>
      <c r="Q18709" s="3"/>
    </row>
    <row r="18710" spans="1:17" ht="15" x14ac:dyDescent="0.25">
      <c r="A18710" s="3">
        <f>18703</f>
        <v>18703</v>
      </c>
      <c r="B18710" s="3" t="s">
        <v>18712</v>
      </c>
      <c r="C18710" s="3" t="s">
        <v>9</v>
      </c>
      <c r="D18710" s="3" t="s">
        <v>10</v>
      </c>
      <c r="E18710" s="3">
        <v>0</v>
      </c>
      <c r="F18710" s="3">
        <v>0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  <c r="L18710" s="3">
        <v>0</v>
      </c>
      <c r="M18710" s="3">
        <v>0</v>
      </c>
      <c r="N18710" s="3">
        <v>0</v>
      </c>
      <c r="O18710" s="3" t="s">
        <v>10</v>
      </c>
      <c r="P18710" s="3" t="s">
        <v>9</v>
      </c>
      <c r="Q18710" s="3"/>
    </row>
    <row r="18711" spans="1:17" ht="15" x14ac:dyDescent="0.25">
      <c r="A18711" s="3">
        <f>18704</f>
        <v>18704</v>
      </c>
      <c r="B18711" s="3" t="s">
        <v>18713</v>
      </c>
      <c r="C18711" s="3" t="s">
        <v>9</v>
      </c>
      <c r="D18711" s="3" t="s">
        <v>10</v>
      </c>
      <c r="E18711" s="3">
        <v>0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  <c r="L18711" s="3">
        <v>0</v>
      </c>
      <c r="M18711" s="3">
        <v>0</v>
      </c>
      <c r="N18711" s="3">
        <v>0</v>
      </c>
      <c r="O18711" s="3" t="s">
        <v>10</v>
      </c>
      <c r="P18711" s="3" t="s">
        <v>9</v>
      </c>
      <c r="Q18711" s="3"/>
    </row>
    <row r="18712" spans="1:17" ht="15" x14ac:dyDescent="0.25">
      <c r="A18712" s="3">
        <f>18705</f>
        <v>18705</v>
      </c>
      <c r="B18712" s="3" t="s">
        <v>18714</v>
      </c>
      <c r="C18712" s="3" t="s">
        <v>9</v>
      </c>
      <c r="D18712" s="3" t="s">
        <v>10</v>
      </c>
      <c r="E18712" s="3">
        <v>0</v>
      </c>
      <c r="F18712" s="3">
        <v>0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 s="3">
        <v>0</v>
      </c>
      <c r="M18712" s="3">
        <v>0</v>
      </c>
      <c r="N18712" s="3">
        <v>0</v>
      </c>
      <c r="O18712" s="3" t="s">
        <v>10</v>
      </c>
      <c r="P18712" s="3" t="s">
        <v>9</v>
      </c>
      <c r="Q18712" s="3"/>
    </row>
    <row r="18713" spans="1:17" ht="15" x14ac:dyDescent="0.25">
      <c r="A18713" s="3">
        <f>18706</f>
        <v>18706</v>
      </c>
      <c r="B18713" s="3" t="s">
        <v>18715</v>
      </c>
      <c r="C18713" s="3" t="s">
        <v>9</v>
      </c>
      <c r="D18713" s="3" t="s">
        <v>10</v>
      </c>
      <c r="E18713" s="3">
        <v>0</v>
      </c>
      <c r="F18713" s="3">
        <v>0</v>
      </c>
      <c r="G18713" s="3">
        <v>0</v>
      </c>
      <c r="H18713" s="3">
        <v>0</v>
      </c>
      <c r="I18713" s="3">
        <v>0</v>
      </c>
      <c r="J18713" s="3">
        <v>0</v>
      </c>
      <c r="K18713" s="3">
        <v>0</v>
      </c>
      <c r="L18713" s="3">
        <v>0</v>
      </c>
      <c r="M18713" s="3">
        <v>0</v>
      </c>
      <c r="N18713" s="3">
        <v>0</v>
      </c>
      <c r="O18713" s="3" t="s">
        <v>10</v>
      </c>
      <c r="P18713" s="3" t="s">
        <v>9</v>
      </c>
      <c r="Q18713" s="3"/>
    </row>
    <row r="18714" spans="1:17" ht="15" x14ac:dyDescent="0.25">
      <c r="A18714" s="3">
        <f>18707</f>
        <v>18707</v>
      </c>
      <c r="B18714" s="3" t="s">
        <v>18716</v>
      </c>
      <c r="C18714" s="3" t="s">
        <v>9</v>
      </c>
      <c r="D18714" s="3" t="s">
        <v>10</v>
      </c>
      <c r="E18714" s="3">
        <v>0</v>
      </c>
      <c r="F18714" s="3">
        <v>0</v>
      </c>
      <c r="G18714" s="3">
        <v>0</v>
      </c>
      <c r="H18714" s="3">
        <v>0</v>
      </c>
      <c r="I18714" s="3">
        <v>0</v>
      </c>
      <c r="J18714" s="3">
        <v>0</v>
      </c>
      <c r="K18714" s="3">
        <v>0</v>
      </c>
      <c r="L18714" s="3">
        <v>0</v>
      </c>
      <c r="M18714" s="3">
        <v>0</v>
      </c>
      <c r="N18714" s="3">
        <v>0</v>
      </c>
      <c r="O18714" s="3" t="s">
        <v>10</v>
      </c>
      <c r="P18714" s="3" t="s">
        <v>9</v>
      </c>
      <c r="Q18714" s="3"/>
    </row>
    <row r="18715" spans="1:17" ht="15" x14ac:dyDescent="0.25">
      <c r="A18715" s="3">
        <f>18708</f>
        <v>18708</v>
      </c>
      <c r="B18715" s="3" t="s">
        <v>18717</v>
      </c>
      <c r="C18715" s="3" t="s">
        <v>9</v>
      </c>
      <c r="D18715" s="3" t="s">
        <v>10</v>
      </c>
      <c r="E18715" s="3">
        <v>0</v>
      </c>
      <c r="F18715" s="3">
        <v>0</v>
      </c>
      <c r="G18715" s="3">
        <v>0</v>
      </c>
      <c r="H18715" s="3">
        <v>0</v>
      </c>
      <c r="I18715" s="3">
        <v>0</v>
      </c>
      <c r="J18715" s="3">
        <v>0</v>
      </c>
      <c r="K18715" s="3">
        <v>0</v>
      </c>
      <c r="L18715" s="3">
        <v>0</v>
      </c>
      <c r="M18715" s="3">
        <v>0</v>
      </c>
      <c r="N18715" s="3">
        <v>0</v>
      </c>
      <c r="O18715" s="3" t="s">
        <v>10</v>
      </c>
      <c r="P18715" s="3" t="s">
        <v>9</v>
      </c>
      <c r="Q18715" s="3"/>
    </row>
    <row r="18716" spans="1:17" ht="15" x14ac:dyDescent="0.25">
      <c r="A18716" s="3">
        <f>18709</f>
        <v>18709</v>
      </c>
      <c r="B18716" s="3" t="s">
        <v>18718</v>
      </c>
      <c r="C18716" s="3" t="s">
        <v>9</v>
      </c>
      <c r="D18716" s="3" t="s">
        <v>10</v>
      </c>
      <c r="E18716" s="3">
        <v>0</v>
      </c>
      <c r="F18716" s="3">
        <v>0</v>
      </c>
      <c r="G18716" s="3">
        <v>0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3">
        <v>0</v>
      </c>
      <c r="N18716" s="3">
        <v>0</v>
      </c>
      <c r="O18716" s="3" t="s">
        <v>10</v>
      </c>
      <c r="P18716" s="3" t="s">
        <v>9</v>
      </c>
      <c r="Q18716" s="3"/>
    </row>
    <row r="18717" spans="1:17" ht="15" x14ac:dyDescent="0.25">
      <c r="A18717" s="3">
        <f>18710</f>
        <v>18710</v>
      </c>
      <c r="B18717" s="3" t="s">
        <v>18719</v>
      </c>
      <c r="C18717" s="3" t="s">
        <v>9</v>
      </c>
      <c r="D18717" s="3" t="s">
        <v>10</v>
      </c>
      <c r="E18717" s="3">
        <v>0</v>
      </c>
      <c r="F18717" s="3">
        <v>0</v>
      </c>
      <c r="G18717" s="3">
        <v>0</v>
      </c>
      <c r="H18717" s="3">
        <v>0</v>
      </c>
      <c r="I18717" s="3">
        <v>0</v>
      </c>
      <c r="J18717" s="3">
        <v>0</v>
      </c>
      <c r="K18717" s="3">
        <v>0</v>
      </c>
      <c r="L18717" s="3">
        <v>0</v>
      </c>
      <c r="M18717" s="3">
        <v>0</v>
      </c>
      <c r="N18717" s="3">
        <v>0</v>
      </c>
      <c r="O18717" s="3" t="s">
        <v>10</v>
      </c>
      <c r="P18717" s="3" t="s">
        <v>9</v>
      </c>
      <c r="Q18717" s="3"/>
    </row>
    <row r="18718" spans="1:17" ht="15" x14ac:dyDescent="0.25">
      <c r="A18718" s="3">
        <f>18711</f>
        <v>18711</v>
      </c>
      <c r="B18718" s="3" t="s">
        <v>18720</v>
      </c>
      <c r="C18718" s="3" t="s">
        <v>9</v>
      </c>
      <c r="D18718" s="3" t="s">
        <v>10</v>
      </c>
      <c r="E18718" s="3">
        <v>0</v>
      </c>
      <c r="F18718" s="3">
        <v>0</v>
      </c>
      <c r="G18718" s="3">
        <v>0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3">
        <v>0</v>
      </c>
      <c r="N18718" s="3">
        <v>0</v>
      </c>
      <c r="O18718" s="3" t="s">
        <v>10</v>
      </c>
      <c r="P18718" s="3" t="s">
        <v>9</v>
      </c>
      <c r="Q18718" s="3"/>
    </row>
    <row r="18719" spans="1:17" ht="15" x14ac:dyDescent="0.25">
      <c r="A18719" s="3">
        <f>18712</f>
        <v>18712</v>
      </c>
      <c r="B18719" s="3" t="s">
        <v>18721</v>
      </c>
      <c r="C18719" s="3" t="s">
        <v>9</v>
      </c>
      <c r="D18719" s="3" t="s">
        <v>10</v>
      </c>
      <c r="E18719" s="3">
        <v>0</v>
      </c>
      <c r="F18719" s="3">
        <v>0</v>
      </c>
      <c r="G18719" s="3">
        <v>0</v>
      </c>
      <c r="H18719" s="3">
        <v>0</v>
      </c>
      <c r="I18719" s="3">
        <v>0</v>
      </c>
      <c r="J18719" s="3">
        <v>0</v>
      </c>
      <c r="K18719" s="3">
        <v>0</v>
      </c>
      <c r="L18719" s="3">
        <v>0</v>
      </c>
      <c r="M18719" s="3">
        <v>0</v>
      </c>
      <c r="N18719" s="3">
        <v>0</v>
      </c>
      <c r="O18719" s="3" t="s">
        <v>10</v>
      </c>
      <c r="P18719" s="3" t="s">
        <v>9</v>
      </c>
      <c r="Q18719" s="3"/>
    </row>
    <row r="18720" spans="1:17" ht="15" x14ac:dyDescent="0.25">
      <c r="A18720" s="3">
        <f>18713</f>
        <v>18713</v>
      </c>
      <c r="B18720" s="3" t="s">
        <v>18722</v>
      </c>
      <c r="C18720" s="3" t="s">
        <v>9</v>
      </c>
      <c r="D18720" s="3" t="s">
        <v>10</v>
      </c>
      <c r="E18720" s="3">
        <v>0</v>
      </c>
      <c r="F18720" s="3">
        <v>0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3">
        <v>0</v>
      </c>
      <c r="N18720" s="3">
        <v>0</v>
      </c>
      <c r="O18720" s="3" t="s">
        <v>10</v>
      </c>
      <c r="P18720" s="3" t="s">
        <v>9</v>
      </c>
      <c r="Q18720" s="3"/>
    </row>
    <row r="18721" spans="1:17" ht="15" x14ac:dyDescent="0.25">
      <c r="A18721" s="3">
        <f>18714</f>
        <v>18714</v>
      </c>
      <c r="B18721" s="3" t="s">
        <v>18723</v>
      </c>
      <c r="C18721" s="3" t="s">
        <v>9</v>
      </c>
      <c r="D18721" s="3" t="s">
        <v>10</v>
      </c>
      <c r="E18721" s="3">
        <v>0</v>
      </c>
      <c r="F18721" s="3">
        <v>0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  <c r="L18721" s="3">
        <v>0</v>
      </c>
      <c r="M18721" s="3">
        <v>0</v>
      </c>
      <c r="N18721" s="3">
        <v>0</v>
      </c>
      <c r="O18721" s="3" t="s">
        <v>10</v>
      </c>
      <c r="P18721" s="3" t="s">
        <v>9</v>
      </c>
      <c r="Q18721" s="3"/>
    </row>
    <row r="18722" spans="1:17" ht="15" x14ac:dyDescent="0.25">
      <c r="A18722" s="3">
        <f>18715</f>
        <v>18715</v>
      </c>
      <c r="B18722" s="3" t="s">
        <v>18724</v>
      </c>
      <c r="C18722" s="3" t="s">
        <v>9</v>
      </c>
      <c r="D18722" s="3" t="s">
        <v>10</v>
      </c>
      <c r="E18722" s="3">
        <v>0</v>
      </c>
      <c r="F18722" s="3">
        <v>0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  <c r="L18722" s="3">
        <v>0</v>
      </c>
      <c r="M18722" s="3">
        <v>0</v>
      </c>
      <c r="N18722" s="3">
        <v>0</v>
      </c>
      <c r="O18722" s="3" t="s">
        <v>10</v>
      </c>
      <c r="P18722" s="3" t="s">
        <v>9</v>
      </c>
      <c r="Q18722" s="3"/>
    </row>
    <row r="18723" spans="1:17" ht="15" x14ac:dyDescent="0.25">
      <c r="A18723" s="3">
        <f>18716</f>
        <v>18716</v>
      </c>
      <c r="B18723" s="3" t="s">
        <v>18725</v>
      </c>
      <c r="C18723" s="3" t="s">
        <v>9</v>
      </c>
      <c r="D18723" s="3" t="s">
        <v>10</v>
      </c>
      <c r="E18723" s="3">
        <v>0</v>
      </c>
      <c r="F18723" s="3">
        <v>0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 s="3">
        <v>0</v>
      </c>
      <c r="M18723" s="3">
        <v>0</v>
      </c>
      <c r="N18723" s="3">
        <v>0</v>
      </c>
      <c r="O18723" s="3" t="s">
        <v>10</v>
      </c>
      <c r="P18723" s="3" t="s">
        <v>9</v>
      </c>
      <c r="Q18723" s="3"/>
    </row>
    <row r="18724" spans="1:17" ht="15" x14ac:dyDescent="0.25">
      <c r="A18724" s="3">
        <f>18717</f>
        <v>18717</v>
      </c>
      <c r="B18724" s="3" t="s">
        <v>18726</v>
      </c>
      <c r="C18724" s="3" t="s">
        <v>9</v>
      </c>
      <c r="D18724" s="3" t="s">
        <v>10</v>
      </c>
      <c r="E18724" s="3">
        <v>0</v>
      </c>
      <c r="F18724" s="3">
        <v>0</v>
      </c>
      <c r="G18724" s="3">
        <v>0</v>
      </c>
      <c r="H18724" s="3">
        <v>0</v>
      </c>
      <c r="I18724" s="3">
        <v>0</v>
      </c>
      <c r="J18724" s="3">
        <v>0</v>
      </c>
      <c r="K18724" s="3">
        <v>0</v>
      </c>
      <c r="L18724" s="3">
        <v>0</v>
      </c>
      <c r="M18724" s="3">
        <v>0</v>
      </c>
      <c r="N18724" s="3">
        <v>0</v>
      </c>
      <c r="O18724" s="3" t="s">
        <v>10</v>
      </c>
      <c r="P18724" s="3" t="s">
        <v>9</v>
      </c>
      <c r="Q18724" s="3"/>
    </row>
    <row r="18725" spans="1:17" ht="15" x14ac:dyDescent="0.25">
      <c r="A18725" s="3">
        <f>18718</f>
        <v>18718</v>
      </c>
      <c r="B18725" s="3" t="s">
        <v>18727</v>
      </c>
      <c r="C18725" s="3" t="s">
        <v>9</v>
      </c>
      <c r="D18725" s="3" t="s">
        <v>10</v>
      </c>
      <c r="E18725" s="3">
        <v>0</v>
      </c>
      <c r="F18725" s="3">
        <v>0</v>
      </c>
      <c r="G18725" s="3">
        <v>0</v>
      </c>
      <c r="H18725" s="3">
        <v>0</v>
      </c>
      <c r="I18725" s="3">
        <v>0</v>
      </c>
      <c r="J18725" s="3">
        <v>0</v>
      </c>
      <c r="K18725" s="3">
        <v>0</v>
      </c>
      <c r="L18725" s="3">
        <v>0</v>
      </c>
      <c r="M18725" s="3">
        <v>0</v>
      </c>
      <c r="N18725" s="3">
        <v>0</v>
      </c>
      <c r="O18725" s="3" t="s">
        <v>10</v>
      </c>
      <c r="P18725" s="3" t="s">
        <v>9</v>
      </c>
      <c r="Q18725" s="3"/>
    </row>
    <row r="18726" spans="1:17" ht="15" x14ac:dyDescent="0.25">
      <c r="A18726" s="3">
        <f>18719</f>
        <v>18719</v>
      </c>
      <c r="B18726" s="3" t="s">
        <v>18728</v>
      </c>
      <c r="C18726" s="3" t="s">
        <v>9</v>
      </c>
      <c r="D18726" s="3" t="s">
        <v>10</v>
      </c>
      <c r="E18726" s="3">
        <v>0</v>
      </c>
      <c r="F18726" s="3">
        <v>0</v>
      </c>
      <c r="G18726" s="3">
        <v>0</v>
      </c>
      <c r="H18726" s="3">
        <v>0</v>
      </c>
      <c r="I18726" s="3">
        <v>0</v>
      </c>
      <c r="J18726" s="3">
        <v>0</v>
      </c>
      <c r="K18726" s="3">
        <v>0</v>
      </c>
      <c r="L18726" s="3">
        <v>0</v>
      </c>
      <c r="M18726" s="3">
        <v>0</v>
      </c>
      <c r="N18726" s="3">
        <v>0</v>
      </c>
      <c r="O18726" s="3" t="s">
        <v>10</v>
      </c>
      <c r="P18726" s="3" t="s">
        <v>9</v>
      </c>
      <c r="Q18726" s="3"/>
    </row>
    <row r="18727" spans="1:17" ht="15" x14ac:dyDescent="0.25">
      <c r="A18727" s="3">
        <f>18720</f>
        <v>18720</v>
      </c>
      <c r="B18727" s="3" t="s">
        <v>18729</v>
      </c>
      <c r="C18727" s="3" t="s">
        <v>9</v>
      </c>
      <c r="D18727" s="3" t="s">
        <v>10</v>
      </c>
      <c r="E18727" s="3">
        <v>0</v>
      </c>
      <c r="F18727" s="3">
        <v>0</v>
      </c>
      <c r="G18727" s="3">
        <v>0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3">
        <v>0</v>
      </c>
      <c r="N18727" s="3">
        <v>0</v>
      </c>
      <c r="O18727" s="3" t="s">
        <v>10</v>
      </c>
      <c r="P18727" s="3" t="s">
        <v>9</v>
      </c>
      <c r="Q18727" s="3"/>
    </row>
    <row r="18728" spans="1:17" ht="15" x14ac:dyDescent="0.25">
      <c r="A18728" s="3">
        <f>18721</f>
        <v>18721</v>
      </c>
      <c r="B18728" s="3" t="s">
        <v>18730</v>
      </c>
      <c r="C18728" s="3" t="s">
        <v>9</v>
      </c>
      <c r="D18728" s="3" t="s">
        <v>10</v>
      </c>
      <c r="E18728" s="3">
        <v>0</v>
      </c>
      <c r="F18728" s="3">
        <v>0</v>
      </c>
      <c r="G18728" s="3">
        <v>0</v>
      </c>
      <c r="H18728" s="3">
        <v>0</v>
      </c>
      <c r="I18728" s="3">
        <v>0</v>
      </c>
      <c r="J18728" s="3">
        <v>0</v>
      </c>
      <c r="K18728" s="3">
        <v>0</v>
      </c>
      <c r="L18728" s="3">
        <v>0</v>
      </c>
      <c r="M18728" s="3">
        <v>0</v>
      </c>
      <c r="N18728" s="3">
        <v>0</v>
      </c>
      <c r="O18728" s="3" t="s">
        <v>10</v>
      </c>
      <c r="P18728" s="3" t="s">
        <v>9</v>
      </c>
      <c r="Q18728" s="3"/>
    </row>
    <row r="18729" spans="1:17" ht="15" x14ac:dyDescent="0.25">
      <c r="A18729" s="3">
        <f>18722</f>
        <v>18722</v>
      </c>
      <c r="B18729" s="3" t="s">
        <v>18731</v>
      </c>
      <c r="C18729" s="3" t="s">
        <v>9</v>
      </c>
      <c r="D18729" s="3" t="s">
        <v>10</v>
      </c>
      <c r="E18729" s="3">
        <v>0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  <c r="L18729" s="3">
        <v>0</v>
      </c>
      <c r="M18729" s="3">
        <v>0</v>
      </c>
      <c r="N18729" s="3">
        <v>0</v>
      </c>
      <c r="O18729" s="3" t="s">
        <v>10</v>
      </c>
      <c r="P18729" s="3" t="s">
        <v>9</v>
      </c>
      <c r="Q18729" s="3"/>
    </row>
    <row r="18730" spans="1:17" ht="15" x14ac:dyDescent="0.25">
      <c r="A18730" s="3">
        <f>18723</f>
        <v>18723</v>
      </c>
      <c r="B18730" s="3" t="s">
        <v>18732</v>
      </c>
      <c r="C18730" s="3" t="s">
        <v>9</v>
      </c>
      <c r="D18730" s="3" t="s">
        <v>10</v>
      </c>
      <c r="E18730" s="3">
        <v>0</v>
      </c>
      <c r="F18730" s="3">
        <v>0</v>
      </c>
      <c r="G18730" s="3">
        <v>0</v>
      </c>
      <c r="H18730" s="3">
        <v>0</v>
      </c>
      <c r="I18730" s="3">
        <v>0</v>
      </c>
      <c r="J18730" s="3">
        <v>0</v>
      </c>
      <c r="K18730" s="3">
        <v>0</v>
      </c>
      <c r="L18730" s="3">
        <v>0</v>
      </c>
      <c r="M18730" s="3">
        <v>0</v>
      </c>
      <c r="N18730" s="3">
        <v>0</v>
      </c>
      <c r="O18730" s="3" t="s">
        <v>10</v>
      </c>
      <c r="P18730" s="3" t="s">
        <v>9</v>
      </c>
      <c r="Q18730" s="3"/>
    </row>
    <row r="18731" spans="1:17" ht="15" x14ac:dyDescent="0.25">
      <c r="A18731" s="3">
        <f>18724</f>
        <v>18724</v>
      </c>
      <c r="B18731" s="3" t="s">
        <v>18733</v>
      </c>
      <c r="C18731" s="3" t="s">
        <v>9</v>
      </c>
      <c r="D18731" s="3" t="s">
        <v>10</v>
      </c>
      <c r="E18731" s="3">
        <v>0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3">
        <v>0</v>
      </c>
      <c r="N18731" s="3">
        <v>0</v>
      </c>
      <c r="O18731" s="3" t="s">
        <v>10</v>
      </c>
      <c r="P18731" s="3" t="s">
        <v>9</v>
      </c>
      <c r="Q18731" s="3"/>
    </row>
    <row r="18732" spans="1:17" ht="15" x14ac:dyDescent="0.25">
      <c r="A18732" s="3">
        <f>18725</f>
        <v>18725</v>
      </c>
      <c r="B18732" s="3" t="s">
        <v>18734</v>
      </c>
      <c r="C18732" s="3" t="s">
        <v>9</v>
      </c>
      <c r="D18732" s="3" t="s">
        <v>10</v>
      </c>
      <c r="E18732" s="3">
        <v>0</v>
      </c>
      <c r="F18732" s="3">
        <v>0</v>
      </c>
      <c r="G18732" s="3">
        <v>0</v>
      </c>
      <c r="H18732" s="3">
        <v>0</v>
      </c>
      <c r="I18732" s="3">
        <v>0</v>
      </c>
      <c r="J18732" s="3">
        <v>0</v>
      </c>
      <c r="K18732" s="3">
        <v>0</v>
      </c>
      <c r="L18732" s="3">
        <v>0</v>
      </c>
      <c r="M18732" s="3">
        <v>0</v>
      </c>
      <c r="N18732" s="3">
        <v>0</v>
      </c>
      <c r="O18732" s="3" t="s">
        <v>10</v>
      </c>
      <c r="P18732" s="3" t="s">
        <v>9</v>
      </c>
      <c r="Q18732" s="3"/>
    </row>
    <row r="18733" spans="1:17" ht="15" x14ac:dyDescent="0.25">
      <c r="A18733" s="3">
        <f>18726</f>
        <v>18726</v>
      </c>
      <c r="B18733" s="3" t="s">
        <v>18735</v>
      </c>
      <c r="C18733" s="3" t="s">
        <v>9</v>
      </c>
      <c r="D18733" s="3" t="s">
        <v>10</v>
      </c>
      <c r="E18733" s="3">
        <v>0</v>
      </c>
      <c r="F18733" s="3">
        <v>0</v>
      </c>
      <c r="G18733" s="3">
        <v>0</v>
      </c>
      <c r="H18733" s="3">
        <v>0</v>
      </c>
      <c r="I18733" s="3">
        <v>0</v>
      </c>
      <c r="J18733" s="3">
        <v>0</v>
      </c>
      <c r="K18733" s="3">
        <v>0</v>
      </c>
      <c r="L18733" s="3">
        <v>0</v>
      </c>
      <c r="M18733" s="3">
        <v>0</v>
      </c>
      <c r="N18733" s="3">
        <v>0</v>
      </c>
      <c r="O18733" s="3" t="s">
        <v>10</v>
      </c>
      <c r="P18733" s="3" t="s">
        <v>9</v>
      </c>
      <c r="Q18733" s="3"/>
    </row>
    <row r="18734" spans="1:17" ht="15" x14ac:dyDescent="0.25">
      <c r="A18734" s="3">
        <f>18727</f>
        <v>18727</v>
      </c>
      <c r="B18734" s="3" t="s">
        <v>18736</v>
      </c>
      <c r="C18734" s="3" t="s">
        <v>9</v>
      </c>
      <c r="D18734" s="3" t="s">
        <v>10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 t="s">
        <v>10</v>
      </c>
      <c r="P18734" s="3" t="s">
        <v>9</v>
      </c>
      <c r="Q18734" s="3"/>
    </row>
    <row r="18735" spans="1:17" ht="15" x14ac:dyDescent="0.25">
      <c r="A18735" s="3">
        <f>18728</f>
        <v>18728</v>
      </c>
      <c r="B18735" s="3" t="s">
        <v>18737</v>
      </c>
      <c r="C18735" s="3" t="s">
        <v>9</v>
      </c>
      <c r="D18735" s="3" t="s">
        <v>10</v>
      </c>
      <c r="E18735" s="3">
        <v>0</v>
      </c>
      <c r="F18735" s="3">
        <v>0</v>
      </c>
      <c r="G18735" s="3">
        <v>0</v>
      </c>
      <c r="H18735" s="3">
        <v>0</v>
      </c>
      <c r="I18735" s="3">
        <v>0</v>
      </c>
      <c r="J18735" s="3">
        <v>0</v>
      </c>
      <c r="K18735" s="3">
        <v>0</v>
      </c>
      <c r="L18735" s="3">
        <v>0</v>
      </c>
      <c r="M18735" s="3">
        <v>0</v>
      </c>
      <c r="N18735" s="3">
        <v>0</v>
      </c>
      <c r="O18735" s="3" t="s">
        <v>10</v>
      </c>
      <c r="P18735" s="3" t="s">
        <v>9</v>
      </c>
      <c r="Q18735" s="3"/>
    </row>
    <row r="18736" spans="1:17" ht="15" x14ac:dyDescent="0.25">
      <c r="A18736" s="3">
        <f>18729</f>
        <v>18729</v>
      </c>
      <c r="B18736" s="3" t="s">
        <v>18738</v>
      </c>
      <c r="C18736" s="3" t="s">
        <v>9</v>
      </c>
      <c r="D18736" s="3" t="s">
        <v>10</v>
      </c>
      <c r="E18736" s="3">
        <v>0</v>
      </c>
      <c r="F18736" s="3">
        <v>0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  <c r="L18736" s="3">
        <v>0</v>
      </c>
      <c r="M18736" s="3">
        <v>0</v>
      </c>
      <c r="N18736" s="3">
        <v>0</v>
      </c>
      <c r="O18736" s="3" t="s">
        <v>10</v>
      </c>
      <c r="P18736" s="3" t="s">
        <v>9</v>
      </c>
      <c r="Q18736" s="3"/>
    </row>
    <row r="18737" spans="1:17" ht="15" x14ac:dyDescent="0.25">
      <c r="A18737" s="3">
        <f>18730</f>
        <v>18730</v>
      </c>
      <c r="B18737" s="3" t="s">
        <v>18739</v>
      </c>
      <c r="C18737" s="3" t="s">
        <v>9</v>
      </c>
      <c r="D18737" s="3" t="s">
        <v>10</v>
      </c>
      <c r="E18737" s="3">
        <v>0</v>
      </c>
      <c r="F18737" s="3">
        <v>0</v>
      </c>
      <c r="G18737" s="3">
        <v>0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3">
        <v>0</v>
      </c>
      <c r="N18737" s="3">
        <v>0</v>
      </c>
      <c r="O18737" s="3" t="s">
        <v>10</v>
      </c>
      <c r="P18737" s="3" t="s">
        <v>9</v>
      </c>
      <c r="Q18737" s="3"/>
    </row>
    <row r="18738" spans="1:17" ht="15" x14ac:dyDescent="0.25">
      <c r="A18738" s="3">
        <f>18731</f>
        <v>18731</v>
      </c>
      <c r="B18738" s="3" t="s">
        <v>18740</v>
      </c>
      <c r="C18738" s="3" t="s">
        <v>9</v>
      </c>
      <c r="D18738" s="3" t="s">
        <v>10</v>
      </c>
      <c r="E18738" s="3">
        <v>0</v>
      </c>
      <c r="F18738" s="3">
        <v>0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  <c r="L18738" s="3">
        <v>0</v>
      </c>
      <c r="M18738" s="3">
        <v>0</v>
      </c>
      <c r="N18738" s="3">
        <v>0</v>
      </c>
      <c r="O18738" s="3" t="s">
        <v>10</v>
      </c>
      <c r="P18738" s="3" t="s">
        <v>9</v>
      </c>
      <c r="Q18738" s="3"/>
    </row>
    <row r="18739" spans="1:17" ht="15" x14ac:dyDescent="0.25">
      <c r="A18739" s="3">
        <f>18732</f>
        <v>18732</v>
      </c>
      <c r="B18739" s="3" t="s">
        <v>18741</v>
      </c>
      <c r="C18739" s="3" t="s">
        <v>9</v>
      </c>
      <c r="D18739" s="3" t="s">
        <v>10</v>
      </c>
      <c r="E18739" s="3">
        <v>0</v>
      </c>
      <c r="F18739" s="3">
        <v>0</v>
      </c>
      <c r="G18739" s="3">
        <v>0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3">
        <v>0</v>
      </c>
      <c r="N18739" s="3">
        <v>0</v>
      </c>
      <c r="O18739" s="3" t="s">
        <v>10</v>
      </c>
      <c r="P18739" s="3" t="s">
        <v>9</v>
      </c>
      <c r="Q18739" s="3"/>
    </row>
    <row r="18740" spans="1:17" ht="15" x14ac:dyDescent="0.25">
      <c r="A18740" s="3">
        <f>18733</f>
        <v>18733</v>
      </c>
      <c r="B18740" s="3" t="s">
        <v>18742</v>
      </c>
      <c r="C18740" s="3" t="s">
        <v>9</v>
      </c>
      <c r="D18740" s="3" t="s">
        <v>10</v>
      </c>
      <c r="E18740" s="3">
        <v>0</v>
      </c>
      <c r="F18740" s="3">
        <v>0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  <c r="L18740" s="3">
        <v>0</v>
      </c>
      <c r="M18740" s="3">
        <v>0</v>
      </c>
      <c r="N18740" s="3">
        <v>0</v>
      </c>
      <c r="O18740" s="3" t="s">
        <v>10</v>
      </c>
      <c r="P18740" s="3" t="s">
        <v>9</v>
      </c>
      <c r="Q18740" s="3"/>
    </row>
    <row r="18741" spans="1:17" ht="15" x14ac:dyDescent="0.25">
      <c r="A18741" s="3">
        <f>18734</f>
        <v>18734</v>
      </c>
      <c r="B18741" s="3" t="s">
        <v>18743</v>
      </c>
      <c r="C18741" s="3" t="s">
        <v>9</v>
      </c>
      <c r="D18741" s="3" t="s">
        <v>10</v>
      </c>
      <c r="E18741" s="3">
        <v>0</v>
      </c>
      <c r="F18741" s="3">
        <v>0</v>
      </c>
      <c r="G18741" s="3">
        <v>0</v>
      </c>
      <c r="H18741" s="3">
        <v>0</v>
      </c>
      <c r="I18741" s="3">
        <v>0</v>
      </c>
      <c r="J18741" s="3">
        <v>0</v>
      </c>
      <c r="K18741" s="3">
        <v>0</v>
      </c>
      <c r="L18741" s="3">
        <v>0</v>
      </c>
      <c r="M18741" s="3">
        <v>0</v>
      </c>
      <c r="N18741" s="3">
        <v>0</v>
      </c>
      <c r="O18741" s="3" t="s">
        <v>10</v>
      </c>
      <c r="P18741" s="3" t="s">
        <v>9</v>
      </c>
      <c r="Q18741" s="3"/>
    </row>
    <row r="18742" spans="1:17" ht="15" x14ac:dyDescent="0.25">
      <c r="A18742" s="3">
        <f>18735</f>
        <v>18735</v>
      </c>
      <c r="B18742" s="3" t="s">
        <v>18744</v>
      </c>
      <c r="C18742" s="3" t="s">
        <v>9</v>
      </c>
      <c r="D18742" s="3" t="s">
        <v>10</v>
      </c>
      <c r="E18742" s="3">
        <v>0</v>
      </c>
      <c r="F18742" s="3">
        <v>0</v>
      </c>
      <c r="G18742" s="3">
        <v>0</v>
      </c>
      <c r="H18742" s="3">
        <v>0</v>
      </c>
      <c r="I18742" s="3">
        <v>0</v>
      </c>
      <c r="J18742" s="3">
        <v>0</v>
      </c>
      <c r="K18742" s="3">
        <v>0</v>
      </c>
      <c r="L18742" s="3">
        <v>0</v>
      </c>
      <c r="M18742" s="3">
        <v>0</v>
      </c>
      <c r="N18742" s="3">
        <v>0</v>
      </c>
      <c r="O18742" s="3" t="s">
        <v>10</v>
      </c>
      <c r="P18742" s="3" t="s">
        <v>9</v>
      </c>
      <c r="Q18742" s="3"/>
    </row>
    <row r="18743" spans="1:17" ht="15" x14ac:dyDescent="0.25">
      <c r="A18743" s="3">
        <f>18736</f>
        <v>18736</v>
      </c>
      <c r="B18743" s="3" t="s">
        <v>18745</v>
      </c>
      <c r="C18743" s="3" t="s">
        <v>9</v>
      </c>
      <c r="D18743" s="3" t="s">
        <v>10</v>
      </c>
      <c r="E18743" s="3">
        <v>0</v>
      </c>
      <c r="F18743" s="3">
        <v>0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  <c r="L18743" s="3">
        <v>0</v>
      </c>
      <c r="M18743" s="3">
        <v>0</v>
      </c>
      <c r="N18743" s="3">
        <v>0</v>
      </c>
      <c r="O18743" s="3" t="s">
        <v>10</v>
      </c>
      <c r="P18743" s="3" t="s">
        <v>9</v>
      </c>
      <c r="Q18743" s="3"/>
    </row>
    <row r="18744" spans="1:17" ht="15" x14ac:dyDescent="0.25">
      <c r="A18744" s="3">
        <f>18737</f>
        <v>18737</v>
      </c>
      <c r="B18744" s="3" t="s">
        <v>18746</v>
      </c>
      <c r="C18744" s="3" t="s">
        <v>9</v>
      </c>
      <c r="D18744" s="3" t="s">
        <v>10</v>
      </c>
      <c r="E18744" s="3">
        <v>0</v>
      </c>
      <c r="F18744" s="3">
        <v>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3">
        <v>0</v>
      </c>
      <c r="N18744" s="3">
        <v>0</v>
      </c>
      <c r="O18744" s="3" t="s">
        <v>10</v>
      </c>
      <c r="P18744" s="3" t="s">
        <v>9</v>
      </c>
      <c r="Q18744" s="3"/>
    </row>
    <row r="18745" spans="1:17" ht="15" x14ac:dyDescent="0.25">
      <c r="A18745" s="3">
        <f>18738</f>
        <v>18738</v>
      </c>
      <c r="B18745" s="3" t="s">
        <v>18747</v>
      </c>
      <c r="C18745" s="3" t="s">
        <v>9</v>
      </c>
      <c r="D18745" s="3" t="s">
        <v>10</v>
      </c>
      <c r="E18745" s="3">
        <v>0</v>
      </c>
      <c r="F18745" s="3">
        <v>0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3">
        <v>0</v>
      </c>
      <c r="N18745" s="3">
        <v>0</v>
      </c>
      <c r="O18745" s="3" t="s">
        <v>10</v>
      </c>
      <c r="P18745" s="3" t="s">
        <v>9</v>
      </c>
      <c r="Q18745" s="3"/>
    </row>
    <row r="18746" spans="1:17" ht="15" x14ac:dyDescent="0.25">
      <c r="A18746" s="3">
        <f>18739</f>
        <v>18739</v>
      </c>
      <c r="B18746" s="3" t="s">
        <v>18748</v>
      </c>
      <c r="C18746" s="3" t="s">
        <v>9</v>
      </c>
      <c r="D18746" s="3" t="s">
        <v>10</v>
      </c>
      <c r="E18746" s="3">
        <v>0</v>
      </c>
      <c r="F18746" s="3">
        <v>0</v>
      </c>
      <c r="G18746" s="3">
        <v>0</v>
      </c>
      <c r="H18746" s="3">
        <v>0</v>
      </c>
      <c r="I18746" s="3">
        <v>0</v>
      </c>
      <c r="J18746" s="3">
        <v>0</v>
      </c>
      <c r="K18746" s="3">
        <v>0</v>
      </c>
      <c r="L18746" s="3">
        <v>0</v>
      </c>
      <c r="M18746" s="3">
        <v>0</v>
      </c>
      <c r="N18746" s="3">
        <v>0</v>
      </c>
      <c r="O18746" s="3" t="s">
        <v>10</v>
      </c>
      <c r="P18746" s="3" t="s">
        <v>9</v>
      </c>
      <c r="Q18746" s="3"/>
    </row>
    <row r="18747" spans="1:17" ht="15" x14ac:dyDescent="0.25">
      <c r="A18747" s="3">
        <f>18740</f>
        <v>18740</v>
      </c>
      <c r="B18747" s="3" t="s">
        <v>18749</v>
      </c>
      <c r="C18747" s="3" t="s">
        <v>9</v>
      </c>
      <c r="D18747" s="3" t="s">
        <v>10</v>
      </c>
      <c r="E18747" s="3">
        <v>0</v>
      </c>
      <c r="F18747" s="3">
        <v>0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s="3">
        <v>0</v>
      </c>
      <c r="O18747" s="3" t="s">
        <v>10</v>
      </c>
      <c r="P18747" s="3" t="s">
        <v>9</v>
      </c>
      <c r="Q18747" s="3"/>
    </row>
    <row r="18748" spans="1:17" ht="15" x14ac:dyDescent="0.25">
      <c r="A18748" s="3">
        <f>18741</f>
        <v>18741</v>
      </c>
      <c r="B18748" s="3" t="s">
        <v>18750</v>
      </c>
      <c r="C18748" s="3" t="s">
        <v>9</v>
      </c>
      <c r="D18748" s="3" t="s">
        <v>10</v>
      </c>
      <c r="E18748" s="3">
        <v>0</v>
      </c>
      <c r="F18748" s="3">
        <v>0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3">
        <v>0</v>
      </c>
      <c r="N18748" s="3">
        <v>0</v>
      </c>
      <c r="O18748" s="3" t="s">
        <v>10</v>
      </c>
      <c r="P18748" s="3" t="s">
        <v>9</v>
      </c>
      <c r="Q18748" s="3"/>
    </row>
    <row r="18749" spans="1:17" ht="15" x14ac:dyDescent="0.25">
      <c r="A18749" s="3">
        <f>18742</f>
        <v>18742</v>
      </c>
      <c r="B18749" s="3" t="s">
        <v>18751</v>
      </c>
      <c r="C18749" s="3" t="s">
        <v>9</v>
      </c>
      <c r="D18749" s="3" t="s">
        <v>10</v>
      </c>
      <c r="E18749" s="3">
        <v>0</v>
      </c>
      <c r="F18749" s="3">
        <v>0</v>
      </c>
      <c r="G18749" s="3">
        <v>0</v>
      </c>
      <c r="H18749" s="3">
        <v>0</v>
      </c>
      <c r="I18749" s="3">
        <v>0</v>
      </c>
      <c r="J18749" s="3">
        <v>0</v>
      </c>
      <c r="K18749" s="3">
        <v>0</v>
      </c>
      <c r="L18749" s="3">
        <v>0</v>
      </c>
      <c r="M18749" s="3">
        <v>0</v>
      </c>
      <c r="N18749" s="3">
        <v>0</v>
      </c>
      <c r="O18749" s="3" t="s">
        <v>10</v>
      </c>
      <c r="P18749" s="3" t="s">
        <v>9</v>
      </c>
      <c r="Q18749" s="3"/>
    </row>
    <row r="18750" spans="1:17" ht="15" x14ac:dyDescent="0.25">
      <c r="A18750" s="3">
        <f>18743</f>
        <v>18743</v>
      </c>
      <c r="B18750" s="3" t="s">
        <v>18752</v>
      </c>
      <c r="C18750" s="3" t="s">
        <v>9</v>
      </c>
      <c r="D18750" s="3" t="s">
        <v>10</v>
      </c>
      <c r="E18750" s="3">
        <v>0</v>
      </c>
      <c r="F18750" s="3">
        <v>0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  <c r="L18750" s="3">
        <v>0</v>
      </c>
      <c r="M18750" s="3">
        <v>0</v>
      </c>
      <c r="N18750" s="3">
        <v>0</v>
      </c>
      <c r="O18750" s="3" t="s">
        <v>10</v>
      </c>
      <c r="P18750" s="3" t="s">
        <v>9</v>
      </c>
      <c r="Q18750" s="3"/>
    </row>
    <row r="18751" spans="1:17" ht="15" x14ac:dyDescent="0.25">
      <c r="A18751" s="3">
        <f>18744</f>
        <v>18744</v>
      </c>
      <c r="B18751" s="3" t="s">
        <v>18753</v>
      </c>
      <c r="C18751" s="3" t="s">
        <v>9</v>
      </c>
      <c r="D18751" s="3" t="s">
        <v>10</v>
      </c>
      <c r="E18751" s="3">
        <v>0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3">
        <v>0</v>
      </c>
      <c r="N18751" s="3">
        <v>0</v>
      </c>
      <c r="O18751" s="3" t="s">
        <v>10</v>
      </c>
      <c r="P18751" s="3" t="s">
        <v>9</v>
      </c>
      <c r="Q18751" s="3"/>
    </row>
    <row r="18752" spans="1:17" ht="15" x14ac:dyDescent="0.25">
      <c r="A18752" s="3">
        <f>18745</f>
        <v>18745</v>
      </c>
      <c r="B18752" s="3" t="s">
        <v>18754</v>
      </c>
      <c r="C18752" s="3" t="s">
        <v>9</v>
      </c>
      <c r="D18752" s="3" t="s">
        <v>10</v>
      </c>
      <c r="E18752" s="3">
        <v>0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>
        <v>0</v>
      </c>
      <c r="O18752" s="3" t="s">
        <v>10</v>
      </c>
      <c r="P18752" s="3" t="s">
        <v>9</v>
      </c>
      <c r="Q18752" s="3"/>
    </row>
    <row r="18753" spans="1:17" ht="15" x14ac:dyDescent="0.25">
      <c r="A18753" s="3">
        <f>18746</f>
        <v>18746</v>
      </c>
      <c r="B18753" s="3" t="s">
        <v>18755</v>
      </c>
      <c r="C18753" s="3" t="s">
        <v>9</v>
      </c>
      <c r="D18753" s="3" t="s">
        <v>10</v>
      </c>
      <c r="E18753" s="3">
        <v>0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3">
        <v>0</v>
      </c>
      <c r="N18753" s="3">
        <v>0</v>
      </c>
      <c r="O18753" s="3" t="s">
        <v>10</v>
      </c>
      <c r="P18753" s="3" t="s">
        <v>9</v>
      </c>
      <c r="Q18753" s="3"/>
    </row>
    <row r="18754" spans="1:17" ht="15" x14ac:dyDescent="0.25">
      <c r="A18754" s="3">
        <f>18747</f>
        <v>18747</v>
      </c>
      <c r="B18754" s="3" t="s">
        <v>18756</v>
      </c>
      <c r="C18754" s="3" t="s">
        <v>9</v>
      </c>
      <c r="D18754" s="3" t="s">
        <v>10</v>
      </c>
      <c r="E18754" s="3">
        <v>0</v>
      </c>
      <c r="F18754" s="3">
        <v>0</v>
      </c>
      <c r="G18754" s="3">
        <v>0</v>
      </c>
      <c r="H18754" s="3">
        <v>0</v>
      </c>
      <c r="I18754" s="3">
        <v>0</v>
      </c>
      <c r="J18754" s="3">
        <v>0</v>
      </c>
      <c r="K18754" s="3">
        <v>0</v>
      </c>
      <c r="L18754" s="3">
        <v>0</v>
      </c>
      <c r="M18754" s="3">
        <v>0</v>
      </c>
      <c r="N18754" s="3">
        <v>0</v>
      </c>
      <c r="O18754" s="3" t="s">
        <v>10</v>
      </c>
      <c r="P18754" s="3" t="s">
        <v>9</v>
      </c>
      <c r="Q18754" s="3"/>
    </row>
    <row r="18755" spans="1:17" ht="15" x14ac:dyDescent="0.25">
      <c r="A18755" s="3">
        <f>18748</f>
        <v>18748</v>
      </c>
      <c r="B18755" s="3" t="s">
        <v>18757</v>
      </c>
      <c r="C18755" s="3" t="s">
        <v>9</v>
      </c>
      <c r="D18755" s="3" t="s">
        <v>10</v>
      </c>
      <c r="E18755" s="3">
        <v>0</v>
      </c>
      <c r="F18755" s="3">
        <v>0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  <c r="L18755" s="3">
        <v>0</v>
      </c>
      <c r="M18755" s="3">
        <v>0</v>
      </c>
      <c r="N18755" s="3">
        <v>0</v>
      </c>
      <c r="O18755" s="3" t="s">
        <v>10</v>
      </c>
      <c r="P18755" s="3" t="s">
        <v>9</v>
      </c>
      <c r="Q18755" s="3"/>
    </row>
    <row r="18756" spans="1:17" ht="15" x14ac:dyDescent="0.25">
      <c r="A18756" s="3">
        <f>18749</f>
        <v>18749</v>
      </c>
      <c r="B18756" s="3" t="s">
        <v>18758</v>
      </c>
      <c r="C18756" s="3" t="s">
        <v>9</v>
      </c>
      <c r="D18756" s="3" t="s">
        <v>10</v>
      </c>
      <c r="E18756" s="3">
        <v>0</v>
      </c>
      <c r="F18756" s="3">
        <v>0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3">
        <v>0</v>
      </c>
      <c r="N18756" s="3">
        <v>0</v>
      </c>
      <c r="O18756" s="3" t="s">
        <v>10</v>
      </c>
      <c r="P18756" s="3" t="s">
        <v>9</v>
      </c>
      <c r="Q18756" s="3"/>
    </row>
    <row r="18757" spans="1:17" ht="15" x14ac:dyDescent="0.25">
      <c r="A18757" s="3">
        <f>18750</f>
        <v>18750</v>
      </c>
      <c r="B18757" s="3" t="s">
        <v>18759</v>
      </c>
      <c r="C18757" s="3" t="s">
        <v>9</v>
      </c>
      <c r="D18757" s="3" t="s">
        <v>10</v>
      </c>
      <c r="E18757" s="3">
        <v>0</v>
      </c>
      <c r="F18757" s="3">
        <v>0</v>
      </c>
      <c r="G18757" s="3">
        <v>0</v>
      </c>
      <c r="H18757" s="3">
        <v>0</v>
      </c>
      <c r="I18757" s="3">
        <v>0</v>
      </c>
      <c r="J18757" s="3">
        <v>0</v>
      </c>
      <c r="K18757" s="3">
        <v>0</v>
      </c>
      <c r="L18757" s="3">
        <v>0</v>
      </c>
      <c r="M18757" s="3">
        <v>0</v>
      </c>
      <c r="N18757" s="3">
        <v>0</v>
      </c>
      <c r="O18757" s="3" t="s">
        <v>10</v>
      </c>
      <c r="P18757" s="3" t="s">
        <v>9</v>
      </c>
      <c r="Q18757" s="3"/>
    </row>
    <row r="18758" spans="1:17" ht="15" x14ac:dyDescent="0.25">
      <c r="A18758" s="3">
        <f>18751</f>
        <v>18751</v>
      </c>
      <c r="B18758" s="3" t="s">
        <v>18760</v>
      </c>
      <c r="C18758" s="3" t="s">
        <v>9</v>
      </c>
      <c r="D18758" s="3" t="s">
        <v>10</v>
      </c>
      <c r="E18758" s="3">
        <v>0</v>
      </c>
      <c r="F18758" s="3">
        <v>0</v>
      </c>
      <c r="G18758" s="3">
        <v>0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3">
        <v>0</v>
      </c>
      <c r="N18758" s="3">
        <v>0</v>
      </c>
      <c r="O18758" s="3" t="s">
        <v>10</v>
      </c>
      <c r="P18758" s="3" t="s">
        <v>9</v>
      </c>
      <c r="Q18758" s="3"/>
    </row>
    <row r="18759" spans="1:17" ht="15" x14ac:dyDescent="0.25">
      <c r="A18759" s="3">
        <f>18752</f>
        <v>18752</v>
      </c>
      <c r="B18759" s="3" t="s">
        <v>18761</v>
      </c>
      <c r="C18759" s="3" t="s">
        <v>9</v>
      </c>
      <c r="D18759" s="3" t="s">
        <v>10</v>
      </c>
      <c r="E18759" s="3">
        <v>0</v>
      </c>
      <c r="F18759" s="3">
        <v>0</v>
      </c>
      <c r="G18759" s="3">
        <v>0</v>
      </c>
      <c r="H18759" s="3">
        <v>0</v>
      </c>
      <c r="I18759" s="3">
        <v>0</v>
      </c>
      <c r="J18759" s="3">
        <v>0</v>
      </c>
      <c r="K18759" s="3">
        <v>0</v>
      </c>
      <c r="L18759" s="3">
        <v>0</v>
      </c>
      <c r="M18759" s="3">
        <v>0</v>
      </c>
      <c r="N18759" s="3">
        <v>0</v>
      </c>
      <c r="O18759" s="3" t="s">
        <v>10</v>
      </c>
      <c r="P18759" s="3" t="s">
        <v>9</v>
      </c>
      <c r="Q18759" s="3"/>
    </row>
    <row r="18760" spans="1:17" ht="15" x14ac:dyDescent="0.25">
      <c r="A18760" s="3">
        <f>18753</f>
        <v>18753</v>
      </c>
      <c r="B18760" s="3" t="s">
        <v>18762</v>
      </c>
      <c r="C18760" s="3" t="s">
        <v>9</v>
      </c>
      <c r="D18760" s="3" t="s">
        <v>10</v>
      </c>
      <c r="E18760" s="3">
        <v>0</v>
      </c>
      <c r="F18760" s="3">
        <v>0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3">
        <v>0</v>
      </c>
      <c r="N18760" s="3">
        <v>0</v>
      </c>
      <c r="O18760" s="3" t="s">
        <v>10</v>
      </c>
      <c r="P18760" s="3" t="s">
        <v>9</v>
      </c>
      <c r="Q18760" s="3"/>
    </row>
    <row r="18761" spans="1:17" ht="15" x14ac:dyDescent="0.25">
      <c r="A18761" s="3">
        <f>18754</f>
        <v>18754</v>
      </c>
      <c r="B18761" s="3" t="s">
        <v>18763</v>
      </c>
      <c r="C18761" s="3" t="s">
        <v>9</v>
      </c>
      <c r="D18761" s="3" t="s">
        <v>10</v>
      </c>
      <c r="E18761" s="3">
        <v>0</v>
      </c>
      <c r="F18761" s="3">
        <v>0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3">
        <v>0</v>
      </c>
      <c r="N18761" s="3">
        <v>0</v>
      </c>
      <c r="O18761" s="3" t="s">
        <v>10</v>
      </c>
      <c r="P18761" s="3" t="s">
        <v>9</v>
      </c>
      <c r="Q18761" s="3"/>
    </row>
    <row r="18762" spans="1:17" ht="15" x14ac:dyDescent="0.25">
      <c r="A18762" s="3">
        <f>18755</f>
        <v>18755</v>
      </c>
      <c r="B18762" s="3" t="s">
        <v>18764</v>
      </c>
      <c r="C18762" s="3" t="s">
        <v>9</v>
      </c>
      <c r="D18762" s="3" t="s">
        <v>10</v>
      </c>
      <c r="E18762" s="3">
        <v>0</v>
      </c>
      <c r="F18762" s="3">
        <v>0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  <c r="L18762" s="3">
        <v>0</v>
      </c>
      <c r="M18762" s="3">
        <v>0</v>
      </c>
      <c r="N18762" s="3">
        <v>0</v>
      </c>
      <c r="O18762" s="3" t="s">
        <v>10</v>
      </c>
      <c r="P18762" s="3" t="s">
        <v>9</v>
      </c>
      <c r="Q18762" s="3"/>
    </row>
    <row r="18763" spans="1:17" ht="15" x14ac:dyDescent="0.25">
      <c r="A18763" s="3">
        <f>18756</f>
        <v>18756</v>
      </c>
      <c r="B18763" s="3" t="s">
        <v>18765</v>
      </c>
      <c r="C18763" s="3" t="s">
        <v>9</v>
      </c>
      <c r="D18763" s="3" t="s">
        <v>10</v>
      </c>
      <c r="E18763" s="3">
        <v>0</v>
      </c>
      <c r="F18763" s="3">
        <v>0</v>
      </c>
      <c r="G18763" s="3">
        <v>0</v>
      </c>
      <c r="H18763" s="3">
        <v>0</v>
      </c>
      <c r="I18763" s="3">
        <v>0</v>
      </c>
      <c r="J18763" s="3">
        <v>0</v>
      </c>
      <c r="K18763" s="3">
        <v>0</v>
      </c>
      <c r="L18763" s="3">
        <v>0</v>
      </c>
      <c r="M18763" s="3">
        <v>0</v>
      </c>
      <c r="N18763" s="3">
        <v>0</v>
      </c>
      <c r="O18763" s="3" t="s">
        <v>10</v>
      </c>
      <c r="P18763" s="3" t="s">
        <v>9</v>
      </c>
      <c r="Q18763" s="3"/>
    </row>
    <row r="18764" spans="1:17" ht="15" x14ac:dyDescent="0.25">
      <c r="A18764" s="3">
        <f>18757</f>
        <v>18757</v>
      </c>
      <c r="B18764" s="3" t="s">
        <v>18766</v>
      </c>
      <c r="C18764" s="3" t="s">
        <v>9</v>
      </c>
      <c r="D18764" s="3" t="s">
        <v>10</v>
      </c>
      <c r="E18764" s="3">
        <v>0</v>
      </c>
      <c r="F18764" s="3">
        <v>0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  <c r="L18764" s="3">
        <v>0</v>
      </c>
      <c r="M18764" s="3">
        <v>0</v>
      </c>
      <c r="N18764" s="3">
        <v>0</v>
      </c>
      <c r="O18764" s="3" t="s">
        <v>10</v>
      </c>
      <c r="P18764" s="3" t="s">
        <v>9</v>
      </c>
      <c r="Q18764" s="3"/>
    </row>
    <row r="18765" spans="1:17" ht="15" x14ac:dyDescent="0.25">
      <c r="A18765" s="3">
        <f>18758</f>
        <v>18758</v>
      </c>
      <c r="B18765" s="3" t="s">
        <v>18767</v>
      </c>
      <c r="C18765" s="3" t="s">
        <v>9</v>
      </c>
      <c r="D18765" s="3" t="s">
        <v>10</v>
      </c>
      <c r="E18765" s="3">
        <v>0</v>
      </c>
      <c r="F18765" s="3">
        <v>0</v>
      </c>
      <c r="G18765" s="3">
        <v>0</v>
      </c>
      <c r="H18765" s="3">
        <v>0</v>
      </c>
      <c r="I18765" s="3">
        <v>0</v>
      </c>
      <c r="J18765" s="3">
        <v>0</v>
      </c>
      <c r="K18765" s="3">
        <v>0</v>
      </c>
      <c r="L18765" s="3">
        <v>0</v>
      </c>
      <c r="M18765" s="3">
        <v>0</v>
      </c>
      <c r="N18765" s="3">
        <v>0</v>
      </c>
      <c r="O18765" s="3" t="s">
        <v>10</v>
      </c>
      <c r="P18765" s="3" t="s">
        <v>9</v>
      </c>
      <c r="Q18765" s="3"/>
    </row>
    <row r="18766" spans="1:17" ht="15" x14ac:dyDescent="0.25">
      <c r="A18766" s="3">
        <f>18759</f>
        <v>18759</v>
      </c>
      <c r="B18766" s="3" t="s">
        <v>18768</v>
      </c>
      <c r="C18766" s="3" t="s">
        <v>9</v>
      </c>
      <c r="D18766" s="3" t="s">
        <v>10</v>
      </c>
      <c r="E18766" s="3">
        <v>0</v>
      </c>
      <c r="F18766" s="3">
        <v>0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3">
        <v>0</v>
      </c>
      <c r="N18766" s="3">
        <v>0</v>
      </c>
      <c r="O18766" s="3" t="s">
        <v>10</v>
      </c>
      <c r="P18766" s="3" t="s">
        <v>9</v>
      </c>
      <c r="Q18766" s="3"/>
    </row>
    <row r="18767" spans="1:17" ht="15" x14ac:dyDescent="0.25">
      <c r="A18767" s="3">
        <f>18760</f>
        <v>18760</v>
      </c>
      <c r="B18767" s="3" t="s">
        <v>18769</v>
      </c>
      <c r="C18767" s="3" t="s">
        <v>9</v>
      </c>
      <c r="D18767" s="3" t="s">
        <v>10</v>
      </c>
      <c r="E18767" s="3">
        <v>0</v>
      </c>
      <c r="F18767" s="3">
        <v>0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 s="3">
        <v>0</v>
      </c>
      <c r="M18767" s="3">
        <v>0</v>
      </c>
      <c r="N18767" s="3">
        <v>0</v>
      </c>
      <c r="O18767" s="3" t="s">
        <v>10</v>
      </c>
      <c r="P18767" s="3" t="s">
        <v>9</v>
      </c>
      <c r="Q18767" s="3"/>
    </row>
    <row r="18768" spans="1:17" ht="15" x14ac:dyDescent="0.25">
      <c r="A18768" s="3">
        <f>18761</f>
        <v>18761</v>
      </c>
      <c r="B18768" s="3" t="s">
        <v>18770</v>
      </c>
      <c r="C18768" s="3" t="s">
        <v>9</v>
      </c>
      <c r="D18768" s="3" t="s">
        <v>10</v>
      </c>
      <c r="E18768" s="3">
        <v>0</v>
      </c>
      <c r="F18768" s="3">
        <v>0</v>
      </c>
      <c r="G18768" s="3">
        <v>0</v>
      </c>
      <c r="H18768" s="3">
        <v>0</v>
      </c>
      <c r="I18768" s="3">
        <v>0</v>
      </c>
      <c r="J18768" s="3">
        <v>0</v>
      </c>
      <c r="K18768" s="3">
        <v>0</v>
      </c>
      <c r="L18768" s="3">
        <v>0</v>
      </c>
      <c r="M18768" s="3">
        <v>0</v>
      </c>
      <c r="N18768" s="3">
        <v>0</v>
      </c>
      <c r="O18768" s="3" t="s">
        <v>10</v>
      </c>
      <c r="P18768" s="3" t="s">
        <v>9</v>
      </c>
      <c r="Q18768" s="3"/>
    </row>
    <row r="18769" spans="1:17" ht="15" x14ac:dyDescent="0.25">
      <c r="A18769" s="3">
        <f>18762</f>
        <v>18762</v>
      </c>
      <c r="B18769" s="3" t="s">
        <v>18771</v>
      </c>
      <c r="C18769" s="3" t="s">
        <v>9</v>
      </c>
      <c r="D18769" s="3" t="s">
        <v>10</v>
      </c>
      <c r="E18769" s="3">
        <v>0</v>
      </c>
      <c r="F18769" s="3">
        <v>0</v>
      </c>
      <c r="G18769" s="3">
        <v>0</v>
      </c>
      <c r="H18769" s="3">
        <v>0</v>
      </c>
      <c r="I18769" s="3">
        <v>0</v>
      </c>
      <c r="J18769" s="3">
        <v>0</v>
      </c>
      <c r="K18769" s="3">
        <v>0</v>
      </c>
      <c r="L18769" s="3">
        <v>0</v>
      </c>
      <c r="M18769" s="3">
        <v>0</v>
      </c>
      <c r="N18769" s="3">
        <v>0</v>
      </c>
      <c r="O18769" s="3" t="s">
        <v>10</v>
      </c>
      <c r="P18769" s="3" t="s">
        <v>9</v>
      </c>
      <c r="Q18769" s="3"/>
    </row>
    <row r="18770" spans="1:17" ht="15" x14ac:dyDescent="0.25">
      <c r="A18770" s="3">
        <f>18763</f>
        <v>18763</v>
      </c>
      <c r="B18770" s="3" t="s">
        <v>18772</v>
      </c>
      <c r="C18770" s="3" t="s">
        <v>9</v>
      </c>
      <c r="D18770" s="3" t="s">
        <v>10</v>
      </c>
      <c r="E18770" s="3">
        <v>0</v>
      </c>
      <c r="F18770" s="3">
        <v>0</v>
      </c>
      <c r="G18770" s="3">
        <v>0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3">
        <v>0</v>
      </c>
      <c r="N18770" s="3">
        <v>0</v>
      </c>
      <c r="O18770" s="3" t="s">
        <v>10</v>
      </c>
      <c r="P18770" s="3" t="s">
        <v>9</v>
      </c>
      <c r="Q18770" s="3"/>
    </row>
    <row r="18771" spans="1:17" ht="15" x14ac:dyDescent="0.25">
      <c r="A18771" s="3">
        <f>18764</f>
        <v>18764</v>
      </c>
      <c r="B18771" s="3" t="s">
        <v>18773</v>
      </c>
      <c r="C18771" s="3" t="s">
        <v>9</v>
      </c>
      <c r="D18771" s="3" t="s">
        <v>10</v>
      </c>
      <c r="E18771" s="3">
        <v>0</v>
      </c>
      <c r="F18771" s="3">
        <v>0</v>
      </c>
      <c r="G18771" s="3">
        <v>0</v>
      </c>
      <c r="H18771" s="3">
        <v>0</v>
      </c>
      <c r="I18771" s="3">
        <v>0</v>
      </c>
      <c r="J18771" s="3">
        <v>0</v>
      </c>
      <c r="K18771" s="3">
        <v>0</v>
      </c>
      <c r="L18771" s="3">
        <v>0</v>
      </c>
      <c r="M18771" s="3">
        <v>0</v>
      </c>
      <c r="N18771" s="3">
        <v>0</v>
      </c>
      <c r="O18771" s="3" t="s">
        <v>10</v>
      </c>
      <c r="P18771" s="3" t="s">
        <v>9</v>
      </c>
      <c r="Q18771" s="3"/>
    </row>
    <row r="18772" spans="1:17" ht="15" x14ac:dyDescent="0.25">
      <c r="A18772" s="3">
        <f>18765</f>
        <v>18765</v>
      </c>
      <c r="B18772" s="3" t="s">
        <v>18774</v>
      </c>
      <c r="C18772" s="3" t="s">
        <v>9</v>
      </c>
      <c r="D18772" s="3" t="s">
        <v>10</v>
      </c>
      <c r="E18772" s="3">
        <v>0</v>
      </c>
      <c r="F18772" s="3">
        <v>0</v>
      </c>
      <c r="G18772" s="3">
        <v>0</v>
      </c>
      <c r="H18772" s="3">
        <v>0</v>
      </c>
      <c r="I18772" s="3">
        <v>0</v>
      </c>
      <c r="J18772" s="3">
        <v>0</v>
      </c>
      <c r="K18772" s="3">
        <v>0</v>
      </c>
      <c r="L18772" s="3">
        <v>0</v>
      </c>
      <c r="M18772" s="3">
        <v>0</v>
      </c>
      <c r="N18772" s="3">
        <v>0</v>
      </c>
      <c r="O18772" s="3" t="s">
        <v>10</v>
      </c>
      <c r="P18772" s="3" t="s">
        <v>9</v>
      </c>
      <c r="Q18772" s="3"/>
    </row>
    <row r="18773" spans="1:17" ht="15" x14ac:dyDescent="0.25">
      <c r="A18773" s="3">
        <f>18766</f>
        <v>18766</v>
      </c>
      <c r="B18773" s="3" t="s">
        <v>18775</v>
      </c>
      <c r="C18773" s="3" t="s">
        <v>9</v>
      </c>
      <c r="D18773" s="3" t="s">
        <v>10</v>
      </c>
      <c r="E18773" s="3">
        <v>0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  <c r="L18773" s="3">
        <v>0</v>
      </c>
      <c r="M18773" s="3">
        <v>0</v>
      </c>
      <c r="N18773" s="3">
        <v>0</v>
      </c>
      <c r="O18773" s="3" t="s">
        <v>10</v>
      </c>
      <c r="P18773" s="3" t="s">
        <v>9</v>
      </c>
      <c r="Q18773" s="3"/>
    </row>
    <row r="18774" spans="1:17" ht="15" x14ac:dyDescent="0.25">
      <c r="A18774" s="3">
        <f>18767</f>
        <v>18767</v>
      </c>
      <c r="B18774" s="3" t="s">
        <v>18776</v>
      </c>
      <c r="C18774" s="3" t="s">
        <v>9</v>
      </c>
      <c r="D18774" s="3" t="s">
        <v>10</v>
      </c>
      <c r="E18774" s="3">
        <v>0</v>
      </c>
      <c r="F18774" s="3">
        <v>0</v>
      </c>
      <c r="G18774" s="3">
        <v>0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3">
        <v>0</v>
      </c>
      <c r="N18774" s="3">
        <v>0</v>
      </c>
      <c r="O18774" s="3" t="s">
        <v>10</v>
      </c>
      <c r="P18774" s="3" t="s">
        <v>9</v>
      </c>
      <c r="Q18774" s="3"/>
    </row>
    <row r="18775" spans="1:17" ht="15" x14ac:dyDescent="0.25">
      <c r="A18775" s="3">
        <f>18768</f>
        <v>18768</v>
      </c>
      <c r="B18775" s="3" t="s">
        <v>18777</v>
      </c>
      <c r="C18775" s="3" t="s">
        <v>10</v>
      </c>
      <c r="D18775" s="3" t="s">
        <v>9</v>
      </c>
      <c r="E18775" s="3">
        <v>0</v>
      </c>
      <c r="F18775" s="3">
        <v>0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3">
        <v>0</v>
      </c>
      <c r="N18775" s="3">
        <v>0</v>
      </c>
      <c r="O18775" s="3" t="s">
        <v>10</v>
      </c>
      <c r="P18775" s="3" t="s">
        <v>9</v>
      </c>
      <c r="Q18775" s="3"/>
    </row>
    <row r="18776" spans="1:17" ht="15" x14ac:dyDescent="0.25">
      <c r="A18776" s="3">
        <f>18769</f>
        <v>18769</v>
      </c>
      <c r="B18776" s="3" t="s">
        <v>18778</v>
      </c>
      <c r="C18776" s="3" t="s">
        <v>10</v>
      </c>
      <c r="D18776" s="3" t="s">
        <v>9</v>
      </c>
      <c r="E18776" s="3">
        <v>0</v>
      </c>
      <c r="F18776" s="3">
        <v>0</v>
      </c>
      <c r="G18776" s="3">
        <v>0</v>
      </c>
      <c r="H18776" s="3">
        <v>0</v>
      </c>
      <c r="I18776" s="3">
        <v>0</v>
      </c>
      <c r="J18776" s="3">
        <v>0</v>
      </c>
      <c r="K18776" s="3">
        <v>0</v>
      </c>
      <c r="L18776" s="3">
        <v>0</v>
      </c>
      <c r="M18776" s="3">
        <v>0</v>
      </c>
      <c r="N18776" s="3">
        <v>0</v>
      </c>
      <c r="O18776" s="3" t="s">
        <v>10</v>
      </c>
      <c r="P18776" s="3" t="s">
        <v>9</v>
      </c>
      <c r="Q18776" s="3"/>
    </row>
    <row r="18777" spans="1:17" ht="15" x14ac:dyDescent="0.25">
      <c r="A18777" s="3">
        <f>18770</f>
        <v>18770</v>
      </c>
      <c r="B18777" s="3" t="s">
        <v>18779</v>
      </c>
      <c r="C18777" s="3" t="s">
        <v>10</v>
      </c>
      <c r="D18777" s="3" t="s">
        <v>9</v>
      </c>
      <c r="E18777" s="3">
        <v>0</v>
      </c>
      <c r="F18777" s="3">
        <v>0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  <c r="L18777" s="3">
        <v>0</v>
      </c>
      <c r="M18777" s="3">
        <v>0</v>
      </c>
      <c r="N18777" s="3">
        <v>0</v>
      </c>
      <c r="O18777" s="3" t="s">
        <v>10</v>
      </c>
      <c r="P18777" s="3" t="s">
        <v>9</v>
      </c>
      <c r="Q18777" s="3"/>
    </row>
    <row r="18778" spans="1:17" ht="15" x14ac:dyDescent="0.25">
      <c r="A18778" s="3">
        <f>18771</f>
        <v>18771</v>
      </c>
      <c r="B18778" s="3" t="s">
        <v>18780</v>
      </c>
      <c r="C18778" s="3" t="s">
        <v>10</v>
      </c>
      <c r="D18778" s="3" t="s">
        <v>9</v>
      </c>
      <c r="E18778" s="3">
        <v>0</v>
      </c>
      <c r="F18778" s="3">
        <v>0</v>
      </c>
      <c r="G18778" s="3">
        <v>0</v>
      </c>
      <c r="H18778" s="3">
        <v>0</v>
      </c>
      <c r="I18778" s="3">
        <v>0</v>
      </c>
      <c r="J18778" s="3">
        <v>0</v>
      </c>
      <c r="K18778" s="3">
        <v>0</v>
      </c>
      <c r="L18778" s="3">
        <v>0</v>
      </c>
      <c r="M18778" s="3">
        <v>0</v>
      </c>
      <c r="N18778" s="3">
        <v>0</v>
      </c>
      <c r="O18778" s="3" t="s">
        <v>10</v>
      </c>
      <c r="P18778" s="3" t="s">
        <v>9</v>
      </c>
      <c r="Q18778" s="3"/>
    </row>
    <row r="18779" spans="1:17" ht="15" x14ac:dyDescent="0.25">
      <c r="A18779" s="3">
        <f>18772</f>
        <v>18772</v>
      </c>
      <c r="B18779" s="3" t="s">
        <v>18781</v>
      </c>
      <c r="C18779" s="3" t="s">
        <v>10</v>
      </c>
      <c r="D18779" s="3" t="s">
        <v>9</v>
      </c>
      <c r="E18779" s="3">
        <v>0</v>
      </c>
      <c r="F18779" s="3">
        <v>0</v>
      </c>
      <c r="G18779" s="3">
        <v>0</v>
      </c>
      <c r="H18779" s="3">
        <v>0</v>
      </c>
      <c r="I18779" s="3">
        <v>0</v>
      </c>
      <c r="J18779" s="3">
        <v>0</v>
      </c>
      <c r="K18779" s="3">
        <v>0</v>
      </c>
      <c r="L18779" s="3">
        <v>0</v>
      </c>
      <c r="M18779" s="3">
        <v>0</v>
      </c>
      <c r="N18779" s="3">
        <v>0</v>
      </c>
      <c r="O18779" s="3" t="s">
        <v>10</v>
      </c>
      <c r="P18779" s="3" t="s">
        <v>9</v>
      </c>
      <c r="Q18779" s="3"/>
    </row>
    <row r="18780" spans="1:17" ht="15" x14ac:dyDescent="0.25">
      <c r="A18780" s="3">
        <f>18773</f>
        <v>18773</v>
      </c>
      <c r="B18780" s="3" t="s">
        <v>18782</v>
      </c>
      <c r="C18780" s="3" t="s">
        <v>10</v>
      </c>
      <c r="D18780" s="3" t="s">
        <v>9</v>
      </c>
      <c r="E18780" s="3">
        <v>0</v>
      </c>
      <c r="F18780" s="3">
        <v>0</v>
      </c>
      <c r="G18780" s="3">
        <v>0</v>
      </c>
      <c r="H18780" s="3">
        <v>0</v>
      </c>
      <c r="I18780" s="3">
        <v>0</v>
      </c>
      <c r="J18780" s="3">
        <v>0</v>
      </c>
      <c r="K18780" s="3">
        <v>0</v>
      </c>
      <c r="L18780" s="3">
        <v>0</v>
      </c>
      <c r="M18780" s="3">
        <v>0</v>
      </c>
      <c r="N18780" s="3">
        <v>0</v>
      </c>
      <c r="O18780" s="3" t="s">
        <v>10</v>
      </c>
      <c r="P18780" s="3" t="s">
        <v>9</v>
      </c>
      <c r="Q18780" s="3"/>
    </row>
    <row r="18781" spans="1:17" ht="15" x14ac:dyDescent="0.25">
      <c r="A18781" s="3">
        <f>18774</f>
        <v>18774</v>
      </c>
      <c r="B18781" s="3" t="s">
        <v>18783</v>
      </c>
      <c r="C18781" s="3" t="s">
        <v>10</v>
      </c>
      <c r="D18781" s="3" t="s">
        <v>9</v>
      </c>
      <c r="E18781" s="3">
        <v>0</v>
      </c>
      <c r="F18781" s="3">
        <v>0</v>
      </c>
      <c r="G18781" s="3">
        <v>0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3">
        <v>0</v>
      </c>
      <c r="N18781" s="3">
        <v>0</v>
      </c>
      <c r="O18781" s="3" t="s">
        <v>10</v>
      </c>
      <c r="P18781" s="3" t="s">
        <v>9</v>
      </c>
      <c r="Q18781" s="3"/>
    </row>
    <row r="18782" spans="1:17" ht="15" x14ac:dyDescent="0.25">
      <c r="A18782" s="3">
        <f>18775</f>
        <v>18775</v>
      </c>
      <c r="B18782" s="3" t="s">
        <v>18784</v>
      </c>
      <c r="C18782" s="3" t="s">
        <v>10</v>
      </c>
      <c r="D18782" s="3" t="s">
        <v>9</v>
      </c>
      <c r="E18782" s="3">
        <v>0</v>
      </c>
      <c r="F18782" s="3">
        <v>0</v>
      </c>
      <c r="G18782" s="3">
        <v>0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3">
        <v>0</v>
      </c>
      <c r="N18782" s="3">
        <v>0</v>
      </c>
      <c r="O18782" s="3" t="s">
        <v>10</v>
      </c>
      <c r="P18782" s="3" t="s">
        <v>9</v>
      </c>
      <c r="Q18782" s="3"/>
    </row>
    <row r="18783" spans="1:17" ht="15" x14ac:dyDescent="0.25">
      <c r="A18783" s="3">
        <f>18776</f>
        <v>18776</v>
      </c>
      <c r="B18783" s="3" t="s">
        <v>18785</v>
      </c>
      <c r="C18783" s="3" t="s">
        <v>10</v>
      </c>
      <c r="D18783" s="3" t="s">
        <v>9</v>
      </c>
      <c r="E18783" s="3">
        <v>0</v>
      </c>
      <c r="F18783" s="3">
        <v>0</v>
      </c>
      <c r="G18783" s="3">
        <v>0</v>
      </c>
      <c r="H18783" s="3">
        <v>0</v>
      </c>
      <c r="I18783" s="3">
        <v>0</v>
      </c>
      <c r="J18783" s="3">
        <v>0</v>
      </c>
      <c r="K18783" s="3">
        <v>0</v>
      </c>
      <c r="L18783" s="3">
        <v>0</v>
      </c>
      <c r="M18783" s="3">
        <v>0</v>
      </c>
      <c r="N18783" s="3">
        <v>0</v>
      </c>
      <c r="O18783" s="3" t="s">
        <v>10</v>
      </c>
      <c r="P18783" s="3" t="s">
        <v>9</v>
      </c>
      <c r="Q18783" s="3"/>
    </row>
    <row r="18784" spans="1:17" ht="15" x14ac:dyDescent="0.25">
      <c r="A18784" s="3">
        <f>18777</f>
        <v>18777</v>
      </c>
      <c r="B18784" s="3" t="s">
        <v>18786</v>
      </c>
      <c r="C18784" s="3" t="s">
        <v>10</v>
      </c>
      <c r="D18784" s="3" t="s">
        <v>9</v>
      </c>
      <c r="E18784" s="3">
        <v>0</v>
      </c>
      <c r="F18784" s="3">
        <v>0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  <c r="L18784" s="3">
        <v>0</v>
      </c>
      <c r="M18784" s="3">
        <v>0</v>
      </c>
      <c r="N18784" s="3">
        <v>0</v>
      </c>
      <c r="O18784" s="3" t="s">
        <v>10</v>
      </c>
      <c r="P18784" s="3" t="s">
        <v>9</v>
      </c>
      <c r="Q18784" s="3"/>
    </row>
    <row r="18785" spans="1:17" ht="15" x14ac:dyDescent="0.25">
      <c r="A18785" s="3">
        <f>18778</f>
        <v>18778</v>
      </c>
      <c r="B18785" s="3" t="s">
        <v>18787</v>
      </c>
      <c r="C18785" s="3" t="s">
        <v>10</v>
      </c>
      <c r="D18785" s="3" t="s">
        <v>9</v>
      </c>
      <c r="E18785" s="3">
        <v>0</v>
      </c>
      <c r="F18785" s="3">
        <v>0</v>
      </c>
      <c r="G18785" s="3">
        <v>0</v>
      </c>
      <c r="H18785" s="3">
        <v>0</v>
      </c>
      <c r="I18785" s="3">
        <v>0</v>
      </c>
      <c r="J18785" s="3">
        <v>0</v>
      </c>
      <c r="K18785" s="3">
        <v>0</v>
      </c>
      <c r="L18785" s="3">
        <v>0</v>
      </c>
      <c r="M18785" s="3">
        <v>0</v>
      </c>
      <c r="N18785" s="3">
        <v>0</v>
      </c>
      <c r="O18785" s="3" t="s">
        <v>10</v>
      </c>
      <c r="P18785" s="3" t="s">
        <v>9</v>
      </c>
      <c r="Q18785" s="3"/>
    </row>
    <row r="18786" spans="1:17" ht="15" x14ac:dyDescent="0.25">
      <c r="A18786" s="3">
        <f>18779</f>
        <v>18779</v>
      </c>
      <c r="B18786" s="3" t="s">
        <v>18788</v>
      </c>
      <c r="C18786" s="3" t="s">
        <v>10</v>
      </c>
      <c r="D18786" s="3" t="s">
        <v>9</v>
      </c>
      <c r="E18786" s="3">
        <v>0</v>
      </c>
      <c r="F18786" s="3">
        <v>0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  <c r="L18786" s="3">
        <v>0</v>
      </c>
      <c r="M18786" s="3">
        <v>0</v>
      </c>
      <c r="N18786" s="3">
        <v>0</v>
      </c>
      <c r="O18786" s="3" t="s">
        <v>10</v>
      </c>
      <c r="P18786" s="3" t="s">
        <v>9</v>
      </c>
      <c r="Q18786" s="3"/>
    </row>
    <row r="18787" spans="1:17" ht="15" x14ac:dyDescent="0.25">
      <c r="A18787" s="3">
        <f>18780</f>
        <v>18780</v>
      </c>
      <c r="B18787" s="3" t="s">
        <v>18789</v>
      </c>
      <c r="C18787" s="3" t="s">
        <v>10</v>
      </c>
      <c r="D18787" s="3" t="s">
        <v>9</v>
      </c>
      <c r="E18787" s="3">
        <v>0</v>
      </c>
      <c r="F18787" s="3">
        <v>0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3">
        <v>0</v>
      </c>
      <c r="N18787" s="3">
        <v>0</v>
      </c>
      <c r="O18787" s="3" t="s">
        <v>10</v>
      </c>
      <c r="P18787" s="3" t="s">
        <v>9</v>
      </c>
      <c r="Q18787" s="3"/>
    </row>
    <row r="18788" spans="1:17" ht="15" x14ac:dyDescent="0.25">
      <c r="A18788" s="3">
        <f>18781</f>
        <v>18781</v>
      </c>
      <c r="B18788" s="3" t="s">
        <v>18790</v>
      </c>
      <c r="C18788" s="3" t="s">
        <v>10</v>
      </c>
      <c r="D18788" s="3" t="s">
        <v>9</v>
      </c>
      <c r="E18788" s="3">
        <v>0</v>
      </c>
      <c r="F18788" s="3">
        <v>0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3">
        <v>0</v>
      </c>
      <c r="N18788" s="3">
        <v>0</v>
      </c>
      <c r="O18788" s="3" t="s">
        <v>10</v>
      </c>
      <c r="P18788" s="3" t="s">
        <v>9</v>
      </c>
      <c r="Q18788" s="3"/>
    </row>
    <row r="18789" spans="1:17" ht="15" x14ac:dyDescent="0.25">
      <c r="A18789" s="3">
        <f>18782</f>
        <v>18782</v>
      </c>
      <c r="B18789" s="3" t="s">
        <v>18791</v>
      </c>
      <c r="C18789" s="3" t="s">
        <v>10</v>
      </c>
      <c r="D18789" s="3" t="s">
        <v>9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s="3">
        <v>0</v>
      </c>
      <c r="O18789" s="3" t="s">
        <v>10</v>
      </c>
      <c r="P18789" s="3" t="s">
        <v>9</v>
      </c>
      <c r="Q18789" s="3"/>
    </row>
    <row r="18790" spans="1:17" ht="15" x14ac:dyDescent="0.25">
      <c r="A18790" s="3">
        <f>18783</f>
        <v>18783</v>
      </c>
      <c r="B18790" s="3" t="s">
        <v>18792</v>
      </c>
      <c r="C18790" s="3" t="s">
        <v>10</v>
      </c>
      <c r="D18790" s="3" t="s">
        <v>9</v>
      </c>
      <c r="E18790" s="3">
        <v>0</v>
      </c>
      <c r="F18790" s="3">
        <v>0</v>
      </c>
      <c r="G18790" s="3">
        <v>0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3">
        <v>0</v>
      </c>
      <c r="N18790" s="3">
        <v>0</v>
      </c>
      <c r="O18790" s="3" t="s">
        <v>10</v>
      </c>
      <c r="P18790" s="3" t="s">
        <v>9</v>
      </c>
      <c r="Q18790" s="3"/>
    </row>
    <row r="18791" spans="1:17" ht="15" x14ac:dyDescent="0.25">
      <c r="A18791" s="3">
        <f>18784</f>
        <v>18784</v>
      </c>
      <c r="B18791" s="3" t="s">
        <v>18793</v>
      </c>
      <c r="C18791" s="3" t="s">
        <v>10</v>
      </c>
      <c r="D18791" s="3" t="s">
        <v>9</v>
      </c>
      <c r="E18791" s="3">
        <v>0</v>
      </c>
      <c r="F18791" s="3">
        <v>0</v>
      </c>
      <c r="G18791" s="3">
        <v>0</v>
      </c>
      <c r="H18791" s="3">
        <v>0</v>
      </c>
      <c r="I18791" s="3">
        <v>0</v>
      </c>
      <c r="J18791" s="3">
        <v>0</v>
      </c>
      <c r="K18791" s="3">
        <v>0</v>
      </c>
      <c r="L18791" s="3">
        <v>0</v>
      </c>
      <c r="M18791" s="3">
        <v>0</v>
      </c>
      <c r="N18791" s="3">
        <v>0</v>
      </c>
      <c r="O18791" s="3" t="s">
        <v>10</v>
      </c>
      <c r="P18791" s="3" t="s">
        <v>9</v>
      </c>
      <c r="Q18791" s="3"/>
    </row>
    <row r="18792" spans="1:17" ht="15" x14ac:dyDescent="0.25">
      <c r="A18792" s="3">
        <f>18785</f>
        <v>18785</v>
      </c>
      <c r="B18792" s="3" t="s">
        <v>18794</v>
      </c>
      <c r="C18792" s="3" t="s">
        <v>10</v>
      </c>
      <c r="D18792" s="3" t="s">
        <v>9</v>
      </c>
      <c r="E18792" s="3">
        <v>0</v>
      </c>
      <c r="F18792" s="3">
        <v>0</v>
      </c>
      <c r="G18792" s="3">
        <v>0</v>
      </c>
      <c r="H18792" s="3">
        <v>0</v>
      </c>
      <c r="I18792" s="3">
        <v>0</v>
      </c>
      <c r="J18792" s="3">
        <v>0</v>
      </c>
      <c r="K18792" s="3">
        <v>0</v>
      </c>
      <c r="L18792" s="3">
        <v>0</v>
      </c>
      <c r="M18792" s="3">
        <v>0</v>
      </c>
      <c r="N18792" s="3">
        <v>0</v>
      </c>
      <c r="O18792" s="3" t="s">
        <v>10</v>
      </c>
      <c r="P18792" s="3" t="s">
        <v>9</v>
      </c>
      <c r="Q18792" s="3"/>
    </row>
    <row r="18793" spans="1:17" ht="15" x14ac:dyDescent="0.25">
      <c r="A18793" s="3">
        <f>18786</f>
        <v>18786</v>
      </c>
      <c r="B18793" s="3" t="s">
        <v>18795</v>
      </c>
      <c r="C18793" s="3" t="s">
        <v>10</v>
      </c>
      <c r="D18793" s="3" t="s">
        <v>9</v>
      </c>
      <c r="E18793" s="3">
        <v>0</v>
      </c>
      <c r="F18793" s="3">
        <v>0</v>
      </c>
      <c r="G18793" s="3">
        <v>0</v>
      </c>
      <c r="H18793" s="3">
        <v>0</v>
      </c>
      <c r="I18793" s="3">
        <v>0</v>
      </c>
      <c r="J18793" s="3">
        <v>0</v>
      </c>
      <c r="K18793" s="3">
        <v>0</v>
      </c>
      <c r="L18793" s="3">
        <v>0</v>
      </c>
      <c r="M18793" s="3">
        <v>0</v>
      </c>
      <c r="N18793" s="3">
        <v>0</v>
      </c>
      <c r="O18793" s="3" t="s">
        <v>10</v>
      </c>
      <c r="P18793" s="3" t="s">
        <v>9</v>
      </c>
      <c r="Q18793" s="3"/>
    </row>
    <row r="18794" spans="1:17" ht="15" x14ac:dyDescent="0.25">
      <c r="A18794" s="3">
        <f>18787</f>
        <v>18787</v>
      </c>
      <c r="B18794" s="3" t="s">
        <v>18796</v>
      </c>
      <c r="C18794" s="3" t="s">
        <v>10</v>
      </c>
      <c r="D18794" s="3" t="s">
        <v>9</v>
      </c>
      <c r="E18794" s="3">
        <v>0</v>
      </c>
      <c r="F18794" s="3">
        <v>0</v>
      </c>
      <c r="G18794" s="3">
        <v>0</v>
      </c>
      <c r="H18794" s="3">
        <v>0</v>
      </c>
      <c r="I18794" s="3">
        <v>0</v>
      </c>
      <c r="J18794" s="3">
        <v>0</v>
      </c>
      <c r="K18794" s="3">
        <v>0</v>
      </c>
      <c r="L18794" s="3">
        <v>0</v>
      </c>
      <c r="M18794" s="3">
        <v>0</v>
      </c>
      <c r="N18794" s="3">
        <v>0</v>
      </c>
      <c r="O18794" s="3" t="s">
        <v>10</v>
      </c>
      <c r="P18794" s="3" t="s">
        <v>9</v>
      </c>
      <c r="Q18794" s="3"/>
    </row>
    <row r="18795" spans="1:17" ht="15" x14ac:dyDescent="0.25">
      <c r="A18795" s="3">
        <f>18788</f>
        <v>18788</v>
      </c>
      <c r="B18795" s="3" t="s">
        <v>18797</v>
      </c>
      <c r="C18795" s="3" t="s">
        <v>10</v>
      </c>
      <c r="D18795" s="3" t="s">
        <v>9</v>
      </c>
      <c r="E18795" s="3">
        <v>0</v>
      </c>
      <c r="F18795" s="3">
        <v>0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  <c r="L18795" s="3">
        <v>0</v>
      </c>
      <c r="M18795" s="3">
        <v>0</v>
      </c>
      <c r="N18795" s="3">
        <v>0</v>
      </c>
      <c r="O18795" s="3" t="s">
        <v>10</v>
      </c>
      <c r="P18795" s="3" t="s">
        <v>9</v>
      </c>
      <c r="Q18795" s="3"/>
    </row>
    <row r="18796" spans="1:17" ht="15" x14ac:dyDescent="0.25">
      <c r="A18796" s="3">
        <f>18789</f>
        <v>18789</v>
      </c>
      <c r="B18796" s="3" t="s">
        <v>18798</v>
      </c>
      <c r="C18796" s="3" t="s">
        <v>10</v>
      </c>
      <c r="D18796" s="3" t="s">
        <v>9</v>
      </c>
      <c r="E18796" s="3">
        <v>0</v>
      </c>
      <c r="F18796" s="3">
        <v>0</v>
      </c>
      <c r="G18796" s="3">
        <v>0</v>
      </c>
      <c r="H18796" s="3">
        <v>0</v>
      </c>
      <c r="I18796" s="3">
        <v>0</v>
      </c>
      <c r="J18796" s="3">
        <v>0</v>
      </c>
      <c r="K18796" s="3">
        <v>0</v>
      </c>
      <c r="L18796" s="3">
        <v>0</v>
      </c>
      <c r="M18796" s="3">
        <v>0</v>
      </c>
      <c r="N18796" s="3">
        <v>0</v>
      </c>
      <c r="O18796" s="3" t="s">
        <v>10</v>
      </c>
      <c r="P18796" s="3" t="s">
        <v>9</v>
      </c>
      <c r="Q18796" s="3"/>
    </row>
    <row r="18797" spans="1:17" ht="15" x14ac:dyDescent="0.25">
      <c r="A18797" s="3">
        <f>18790</f>
        <v>18790</v>
      </c>
      <c r="B18797" s="3" t="s">
        <v>18799</v>
      </c>
      <c r="C18797" s="3" t="s">
        <v>10</v>
      </c>
      <c r="D18797" s="3" t="s">
        <v>9</v>
      </c>
      <c r="E18797" s="3">
        <v>0</v>
      </c>
      <c r="F18797" s="3">
        <v>0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  <c r="L18797" s="3">
        <v>0</v>
      </c>
      <c r="M18797" s="3">
        <v>0</v>
      </c>
      <c r="N18797" s="3">
        <v>0</v>
      </c>
      <c r="O18797" s="3" t="s">
        <v>10</v>
      </c>
      <c r="P18797" s="3" t="s">
        <v>9</v>
      </c>
      <c r="Q18797" s="3"/>
    </row>
    <row r="18798" spans="1:17" ht="15" x14ac:dyDescent="0.25">
      <c r="A18798" s="3">
        <f>18791</f>
        <v>18791</v>
      </c>
      <c r="B18798" s="3" t="s">
        <v>18800</v>
      </c>
      <c r="C18798" s="3" t="s">
        <v>10</v>
      </c>
      <c r="D18798" s="3" t="s">
        <v>9</v>
      </c>
      <c r="E18798" s="3">
        <v>0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  <c r="L18798" s="3">
        <v>0</v>
      </c>
      <c r="M18798" s="3">
        <v>0</v>
      </c>
      <c r="N18798" s="3">
        <v>0</v>
      </c>
      <c r="O18798" s="3" t="s">
        <v>10</v>
      </c>
      <c r="P18798" s="3" t="s">
        <v>9</v>
      </c>
      <c r="Q18798" s="3"/>
    </row>
    <row r="18799" spans="1:17" ht="15" x14ac:dyDescent="0.25">
      <c r="A18799" s="3">
        <f>18792</f>
        <v>18792</v>
      </c>
      <c r="B18799" s="3" t="s">
        <v>18801</v>
      </c>
      <c r="C18799" s="3" t="s">
        <v>10</v>
      </c>
      <c r="D18799" s="3" t="s">
        <v>9</v>
      </c>
      <c r="E18799" s="3">
        <v>0</v>
      </c>
      <c r="F18799" s="3">
        <v>0</v>
      </c>
      <c r="G18799" s="3">
        <v>0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3">
        <v>0</v>
      </c>
      <c r="N18799" s="3">
        <v>0</v>
      </c>
      <c r="O18799" s="3" t="s">
        <v>10</v>
      </c>
      <c r="P18799" s="3" t="s">
        <v>9</v>
      </c>
      <c r="Q18799" s="3"/>
    </row>
    <row r="18800" spans="1:17" ht="15" x14ac:dyDescent="0.25">
      <c r="A18800" s="3">
        <f>18793</f>
        <v>18793</v>
      </c>
      <c r="B18800" s="3" t="s">
        <v>18802</v>
      </c>
      <c r="C18800" s="3" t="s">
        <v>10</v>
      </c>
      <c r="D18800" s="3" t="s">
        <v>9</v>
      </c>
      <c r="E18800" s="3">
        <v>0</v>
      </c>
      <c r="F18800" s="3">
        <v>0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  <c r="L18800" s="3">
        <v>0</v>
      </c>
      <c r="M18800" s="3">
        <v>0</v>
      </c>
      <c r="N18800" s="3">
        <v>0</v>
      </c>
      <c r="O18800" s="3" t="s">
        <v>10</v>
      </c>
      <c r="P18800" s="3" t="s">
        <v>9</v>
      </c>
      <c r="Q18800" s="3"/>
    </row>
    <row r="18801" spans="1:17" ht="15" x14ac:dyDescent="0.25">
      <c r="A18801" s="3">
        <f>18794</f>
        <v>18794</v>
      </c>
      <c r="B18801" s="3" t="s">
        <v>18803</v>
      </c>
      <c r="C18801" s="3" t="s">
        <v>10</v>
      </c>
      <c r="D18801" s="3" t="s">
        <v>9</v>
      </c>
      <c r="E18801" s="3">
        <v>0</v>
      </c>
      <c r="F18801" s="3">
        <v>0</v>
      </c>
      <c r="G18801" s="3">
        <v>0</v>
      </c>
      <c r="H18801" s="3">
        <v>0</v>
      </c>
      <c r="I18801" s="3">
        <v>0</v>
      </c>
      <c r="J18801" s="3">
        <v>0</v>
      </c>
      <c r="K18801" s="3">
        <v>0</v>
      </c>
      <c r="L18801" s="3">
        <v>0</v>
      </c>
      <c r="M18801" s="3">
        <v>0</v>
      </c>
      <c r="N18801" s="3">
        <v>0</v>
      </c>
      <c r="O18801" s="3" t="s">
        <v>10</v>
      </c>
      <c r="P18801" s="3" t="s">
        <v>9</v>
      </c>
      <c r="Q18801" s="3"/>
    </row>
    <row r="18802" spans="1:17" ht="15" x14ac:dyDescent="0.25">
      <c r="A18802" s="3">
        <f>18795</f>
        <v>18795</v>
      </c>
      <c r="B18802" s="3" t="s">
        <v>18804</v>
      </c>
      <c r="C18802" s="3" t="s">
        <v>10</v>
      </c>
      <c r="D18802" s="3" t="s">
        <v>9</v>
      </c>
      <c r="E18802" s="3">
        <v>0</v>
      </c>
      <c r="F18802" s="3">
        <v>0</v>
      </c>
      <c r="G18802" s="3">
        <v>0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3">
        <v>0</v>
      </c>
      <c r="N18802" s="3">
        <v>0</v>
      </c>
      <c r="O18802" s="3" t="s">
        <v>10</v>
      </c>
      <c r="P18802" s="3" t="s">
        <v>9</v>
      </c>
      <c r="Q18802" s="3"/>
    </row>
    <row r="18803" spans="1:17" ht="15" x14ac:dyDescent="0.25">
      <c r="A18803" s="3">
        <f>18796</f>
        <v>18796</v>
      </c>
      <c r="B18803" s="3" t="s">
        <v>18805</v>
      </c>
      <c r="C18803" s="3" t="s">
        <v>10</v>
      </c>
      <c r="D18803" s="3" t="s">
        <v>9</v>
      </c>
      <c r="E18803" s="3">
        <v>0</v>
      </c>
      <c r="F18803" s="3">
        <v>0</v>
      </c>
      <c r="G18803" s="3">
        <v>0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3">
        <v>0</v>
      </c>
      <c r="N18803" s="3">
        <v>0</v>
      </c>
      <c r="O18803" s="3" t="s">
        <v>10</v>
      </c>
      <c r="P18803" s="3" t="s">
        <v>9</v>
      </c>
      <c r="Q18803" s="3"/>
    </row>
    <row r="18804" spans="1:17" ht="15" x14ac:dyDescent="0.25">
      <c r="A18804" s="3">
        <f>18797</f>
        <v>18797</v>
      </c>
      <c r="B18804" s="3" t="s">
        <v>18806</v>
      </c>
      <c r="C18804" s="3" t="s">
        <v>10</v>
      </c>
      <c r="D18804" s="3" t="s">
        <v>9</v>
      </c>
      <c r="E18804" s="3">
        <v>0</v>
      </c>
      <c r="F18804" s="3">
        <v>0</v>
      </c>
      <c r="G18804" s="3">
        <v>0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s="3">
        <v>0</v>
      </c>
      <c r="O18804" s="3" t="s">
        <v>10</v>
      </c>
      <c r="P18804" s="3" t="s">
        <v>9</v>
      </c>
      <c r="Q18804" s="3"/>
    </row>
    <row r="18805" spans="1:17" ht="15" x14ac:dyDescent="0.25">
      <c r="A18805" s="3">
        <f>18798</f>
        <v>18798</v>
      </c>
      <c r="B18805" s="3" t="s">
        <v>18807</v>
      </c>
      <c r="C18805" s="3" t="s">
        <v>10</v>
      </c>
      <c r="D18805" s="3" t="s">
        <v>9</v>
      </c>
      <c r="E18805" s="3">
        <v>0</v>
      </c>
      <c r="F18805" s="3">
        <v>0</v>
      </c>
      <c r="G18805" s="3">
        <v>0</v>
      </c>
      <c r="H18805" s="3">
        <v>0</v>
      </c>
      <c r="I18805" s="3">
        <v>0</v>
      </c>
      <c r="J18805" s="3">
        <v>0</v>
      </c>
      <c r="K18805" s="3">
        <v>0</v>
      </c>
      <c r="L18805" s="3">
        <v>0</v>
      </c>
      <c r="M18805" s="3">
        <v>0</v>
      </c>
      <c r="N18805" s="3">
        <v>0</v>
      </c>
      <c r="O18805" s="3" t="s">
        <v>10</v>
      </c>
      <c r="P18805" s="3" t="s">
        <v>9</v>
      </c>
      <c r="Q18805" s="3"/>
    </row>
    <row r="18806" spans="1:17" ht="15" x14ac:dyDescent="0.25">
      <c r="A18806" s="3">
        <f>18799</f>
        <v>18799</v>
      </c>
      <c r="B18806" s="3" t="s">
        <v>18808</v>
      </c>
      <c r="C18806" s="3" t="s">
        <v>10</v>
      </c>
      <c r="D18806" s="3" t="s">
        <v>9</v>
      </c>
      <c r="E18806" s="3">
        <v>0</v>
      </c>
      <c r="F18806" s="3">
        <v>0</v>
      </c>
      <c r="G18806" s="3">
        <v>0</v>
      </c>
      <c r="H18806" s="3">
        <v>0</v>
      </c>
      <c r="I18806" s="3">
        <v>0</v>
      </c>
      <c r="J18806" s="3">
        <v>0</v>
      </c>
      <c r="K18806" s="3">
        <v>0</v>
      </c>
      <c r="L18806" s="3">
        <v>0</v>
      </c>
      <c r="M18806" s="3">
        <v>0</v>
      </c>
      <c r="N18806" s="3">
        <v>0</v>
      </c>
      <c r="O18806" s="3" t="s">
        <v>10</v>
      </c>
      <c r="P18806" s="3" t="s">
        <v>9</v>
      </c>
      <c r="Q18806" s="3"/>
    </row>
    <row r="18807" spans="1:17" ht="15" x14ac:dyDescent="0.25">
      <c r="A18807" s="3">
        <f>18800</f>
        <v>18800</v>
      </c>
      <c r="B18807" s="3" t="s">
        <v>18809</v>
      </c>
      <c r="C18807" s="3" t="s">
        <v>10</v>
      </c>
      <c r="D18807" s="3" t="s">
        <v>9</v>
      </c>
      <c r="E18807" s="3">
        <v>0</v>
      </c>
      <c r="F18807" s="3">
        <v>0</v>
      </c>
      <c r="G18807" s="3">
        <v>0</v>
      </c>
      <c r="H18807" s="3">
        <v>0</v>
      </c>
      <c r="I18807" s="3">
        <v>0</v>
      </c>
      <c r="J18807" s="3">
        <v>0</v>
      </c>
      <c r="K18807" s="3">
        <v>0</v>
      </c>
      <c r="L18807" s="3">
        <v>0</v>
      </c>
      <c r="M18807" s="3">
        <v>0</v>
      </c>
      <c r="N18807" s="3">
        <v>0</v>
      </c>
      <c r="O18807" s="3" t="s">
        <v>10</v>
      </c>
      <c r="P18807" s="3" t="s">
        <v>9</v>
      </c>
      <c r="Q18807" s="3"/>
    </row>
    <row r="18808" spans="1:17" ht="15" x14ac:dyDescent="0.25">
      <c r="A18808" s="3">
        <f>18801</f>
        <v>18801</v>
      </c>
      <c r="B18808" s="3" t="s">
        <v>18810</v>
      </c>
      <c r="C18808" s="3" t="s">
        <v>10</v>
      </c>
      <c r="D18808" s="3" t="s">
        <v>9</v>
      </c>
      <c r="E18808" s="3">
        <v>0</v>
      </c>
      <c r="F18808" s="3">
        <v>0</v>
      </c>
      <c r="G18808" s="3">
        <v>0</v>
      </c>
      <c r="H18808" s="3">
        <v>0</v>
      </c>
      <c r="I18808" s="3">
        <v>0</v>
      </c>
      <c r="J18808" s="3">
        <v>0</v>
      </c>
      <c r="K18808" s="3">
        <v>0</v>
      </c>
      <c r="L18808" s="3">
        <v>0</v>
      </c>
      <c r="M18808" s="3">
        <v>0</v>
      </c>
      <c r="N18808" s="3">
        <v>0</v>
      </c>
      <c r="O18808" s="3" t="s">
        <v>10</v>
      </c>
      <c r="P18808" s="3" t="s">
        <v>9</v>
      </c>
      <c r="Q18808" s="3"/>
    </row>
    <row r="18809" spans="1:17" ht="15" x14ac:dyDescent="0.25">
      <c r="A18809" s="3">
        <f>18802</f>
        <v>18802</v>
      </c>
      <c r="B18809" s="3" t="s">
        <v>18811</v>
      </c>
      <c r="C18809" s="3" t="s">
        <v>10</v>
      </c>
      <c r="D18809" s="3" t="s">
        <v>9</v>
      </c>
      <c r="E18809" s="3">
        <v>0</v>
      </c>
      <c r="F18809" s="3">
        <v>0</v>
      </c>
      <c r="G18809" s="3">
        <v>0</v>
      </c>
      <c r="H18809" s="3">
        <v>0</v>
      </c>
      <c r="I18809" s="3">
        <v>0</v>
      </c>
      <c r="J18809" s="3">
        <v>0</v>
      </c>
      <c r="K18809" s="3">
        <v>0</v>
      </c>
      <c r="L18809" s="3">
        <v>0</v>
      </c>
      <c r="M18809" s="3">
        <v>0</v>
      </c>
      <c r="N18809" s="3">
        <v>0</v>
      </c>
      <c r="O18809" s="3" t="s">
        <v>10</v>
      </c>
      <c r="P18809" s="3" t="s">
        <v>9</v>
      </c>
      <c r="Q18809" s="3"/>
    </row>
    <row r="18810" spans="1:17" ht="15" x14ac:dyDescent="0.25">
      <c r="A18810" s="3">
        <f>18803</f>
        <v>18803</v>
      </c>
      <c r="B18810" s="3" t="s">
        <v>18812</v>
      </c>
      <c r="C18810" s="3" t="s">
        <v>10</v>
      </c>
      <c r="D18810" s="3" t="s">
        <v>9</v>
      </c>
      <c r="E18810" s="3">
        <v>0</v>
      </c>
      <c r="F18810" s="3">
        <v>0</v>
      </c>
      <c r="G18810" s="3">
        <v>0</v>
      </c>
      <c r="H18810" s="3">
        <v>0</v>
      </c>
      <c r="I18810" s="3">
        <v>0</v>
      </c>
      <c r="J18810" s="3">
        <v>0</v>
      </c>
      <c r="K18810" s="3">
        <v>0</v>
      </c>
      <c r="L18810" s="3">
        <v>0</v>
      </c>
      <c r="M18810" s="3">
        <v>0</v>
      </c>
      <c r="N18810" s="3">
        <v>0</v>
      </c>
      <c r="O18810" s="3" t="s">
        <v>10</v>
      </c>
      <c r="P18810" s="3" t="s">
        <v>9</v>
      </c>
      <c r="Q18810" s="3"/>
    </row>
    <row r="18811" spans="1:17" ht="15" x14ac:dyDescent="0.25">
      <c r="A18811" s="3">
        <f>18804</f>
        <v>18804</v>
      </c>
      <c r="B18811" s="3" t="s">
        <v>18813</v>
      </c>
      <c r="C18811" s="3" t="s">
        <v>10</v>
      </c>
      <c r="D18811" s="3" t="s">
        <v>9</v>
      </c>
      <c r="E18811" s="3">
        <v>0</v>
      </c>
      <c r="F18811" s="3">
        <v>0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3">
        <v>0</v>
      </c>
      <c r="N18811" s="3">
        <v>0</v>
      </c>
      <c r="O18811" s="3" t="s">
        <v>10</v>
      </c>
      <c r="P18811" s="3" t="s">
        <v>9</v>
      </c>
      <c r="Q18811" s="3"/>
    </row>
    <row r="18812" spans="1:17" ht="15" x14ac:dyDescent="0.25">
      <c r="A18812" s="3">
        <f>18805</f>
        <v>18805</v>
      </c>
      <c r="B18812" s="3" t="s">
        <v>18814</v>
      </c>
      <c r="C18812" s="3" t="s">
        <v>10</v>
      </c>
      <c r="D18812" s="3" t="s">
        <v>9</v>
      </c>
      <c r="E18812" s="3">
        <v>0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3">
        <v>0</v>
      </c>
      <c r="N18812" s="3">
        <v>0</v>
      </c>
      <c r="O18812" s="3" t="s">
        <v>10</v>
      </c>
      <c r="P18812" s="3" t="s">
        <v>9</v>
      </c>
      <c r="Q18812" s="3"/>
    </row>
    <row r="18813" spans="1:17" ht="15" x14ac:dyDescent="0.25">
      <c r="A18813" s="3">
        <f>18806</f>
        <v>18806</v>
      </c>
      <c r="B18813" s="3" t="s">
        <v>18815</v>
      </c>
      <c r="C18813" s="3" t="s">
        <v>10</v>
      </c>
      <c r="D18813" s="3" t="s">
        <v>9</v>
      </c>
      <c r="E18813" s="3">
        <v>0</v>
      </c>
      <c r="F18813" s="3">
        <v>0</v>
      </c>
      <c r="G18813" s="3">
        <v>0</v>
      </c>
      <c r="H18813" s="3">
        <v>0</v>
      </c>
      <c r="I18813" s="3">
        <v>0</v>
      </c>
      <c r="J18813" s="3">
        <v>0</v>
      </c>
      <c r="K18813" s="3">
        <v>0</v>
      </c>
      <c r="L18813" s="3">
        <v>0</v>
      </c>
      <c r="M18813" s="3">
        <v>0</v>
      </c>
      <c r="N18813" s="3">
        <v>0</v>
      </c>
      <c r="O18813" s="3" t="s">
        <v>10</v>
      </c>
      <c r="P18813" s="3" t="s">
        <v>9</v>
      </c>
      <c r="Q18813" s="3"/>
    </row>
    <row r="18814" spans="1:17" ht="15" x14ac:dyDescent="0.25">
      <c r="A18814" s="3">
        <f>18807</f>
        <v>18807</v>
      </c>
      <c r="B18814" s="3" t="s">
        <v>18816</v>
      </c>
      <c r="C18814" s="3" t="s">
        <v>10</v>
      </c>
      <c r="D18814" s="3" t="s">
        <v>9</v>
      </c>
      <c r="E18814" s="3">
        <v>0</v>
      </c>
      <c r="F18814" s="3">
        <v>0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  <c r="L18814" s="3">
        <v>0</v>
      </c>
      <c r="M18814" s="3">
        <v>0</v>
      </c>
      <c r="N18814" s="3">
        <v>0</v>
      </c>
      <c r="O18814" s="3" t="s">
        <v>10</v>
      </c>
      <c r="P18814" s="3" t="s">
        <v>9</v>
      </c>
      <c r="Q18814" s="3"/>
    </row>
    <row r="18815" spans="1:17" ht="15" x14ac:dyDescent="0.25">
      <c r="A18815" s="3">
        <f>18808</f>
        <v>18808</v>
      </c>
      <c r="B18815" s="3" t="s">
        <v>18817</v>
      </c>
      <c r="C18815" s="3" t="s">
        <v>10</v>
      </c>
      <c r="D18815" s="3" t="s">
        <v>9</v>
      </c>
      <c r="E18815" s="3">
        <v>0</v>
      </c>
      <c r="F18815" s="3">
        <v>0</v>
      </c>
      <c r="G18815" s="3">
        <v>0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3">
        <v>0</v>
      </c>
      <c r="N18815" s="3">
        <v>0</v>
      </c>
      <c r="O18815" s="3" t="s">
        <v>10</v>
      </c>
      <c r="P18815" s="3" t="s">
        <v>9</v>
      </c>
      <c r="Q18815" s="3"/>
    </row>
    <row r="18816" spans="1:17" ht="15" x14ac:dyDescent="0.25">
      <c r="A18816" s="3">
        <f>18809</f>
        <v>18809</v>
      </c>
      <c r="B18816" s="3" t="s">
        <v>18818</v>
      </c>
      <c r="C18816" s="3" t="s">
        <v>10</v>
      </c>
      <c r="D18816" s="3" t="s">
        <v>9</v>
      </c>
      <c r="E18816" s="3">
        <v>0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3">
        <v>0</v>
      </c>
      <c r="N18816" s="3">
        <v>0</v>
      </c>
      <c r="O18816" s="3" t="s">
        <v>10</v>
      </c>
      <c r="P18816" s="3" t="s">
        <v>9</v>
      </c>
      <c r="Q18816" s="3"/>
    </row>
    <row r="18817" spans="1:17" ht="15" x14ac:dyDescent="0.25">
      <c r="A18817" s="3">
        <f>18810</f>
        <v>18810</v>
      </c>
      <c r="B18817" s="3" t="s">
        <v>18819</v>
      </c>
      <c r="C18817" s="3" t="s">
        <v>10</v>
      </c>
      <c r="D18817" s="3" t="s">
        <v>9</v>
      </c>
      <c r="E18817" s="3">
        <v>0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3">
        <v>0</v>
      </c>
      <c r="N18817" s="3">
        <v>0</v>
      </c>
      <c r="O18817" s="3" t="s">
        <v>10</v>
      </c>
      <c r="P18817" s="3" t="s">
        <v>9</v>
      </c>
      <c r="Q18817" s="3"/>
    </row>
    <row r="18818" spans="1:17" ht="15" x14ac:dyDescent="0.25">
      <c r="A18818" s="3">
        <f>18811</f>
        <v>18811</v>
      </c>
      <c r="B18818" s="3" t="s">
        <v>18820</v>
      </c>
      <c r="C18818" s="3" t="s">
        <v>10</v>
      </c>
      <c r="D18818" s="3" t="s">
        <v>9</v>
      </c>
      <c r="E18818" s="3">
        <v>0</v>
      </c>
      <c r="F18818" s="3">
        <v>0</v>
      </c>
      <c r="G18818" s="3">
        <v>0</v>
      </c>
      <c r="H18818" s="3">
        <v>0</v>
      </c>
      <c r="I18818" s="3">
        <v>0</v>
      </c>
      <c r="J18818" s="3">
        <v>0</v>
      </c>
      <c r="K18818" s="3">
        <v>0</v>
      </c>
      <c r="L18818" s="3">
        <v>0</v>
      </c>
      <c r="M18818" s="3">
        <v>0</v>
      </c>
      <c r="N18818" s="3">
        <v>0</v>
      </c>
      <c r="O18818" s="3" t="s">
        <v>10</v>
      </c>
      <c r="P18818" s="3" t="s">
        <v>9</v>
      </c>
      <c r="Q18818" s="3"/>
    </row>
    <row r="18819" spans="1:17" ht="15" x14ac:dyDescent="0.25">
      <c r="A18819" s="3">
        <f>18812</f>
        <v>18812</v>
      </c>
      <c r="B18819" s="3" t="s">
        <v>18821</v>
      </c>
      <c r="C18819" s="3" t="s">
        <v>10</v>
      </c>
      <c r="D18819" s="3" t="s">
        <v>9</v>
      </c>
      <c r="E18819" s="3">
        <v>0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  <c r="L18819" s="3">
        <v>0</v>
      </c>
      <c r="M18819" s="3">
        <v>0</v>
      </c>
      <c r="N18819" s="3">
        <v>0</v>
      </c>
      <c r="O18819" s="3" t="s">
        <v>10</v>
      </c>
      <c r="P18819" s="3" t="s">
        <v>9</v>
      </c>
      <c r="Q18819" s="3"/>
    </row>
    <row r="18820" spans="1:17" ht="15" x14ac:dyDescent="0.25">
      <c r="A18820" s="3">
        <f>18813</f>
        <v>18813</v>
      </c>
      <c r="B18820" s="3" t="s">
        <v>18822</v>
      </c>
      <c r="C18820" s="3" t="s">
        <v>10</v>
      </c>
      <c r="D18820" s="3" t="s">
        <v>9</v>
      </c>
      <c r="E18820" s="3">
        <v>0</v>
      </c>
      <c r="F18820" s="3">
        <v>0</v>
      </c>
      <c r="G18820" s="3">
        <v>0</v>
      </c>
      <c r="H18820" s="3">
        <v>0</v>
      </c>
      <c r="I18820" s="3">
        <v>0</v>
      </c>
      <c r="J18820" s="3">
        <v>0</v>
      </c>
      <c r="K18820" s="3">
        <v>0</v>
      </c>
      <c r="L18820" s="3">
        <v>0</v>
      </c>
      <c r="M18820" s="3">
        <v>0</v>
      </c>
      <c r="N18820" s="3">
        <v>0</v>
      </c>
      <c r="O18820" s="3" t="s">
        <v>10</v>
      </c>
      <c r="P18820" s="3" t="s">
        <v>9</v>
      </c>
      <c r="Q18820" s="3"/>
    </row>
    <row r="18821" spans="1:17" ht="15" x14ac:dyDescent="0.25">
      <c r="A18821" s="3">
        <f>18814</f>
        <v>18814</v>
      </c>
      <c r="B18821" s="3" t="s">
        <v>18823</v>
      </c>
      <c r="C18821" s="3" t="s">
        <v>10</v>
      </c>
      <c r="D18821" s="3" t="s">
        <v>9</v>
      </c>
      <c r="E18821" s="3">
        <v>0</v>
      </c>
      <c r="F18821" s="3">
        <v>0</v>
      </c>
      <c r="G18821" s="3">
        <v>0</v>
      </c>
      <c r="H18821" s="3">
        <v>0</v>
      </c>
      <c r="I18821" s="3">
        <v>0</v>
      </c>
      <c r="J18821" s="3">
        <v>0</v>
      </c>
      <c r="K18821" s="3">
        <v>0</v>
      </c>
      <c r="L18821" s="3">
        <v>0</v>
      </c>
      <c r="M18821" s="3">
        <v>0</v>
      </c>
      <c r="N18821" s="3">
        <v>0</v>
      </c>
      <c r="O18821" s="3" t="s">
        <v>10</v>
      </c>
      <c r="P18821" s="3" t="s">
        <v>9</v>
      </c>
      <c r="Q18821" s="3"/>
    </row>
    <row r="18822" spans="1:17" ht="15" x14ac:dyDescent="0.25">
      <c r="A18822" s="3">
        <f>18815</f>
        <v>18815</v>
      </c>
      <c r="B18822" s="3" t="s">
        <v>18824</v>
      </c>
      <c r="C18822" s="3" t="s">
        <v>10</v>
      </c>
      <c r="D18822" s="3" t="s">
        <v>9</v>
      </c>
      <c r="E18822" s="3">
        <v>0</v>
      </c>
      <c r="F18822" s="3">
        <v>0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 s="3">
        <v>0</v>
      </c>
      <c r="M18822" s="3">
        <v>0</v>
      </c>
      <c r="N18822" s="3">
        <v>0</v>
      </c>
      <c r="O18822" s="3" t="s">
        <v>10</v>
      </c>
      <c r="P18822" s="3" t="s">
        <v>9</v>
      </c>
      <c r="Q18822" s="3"/>
    </row>
    <row r="18823" spans="1:17" ht="15" x14ac:dyDescent="0.25">
      <c r="A18823" s="3">
        <f>18816</f>
        <v>18816</v>
      </c>
      <c r="B18823" s="3" t="s">
        <v>18825</v>
      </c>
      <c r="C18823" s="3" t="s">
        <v>10</v>
      </c>
      <c r="D18823" s="3" t="s">
        <v>9</v>
      </c>
      <c r="E18823" s="3">
        <v>0</v>
      </c>
      <c r="F18823" s="3">
        <v>0</v>
      </c>
      <c r="G18823" s="3">
        <v>0</v>
      </c>
      <c r="H18823" s="3">
        <v>0</v>
      </c>
      <c r="I18823" s="3">
        <v>0</v>
      </c>
      <c r="J18823" s="3">
        <v>0</v>
      </c>
      <c r="K18823" s="3">
        <v>0</v>
      </c>
      <c r="L18823" s="3">
        <v>0</v>
      </c>
      <c r="M18823" s="3">
        <v>0</v>
      </c>
      <c r="N18823" s="3">
        <v>0</v>
      </c>
      <c r="O18823" s="3" t="s">
        <v>10</v>
      </c>
      <c r="P18823" s="3" t="s">
        <v>9</v>
      </c>
      <c r="Q18823" s="3"/>
    </row>
    <row r="18824" spans="1:17" ht="15" x14ac:dyDescent="0.25">
      <c r="A18824" s="3">
        <f>18817</f>
        <v>18817</v>
      </c>
      <c r="B18824" s="3" t="s">
        <v>18826</v>
      </c>
      <c r="C18824" s="3" t="s">
        <v>10</v>
      </c>
      <c r="D18824" s="3" t="s">
        <v>9</v>
      </c>
      <c r="E18824" s="3">
        <v>0</v>
      </c>
      <c r="F18824" s="3">
        <v>0</v>
      </c>
      <c r="G18824" s="3">
        <v>0</v>
      </c>
      <c r="H18824" s="3">
        <v>0</v>
      </c>
      <c r="I18824" s="3">
        <v>0</v>
      </c>
      <c r="J18824" s="3">
        <v>0</v>
      </c>
      <c r="K18824" s="3">
        <v>0</v>
      </c>
      <c r="L18824" s="3">
        <v>0</v>
      </c>
      <c r="M18824" s="3">
        <v>0</v>
      </c>
      <c r="N18824" s="3">
        <v>0</v>
      </c>
      <c r="O18824" s="3" t="s">
        <v>10</v>
      </c>
      <c r="P18824" s="3" t="s">
        <v>9</v>
      </c>
      <c r="Q18824" s="3"/>
    </row>
    <row r="18825" spans="1:17" ht="15" x14ac:dyDescent="0.25">
      <c r="A18825" s="3">
        <f>18818</f>
        <v>18818</v>
      </c>
      <c r="B18825" s="3" t="s">
        <v>18827</v>
      </c>
      <c r="C18825" s="3" t="s">
        <v>10</v>
      </c>
      <c r="D18825" s="3" t="s">
        <v>9</v>
      </c>
      <c r="E18825" s="3">
        <v>0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0</v>
      </c>
      <c r="L18825" s="3">
        <v>0</v>
      </c>
      <c r="M18825" s="3">
        <v>0</v>
      </c>
      <c r="N18825" s="3">
        <v>0</v>
      </c>
      <c r="O18825" s="3" t="s">
        <v>10</v>
      </c>
      <c r="P18825" s="3" t="s">
        <v>9</v>
      </c>
      <c r="Q18825" s="3"/>
    </row>
    <row r="18826" spans="1:17" ht="15" x14ac:dyDescent="0.25">
      <c r="A18826" s="3">
        <f>18819</f>
        <v>18819</v>
      </c>
      <c r="B18826" s="3" t="s">
        <v>18828</v>
      </c>
      <c r="C18826" s="3" t="s">
        <v>10</v>
      </c>
      <c r="D18826" s="3" t="s">
        <v>9</v>
      </c>
      <c r="E18826" s="3">
        <v>0</v>
      </c>
      <c r="F18826" s="3">
        <v>0</v>
      </c>
      <c r="G18826" s="3">
        <v>0</v>
      </c>
      <c r="H18826" s="3">
        <v>0</v>
      </c>
      <c r="I18826" s="3">
        <v>0</v>
      </c>
      <c r="J18826" s="3">
        <v>0</v>
      </c>
      <c r="K18826" s="3">
        <v>0</v>
      </c>
      <c r="L18826" s="3">
        <v>0</v>
      </c>
      <c r="M18826" s="3">
        <v>0</v>
      </c>
      <c r="N18826" s="3">
        <v>0</v>
      </c>
      <c r="O18826" s="3" t="s">
        <v>10</v>
      </c>
      <c r="P18826" s="3" t="s">
        <v>9</v>
      </c>
      <c r="Q18826" s="3"/>
    </row>
    <row r="18827" spans="1:17" ht="15" x14ac:dyDescent="0.25">
      <c r="A18827" s="3">
        <f>18820</f>
        <v>18820</v>
      </c>
      <c r="B18827" s="3" t="s">
        <v>18829</v>
      </c>
      <c r="C18827" s="3" t="s">
        <v>9</v>
      </c>
      <c r="D18827" s="3" t="s">
        <v>10</v>
      </c>
      <c r="E18827" s="3">
        <v>0</v>
      </c>
      <c r="F18827" s="3">
        <v>0</v>
      </c>
      <c r="G18827" s="3">
        <v>0</v>
      </c>
      <c r="H18827" s="3">
        <v>0</v>
      </c>
      <c r="I18827" s="3">
        <v>0</v>
      </c>
      <c r="J18827" s="3">
        <v>0</v>
      </c>
      <c r="K18827" s="3">
        <v>0</v>
      </c>
      <c r="L18827" s="3">
        <v>0</v>
      </c>
      <c r="M18827" s="3">
        <v>0</v>
      </c>
      <c r="N18827" s="3">
        <v>0</v>
      </c>
      <c r="O18827" s="3" t="s">
        <v>10</v>
      </c>
      <c r="P18827" s="3" t="s">
        <v>9</v>
      </c>
      <c r="Q18827" s="3"/>
    </row>
    <row r="18828" spans="1:17" ht="15" x14ac:dyDescent="0.25">
      <c r="A18828" s="3">
        <f>18821</f>
        <v>18821</v>
      </c>
      <c r="B18828" s="3" t="s">
        <v>18830</v>
      </c>
      <c r="C18828" s="3" t="s">
        <v>9</v>
      </c>
      <c r="D18828" s="3" t="s">
        <v>10</v>
      </c>
      <c r="E18828" s="3">
        <v>0</v>
      </c>
      <c r="F18828" s="3">
        <v>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3">
        <v>0</v>
      </c>
      <c r="N18828" s="3">
        <v>0</v>
      </c>
      <c r="O18828" s="3" t="s">
        <v>10</v>
      </c>
      <c r="P18828" s="3" t="s">
        <v>9</v>
      </c>
      <c r="Q18828" s="3"/>
    </row>
    <row r="18829" spans="1:17" ht="15" x14ac:dyDescent="0.25">
      <c r="A18829" s="3">
        <f>18822</f>
        <v>18822</v>
      </c>
      <c r="B18829" s="3" t="s">
        <v>18831</v>
      </c>
      <c r="C18829" s="3" t="s">
        <v>9</v>
      </c>
      <c r="D18829" s="3" t="s">
        <v>10</v>
      </c>
      <c r="E18829" s="3">
        <v>0</v>
      </c>
      <c r="F18829" s="3">
        <v>0</v>
      </c>
      <c r="G18829" s="3">
        <v>0</v>
      </c>
      <c r="H18829" s="3">
        <v>0</v>
      </c>
      <c r="I18829" s="3">
        <v>0</v>
      </c>
      <c r="J18829" s="3">
        <v>0</v>
      </c>
      <c r="K18829" s="3">
        <v>0</v>
      </c>
      <c r="L18829" s="3">
        <v>0</v>
      </c>
      <c r="M18829" s="3">
        <v>0</v>
      </c>
      <c r="N18829" s="3">
        <v>0</v>
      </c>
      <c r="O18829" s="3" t="s">
        <v>10</v>
      </c>
      <c r="P18829" s="3" t="s">
        <v>9</v>
      </c>
      <c r="Q18829" s="3"/>
    </row>
    <row r="18830" spans="1:17" ht="15" x14ac:dyDescent="0.25">
      <c r="A18830" s="3">
        <f>18823</f>
        <v>18823</v>
      </c>
      <c r="B18830" s="3" t="s">
        <v>18832</v>
      </c>
      <c r="C18830" s="3" t="s">
        <v>9</v>
      </c>
      <c r="D18830" s="3" t="s">
        <v>10</v>
      </c>
      <c r="E18830" s="3">
        <v>0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3">
        <v>0</v>
      </c>
      <c r="N18830" s="3">
        <v>0</v>
      </c>
      <c r="O18830" s="3" t="s">
        <v>10</v>
      </c>
      <c r="P18830" s="3" t="s">
        <v>9</v>
      </c>
      <c r="Q18830" s="3"/>
    </row>
    <row r="18831" spans="1:17" ht="15" x14ac:dyDescent="0.25">
      <c r="A18831" s="3">
        <f>18824</f>
        <v>18824</v>
      </c>
      <c r="B18831" s="3" t="s">
        <v>18833</v>
      </c>
      <c r="C18831" s="3" t="s">
        <v>9</v>
      </c>
      <c r="D18831" s="3" t="s">
        <v>10</v>
      </c>
      <c r="E18831" s="3">
        <v>0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  <c r="L18831" s="3">
        <v>0</v>
      </c>
      <c r="M18831" s="3">
        <v>0</v>
      </c>
      <c r="N18831" s="3">
        <v>0</v>
      </c>
      <c r="O18831" s="3" t="s">
        <v>10</v>
      </c>
      <c r="P18831" s="3" t="s">
        <v>9</v>
      </c>
      <c r="Q18831" s="3"/>
    </row>
    <row r="18832" spans="1:17" ht="15" x14ac:dyDescent="0.25">
      <c r="A18832" s="3">
        <f>18825</f>
        <v>18825</v>
      </c>
      <c r="B18832" s="3" t="s">
        <v>18834</v>
      </c>
      <c r="C18832" s="3" t="s">
        <v>9</v>
      </c>
      <c r="D18832" s="3" t="s">
        <v>10</v>
      </c>
      <c r="E18832" s="3">
        <v>0</v>
      </c>
      <c r="F18832" s="3">
        <v>0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  <c r="L18832" s="3">
        <v>0</v>
      </c>
      <c r="M18832" s="3">
        <v>0</v>
      </c>
      <c r="N18832" s="3">
        <v>0</v>
      </c>
      <c r="O18832" s="3" t="s">
        <v>10</v>
      </c>
      <c r="P18832" s="3" t="s">
        <v>9</v>
      </c>
      <c r="Q18832" s="3"/>
    </row>
    <row r="18833" spans="1:17" ht="15" x14ac:dyDescent="0.25">
      <c r="A18833" s="3">
        <f>18826</f>
        <v>18826</v>
      </c>
      <c r="B18833" s="3" t="s">
        <v>18835</v>
      </c>
      <c r="C18833" s="3" t="s">
        <v>9</v>
      </c>
      <c r="D18833" s="3" t="s">
        <v>10</v>
      </c>
      <c r="E18833" s="3">
        <v>0</v>
      </c>
      <c r="F18833" s="3">
        <v>0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 s="3">
        <v>0</v>
      </c>
      <c r="M18833" s="3">
        <v>0</v>
      </c>
      <c r="N18833" s="3">
        <v>0</v>
      </c>
      <c r="O18833" s="3" t="s">
        <v>10</v>
      </c>
      <c r="P18833" s="3" t="s">
        <v>9</v>
      </c>
      <c r="Q18833" s="3"/>
    </row>
    <row r="18834" spans="1:17" ht="15" x14ac:dyDescent="0.25">
      <c r="A18834" s="3">
        <f>18827</f>
        <v>18827</v>
      </c>
      <c r="B18834" s="3" t="s">
        <v>18836</v>
      </c>
      <c r="C18834" s="3" t="s">
        <v>9</v>
      </c>
      <c r="D18834" s="3" t="s">
        <v>10</v>
      </c>
      <c r="E18834" s="3">
        <v>0</v>
      </c>
      <c r="F18834" s="3">
        <v>0</v>
      </c>
      <c r="G18834" s="3">
        <v>0</v>
      </c>
      <c r="H18834" s="3">
        <v>0</v>
      </c>
      <c r="I18834" s="3">
        <v>0</v>
      </c>
      <c r="J18834" s="3">
        <v>0</v>
      </c>
      <c r="K18834" s="3">
        <v>0</v>
      </c>
      <c r="L18834" s="3">
        <v>0</v>
      </c>
      <c r="M18834" s="3">
        <v>0</v>
      </c>
      <c r="N18834" s="3">
        <v>0</v>
      </c>
      <c r="O18834" s="3" t="s">
        <v>10</v>
      </c>
      <c r="P18834" s="3" t="s">
        <v>9</v>
      </c>
      <c r="Q18834" s="3"/>
    </row>
    <row r="18835" spans="1:17" ht="15" x14ac:dyDescent="0.25">
      <c r="A18835" s="3">
        <f>18828</f>
        <v>18828</v>
      </c>
      <c r="B18835" s="3" t="s">
        <v>18837</v>
      </c>
      <c r="C18835" s="3" t="s">
        <v>9</v>
      </c>
      <c r="D18835" s="3" t="s">
        <v>10</v>
      </c>
      <c r="E18835" s="3">
        <v>0</v>
      </c>
      <c r="F18835" s="3">
        <v>0</v>
      </c>
      <c r="G18835" s="3">
        <v>0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3">
        <v>0</v>
      </c>
      <c r="N18835" s="3">
        <v>0</v>
      </c>
      <c r="O18835" s="3" t="s">
        <v>10</v>
      </c>
      <c r="P18835" s="3" t="s">
        <v>9</v>
      </c>
      <c r="Q18835" s="3"/>
    </row>
    <row r="18836" spans="1:17" ht="15" x14ac:dyDescent="0.25">
      <c r="A18836" s="3">
        <f>18829</f>
        <v>18829</v>
      </c>
      <c r="B18836" s="3" t="s">
        <v>18838</v>
      </c>
      <c r="C18836" s="3" t="s">
        <v>9</v>
      </c>
      <c r="D18836" s="3" t="s">
        <v>10</v>
      </c>
      <c r="E18836" s="3">
        <v>0</v>
      </c>
      <c r="F18836" s="3">
        <v>0</v>
      </c>
      <c r="G18836" s="3">
        <v>0</v>
      </c>
      <c r="H18836" s="3">
        <v>0</v>
      </c>
      <c r="I18836" s="3">
        <v>0</v>
      </c>
      <c r="J18836" s="3">
        <v>0</v>
      </c>
      <c r="K18836" s="3">
        <v>0</v>
      </c>
      <c r="L18836" s="3">
        <v>0</v>
      </c>
      <c r="M18836" s="3">
        <v>0</v>
      </c>
      <c r="N18836" s="3">
        <v>0</v>
      </c>
      <c r="O18836" s="3" t="s">
        <v>10</v>
      </c>
      <c r="P18836" s="3" t="s">
        <v>9</v>
      </c>
      <c r="Q18836" s="3"/>
    </row>
    <row r="18837" spans="1:17" ht="15" x14ac:dyDescent="0.25">
      <c r="A18837" s="3">
        <f>18830</f>
        <v>18830</v>
      </c>
      <c r="B18837" s="3" t="s">
        <v>18839</v>
      </c>
      <c r="C18837" s="3" t="s">
        <v>9</v>
      </c>
      <c r="D18837" s="3" t="s">
        <v>10</v>
      </c>
      <c r="E18837" s="3">
        <v>0</v>
      </c>
      <c r="F18837" s="3">
        <v>0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3">
        <v>0</v>
      </c>
      <c r="N18837" s="3">
        <v>0</v>
      </c>
      <c r="O18837" s="3" t="s">
        <v>10</v>
      </c>
      <c r="P18837" s="3" t="s">
        <v>9</v>
      </c>
      <c r="Q18837" s="3"/>
    </row>
    <row r="18838" spans="1:17" ht="15" x14ac:dyDescent="0.25">
      <c r="A18838" s="3">
        <f>18831</f>
        <v>18831</v>
      </c>
      <c r="B18838" s="3" t="s">
        <v>18840</v>
      </c>
      <c r="C18838" s="3" t="s">
        <v>9</v>
      </c>
      <c r="D18838" s="3" t="s">
        <v>10</v>
      </c>
      <c r="E18838" s="3">
        <v>0</v>
      </c>
      <c r="F18838" s="3">
        <v>0</v>
      </c>
      <c r="G18838" s="3">
        <v>0</v>
      </c>
      <c r="H18838" s="3">
        <v>0</v>
      </c>
      <c r="I18838" s="3">
        <v>0</v>
      </c>
      <c r="J18838" s="3">
        <v>0</v>
      </c>
      <c r="K18838" s="3">
        <v>0</v>
      </c>
      <c r="L18838" s="3">
        <v>0</v>
      </c>
      <c r="M18838" s="3">
        <v>0</v>
      </c>
      <c r="N18838" s="3">
        <v>0</v>
      </c>
      <c r="O18838" s="3" t="s">
        <v>10</v>
      </c>
      <c r="P18838" s="3" t="s">
        <v>9</v>
      </c>
      <c r="Q18838" s="3"/>
    </row>
    <row r="18839" spans="1:17" ht="15" x14ac:dyDescent="0.25">
      <c r="A18839" s="3">
        <f>18832</f>
        <v>18832</v>
      </c>
      <c r="B18839" s="3" t="s">
        <v>18841</v>
      </c>
      <c r="C18839" s="3" t="s">
        <v>9</v>
      </c>
      <c r="D18839" s="3" t="s">
        <v>10</v>
      </c>
      <c r="E18839" s="3">
        <v>0</v>
      </c>
      <c r="F18839" s="3">
        <v>0</v>
      </c>
      <c r="G18839" s="3">
        <v>0</v>
      </c>
      <c r="H18839" s="3">
        <v>0</v>
      </c>
      <c r="I18839" s="3">
        <v>0</v>
      </c>
      <c r="J18839" s="3">
        <v>0</v>
      </c>
      <c r="K18839" s="3">
        <v>0</v>
      </c>
      <c r="L18839" s="3">
        <v>0</v>
      </c>
      <c r="M18839" s="3">
        <v>0</v>
      </c>
      <c r="N18839" s="3">
        <v>0</v>
      </c>
      <c r="O18839" s="3" t="s">
        <v>10</v>
      </c>
      <c r="P18839" s="3" t="s">
        <v>9</v>
      </c>
      <c r="Q18839" s="3"/>
    </row>
    <row r="18840" spans="1:17" ht="15" x14ac:dyDescent="0.25">
      <c r="A18840" s="3">
        <f>18833</f>
        <v>18833</v>
      </c>
      <c r="B18840" s="3" t="s">
        <v>18842</v>
      </c>
      <c r="C18840" s="3" t="s">
        <v>9</v>
      </c>
      <c r="D18840" s="3" t="s">
        <v>10</v>
      </c>
      <c r="E18840" s="3">
        <v>0</v>
      </c>
      <c r="F18840" s="3">
        <v>0</v>
      </c>
      <c r="G18840" s="3">
        <v>0</v>
      </c>
      <c r="H18840" s="3">
        <v>0</v>
      </c>
      <c r="I18840" s="3">
        <v>0</v>
      </c>
      <c r="J18840" s="3">
        <v>0</v>
      </c>
      <c r="K18840" s="3">
        <v>0</v>
      </c>
      <c r="L18840" s="3">
        <v>0</v>
      </c>
      <c r="M18840" s="3">
        <v>0</v>
      </c>
      <c r="N18840" s="3">
        <v>0</v>
      </c>
      <c r="O18840" s="3" t="s">
        <v>10</v>
      </c>
      <c r="P18840" s="3" t="s">
        <v>9</v>
      </c>
      <c r="Q18840" s="3"/>
    </row>
    <row r="18841" spans="1:17" ht="15" x14ac:dyDescent="0.25">
      <c r="A18841" s="3">
        <f>18834</f>
        <v>18834</v>
      </c>
      <c r="B18841" s="3" t="s">
        <v>18843</v>
      </c>
      <c r="C18841" s="3" t="s">
        <v>9</v>
      </c>
      <c r="D18841" s="3" t="s">
        <v>10</v>
      </c>
      <c r="E18841" s="3">
        <v>0</v>
      </c>
      <c r="F18841" s="3">
        <v>0</v>
      </c>
      <c r="G18841" s="3">
        <v>0</v>
      </c>
      <c r="H18841" s="3">
        <v>0</v>
      </c>
      <c r="I18841" s="3">
        <v>0</v>
      </c>
      <c r="J18841" s="3">
        <v>0</v>
      </c>
      <c r="K18841" s="3">
        <v>0</v>
      </c>
      <c r="L18841" s="3">
        <v>0</v>
      </c>
      <c r="M18841" s="3">
        <v>0</v>
      </c>
      <c r="N18841" s="3">
        <v>0</v>
      </c>
      <c r="O18841" s="3" t="s">
        <v>10</v>
      </c>
      <c r="P18841" s="3" t="s">
        <v>9</v>
      </c>
      <c r="Q18841" s="3"/>
    </row>
    <row r="18842" spans="1:17" ht="15" x14ac:dyDescent="0.25">
      <c r="A18842" s="3">
        <f>18835</f>
        <v>18835</v>
      </c>
      <c r="B18842" s="3" t="s">
        <v>18844</v>
      </c>
      <c r="C18842" s="3" t="s">
        <v>9</v>
      </c>
      <c r="D18842" s="3" t="s">
        <v>10</v>
      </c>
      <c r="E18842" s="3">
        <v>0</v>
      </c>
      <c r="F18842" s="3">
        <v>0</v>
      </c>
      <c r="G18842" s="3">
        <v>0</v>
      </c>
      <c r="H18842" s="3">
        <v>0</v>
      </c>
      <c r="I18842" s="3">
        <v>0</v>
      </c>
      <c r="J18842" s="3">
        <v>0</v>
      </c>
      <c r="K18842" s="3">
        <v>0</v>
      </c>
      <c r="L18842" s="3">
        <v>0</v>
      </c>
      <c r="M18842" s="3">
        <v>0</v>
      </c>
      <c r="N18842" s="3">
        <v>0</v>
      </c>
      <c r="O18842" s="3" t="s">
        <v>10</v>
      </c>
      <c r="P18842" s="3" t="s">
        <v>9</v>
      </c>
      <c r="Q18842" s="3"/>
    </row>
    <row r="18843" spans="1:17" ht="15" x14ac:dyDescent="0.25">
      <c r="A18843" s="3">
        <f>18836</f>
        <v>18836</v>
      </c>
      <c r="B18843" s="3" t="s">
        <v>18845</v>
      </c>
      <c r="C18843" s="3" t="s">
        <v>9</v>
      </c>
      <c r="D18843" s="3" t="s">
        <v>10</v>
      </c>
      <c r="E18843" s="3">
        <v>0</v>
      </c>
      <c r="F18843" s="3">
        <v>0</v>
      </c>
      <c r="G18843" s="3">
        <v>0</v>
      </c>
      <c r="H18843" s="3">
        <v>0</v>
      </c>
      <c r="I18843" s="3">
        <v>0</v>
      </c>
      <c r="J18843" s="3">
        <v>0</v>
      </c>
      <c r="K18843" s="3">
        <v>0</v>
      </c>
      <c r="L18843" s="3">
        <v>0</v>
      </c>
      <c r="M18843" s="3">
        <v>0</v>
      </c>
      <c r="N18843" s="3">
        <v>0</v>
      </c>
      <c r="O18843" s="3" t="s">
        <v>10</v>
      </c>
      <c r="P18843" s="3" t="s">
        <v>9</v>
      </c>
      <c r="Q18843" s="3"/>
    </row>
    <row r="18844" spans="1:17" ht="15" x14ac:dyDescent="0.25">
      <c r="A18844" s="3">
        <f>18837</f>
        <v>18837</v>
      </c>
      <c r="B18844" s="3" t="s">
        <v>18846</v>
      </c>
      <c r="C18844" s="3" t="s">
        <v>9</v>
      </c>
      <c r="D18844" s="3" t="s">
        <v>10</v>
      </c>
      <c r="E18844" s="3">
        <v>0</v>
      </c>
      <c r="F18844" s="3">
        <v>0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3">
        <v>0</v>
      </c>
      <c r="N18844" s="3">
        <v>0</v>
      </c>
      <c r="O18844" s="3" t="s">
        <v>10</v>
      </c>
      <c r="P18844" s="3" t="s">
        <v>9</v>
      </c>
      <c r="Q18844" s="3"/>
    </row>
    <row r="18845" spans="1:17" ht="15" x14ac:dyDescent="0.25">
      <c r="A18845" s="3">
        <f>18838</f>
        <v>18838</v>
      </c>
      <c r="B18845" s="3" t="s">
        <v>18847</v>
      </c>
      <c r="C18845" s="3" t="s">
        <v>9</v>
      </c>
      <c r="D18845" s="3" t="s">
        <v>10</v>
      </c>
      <c r="E18845" s="3">
        <v>0</v>
      </c>
      <c r="F18845" s="3">
        <v>0</v>
      </c>
      <c r="G18845" s="3">
        <v>0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3">
        <v>0</v>
      </c>
      <c r="N18845" s="3">
        <v>0</v>
      </c>
      <c r="O18845" s="3" t="s">
        <v>10</v>
      </c>
      <c r="P18845" s="3" t="s">
        <v>9</v>
      </c>
      <c r="Q18845" s="3"/>
    </row>
    <row r="18846" spans="1:17" ht="15" x14ac:dyDescent="0.25">
      <c r="A18846" s="3">
        <f>18839</f>
        <v>18839</v>
      </c>
      <c r="B18846" s="3" t="s">
        <v>18848</v>
      </c>
      <c r="C18846" s="3" t="s">
        <v>9</v>
      </c>
      <c r="D18846" s="3" t="s">
        <v>10</v>
      </c>
      <c r="E18846" s="3">
        <v>0</v>
      </c>
      <c r="F18846" s="3">
        <v>0</v>
      </c>
      <c r="G18846" s="3">
        <v>0</v>
      </c>
      <c r="H18846" s="3">
        <v>0</v>
      </c>
      <c r="I18846" s="3">
        <v>0</v>
      </c>
      <c r="J18846" s="3">
        <v>0</v>
      </c>
      <c r="K18846" s="3">
        <v>0</v>
      </c>
      <c r="L18846" s="3">
        <v>0</v>
      </c>
      <c r="M18846" s="3">
        <v>0</v>
      </c>
      <c r="N18846" s="3">
        <v>0</v>
      </c>
      <c r="O18846" s="3" t="s">
        <v>10</v>
      </c>
      <c r="P18846" s="3" t="s">
        <v>9</v>
      </c>
      <c r="Q18846" s="3"/>
    </row>
    <row r="18847" spans="1:17" ht="15" x14ac:dyDescent="0.25">
      <c r="A18847" s="3">
        <f>18840</f>
        <v>18840</v>
      </c>
      <c r="B18847" s="3" t="s">
        <v>18849</v>
      </c>
      <c r="C18847" s="3" t="s">
        <v>9</v>
      </c>
      <c r="D18847" s="3" t="s">
        <v>10</v>
      </c>
      <c r="E18847" s="3">
        <v>0</v>
      </c>
      <c r="F18847" s="3">
        <v>0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  <c r="L18847" s="3">
        <v>0</v>
      </c>
      <c r="M18847" s="3">
        <v>0</v>
      </c>
      <c r="N18847" s="3">
        <v>0</v>
      </c>
      <c r="O18847" s="3" t="s">
        <v>10</v>
      </c>
      <c r="P18847" s="3" t="s">
        <v>9</v>
      </c>
      <c r="Q18847" s="3"/>
    </row>
    <row r="18848" spans="1:17" ht="15" x14ac:dyDescent="0.25">
      <c r="A18848" s="3">
        <f>18841</f>
        <v>18841</v>
      </c>
      <c r="B18848" s="3" t="s">
        <v>18850</v>
      </c>
      <c r="C18848" s="3" t="s">
        <v>9</v>
      </c>
      <c r="D18848" s="3" t="s">
        <v>10</v>
      </c>
      <c r="E18848" s="3">
        <v>0</v>
      </c>
      <c r="F18848" s="3">
        <v>0</v>
      </c>
      <c r="G18848" s="3">
        <v>0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3">
        <v>0</v>
      </c>
      <c r="N18848" s="3">
        <v>0</v>
      </c>
      <c r="O18848" s="3" t="s">
        <v>10</v>
      </c>
      <c r="P18848" s="3" t="s">
        <v>9</v>
      </c>
      <c r="Q18848" s="3"/>
    </row>
    <row r="18849" spans="1:17" ht="15" x14ac:dyDescent="0.25">
      <c r="A18849" s="3">
        <f>18842</f>
        <v>18842</v>
      </c>
      <c r="B18849" s="3" t="s">
        <v>18851</v>
      </c>
      <c r="C18849" s="3" t="s">
        <v>9</v>
      </c>
      <c r="D18849" s="3" t="s">
        <v>10</v>
      </c>
      <c r="E18849" s="3">
        <v>0</v>
      </c>
      <c r="F18849" s="3">
        <v>0</v>
      </c>
      <c r="G18849" s="3">
        <v>0</v>
      </c>
      <c r="H18849" s="3">
        <v>0</v>
      </c>
      <c r="I18849" s="3">
        <v>0</v>
      </c>
      <c r="J18849" s="3">
        <v>0</v>
      </c>
      <c r="K18849" s="3">
        <v>0</v>
      </c>
      <c r="L18849" s="3">
        <v>0</v>
      </c>
      <c r="M18849" s="3">
        <v>0</v>
      </c>
      <c r="N18849" s="3">
        <v>0</v>
      </c>
      <c r="O18849" s="3" t="s">
        <v>10</v>
      </c>
      <c r="P18849" s="3" t="s">
        <v>9</v>
      </c>
      <c r="Q18849" s="3"/>
    </row>
    <row r="18850" spans="1:17" ht="15" x14ac:dyDescent="0.25">
      <c r="A18850" s="3">
        <f>18843</f>
        <v>18843</v>
      </c>
      <c r="B18850" s="3" t="s">
        <v>18852</v>
      </c>
      <c r="C18850" s="3" t="s">
        <v>9</v>
      </c>
      <c r="D18850" s="3" t="s">
        <v>10</v>
      </c>
      <c r="E18850" s="3">
        <v>0</v>
      </c>
      <c r="F18850" s="3">
        <v>0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  <c r="L18850" s="3">
        <v>0</v>
      </c>
      <c r="M18850" s="3">
        <v>0</v>
      </c>
      <c r="N18850" s="3">
        <v>0</v>
      </c>
      <c r="O18850" s="3" t="s">
        <v>10</v>
      </c>
      <c r="P18850" s="3" t="s">
        <v>9</v>
      </c>
      <c r="Q18850" s="3"/>
    </row>
    <row r="18851" spans="1:17" ht="15" x14ac:dyDescent="0.25">
      <c r="A18851" s="3">
        <f>18844</f>
        <v>18844</v>
      </c>
      <c r="B18851" s="3" t="s">
        <v>18853</v>
      </c>
      <c r="C18851" s="3" t="s">
        <v>9</v>
      </c>
      <c r="D18851" s="3" t="s">
        <v>10</v>
      </c>
      <c r="E18851" s="3">
        <v>0</v>
      </c>
      <c r="F18851" s="3">
        <v>0</v>
      </c>
      <c r="G18851" s="3">
        <v>0</v>
      </c>
      <c r="H18851" s="3">
        <v>0</v>
      </c>
      <c r="I18851" s="3">
        <v>0</v>
      </c>
      <c r="J18851" s="3">
        <v>0</v>
      </c>
      <c r="K18851" s="3">
        <v>0</v>
      </c>
      <c r="L18851" s="3">
        <v>0</v>
      </c>
      <c r="M18851" s="3">
        <v>0</v>
      </c>
      <c r="N18851" s="3">
        <v>0</v>
      </c>
      <c r="O18851" s="3" t="s">
        <v>10</v>
      </c>
      <c r="P18851" s="3" t="s">
        <v>9</v>
      </c>
      <c r="Q18851" s="3"/>
    </row>
    <row r="18852" spans="1:17" ht="15" x14ac:dyDescent="0.25">
      <c r="A18852" s="3">
        <f>18845</f>
        <v>18845</v>
      </c>
      <c r="B18852" s="3" t="s">
        <v>18854</v>
      </c>
      <c r="C18852" s="3" t="s">
        <v>9</v>
      </c>
      <c r="D18852" s="3" t="s">
        <v>10</v>
      </c>
      <c r="E18852" s="3">
        <v>0</v>
      </c>
      <c r="F18852" s="3">
        <v>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  <c r="L18852" s="3">
        <v>0</v>
      </c>
      <c r="M18852" s="3">
        <v>0</v>
      </c>
      <c r="N18852" s="3">
        <v>0</v>
      </c>
      <c r="O18852" s="3" t="s">
        <v>10</v>
      </c>
      <c r="P18852" s="3" t="s">
        <v>9</v>
      </c>
      <c r="Q18852" s="3"/>
    </row>
    <row r="18853" spans="1:17" ht="15" x14ac:dyDescent="0.25">
      <c r="A18853" s="3">
        <f>18846</f>
        <v>18846</v>
      </c>
      <c r="B18853" s="3" t="s">
        <v>18855</v>
      </c>
      <c r="C18853" s="3" t="s">
        <v>9</v>
      </c>
      <c r="D18853" s="3" t="s">
        <v>10</v>
      </c>
      <c r="E18853" s="3">
        <v>0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  <c r="L18853" s="3">
        <v>0</v>
      </c>
      <c r="M18853" s="3">
        <v>0</v>
      </c>
      <c r="N18853" s="3">
        <v>0</v>
      </c>
      <c r="O18853" s="3" t="s">
        <v>10</v>
      </c>
      <c r="P18853" s="3" t="s">
        <v>9</v>
      </c>
      <c r="Q18853" s="3"/>
    </row>
    <row r="18854" spans="1:17" ht="15" x14ac:dyDescent="0.25">
      <c r="A18854" s="3">
        <f>18847</f>
        <v>18847</v>
      </c>
      <c r="B18854" s="3" t="s">
        <v>18856</v>
      </c>
      <c r="C18854" s="3" t="s">
        <v>9</v>
      </c>
      <c r="D18854" s="3" t="s">
        <v>10</v>
      </c>
      <c r="E18854" s="3">
        <v>0</v>
      </c>
      <c r="F18854" s="3">
        <v>0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  <c r="L18854" s="3">
        <v>0</v>
      </c>
      <c r="M18854" s="3">
        <v>0</v>
      </c>
      <c r="N18854" s="3">
        <v>0</v>
      </c>
      <c r="O18854" s="3" t="s">
        <v>10</v>
      </c>
      <c r="P18854" s="3" t="s">
        <v>9</v>
      </c>
      <c r="Q18854" s="3"/>
    </row>
    <row r="18855" spans="1:17" ht="15" x14ac:dyDescent="0.25">
      <c r="A18855" s="3">
        <f>18848</f>
        <v>18848</v>
      </c>
      <c r="B18855" s="3" t="s">
        <v>18857</v>
      </c>
      <c r="C18855" s="3" t="s">
        <v>9</v>
      </c>
      <c r="D18855" s="3" t="s">
        <v>10</v>
      </c>
      <c r="E18855" s="3">
        <v>0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s="3">
        <v>0</v>
      </c>
      <c r="O18855" s="3" t="s">
        <v>10</v>
      </c>
      <c r="P18855" s="3" t="s">
        <v>9</v>
      </c>
      <c r="Q18855" s="3"/>
    </row>
    <row r="18856" spans="1:17" ht="15" x14ac:dyDescent="0.25">
      <c r="A18856" s="3">
        <f>18849</f>
        <v>18849</v>
      </c>
      <c r="B18856" s="3" t="s">
        <v>18858</v>
      </c>
      <c r="C18856" s="3" t="s">
        <v>9</v>
      </c>
      <c r="D18856" s="3" t="s">
        <v>10</v>
      </c>
      <c r="E18856" s="3">
        <v>0</v>
      </c>
      <c r="F18856" s="3">
        <v>0</v>
      </c>
      <c r="G18856" s="3">
        <v>0</v>
      </c>
      <c r="H18856" s="3">
        <v>0</v>
      </c>
      <c r="I18856" s="3">
        <v>0</v>
      </c>
      <c r="J18856" s="3">
        <v>0</v>
      </c>
      <c r="K18856" s="3">
        <v>0</v>
      </c>
      <c r="L18856" s="3">
        <v>0</v>
      </c>
      <c r="M18856" s="3">
        <v>0</v>
      </c>
      <c r="N18856" s="3">
        <v>0</v>
      </c>
      <c r="O18856" s="3" t="s">
        <v>10</v>
      </c>
      <c r="P18856" s="3" t="s">
        <v>9</v>
      </c>
      <c r="Q18856" s="3"/>
    </row>
    <row r="18857" spans="1:17" ht="15" x14ac:dyDescent="0.25">
      <c r="A18857" s="3">
        <f>18850</f>
        <v>18850</v>
      </c>
      <c r="B18857" s="3" t="s">
        <v>18859</v>
      </c>
      <c r="C18857" s="3" t="s">
        <v>9</v>
      </c>
      <c r="D18857" s="3" t="s">
        <v>10</v>
      </c>
      <c r="E18857" s="3">
        <v>0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0</v>
      </c>
      <c r="L18857" s="3">
        <v>0</v>
      </c>
      <c r="M18857" s="3">
        <v>0</v>
      </c>
      <c r="N18857" s="3">
        <v>0</v>
      </c>
      <c r="O18857" s="3" t="s">
        <v>10</v>
      </c>
      <c r="P18857" s="3" t="s">
        <v>9</v>
      </c>
      <c r="Q18857" s="3"/>
    </row>
    <row r="18858" spans="1:17" ht="15" x14ac:dyDescent="0.25">
      <c r="A18858" s="3">
        <f>18851</f>
        <v>18851</v>
      </c>
      <c r="B18858" s="3" t="s">
        <v>18860</v>
      </c>
      <c r="C18858" s="3" t="s">
        <v>10</v>
      </c>
      <c r="D18858" s="3" t="s">
        <v>9</v>
      </c>
      <c r="E18858" s="3">
        <v>0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3">
        <v>0</v>
      </c>
      <c r="N18858" s="3">
        <v>0</v>
      </c>
      <c r="O18858" s="3" t="s">
        <v>10</v>
      </c>
      <c r="P18858" s="3" t="s">
        <v>9</v>
      </c>
      <c r="Q18858" s="3"/>
    </row>
    <row r="18859" spans="1:17" ht="15" x14ac:dyDescent="0.25">
      <c r="A18859" s="3">
        <f>18852</f>
        <v>18852</v>
      </c>
      <c r="B18859" s="3" t="s">
        <v>18861</v>
      </c>
      <c r="C18859" s="3" t="s">
        <v>10</v>
      </c>
      <c r="D18859" s="3" t="s">
        <v>9</v>
      </c>
      <c r="E18859" s="3">
        <v>0</v>
      </c>
      <c r="F18859" s="3">
        <v>0</v>
      </c>
      <c r="G18859" s="3">
        <v>0</v>
      </c>
      <c r="H18859" s="3">
        <v>0</v>
      </c>
      <c r="I18859" s="3">
        <v>0</v>
      </c>
      <c r="J18859" s="3">
        <v>0</v>
      </c>
      <c r="K18859" s="3">
        <v>0</v>
      </c>
      <c r="L18859" s="3">
        <v>0</v>
      </c>
      <c r="M18859" s="3">
        <v>0</v>
      </c>
      <c r="N18859" s="3">
        <v>0</v>
      </c>
      <c r="O18859" s="3" t="s">
        <v>10</v>
      </c>
      <c r="P18859" s="3" t="s">
        <v>9</v>
      </c>
      <c r="Q18859" s="3"/>
    </row>
    <row r="18860" spans="1:17" ht="15" x14ac:dyDescent="0.25">
      <c r="A18860" s="3">
        <f>18853</f>
        <v>18853</v>
      </c>
      <c r="B18860" s="3" t="s">
        <v>18862</v>
      </c>
      <c r="C18860" s="3" t="s">
        <v>10</v>
      </c>
      <c r="D18860" s="3" t="s">
        <v>9</v>
      </c>
      <c r="E18860" s="3">
        <v>0</v>
      </c>
      <c r="F18860" s="3">
        <v>0</v>
      </c>
      <c r="G18860" s="3">
        <v>0</v>
      </c>
      <c r="H18860" s="3">
        <v>0</v>
      </c>
      <c r="I18860" s="3">
        <v>0</v>
      </c>
      <c r="J18860" s="3">
        <v>0</v>
      </c>
      <c r="K18860" s="3">
        <v>0</v>
      </c>
      <c r="L18860" s="3">
        <v>0</v>
      </c>
      <c r="M18860" s="3">
        <v>0</v>
      </c>
      <c r="N18860" s="3">
        <v>0</v>
      </c>
      <c r="O18860" s="3" t="s">
        <v>10</v>
      </c>
      <c r="P18860" s="3" t="s">
        <v>9</v>
      </c>
      <c r="Q18860" s="3"/>
    </row>
    <row r="18861" spans="1:17" ht="15" x14ac:dyDescent="0.25">
      <c r="A18861" s="3">
        <f>18854</f>
        <v>18854</v>
      </c>
      <c r="B18861" s="3" t="s">
        <v>18863</v>
      </c>
      <c r="C18861" s="3" t="s">
        <v>9</v>
      </c>
      <c r="D18861" s="3" t="s">
        <v>10</v>
      </c>
      <c r="E18861" s="3">
        <v>0</v>
      </c>
      <c r="F18861" s="3">
        <v>0</v>
      </c>
      <c r="G18861" s="3">
        <v>0</v>
      </c>
      <c r="H18861" s="3">
        <v>0</v>
      </c>
      <c r="I18861" s="3">
        <v>0</v>
      </c>
      <c r="J18861" s="3">
        <v>0</v>
      </c>
      <c r="K18861" s="3">
        <v>0</v>
      </c>
      <c r="L18861" s="3">
        <v>0</v>
      </c>
      <c r="M18861" s="3">
        <v>0</v>
      </c>
      <c r="N18861" s="3">
        <v>0</v>
      </c>
      <c r="O18861" s="3" t="s">
        <v>10</v>
      </c>
      <c r="P18861" s="3" t="s">
        <v>9</v>
      </c>
      <c r="Q18861" s="3"/>
    </row>
    <row r="18862" spans="1:17" ht="15" x14ac:dyDescent="0.25">
      <c r="A18862" s="3">
        <f>18855</f>
        <v>18855</v>
      </c>
      <c r="B18862" s="3" t="s">
        <v>18864</v>
      </c>
      <c r="C18862" s="3" t="s">
        <v>9</v>
      </c>
      <c r="D18862" s="3" t="s">
        <v>10</v>
      </c>
      <c r="E18862" s="3">
        <v>0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3">
        <v>0</v>
      </c>
      <c r="N18862" s="3">
        <v>0</v>
      </c>
      <c r="O18862" s="3" t="s">
        <v>10</v>
      </c>
      <c r="P18862" s="3" t="s">
        <v>9</v>
      </c>
      <c r="Q18862" s="3"/>
    </row>
    <row r="18863" spans="1:17" ht="15" x14ac:dyDescent="0.25">
      <c r="A18863" s="3">
        <f>18856</f>
        <v>18856</v>
      </c>
      <c r="B18863" s="3" t="s">
        <v>18865</v>
      </c>
      <c r="C18863" s="3" t="s">
        <v>10</v>
      </c>
      <c r="D18863" s="3" t="s">
        <v>9</v>
      </c>
      <c r="E18863" s="3">
        <v>0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0</v>
      </c>
      <c r="L18863" s="3">
        <v>0</v>
      </c>
      <c r="M18863" s="3">
        <v>0</v>
      </c>
      <c r="N18863" s="3">
        <v>0</v>
      </c>
      <c r="O18863" s="3" t="s">
        <v>10</v>
      </c>
      <c r="P18863" s="3" t="s">
        <v>9</v>
      </c>
      <c r="Q18863" s="3"/>
    </row>
    <row r="18864" spans="1:17" ht="15" x14ac:dyDescent="0.25">
      <c r="A18864" s="3">
        <f>18857</f>
        <v>18857</v>
      </c>
      <c r="B18864" s="3" t="s">
        <v>18866</v>
      </c>
      <c r="C18864" s="3" t="s">
        <v>10</v>
      </c>
      <c r="D18864" s="3" t="s">
        <v>9</v>
      </c>
      <c r="E18864" s="3">
        <v>0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  <c r="L18864" s="3">
        <v>0</v>
      </c>
      <c r="M18864" s="3">
        <v>0</v>
      </c>
      <c r="N18864" s="3">
        <v>0</v>
      </c>
      <c r="O18864" s="3" t="s">
        <v>10</v>
      </c>
      <c r="P18864" s="3" t="s">
        <v>9</v>
      </c>
      <c r="Q18864" s="3"/>
    </row>
    <row r="18865" spans="1:17" ht="15" x14ac:dyDescent="0.25">
      <c r="A18865" s="3">
        <f>18858</f>
        <v>18858</v>
      </c>
      <c r="B18865" s="3" t="s">
        <v>18867</v>
      </c>
      <c r="C18865" s="3" t="s">
        <v>10</v>
      </c>
      <c r="D18865" s="3" t="s">
        <v>9</v>
      </c>
      <c r="E18865" s="3">
        <v>0</v>
      </c>
      <c r="F18865" s="3">
        <v>0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  <c r="L18865" s="3">
        <v>0</v>
      </c>
      <c r="M18865" s="3">
        <v>0</v>
      </c>
      <c r="N18865" s="3">
        <v>0</v>
      </c>
      <c r="O18865" s="3" t="s">
        <v>10</v>
      </c>
      <c r="P18865" s="3" t="s">
        <v>9</v>
      </c>
      <c r="Q18865" s="3"/>
    </row>
    <row r="18866" spans="1:17" ht="15" x14ac:dyDescent="0.25">
      <c r="A18866" s="3">
        <f>18859</f>
        <v>18859</v>
      </c>
      <c r="B18866" s="3" t="s">
        <v>18868</v>
      </c>
      <c r="C18866" s="3" t="s">
        <v>10</v>
      </c>
      <c r="D18866" s="3" t="s">
        <v>9</v>
      </c>
      <c r="E18866" s="3">
        <v>0</v>
      </c>
      <c r="F18866" s="3">
        <v>0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3">
        <v>0</v>
      </c>
      <c r="N18866" s="3">
        <v>0</v>
      </c>
      <c r="O18866" s="3" t="s">
        <v>10</v>
      </c>
      <c r="P18866" s="3" t="s">
        <v>9</v>
      </c>
      <c r="Q18866" s="3"/>
    </row>
    <row r="18867" spans="1:17" ht="15" x14ac:dyDescent="0.25">
      <c r="A18867" s="3">
        <f>18860</f>
        <v>18860</v>
      </c>
      <c r="B18867" s="3" t="s">
        <v>18869</v>
      </c>
      <c r="C18867" s="3" t="s">
        <v>10</v>
      </c>
      <c r="D18867" s="3" t="s">
        <v>9</v>
      </c>
      <c r="E18867" s="3">
        <v>0</v>
      </c>
      <c r="F18867" s="3">
        <v>0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3">
        <v>0</v>
      </c>
      <c r="N18867" s="3">
        <v>0</v>
      </c>
      <c r="O18867" s="3" t="s">
        <v>10</v>
      </c>
      <c r="P18867" s="3" t="s">
        <v>9</v>
      </c>
      <c r="Q18867" s="3"/>
    </row>
    <row r="18868" spans="1:17" ht="15" x14ac:dyDescent="0.25">
      <c r="A18868" s="3">
        <f>18861</f>
        <v>18861</v>
      </c>
      <c r="B18868" s="3" t="s">
        <v>18870</v>
      </c>
      <c r="C18868" s="3" t="s">
        <v>10</v>
      </c>
      <c r="D18868" s="3" t="s">
        <v>9</v>
      </c>
      <c r="E18868" s="3">
        <v>0</v>
      </c>
      <c r="F18868" s="3">
        <v>0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  <c r="L18868" s="3">
        <v>0</v>
      </c>
      <c r="M18868" s="3">
        <v>0</v>
      </c>
      <c r="N18868" s="3">
        <v>0</v>
      </c>
      <c r="O18868" s="3" t="s">
        <v>10</v>
      </c>
      <c r="P18868" s="3" t="s">
        <v>9</v>
      </c>
      <c r="Q18868" s="3"/>
    </row>
    <row r="18869" spans="1:17" ht="15" x14ac:dyDescent="0.25">
      <c r="A18869" s="3">
        <f>18862</f>
        <v>18862</v>
      </c>
      <c r="B18869" s="3" t="s">
        <v>18871</v>
      </c>
      <c r="C18869" s="3" t="s">
        <v>9</v>
      </c>
      <c r="D18869" s="3" t="s">
        <v>10</v>
      </c>
      <c r="E18869" s="3">
        <v>0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3">
        <v>0</v>
      </c>
      <c r="N18869" s="3">
        <v>0</v>
      </c>
      <c r="O18869" s="3" t="s">
        <v>10</v>
      </c>
      <c r="P18869" s="3" t="s">
        <v>9</v>
      </c>
      <c r="Q18869" s="3"/>
    </row>
    <row r="18870" spans="1:17" ht="15" x14ac:dyDescent="0.25">
      <c r="A18870" s="3">
        <f>18863</f>
        <v>18863</v>
      </c>
      <c r="B18870" s="3" t="s">
        <v>18872</v>
      </c>
      <c r="C18870" s="3" t="s">
        <v>9</v>
      </c>
      <c r="D18870" s="3" t="s">
        <v>10</v>
      </c>
      <c r="E18870" s="3">
        <v>0</v>
      </c>
      <c r="F18870" s="3">
        <v>0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3">
        <v>0</v>
      </c>
      <c r="N18870" s="3">
        <v>0</v>
      </c>
      <c r="O18870" s="3" t="s">
        <v>10</v>
      </c>
      <c r="P18870" s="3" t="s">
        <v>9</v>
      </c>
      <c r="Q18870" s="3"/>
    </row>
    <row r="18871" spans="1:17" ht="15" x14ac:dyDescent="0.25">
      <c r="A18871" s="3">
        <f>18864</f>
        <v>18864</v>
      </c>
      <c r="B18871" s="3" t="s">
        <v>18873</v>
      </c>
      <c r="C18871" s="3" t="s">
        <v>9</v>
      </c>
      <c r="D18871" s="3" t="s">
        <v>10</v>
      </c>
      <c r="E18871" s="3">
        <v>0</v>
      </c>
      <c r="F18871" s="3">
        <v>0</v>
      </c>
      <c r="G18871" s="3">
        <v>0</v>
      </c>
      <c r="H18871" s="3">
        <v>0</v>
      </c>
      <c r="I18871" s="3">
        <v>0</v>
      </c>
      <c r="J18871" s="3">
        <v>0</v>
      </c>
      <c r="K18871" s="3">
        <v>0</v>
      </c>
      <c r="L18871" s="3">
        <v>0</v>
      </c>
      <c r="M18871" s="3">
        <v>0</v>
      </c>
      <c r="N18871" s="3">
        <v>0</v>
      </c>
      <c r="O18871" s="3" t="s">
        <v>10</v>
      </c>
      <c r="P18871" s="3" t="s">
        <v>9</v>
      </c>
      <c r="Q18871" s="3"/>
    </row>
    <row r="18872" spans="1:17" ht="15" x14ac:dyDescent="0.25">
      <c r="A18872" s="3">
        <f>18865</f>
        <v>18865</v>
      </c>
      <c r="B18872" s="3" t="s">
        <v>18874</v>
      </c>
      <c r="C18872" s="3" t="s">
        <v>9</v>
      </c>
      <c r="D18872" s="3" t="s">
        <v>10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 t="s">
        <v>10</v>
      </c>
      <c r="P18872" s="3" t="s">
        <v>9</v>
      </c>
      <c r="Q18872" s="3"/>
    </row>
    <row r="18873" spans="1:17" ht="15" x14ac:dyDescent="0.25">
      <c r="A18873" s="3">
        <f>18866</f>
        <v>18866</v>
      </c>
      <c r="B18873" s="3" t="s">
        <v>18875</v>
      </c>
      <c r="C18873" s="3" t="s">
        <v>9</v>
      </c>
      <c r="D18873" s="3" t="s">
        <v>10</v>
      </c>
      <c r="E18873" s="3">
        <v>0</v>
      </c>
      <c r="F18873" s="3">
        <v>0</v>
      </c>
      <c r="G18873" s="3">
        <v>0</v>
      </c>
      <c r="H18873" s="3">
        <v>0</v>
      </c>
      <c r="I18873" s="3">
        <v>0</v>
      </c>
      <c r="J18873" s="3">
        <v>0</v>
      </c>
      <c r="K18873" s="3">
        <v>0</v>
      </c>
      <c r="L18873" s="3">
        <v>0</v>
      </c>
      <c r="M18873" s="3">
        <v>0</v>
      </c>
      <c r="N18873" s="3">
        <v>0</v>
      </c>
      <c r="O18873" s="3" t="s">
        <v>10</v>
      </c>
      <c r="P18873" s="3" t="s">
        <v>9</v>
      </c>
      <c r="Q18873" s="3"/>
    </row>
    <row r="18874" spans="1:17" ht="15" x14ac:dyDescent="0.25">
      <c r="A18874" s="3">
        <f>18867</f>
        <v>18867</v>
      </c>
      <c r="B18874" s="3" t="s">
        <v>18876</v>
      </c>
      <c r="C18874" s="3" t="s">
        <v>9</v>
      </c>
      <c r="D18874" s="3" t="s">
        <v>10</v>
      </c>
      <c r="E18874" s="3">
        <v>0</v>
      </c>
      <c r="F18874" s="3">
        <v>0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  <c r="L18874" s="3">
        <v>0</v>
      </c>
      <c r="M18874" s="3">
        <v>0</v>
      </c>
      <c r="N18874" s="3">
        <v>0</v>
      </c>
      <c r="O18874" s="3" t="s">
        <v>10</v>
      </c>
      <c r="P18874" s="3" t="s">
        <v>9</v>
      </c>
      <c r="Q18874" s="3"/>
    </row>
    <row r="18875" spans="1:17" ht="15" x14ac:dyDescent="0.25">
      <c r="A18875" s="3">
        <f>18868</f>
        <v>18868</v>
      </c>
      <c r="B18875" s="3" t="s">
        <v>18877</v>
      </c>
      <c r="C18875" s="3" t="s">
        <v>9</v>
      </c>
      <c r="D18875" s="3" t="s">
        <v>10</v>
      </c>
      <c r="E18875" s="3">
        <v>0</v>
      </c>
      <c r="F18875" s="3">
        <v>0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  <c r="L18875" s="3">
        <v>0</v>
      </c>
      <c r="M18875" s="3">
        <v>0</v>
      </c>
      <c r="N18875" s="3">
        <v>0</v>
      </c>
      <c r="O18875" s="3" t="s">
        <v>10</v>
      </c>
      <c r="P18875" s="3" t="s">
        <v>9</v>
      </c>
      <c r="Q18875" s="3"/>
    </row>
    <row r="18876" spans="1:17" ht="15" x14ac:dyDescent="0.25">
      <c r="A18876" s="3">
        <f>18869</f>
        <v>18869</v>
      </c>
      <c r="B18876" s="3" t="s">
        <v>18878</v>
      </c>
      <c r="C18876" s="3" t="s">
        <v>9</v>
      </c>
      <c r="D18876" s="3" t="s">
        <v>10</v>
      </c>
      <c r="E18876" s="3">
        <v>0</v>
      </c>
      <c r="F18876" s="3">
        <v>0</v>
      </c>
      <c r="G18876" s="3">
        <v>0</v>
      </c>
      <c r="H18876" s="3">
        <v>0</v>
      </c>
      <c r="I18876" s="3">
        <v>0</v>
      </c>
      <c r="J18876" s="3">
        <v>0</v>
      </c>
      <c r="K18876" s="3">
        <v>0</v>
      </c>
      <c r="L18876" s="3">
        <v>0</v>
      </c>
      <c r="M18876" s="3">
        <v>0</v>
      </c>
      <c r="N18876" s="3">
        <v>0</v>
      </c>
      <c r="O18876" s="3" t="s">
        <v>10</v>
      </c>
      <c r="P18876" s="3" t="s">
        <v>9</v>
      </c>
      <c r="Q18876" s="3"/>
    </row>
    <row r="18877" spans="1:17" ht="15" x14ac:dyDescent="0.25">
      <c r="A18877" s="3">
        <f>18870</f>
        <v>18870</v>
      </c>
      <c r="B18877" s="3" t="s">
        <v>18879</v>
      </c>
      <c r="C18877" s="3" t="s">
        <v>9</v>
      </c>
      <c r="D18877" s="3" t="s">
        <v>10</v>
      </c>
      <c r="E18877" s="3">
        <v>0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s="3">
        <v>0</v>
      </c>
      <c r="O18877" s="3" t="s">
        <v>10</v>
      </c>
      <c r="P18877" s="3" t="s">
        <v>9</v>
      </c>
      <c r="Q18877" s="3"/>
    </row>
    <row r="18878" spans="1:17" ht="15" x14ac:dyDescent="0.25">
      <c r="A18878" s="3">
        <f>18871</f>
        <v>18871</v>
      </c>
      <c r="B18878" s="3" t="s">
        <v>18880</v>
      </c>
      <c r="C18878" s="3" t="s">
        <v>9</v>
      </c>
      <c r="D18878" s="3" t="s">
        <v>10</v>
      </c>
      <c r="E18878" s="3">
        <v>0</v>
      </c>
      <c r="F18878" s="3">
        <v>0</v>
      </c>
      <c r="G18878" s="3">
        <v>0</v>
      </c>
      <c r="H18878" s="3">
        <v>0</v>
      </c>
      <c r="I18878" s="3">
        <v>0</v>
      </c>
      <c r="J18878" s="3">
        <v>0</v>
      </c>
      <c r="K18878" s="3">
        <v>0</v>
      </c>
      <c r="L18878" s="3">
        <v>0</v>
      </c>
      <c r="M18878" s="3">
        <v>0</v>
      </c>
      <c r="N18878" s="3">
        <v>0</v>
      </c>
      <c r="O18878" s="3" t="s">
        <v>10</v>
      </c>
      <c r="P18878" s="3" t="s">
        <v>9</v>
      </c>
      <c r="Q18878" s="3"/>
    </row>
    <row r="18879" spans="1:17" ht="15" x14ac:dyDescent="0.25">
      <c r="A18879" s="3">
        <f>18872</f>
        <v>18872</v>
      </c>
      <c r="B18879" s="3" t="s">
        <v>18881</v>
      </c>
      <c r="C18879" s="3" t="s">
        <v>9</v>
      </c>
      <c r="D18879" s="3" t="s">
        <v>10</v>
      </c>
      <c r="E18879" s="3">
        <v>0</v>
      </c>
      <c r="F18879" s="3">
        <v>0</v>
      </c>
      <c r="G18879" s="3">
        <v>0</v>
      </c>
      <c r="H18879" s="3">
        <v>0</v>
      </c>
      <c r="I18879" s="3">
        <v>0</v>
      </c>
      <c r="J18879" s="3">
        <v>0</v>
      </c>
      <c r="K18879" s="3">
        <v>0</v>
      </c>
      <c r="L18879" s="3">
        <v>0</v>
      </c>
      <c r="M18879" s="3">
        <v>0</v>
      </c>
      <c r="N18879" s="3">
        <v>0</v>
      </c>
      <c r="O18879" s="3" t="s">
        <v>10</v>
      </c>
      <c r="P18879" s="3" t="s">
        <v>9</v>
      </c>
      <c r="Q18879" s="3"/>
    </row>
    <row r="18880" spans="1:17" ht="15" x14ac:dyDescent="0.25">
      <c r="A18880" s="3">
        <f>18873</f>
        <v>18873</v>
      </c>
      <c r="B18880" s="3" t="s">
        <v>18882</v>
      </c>
      <c r="C18880" s="3" t="s">
        <v>9</v>
      </c>
      <c r="D18880" s="3" t="s">
        <v>10</v>
      </c>
      <c r="E18880" s="3">
        <v>0</v>
      </c>
      <c r="F18880" s="3">
        <v>0</v>
      </c>
      <c r="G18880" s="3">
        <v>0</v>
      </c>
      <c r="H18880" s="3">
        <v>0</v>
      </c>
      <c r="I18880" s="3">
        <v>0</v>
      </c>
      <c r="J18880" s="3">
        <v>0</v>
      </c>
      <c r="K18880" s="3">
        <v>0</v>
      </c>
      <c r="L18880" s="3">
        <v>0</v>
      </c>
      <c r="M18880" s="3">
        <v>0</v>
      </c>
      <c r="N18880" s="3">
        <v>0</v>
      </c>
      <c r="O18880" s="3" t="s">
        <v>10</v>
      </c>
      <c r="P18880" s="3" t="s">
        <v>9</v>
      </c>
      <c r="Q18880" s="3"/>
    </row>
    <row r="18881" spans="1:17" ht="15" x14ac:dyDescent="0.25">
      <c r="A18881" s="3">
        <f>18874</f>
        <v>18874</v>
      </c>
      <c r="B18881" s="3" t="s">
        <v>18883</v>
      </c>
      <c r="C18881" s="3" t="s">
        <v>9</v>
      </c>
      <c r="D18881" s="3" t="s">
        <v>10</v>
      </c>
      <c r="E18881" s="3">
        <v>0</v>
      </c>
      <c r="F18881" s="3">
        <v>0</v>
      </c>
      <c r="G18881" s="3">
        <v>0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3">
        <v>0</v>
      </c>
      <c r="N18881" s="3">
        <v>0</v>
      </c>
      <c r="O18881" s="3" t="s">
        <v>10</v>
      </c>
      <c r="P18881" s="3" t="s">
        <v>9</v>
      </c>
      <c r="Q18881" s="3"/>
    </row>
    <row r="18882" spans="1:17" ht="15" x14ac:dyDescent="0.25">
      <c r="A18882" s="3">
        <f>18875</f>
        <v>18875</v>
      </c>
      <c r="B18882" s="3" t="s">
        <v>18884</v>
      </c>
      <c r="C18882" s="3" t="s">
        <v>9</v>
      </c>
      <c r="D18882" s="3" t="s">
        <v>10</v>
      </c>
      <c r="E18882" s="3">
        <v>0</v>
      </c>
      <c r="F18882" s="3">
        <v>0</v>
      </c>
      <c r="G18882" s="3">
        <v>0</v>
      </c>
      <c r="H18882" s="3">
        <v>0</v>
      </c>
      <c r="I18882" s="3">
        <v>0</v>
      </c>
      <c r="J18882" s="3">
        <v>0</v>
      </c>
      <c r="K18882" s="3">
        <v>0</v>
      </c>
      <c r="L18882" s="3">
        <v>0</v>
      </c>
      <c r="M18882" s="3">
        <v>0</v>
      </c>
      <c r="N18882" s="3">
        <v>0</v>
      </c>
      <c r="O18882" s="3" t="s">
        <v>10</v>
      </c>
      <c r="P18882" s="3" t="s">
        <v>9</v>
      </c>
      <c r="Q18882" s="3"/>
    </row>
    <row r="18883" spans="1:17" ht="15" x14ac:dyDescent="0.25">
      <c r="A18883" s="3">
        <f>18876</f>
        <v>18876</v>
      </c>
      <c r="B18883" s="3" t="s">
        <v>18885</v>
      </c>
      <c r="C18883" s="3" t="s">
        <v>9</v>
      </c>
      <c r="D18883" s="3" t="s">
        <v>10</v>
      </c>
      <c r="E18883" s="3">
        <v>0</v>
      </c>
      <c r="F18883" s="3">
        <v>0</v>
      </c>
      <c r="G18883" s="3">
        <v>0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3">
        <v>0</v>
      </c>
      <c r="N18883" s="3">
        <v>0</v>
      </c>
      <c r="O18883" s="3" t="s">
        <v>10</v>
      </c>
      <c r="P18883" s="3" t="s">
        <v>9</v>
      </c>
      <c r="Q18883" s="3"/>
    </row>
    <row r="18884" spans="1:17" ht="15" x14ac:dyDescent="0.25">
      <c r="A18884" s="3">
        <f>18877</f>
        <v>18877</v>
      </c>
      <c r="B18884" s="3" t="s">
        <v>18886</v>
      </c>
      <c r="C18884" s="3" t="s">
        <v>9</v>
      </c>
      <c r="D18884" s="3" t="s">
        <v>10</v>
      </c>
      <c r="E18884" s="3">
        <v>0</v>
      </c>
      <c r="F18884" s="3">
        <v>0</v>
      </c>
      <c r="G18884" s="3">
        <v>0</v>
      </c>
      <c r="H18884" s="3">
        <v>0</v>
      </c>
      <c r="I18884" s="3">
        <v>0</v>
      </c>
      <c r="J18884" s="3">
        <v>0</v>
      </c>
      <c r="K18884" s="3">
        <v>0</v>
      </c>
      <c r="L18884" s="3">
        <v>0</v>
      </c>
      <c r="M18884" s="3">
        <v>0</v>
      </c>
      <c r="N18884" s="3">
        <v>0</v>
      </c>
      <c r="O18884" s="3" t="s">
        <v>10</v>
      </c>
      <c r="P18884" s="3" t="s">
        <v>9</v>
      </c>
      <c r="Q18884" s="3"/>
    </row>
    <row r="18885" spans="1:17" ht="15" x14ac:dyDescent="0.25">
      <c r="A18885" s="3">
        <f>18878</f>
        <v>18878</v>
      </c>
      <c r="B18885" s="3" t="s">
        <v>18887</v>
      </c>
      <c r="C18885" s="3" t="s">
        <v>9</v>
      </c>
      <c r="D18885" s="3" t="s">
        <v>10</v>
      </c>
      <c r="E18885" s="3">
        <v>0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  <c r="L18885" s="3">
        <v>0</v>
      </c>
      <c r="M18885" s="3">
        <v>0</v>
      </c>
      <c r="N18885" s="3">
        <v>0</v>
      </c>
      <c r="O18885" s="3" t="s">
        <v>10</v>
      </c>
      <c r="P18885" s="3" t="s">
        <v>9</v>
      </c>
      <c r="Q18885" s="3"/>
    </row>
    <row r="18886" spans="1:17" ht="15" x14ac:dyDescent="0.25">
      <c r="A18886" s="3">
        <f>18879</f>
        <v>18879</v>
      </c>
      <c r="B18886" s="3" t="s">
        <v>18888</v>
      </c>
      <c r="C18886" s="3" t="s">
        <v>9</v>
      </c>
      <c r="D18886" s="3" t="s">
        <v>10</v>
      </c>
      <c r="E18886" s="3">
        <v>0</v>
      </c>
      <c r="F18886" s="3">
        <v>0</v>
      </c>
      <c r="G18886" s="3">
        <v>0</v>
      </c>
      <c r="H18886" s="3">
        <v>0</v>
      </c>
      <c r="I18886" s="3">
        <v>0</v>
      </c>
      <c r="J18886" s="3">
        <v>0</v>
      </c>
      <c r="K18886" s="3">
        <v>0</v>
      </c>
      <c r="L18886" s="3">
        <v>0</v>
      </c>
      <c r="M18886" s="3">
        <v>0</v>
      </c>
      <c r="N18886" s="3">
        <v>0</v>
      </c>
      <c r="O18886" s="3" t="s">
        <v>10</v>
      </c>
      <c r="P18886" s="3" t="s">
        <v>9</v>
      </c>
      <c r="Q18886" s="3"/>
    </row>
    <row r="18887" spans="1:17" ht="15" x14ac:dyDescent="0.25">
      <c r="A18887" s="3">
        <f>18880</f>
        <v>18880</v>
      </c>
      <c r="B18887" s="3" t="s">
        <v>18889</v>
      </c>
      <c r="C18887" s="3" t="s">
        <v>9</v>
      </c>
      <c r="D18887" s="3" t="s">
        <v>10</v>
      </c>
      <c r="E18887" s="3">
        <v>0</v>
      </c>
      <c r="F18887" s="3">
        <v>0</v>
      </c>
      <c r="G18887" s="3">
        <v>0</v>
      </c>
      <c r="H18887" s="3">
        <v>0</v>
      </c>
      <c r="I18887" s="3">
        <v>0</v>
      </c>
      <c r="J18887" s="3">
        <v>0</v>
      </c>
      <c r="K18887" s="3">
        <v>0</v>
      </c>
      <c r="L18887" s="3">
        <v>0</v>
      </c>
      <c r="M18887" s="3">
        <v>0</v>
      </c>
      <c r="N18887" s="3">
        <v>0</v>
      </c>
      <c r="O18887" s="3" t="s">
        <v>10</v>
      </c>
      <c r="P18887" s="3" t="s">
        <v>9</v>
      </c>
      <c r="Q18887" s="3"/>
    </row>
    <row r="18888" spans="1:17" ht="15" x14ac:dyDescent="0.25">
      <c r="A18888" s="3">
        <f>18881</f>
        <v>18881</v>
      </c>
      <c r="B18888" s="3" t="s">
        <v>18890</v>
      </c>
      <c r="C18888" s="3" t="s">
        <v>9</v>
      </c>
      <c r="D18888" s="3" t="s">
        <v>10</v>
      </c>
      <c r="E18888" s="3">
        <v>0</v>
      </c>
      <c r="F18888" s="3">
        <v>0</v>
      </c>
      <c r="G18888" s="3">
        <v>0</v>
      </c>
      <c r="H18888" s="3">
        <v>0</v>
      </c>
      <c r="I18888" s="3">
        <v>0</v>
      </c>
      <c r="J18888" s="3">
        <v>0</v>
      </c>
      <c r="K18888" s="3">
        <v>0</v>
      </c>
      <c r="L18888" s="3">
        <v>0</v>
      </c>
      <c r="M18888" s="3">
        <v>0</v>
      </c>
      <c r="N18888" s="3">
        <v>0</v>
      </c>
      <c r="O18888" s="3" t="s">
        <v>10</v>
      </c>
      <c r="P18888" s="3" t="s">
        <v>9</v>
      </c>
      <c r="Q18888" s="3"/>
    </row>
    <row r="18889" spans="1:17" ht="15" x14ac:dyDescent="0.25">
      <c r="A18889" s="3">
        <f>18882</f>
        <v>18882</v>
      </c>
      <c r="B18889" s="3" t="s">
        <v>18891</v>
      </c>
      <c r="C18889" s="3" t="s">
        <v>9</v>
      </c>
      <c r="D18889" s="3" t="s">
        <v>10</v>
      </c>
      <c r="E18889" s="3">
        <v>0</v>
      </c>
      <c r="F18889" s="3">
        <v>0</v>
      </c>
      <c r="G18889" s="3">
        <v>0</v>
      </c>
      <c r="H18889" s="3">
        <v>0</v>
      </c>
      <c r="I18889" s="3">
        <v>0</v>
      </c>
      <c r="J18889" s="3">
        <v>0</v>
      </c>
      <c r="K18889" s="3">
        <v>0</v>
      </c>
      <c r="L18889" s="3">
        <v>0</v>
      </c>
      <c r="M18889" s="3">
        <v>0</v>
      </c>
      <c r="N18889" s="3">
        <v>0</v>
      </c>
      <c r="O18889" s="3" t="s">
        <v>10</v>
      </c>
      <c r="P18889" s="3" t="s">
        <v>9</v>
      </c>
      <c r="Q18889" s="3"/>
    </row>
    <row r="18890" spans="1:17" ht="15" x14ac:dyDescent="0.25">
      <c r="A18890" s="3">
        <f>18883</f>
        <v>18883</v>
      </c>
      <c r="B18890" s="3" t="s">
        <v>18892</v>
      </c>
      <c r="C18890" s="3" t="s">
        <v>10</v>
      </c>
      <c r="D18890" s="3" t="s">
        <v>9</v>
      </c>
      <c r="E18890" s="3">
        <v>0</v>
      </c>
      <c r="F18890" s="3">
        <v>0</v>
      </c>
      <c r="G18890" s="3">
        <v>0</v>
      </c>
      <c r="H18890" s="3">
        <v>0</v>
      </c>
      <c r="I18890" s="3">
        <v>0</v>
      </c>
      <c r="J18890" s="3">
        <v>0</v>
      </c>
      <c r="K18890" s="3">
        <v>0</v>
      </c>
      <c r="L18890" s="3">
        <v>0</v>
      </c>
      <c r="M18890" s="3">
        <v>0</v>
      </c>
      <c r="N18890" s="3">
        <v>0</v>
      </c>
      <c r="O18890" s="3" t="s">
        <v>10</v>
      </c>
      <c r="P18890" s="3" t="s">
        <v>9</v>
      </c>
      <c r="Q18890" s="3"/>
    </row>
    <row r="18891" spans="1:17" ht="15" x14ac:dyDescent="0.25">
      <c r="A18891" s="3">
        <f>18884</f>
        <v>18884</v>
      </c>
      <c r="B18891" s="3" t="s">
        <v>18893</v>
      </c>
      <c r="C18891" s="3" t="s">
        <v>10</v>
      </c>
      <c r="D18891" s="3" t="s">
        <v>9</v>
      </c>
      <c r="E18891" s="3">
        <v>0</v>
      </c>
      <c r="F18891" s="3">
        <v>0</v>
      </c>
      <c r="G18891" s="3">
        <v>0</v>
      </c>
      <c r="H18891" s="3">
        <v>0</v>
      </c>
      <c r="I18891" s="3">
        <v>0</v>
      </c>
      <c r="J18891" s="3">
        <v>0</v>
      </c>
      <c r="K18891" s="3">
        <v>0</v>
      </c>
      <c r="L18891" s="3">
        <v>0</v>
      </c>
      <c r="M18891" s="3">
        <v>0</v>
      </c>
      <c r="N18891" s="3">
        <v>0</v>
      </c>
      <c r="O18891" s="3" t="s">
        <v>10</v>
      </c>
      <c r="P18891" s="3" t="s">
        <v>9</v>
      </c>
      <c r="Q18891" s="3"/>
    </row>
    <row r="18892" spans="1:17" ht="15" x14ac:dyDescent="0.25">
      <c r="A18892" s="3">
        <f>18885</f>
        <v>18885</v>
      </c>
      <c r="B18892" s="3" t="s">
        <v>18894</v>
      </c>
      <c r="C18892" s="3" t="s">
        <v>10</v>
      </c>
      <c r="D18892" s="3" t="s">
        <v>9</v>
      </c>
      <c r="E18892" s="3">
        <v>0</v>
      </c>
      <c r="F18892" s="3">
        <v>0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s="3">
        <v>0</v>
      </c>
      <c r="O18892" s="3" t="s">
        <v>10</v>
      </c>
      <c r="P18892" s="3" t="s">
        <v>9</v>
      </c>
      <c r="Q18892" s="3"/>
    </row>
    <row r="18893" spans="1:17" ht="15" x14ac:dyDescent="0.25">
      <c r="A18893" s="3">
        <f>18886</f>
        <v>18886</v>
      </c>
      <c r="B18893" s="3" t="s">
        <v>18895</v>
      </c>
      <c r="C18893" s="3" t="s">
        <v>10</v>
      </c>
      <c r="D18893" s="3" t="s">
        <v>9</v>
      </c>
      <c r="E18893" s="3">
        <v>0</v>
      </c>
      <c r="F18893" s="3">
        <v>0</v>
      </c>
      <c r="G18893" s="3">
        <v>0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3">
        <v>0</v>
      </c>
      <c r="N18893" s="3">
        <v>0</v>
      </c>
      <c r="O18893" s="3" t="s">
        <v>10</v>
      </c>
      <c r="P18893" s="3" t="s">
        <v>9</v>
      </c>
      <c r="Q18893" s="3"/>
    </row>
    <row r="18894" spans="1:17" ht="15" x14ac:dyDescent="0.25">
      <c r="A18894" s="3">
        <f>18887</f>
        <v>18887</v>
      </c>
      <c r="B18894" s="3" t="s">
        <v>18896</v>
      </c>
      <c r="C18894" s="3" t="s">
        <v>10</v>
      </c>
      <c r="D18894" s="3" t="s">
        <v>9</v>
      </c>
      <c r="E18894" s="3">
        <v>0</v>
      </c>
      <c r="F18894" s="3">
        <v>0</v>
      </c>
      <c r="G18894" s="3">
        <v>0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3">
        <v>0</v>
      </c>
      <c r="N18894" s="3">
        <v>0</v>
      </c>
      <c r="O18894" s="3" t="s">
        <v>10</v>
      </c>
      <c r="P18894" s="3" t="s">
        <v>9</v>
      </c>
      <c r="Q18894" s="3"/>
    </row>
    <row r="18895" spans="1:17" ht="15" x14ac:dyDescent="0.25">
      <c r="A18895" s="3">
        <f>18888</f>
        <v>18888</v>
      </c>
      <c r="B18895" s="3" t="s">
        <v>18897</v>
      </c>
      <c r="C18895" s="3" t="s">
        <v>10</v>
      </c>
      <c r="D18895" s="3" t="s">
        <v>9</v>
      </c>
      <c r="E18895" s="3">
        <v>0</v>
      </c>
      <c r="F18895" s="3">
        <v>0</v>
      </c>
      <c r="G18895" s="3">
        <v>1</v>
      </c>
      <c r="H18895" s="3">
        <v>0</v>
      </c>
      <c r="I18895" s="3">
        <v>0</v>
      </c>
      <c r="J18895" s="3">
        <v>0</v>
      </c>
      <c r="K18895" s="3">
        <v>0</v>
      </c>
      <c r="L18895" s="3">
        <v>0</v>
      </c>
      <c r="M18895" s="3">
        <v>0</v>
      </c>
      <c r="N18895" s="3">
        <v>0</v>
      </c>
      <c r="O18895" s="3" t="s">
        <v>10</v>
      </c>
      <c r="P18895" s="3" t="s">
        <v>9</v>
      </c>
      <c r="Q18895" s="3"/>
    </row>
    <row r="18896" spans="1:17" ht="15" x14ac:dyDescent="0.25">
      <c r="A18896" s="3">
        <f>18889</f>
        <v>18889</v>
      </c>
      <c r="B18896" s="3" t="s">
        <v>18898</v>
      </c>
      <c r="C18896" s="3" t="s">
        <v>10</v>
      </c>
      <c r="D18896" s="3" t="s">
        <v>9</v>
      </c>
      <c r="E18896" s="3">
        <v>0</v>
      </c>
      <c r="F18896" s="3">
        <v>0</v>
      </c>
      <c r="G18896" s="3">
        <v>1</v>
      </c>
      <c r="H18896" s="3">
        <v>0</v>
      </c>
      <c r="I18896" s="3">
        <v>0</v>
      </c>
      <c r="J18896" s="3">
        <v>1</v>
      </c>
      <c r="K18896" s="3">
        <v>0</v>
      </c>
      <c r="L18896" s="3">
        <v>1</v>
      </c>
      <c r="M18896" s="3">
        <v>0</v>
      </c>
      <c r="N18896" s="3">
        <v>0</v>
      </c>
      <c r="O18896" s="3" t="s">
        <v>10</v>
      </c>
      <c r="P18896" s="3" t="s">
        <v>9</v>
      </c>
      <c r="Q18896" s="3"/>
    </row>
    <row r="18897" spans="1:17" ht="15" x14ac:dyDescent="0.25">
      <c r="A18897" s="3">
        <f>18890</f>
        <v>18890</v>
      </c>
      <c r="B18897" s="3" t="s">
        <v>18899</v>
      </c>
      <c r="C18897" s="3" t="s">
        <v>9</v>
      </c>
      <c r="D18897" s="3" t="s">
        <v>10</v>
      </c>
      <c r="E18897" s="3">
        <v>0</v>
      </c>
      <c r="F18897" s="3">
        <v>0</v>
      </c>
      <c r="G18897" s="3">
        <v>1</v>
      </c>
      <c r="H18897" s="3">
        <v>0</v>
      </c>
      <c r="I18897" s="3">
        <v>0</v>
      </c>
      <c r="J18897" s="3">
        <v>1</v>
      </c>
      <c r="K18897" s="3">
        <v>0</v>
      </c>
      <c r="L18897" s="3">
        <v>1</v>
      </c>
      <c r="M18897" s="3">
        <v>0</v>
      </c>
      <c r="N18897" s="3">
        <v>0</v>
      </c>
      <c r="O18897" s="3" t="s">
        <v>10</v>
      </c>
      <c r="P18897" s="3" t="s">
        <v>9</v>
      </c>
      <c r="Q18897" s="3"/>
    </row>
    <row r="18898" spans="1:17" ht="15" x14ac:dyDescent="0.25">
      <c r="A18898" s="3">
        <f>18891</f>
        <v>18891</v>
      </c>
      <c r="B18898" s="3" t="s">
        <v>18900</v>
      </c>
      <c r="C18898" s="3" t="s">
        <v>9</v>
      </c>
      <c r="D18898" s="3" t="s">
        <v>10</v>
      </c>
      <c r="E18898" s="3">
        <v>0</v>
      </c>
      <c r="F18898" s="3">
        <v>0</v>
      </c>
      <c r="G18898" s="3">
        <v>1</v>
      </c>
      <c r="H18898" s="3">
        <v>0</v>
      </c>
      <c r="I18898" s="3">
        <v>0</v>
      </c>
      <c r="J18898" s="3">
        <v>1</v>
      </c>
      <c r="K18898" s="3">
        <v>0</v>
      </c>
      <c r="L18898" s="3">
        <v>1</v>
      </c>
      <c r="M18898" s="3">
        <v>0</v>
      </c>
      <c r="N18898" s="3">
        <v>0</v>
      </c>
      <c r="O18898" s="3" t="s">
        <v>10</v>
      </c>
      <c r="P18898" s="3" t="s">
        <v>9</v>
      </c>
      <c r="Q18898" s="3"/>
    </row>
    <row r="18899" spans="1:17" ht="15" x14ac:dyDescent="0.25">
      <c r="A18899" s="3">
        <f>18892</f>
        <v>18892</v>
      </c>
      <c r="B18899" s="3" t="s">
        <v>18901</v>
      </c>
      <c r="C18899" s="3" t="s">
        <v>9</v>
      </c>
      <c r="D18899" s="3" t="s">
        <v>10</v>
      </c>
      <c r="E18899" s="3">
        <v>0</v>
      </c>
      <c r="F18899" s="3">
        <v>0</v>
      </c>
      <c r="G18899" s="3">
        <v>1</v>
      </c>
      <c r="H18899" s="3">
        <v>0</v>
      </c>
      <c r="I18899" s="3">
        <v>0</v>
      </c>
      <c r="J18899" s="3">
        <v>1</v>
      </c>
      <c r="K18899" s="3">
        <v>0</v>
      </c>
      <c r="L18899" s="3">
        <v>1</v>
      </c>
      <c r="M18899" s="3">
        <v>0</v>
      </c>
      <c r="N18899" s="3">
        <v>0</v>
      </c>
      <c r="O18899" s="3" t="s">
        <v>10</v>
      </c>
      <c r="P18899" s="3" t="s">
        <v>9</v>
      </c>
      <c r="Q18899" s="3"/>
    </row>
    <row r="18900" spans="1:17" ht="15" x14ac:dyDescent="0.25">
      <c r="A18900" s="3">
        <f>18893</f>
        <v>18893</v>
      </c>
      <c r="B18900" s="3" t="s">
        <v>18902</v>
      </c>
      <c r="C18900" s="3" t="s">
        <v>9</v>
      </c>
      <c r="D18900" s="3" t="s">
        <v>10</v>
      </c>
      <c r="E18900" s="3">
        <v>0</v>
      </c>
      <c r="F18900" s="3">
        <v>0</v>
      </c>
      <c r="G18900" s="3">
        <v>1</v>
      </c>
      <c r="H18900" s="3">
        <v>0</v>
      </c>
      <c r="I18900" s="3">
        <v>0</v>
      </c>
      <c r="J18900" s="3">
        <v>1</v>
      </c>
      <c r="K18900" s="3">
        <v>0</v>
      </c>
      <c r="L18900" s="3">
        <v>1</v>
      </c>
      <c r="M18900" s="3">
        <v>0</v>
      </c>
      <c r="N18900" s="3">
        <v>0</v>
      </c>
      <c r="O18900" s="3" t="s">
        <v>10</v>
      </c>
      <c r="P18900" s="3" t="s">
        <v>9</v>
      </c>
      <c r="Q18900" s="3"/>
    </row>
    <row r="18901" spans="1:17" ht="15" x14ac:dyDescent="0.25">
      <c r="A18901" s="3">
        <f>18894</f>
        <v>18894</v>
      </c>
      <c r="B18901" s="3" t="s">
        <v>18903</v>
      </c>
      <c r="C18901" s="3" t="s">
        <v>9</v>
      </c>
      <c r="D18901" s="3" t="s">
        <v>10</v>
      </c>
      <c r="E18901" s="3">
        <v>0</v>
      </c>
      <c r="F18901" s="3">
        <v>0</v>
      </c>
      <c r="G18901" s="3">
        <v>1</v>
      </c>
      <c r="H18901" s="3">
        <v>0</v>
      </c>
      <c r="I18901" s="3">
        <v>0</v>
      </c>
      <c r="J18901" s="3">
        <v>1</v>
      </c>
      <c r="K18901" s="3">
        <v>0</v>
      </c>
      <c r="L18901" s="3">
        <v>1</v>
      </c>
      <c r="M18901" s="3">
        <v>0</v>
      </c>
      <c r="N18901" s="3">
        <v>0</v>
      </c>
      <c r="O18901" s="3" t="s">
        <v>10</v>
      </c>
      <c r="P18901" s="3" t="s">
        <v>9</v>
      </c>
      <c r="Q18901" s="3"/>
    </row>
    <row r="18902" spans="1:17" ht="15" x14ac:dyDescent="0.25">
      <c r="A18902" s="3">
        <f>18895</f>
        <v>18895</v>
      </c>
      <c r="B18902" s="3" t="s">
        <v>18904</v>
      </c>
      <c r="C18902" s="3" t="s">
        <v>9</v>
      </c>
      <c r="D18902" s="3" t="s">
        <v>10</v>
      </c>
      <c r="E18902" s="3">
        <v>0</v>
      </c>
      <c r="F18902" s="3">
        <v>0</v>
      </c>
      <c r="G18902" s="3">
        <v>1</v>
      </c>
      <c r="H18902" s="3">
        <v>0</v>
      </c>
      <c r="I18902" s="3">
        <v>0</v>
      </c>
      <c r="J18902" s="3">
        <v>1</v>
      </c>
      <c r="K18902" s="3">
        <v>0</v>
      </c>
      <c r="L18902" s="3">
        <v>1</v>
      </c>
      <c r="M18902" s="3">
        <v>0</v>
      </c>
      <c r="N18902" s="3">
        <v>0</v>
      </c>
      <c r="O18902" s="3" t="s">
        <v>10</v>
      </c>
      <c r="P18902" s="3" t="s">
        <v>9</v>
      </c>
      <c r="Q18902" s="3"/>
    </row>
    <row r="18903" spans="1:17" ht="15" x14ac:dyDescent="0.25">
      <c r="A18903" s="3">
        <f>18896</f>
        <v>18896</v>
      </c>
      <c r="B18903" s="3" t="s">
        <v>18905</v>
      </c>
      <c r="C18903" s="3" t="s">
        <v>9</v>
      </c>
      <c r="D18903" s="3" t="s">
        <v>10</v>
      </c>
      <c r="E18903" s="3">
        <v>0</v>
      </c>
      <c r="F18903" s="3">
        <v>0</v>
      </c>
      <c r="G18903" s="3">
        <v>1</v>
      </c>
      <c r="H18903" s="3">
        <v>0</v>
      </c>
      <c r="I18903" s="3">
        <v>0</v>
      </c>
      <c r="J18903" s="3">
        <v>1</v>
      </c>
      <c r="K18903" s="3">
        <v>0</v>
      </c>
      <c r="L18903" s="3">
        <v>1</v>
      </c>
      <c r="M18903" s="3">
        <v>0</v>
      </c>
      <c r="N18903" s="3">
        <v>0</v>
      </c>
      <c r="O18903" s="3" t="s">
        <v>10</v>
      </c>
      <c r="P18903" s="3" t="s">
        <v>9</v>
      </c>
      <c r="Q18903" s="3"/>
    </row>
    <row r="18904" spans="1:17" ht="15" x14ac:dyDescent="0.25">
      <c r="A18904" s="3">
        <f>18897</f>
        <v>18897</v>
      </c>
      <c r="B18904" s="3" t="s">
        <v>18906</v>
      </c>
      <c r="C18904" s="3" t="s">
        <v>9</v>
      </c>
      <c r="D18904" s="3" t="s">
        <v>10</v>
      </c>
      <c r="E18904" s="3">
        <v>0</v>
      </c>
      <c r="F18904" s="3">
        <v>0</v>
      </c>
      <c r="G18904" s="3">
        <v>1</v>
      </c>
      <c r="H18904" s="3">
        <v>0</v>
      </c>
      <c r="I18904" s="3">
        <v>0</v>
      </c>
      <c r="J18904" s="3">
        <v>1</v>
      </c>
      <c r="K18904" s="3">
        <v>0</v>
      </c>
      <c r="L18904" s="3">
        <v>0</v>
      </c>
      <c r="M18904" s="3">
        <v>0</v>
      </c>
      <c r="N18904" s="3">
        <v>0</v>
      </c>
      <c r="O18904" s="3" t="s">
        <v>10</v>
      </c>
      <c r="P18904" s="3" t="s">
        <v>9</v>
      </c>
      <c r="Q18904" s="3"/>
    </row>
    <row r="18905" spans="1:17" ht="15" x14ac:dyDescent="0.25">
      <c r="A18905" s="3">
        <f>18898</f>
        <v>18898</v>
      </c>
      <c r="B18905" s="3" t="s">
        <v>18907</v>
      </c>
      <c r="C18905" s="3" t="s">
        <v>9</v>
      </c>
      <c r="D18905" s="3" t="s">
        <v>10</v>
      </c>
      <c r="E18905" s="3">
        <v>0</v>
      </c>
      <c r="F18905" s="3">
        <v>0</v>
      </c>
      <c r="G18905" s="3">
        <v>1</v>
      </c>
      <c r="H18905" s="3">
        <v>0</v>
      </c>
      <c r="I18905" s="3">
        <v>0</v>
      </c>
      <c r="J18905" s="3">
        <v>1</v>
      </c>
      <c r="K18905" s="3">
        <v>0</v>
      </c>
      <c r="L18905" s="3">
        <v>0</v>
      </c>
      <c r="M18905" s="3">
        <v>0</v>
      </c>
      <c r="N18905" s="3">
        <v>0</v>
      </c>
      <c r="O18905" s="3" t="s">
        <v>10</v>
      </c>
      <c r="P18905" s="3" t="s">
        <v>9</v>
      </c>
      <c r="Q18905" s="3"/>
    </row>
    <row r="18906" spans="1:17" ht="15" x14ac:dyDescent="0.25">
      <c r="A18906" s="3">
        <f>18899</f>
        <v>18899</v>
      </c>
      <c r="B18906" s="3" t="s">
        <v>18908</v>
      </c>
      <c r="C18906" s="3" t="s">
        <v>9</v>
      </c>
      <c r="D18906" s="3" t="s">
        <v>10</v>
      </c>
      <c r="E18906" s="3">
        <v>0</v>
      </c>
      <c r="F18906" s="3">
        <v>0</v>
      </c>
      <c r="G18906" s="3">
        <v>1</v>
      </c>
      <c r="H18906" s="3">
        <v>0</v>
      </c>
      <c r="I18906" s="3">
        <v>0</v>
      </c>
      <c r="J18906" s="3">
        <v>1</v>
      </c>
      <c r="K18906" s="3">
        <v>0</v>
      </c>
      <c r="L18906" s="3">
        <v>0</v>
      </c>
      <c r="M18906" s="3">
        <v>0</v>
      </c>
      <c r="N18906" s="3">
        <v>0</v>
      </c>
      <c r="O18906" s="3" t="s">
        <v>10</v>
      </c>
      <c r="P18906" s="3" t="s">
        <v>9</v>
      </c>
      <c r="Q18906" s="3"/>
    </row>
    <row r="18907" spans="1:17" ht="15" x14ac:dyDescent="0.25">
      <c r="A18907" s="3">
        <f>18900</f>
        <v>18900</v>
      </c>
      <c r="B18907" s="3" t="s">
        <v>18909</v>
      </c>
      <c r="C18907" s="3" t="s">
        <v>9</v>
      </c>
      <c r="D18907" s="3" t="s">
        <v>10</v>
      </c>
      <c r="E18907" s="3">
        <v>0</v>
      </c>
      <c r="F18907" s="3">
        <v>0</v>
      </c>
      <c r="G18907" s="3">
        <v>1</v>
      </c>
      <c r="H18907" s="3">
        <v>0</v>
      </c>
      <c r="I18907" s="3">
        <v>0</v>
      </c>
      <c r="J18907" s="3">
        <v>1</v>
      </c>
      <c r="K18907" s="3">
        <v>0</v>
      </c>
      <c r="L18907" s="3">
        <v>0</v>
      </c>
      <c r="M18907" s="3">
        <v>0</v>
      </c>
      <c r="N18907" s="3">
        <v>0</v>
      </c>
      <c r="O18907" s="3" t="s">
        <v>10</v>
      </c>
      <c r="P18907" s="3" t="s">
        <v>9</v>
      </c>
      <c r="Q18907" s="3"/>
    </row>
    <row r="18908" spans="1:17" ht="15" x14ac:dyDescent="0.25">
      <c r="A18908" s="3">
        <f>18901</f>
        <v>18901</v>
      </c>
      <c r="B18908" s="3" t="s">
        <v>18910</v>
      </c>
      <c r="C18908" s="3" t="s">
        <v>9</v>
      </c>
      <c r="D18908" s="3" t="s">
        <v>10</v>
      </c>
      <c r="E18908" s="3">
        <v>0</v>
      </c>
      <c r="F18908" s="3">
        <v>0</v>
      </c>
      <c r="G18908" s="3">
        <v>1</v>
      </c>
      <c r="H18908" s="3">
        <v>0</v>
      </c>
      <c r="I18908" s="3">
        <v>0</v>
      </c>
      <c r="J18908" s="3">
        <v>1</v>
      </c>
      <c r="K18908" s="3">
        <v>0</v>
      </c>
      <c r="L18908" s="3">
        <v>0</v>
      </c>
      <c r="M18908" s="3">
        <v>0</v>
      </c>
      <c r="N18908" s="3">
        <v>0</v>
      </c>
      <c r="O18908" s="3" t="s">
        <v>10</v>
      </c>
      <c r="P18908" s="3" t="s">
        <v>9</v>
      </c>
      <c r="Q18908" s="3"/>
    </row>
    <row r="18909" spans="1:17" ht="15" x14ac:dyDescent="0.25">
      <c r="A18909" s="3">
        <f>18902</f>
        <v>18902</v>
      </c>
      <c r="B18909" s="3" t="s">
        <v>18911</v>
      </c>
      <c r="C18909" s="3" t="s">
        <v>9</v>
      </c>
      <c r="D18909" s="3" t="s">
        <v>10</v>
      </c>
      <c r="E18909" s="3">
        <v>0</v>
      </c>
      <c r="F18909" s="3">
        <v>0</v>
      </c>
      <c r="G18909" s="3">
        <v>1</v>
      </c>
      <c r="H18909" s="3">
        <v>0</v>
      </c>
      <c r="I18909" s="3">
        <v>0</v>
      </c>
      <c r="J18909" s="3">
        <v>1</v>
      </c>
      <c r="K18909" s="3">
        <v>0</v>
      </c>
      <c r="L18909" s="3">
        <v>0</v>
      </c>
      <c r="M18909" s="3">
        <v>0</v>
      </c>
      <c r="N18909" s="3">
        <v>0</v>
      </c>
      <c r="O18909" s="3" t="s">
        <v>10</v>
      </c>
      <c r="P18909" s="3" t="s">
        <v>9</v>
      </c>
      <c r="Q18909" s="3"/>
    </row>
    <row r="18910" spans="1:17" ht="15" x14ac:dyDescent="0.25">
      <c r="A18910" s="3">
        <f>18903</f>
        <v>18903</v>
      </c>
      <c r="B18910" s="3" t="s">
        <v>18912</v>
      </c>
      <c r="C18910" s="3" t="s">
        <v>9</v>
      </c>
      <c r="D18910" s="3" t="s">
        <v>10</v>
      </c>
      <c r="E18910" s="3">
        <v>0</v>
      </c>
      <c r="F18910" s="3">
        <v>0</v>
      </c>
      <c r="G18910" s="3">
        <v>1</v>
      </c>
      <c r="H18910" s="3">
        <v>0</v>
      </c>
      <c r="I18910" s="3">
        <v>0</v>
      </c>
      <c r="J18910" s="3">
        <v>1</v>
      </c>
      <c r="K18910" s="3">
        <v>0</v>
      </c>
      <c r="L18910" s="3">
        <v>0</v>
      </c>
      <c r="M18910" s="3">
        <v>0</v>
      </c>
      <c r="N18910" s="3">
        <v>0</v>
      </c>
      <c r="O18910" s="3" t="s">
        <v>10</v>
      </c>
      <c r="P18910" s="3" t="s">
        <v>9</v>
      </c>
      <c r="Q18910" s="3"/>
    </row>
    <row r="18911" spans="1:17" ht="15" x14ac:dyDescent="0.25">
      <c r="A18911" s="3">
        <f>18904</f>
        <v>18904</v>
      </c>
      <c r="B18911" s="3" t="s">
        <v>18913</v>
      </c>
      <c r="C18911" s="3" t="s">
        <v>9</v>
      </c>
      <c r="D18911" s="3" t="s">
        <v>10</v>
      </c>
      <c r="E18911" s="3">
        <v>0</v>
      </c>
      <c r="F18911" s="3">
        <v>0</v>
      </c>
      <c r="G18911" s="3">
        <v>1</v>
      </c>
      <c r="H18911" s="3">
        <v>0</v>
      </c>
      <c r="I18911" s="3">
        <v>0</v>
      </c>
      <c r="J18911" s="3">
        <v>1</v>
      </c>
      <c r="K18911" s="3">
        <v>0</v>
      </c>
      <c r="L18911" s="3">
        <v>0</v>
      </c>
      <c r="M18911" s="3">
        <v>0</v>
      </c>
      <c r="N18911" s="3">
        <v>0</v>
      </c>
      <c r="O18911" s="3" t="s">
        <v>10</v>
      </c>
      <c r="P18911" s="3" t="s">
        <v>9</v>
      </c>
      <c r="Q18911" s="3"/>
    </row>
    <row r="18912" spans="1:17" ht="15" x14ac:dyDescent="0.25">
      <c r="A18912" s="3">
        <f>18905</f>
        <v>18905</v>
      </c>
      <c r="B18912" s="3" t="s">
        <v>18914</v>
      </c>
      <c r="C18912" s="3" t="s">
        <v>9</v>
      </c>
      <c r="D18912" s="3" t="s">
        <v>10</v>
      </c>
      <c r="E18912" s="3">
        <v>0</v>
      </c>
      <c r="F18912" s="3">
        <v>0</v>
      </c>
      <c r="G18912" s="3">
        <v>1</v>
      </c>
      <c r="H18912" s="3">
        <v>0</v>
      </c>
      <c r="I18912" s="3">
        <v>0</v>
      </c>
      <c r="J18912" s="3">
        <v>1</v>
      </c>
      <c r="K18912" s="3">
        <v>0</v>
      </c>
      <c r="L18912" s="3">
        <v>0</v>
      </c>
      <c r="M18912" s="3">
        <v>0</v>
      </c>
      <c r="N18912" s="3">
        <v>0</v>
      </c>
      <c r="O18912" s="3" t="s">
        <v>10</v>
      </c>
      <c r="P18912" s="3" t="s">
        <v>9</v>
      </c>
      <c r="Q18912" s="3"/>
    </row>
    <row r="18913" spans="1:17" ht="15" x14ac:dyDescent="0.25">
      <c r="A18913" s="3">
        <f>18906</f>
        <v>18906</v>
      </c>
      <c r="B18913" s="3" t="s">
        <v>18915</v>
      </c>
      <c r="C18913" s="3" t="s">
        <v>9</v>
      </c>
      <c r="D18913" s="3" t="s">
        <v>10</v>
      </c>
      <c r="E18913" s="3">
        <v>0</v>
      </c>
      <c r="F18913" s="3">
        <v>0</v>
      </c>
      <c r="G18913" s="3">
        <v>1</v>
      </c>
      <c r="H18913" s="3">
        <v>0</v>
      </c>
      <c r="I18913" s="3">
        <v>0</v>
      </c>
      <c r="J18913" s="3">
        <v>1</v>
      </c>
      <c r="K18913" s="3">
        <v>0</v>
      </c>
      <c r="L18913" s="3">
        <v>0</v>
      </c>
      <c r="M18913" s="3">
        <v>0</v>
      </c>
      <c r="N18913" s="3">
        <v>0</v>
      </c>
      <c r="O18913" s="3" t="s">
        <v>10</v>
      </c>
      <c r="P18913" s="3" t="s">
        <v>9</v>
      </c>
      <c r="Q18913" s="3"/>
    </row>
    <row r="18914" spans="1:17" ht="15" x14ac:dyDescent="0.25">
      <c r="A18914" s="3">
        <f>18907</f>
        <v>18907</v>
      </c>
      <c r="B18914" s="3" t="s">
        <v>18916</v>
      </c>
      <c r="C18914" s="3" t="s">
        <v>9</v>
      </c>
      <c r="D18914" s="3" t="s">
        <v>10</v>
      </c>
      <c r="E18914" s="3">
        <v>0</v>
      </c>
      <c r="F18914" s="3">
        <v>0</v>
      </c>
      <c r="G18914" s="3">
        <v>1</v>
      </c>
      <c r="H18914" s="3">
        <v>0</v>
      </c>
      <c r="I18914" s="3">
        <v>0</v>
      </c>
      <c r="J18914" s="3">
        <v>1</v>
      </c>
      <c r="K18914" s="3">
        <v>0</v>
      </c>
      <c r="L18914" s="3">
        <v>0</v>
      </c>
      <c r="M18914" s="3">
        <v>0</v>
      </c>
      <c r="N18914" s="3">
        <v>0</v>
      </c>
      <c r="O18914" s="3" t="s">
        <v>10</v>
      </c>
      <c r="P18914" s="3" t="s">
        <v>9</v>
      </c>
      <c r="Q18914" s="3"/>
    </row>
    <row r="18915" spans="1:17" ht="15" x14ac:dyDescent="0.25">
      <c r="A18915" s="3">
        <f>18908</f>
        <v>18908</v>
      </c>
      <c r="B18915" s="3" t="s">
        <v>18917</v>
      </c>
      <c r="C18915" s="3" t="s">
        <v>9</v>
      </c>
      <c r="D18915" s="3" t="s">
        <v>10</v>
      </c>
      <c r="E18915" s="3">
        <v>0</v>
      </c>
      <c r="F18915" s="3">
        <v>0</v>
      </c>
      <c r="G18915" s="3">
        <v>1</v>
      </c>
      <c r="H18915" s="3">
        <v>0</v>
      </c>
      <c r="I18915" s="3">
        <v>0</v>
      </c>
      <c r="J18915" s="3">
        <v>1</v>
      </c>
      <c r="K18915" s="3">
        <v>0</v>
      </c>
      <c r="L18915" s="3">
        <v>0</v>
      </c>
      <c r="M18915" s="3">
        <v>0</v>
      </c>
      <c r="N18915" s="3">
        <v>0</v>
      </c>
      <c r="O18915" s="3" t="s">
        <v>10</v>
      </c>
      <c r="P18915" s="3" t="s">
        <v>9</v>
      </c>
      <c r="Q18915" s="3"/>
    </row>
    <row r="18916" spans="1:17" ht="15" x14ac:dyDescent="0.25">
      <c r="A18916" s="3">
        <f>18909</f>
        <v>18909</v>
      </c>
      <c r="B18916" s="3" t="s">
        <v>18918</v>
      </c>
      <c r="C18916" s="3" t="s">
        <v>9</v>
      </c>
      <c r="D18916" s="3" t="s">
        <v>10</v>
      </c>
      <c r="E18916" s="3">
        <v>0</v>
      </c>
      <c r="F18916" s="3">
        <v>0</v>
      </c>
      <c r="G18916" s="3">
        <v>1</v>
      </c>
      <c r="H18916" s="3">
        <v>0</v>
      </c>
      <c r="I18916" s="3">
        <v>0</v>
      </c>
      <c r="J18916" s="3">
        <v>1</v>
      </c>
      <c r="K18916" s="3">
        <v>0</v>
      </c>
      <c r="L18916" s="3">
        <v>0</v>
      </c>
      <c r="M18916" s="3">
        <v>0</v>
      </c>
      <c r="N18916" s="3">
        <v>0</v>
      </c>
      <c r="O18916" s="3" t="s">
        <v>10</v>
      </c>
      <c r="P18916" s="3" t="s">
        <v>9</v>
      </c>
      <c r="Q18916" s="3"/>
    </row>
    <row r="18917" spans="1:17" ht="15" x14ac:dyDescent="0.25">
      <c r="A18917" s="3">
        <f>18910</f>
        <v>18910</v>
      </c>
      <c r="B18917" s="3" t="s">
        <v>18919</v>
      </c>
      <c r="C18917" s="3" t="s">
        <v>9</v>
      </c>
      <c r="D18917" s="3" t="s">
        <v>10</v>
      </c>
      <c r="E18917" s="3">
        <v>0</v>
      </c>
      <c r="F18917" s="3">
        <v>0</v>
      </c>
      <c r="G18917" s="3">
        <v>1</v>
      </c>
      <c r="H18917" s="3">
        <v>0</v>
      </c>
      <c r="I18917" s="3">
        <v>0</v>
      </c>
      <c r="J18917" s="3">
        <v>1</v>
      </c>
      <c r="K18917" s="3">
        <v>0</v>
      </c>
      <c r="L18917" s="3">
        <v>0</v>
      </c>
      <c r="M18917" s="3">
        <v>0</v>
      </c>
      <c r="N18917" s="3">
        <v>0</v>
      </c>
      <c r="O18917" s="3" t="s">
        <v>10</v>
      </c>
      <c r="P18917" s="3" t="s">
        <v>9</v>
      </c>
      <c r="Q18917" s="3"/>
    </row>
    <row r="18918" spans="1:17" ht="15" x14ac:dyDescent="0.25">
      <c r="A18918" s="3">
        <f>18911</f>
        <v>18911</v>
      </c>
      <c r="B18918" s="3" t="s">
        <v>18920</v>
      </c>
      <c r="C18918" s="3" t="s">
        <v>9</v>
      </c>
      <c r="D18918" s="3" t="s">
        <v>10</v>
      </c>
      <c r="E18918" s="3">
        <v>0</v>
      </c>
      <c r="F18918" s="3">
        <v>0</v>
      </c>
      <c r="G18918" s="3">
        <v>1</v>
      </c>
      <c r="H18918" s="3">
        <v>0</v>
      </c>
      <c r="I18918" s="3">
        <v>0</v>
      </c>
      <c r="J18918" s="3">
        <v>1</v>
      </c>
      <c r="K18918" s="3">
        <v>0</v>
      </c>
      <c r="L18918" s="3">
        <v>0</v>
      </c>
      <c r="M18918" s="3">
        <v>0</v>
      </c>
      <c r="N18918" s="3">
        <v>0</v>
      </c>
      <c r="O18918" s="3" t="s">
        <v>10</v>
      </c>
      <c r="P18918" s="3" t="s">
        <v>9</v>
      </c>
      <c r="Q18918" s="3"/>
    </row>
    <row r="18919" spans="1:17" ht="15" x14ac:dyDescent="0.25">
      <c r="A18919" s="3">
        <f>18912</f>
        <v>18912</v>
      </c>
      <c r="B18919" s="3" t="s">
        <v>18921</v>
      </c>
      <c r="C18919" s="3" t="s">
        <v>9</v>
      </c>
      <c r="D18919" s="3" t="s">
        <v>10</v>
      </c>
      <c r="E18919" s="3">
        <v>0</v>
      </c>
      <c r="F18919" s="3">
        <v>0</v>
      </c>
      <c r="G18919" s="3">
        <v>1</v>
      </c>
      <c r="H18919" s="3">
        <v>0</v>
      </c>
      <c r="I18919" s="3">
        <v>0</v>
      </c>
      <c r="J18919" s="3">
        <v>1</v>
      </c>
      <c r="K18919" s="3">
        <v>0</v>
      </c>
      <c r="L18919" s="3">
        <v>0</v>
      </c>
      <c r="M18919" s="3">
        <v>0</v>
      </c>
      <c r="N18919" s="3">
        <v>0</v>
      </c>
      <c r="O18919" s="3" t="s">
        <v>10</v>
      </c>
      <c r="P18919" s="3" t="s">
        <v>9</v>
      </c>
      <c r="Q18919" s="3"/>
    </row>
    <row r="18920" spans="1:17" ht="15" x14ac:dyDescent="0.25">
      <c r="A18920" s="3">
        <f>18913</f>
        <v>18913</v>
      </c>
      <c r="B18920" s="3" t="s">
        <v>18922</v>
      </c>
      <c r="C18920" s="3" t="s">
        <v>9</v>
      </c>
      <c r="D18920" s="3" t="s">
        <v>10</v>
      </c>
      <c r="E18920" s="3">
        <v>0</v>
      </c>
      <c r="F18920" s="3">
        <v>0</v>
      </c>
      <c r="G18920" s="3">
        <v>1</v>
      </c>
      <c r="H18920" s="3">
        <v>0</v>
      </c>
      <c r="I18920" s="3">
        <v>0</v>
      </c>
      <c r="J18920" s="3">
        <v>1</v>
      </c>
      <c r="K18920" s="3">
        <v>0</v>
      </c>
      <c r="L18920" s="3">
        <v>0</v>
      </c>
      <c r="M18920" s="3">
        <v>0</v>
      </c>
      <c r="N18920" s="3">
        <v>0</v>
      </c>
      <c r="O18920" s="3" t="s">
        <v>10</v>
      </c>
      <c r="P18920" s="3" t="s">
        <v>9</v>
      </c>
      <c r="Q18920" s="3"/>
    </row>
    <row r="18921" spans="1:17" ht="15" x14ac:dyDescent="0.25">
      <c r="A18921" s="3">
        <f>18914</f>
        <v>18914</v>
      </c>
      <c r="B18921" s="3" t="s">
        <v>18923</v>
      </c>
      <c r="C18921" s="3" t="s">
        <v>9</v>
      </c>
      <c r="D18921" s="3" t="s">
        <v>10</v>
      </c>
      <c r="E18921" s="3">
        <v>0</v>
      </c>
      <c r="F18921" s="3">
        <v>0</v>
      </c>
      <c r="G18921" s="3">
        <v>1</v>
      </c>
      <c r="H18921" s="3">
        <v>0</v>
      </c>
      <c r="I18921" s="3">
        <v>0</v>
      </c>
      <c r="J18921" s="3">
        <v>1</v>
      </c>
      <c r="K18921" s="3">
        <v>0</v>
      </c>
      <c r="L18921" s="3">
        <v>0</v>
      </c>
      <c r="M18921" s="3">
        <v>0</v>
      </c>
      <c r="N18921" s="3">
        <v>0</v>
      </c>
      <c r="O18921" s="3" t="s">
        <v>10</v>
      </c>
      <c r="P18921" s="3" t="s">
        <v>9</v>
      </c>
      <c r="Q18921" s="3"/>
    </row>
    <row r="18922" spans="1:17" ht="15" x14ac:dyDescent="0.25">
      <c r="A18922" s="3">
        <f>18915</f>
        <v>18915</v>
      </c>
      <c r="B18922" s="3" t="s">
        <v>18924</v>
      </c>
      <c r="C18922" s="3" t="s">
        <v>9</v>
      </c>
      <c r="D18922" s="3" t="s">
        <v>10</v>
      </c>
      <c r="E18922" s="3">
        <v>0</v>
      </c>
      <c r="F18922" s="3">
        <v>0</v>
      </c>
      <c r="G18922" s="3">
        <v>1</v>
      </c>
      <c r="H18922" s="3">
        <v>0</v>
      </c>
      <c r="I18922" s="3">
        <v>0</v>
      </c>
      <c r="J18922" s="3">
        <v>1</v>
      </c>
      <c r="K18922" s="3">
        <v>0</v>
      </c>
      <c r="L18922" s="3">
        <v>0</v>
      </c>
      <c r="M18922" s="3">
        <v>0</v>
      </c>
      <c r="N18922" s="3">
        <v>0</v>
      </c>
      <c r="O18922" s="3" t="s">
        <v>10</v>
      </c>
      <c r="P18922" s="3" t="s">
        <v>9</v>
      </c>
      <c r="Q18922" s="3"/>
    </row>
    <row r="18923" spans="1:17" ht="15" x14ac:dyDescent="0.25">
      <c r="A18923" s="3">
        <f>18916</f>
        <v>18916</v>
      </c>
      <c r="B18923" s="3" t="s">
        <v>18925</v>
      </c>
      <c r="C18923" s="3" t="s">
        <v>9</v>
      </c>
      <c r="D18923" s="3" t="s">
        <v>10</v>
      </c>
      <c r="E18923" s="3">
        <v>0</v>
      </c>
      <c r="F18923" s="3">
        <v>0</v>
      </c>
      <c r="G18923" s="3">
        <v>1</v>
      </c>
      <c r="H18923" s="3">
        <v>0</v>
      </c>
      <c r="I18923" s="3">
        <v>0</v>
      </c>
      <c r="J18923" s="3">
        <v>1</v>
      </c>
      <c r="K18923" s="3">
        <v>0</v>
      </c>
      <c r="L18923" s="3">
        <v>0</v>
      </c>
      <c r="M18923" s="3">
        <v>0</v>
      </c>
      <c r="N18923" s="3">
        <v>0</v>
      </c>
      <c r="O18923" s="3" t="s">
        <v>10</v>
      </c>
      <c r="P18923" s="3" t="s">
        <v>9</v>
      </c>
      <c r="Q18923" s="3"/>
    </row>
    <row r="18924" spans="1:17" ht="15" x14ac:dyDescent="0.25">
      <c r="A18924" s="3">
        <f>18917</f>
        <v>18917</v>
      </c>
      <c r="B18924" s="3" t="s">
        <v>18926</v>
      </c>
      <c r="C18924" s="3" t="s">
        <v>9</v>
      </c>
      <c r="D18924" s="3" t="s">
        <v>10</v>
      </c>
      <c r="E18924" s="3">
        <v>0</v>
      </c>
      <c r="F18924" s="3">
        <v>0</v>
      </c>
      <c r="G18924" s="3">
        <v>1</v>
      </c>
      <c r="H18924" s="3">
        <v>0</v>
      </c>
      <c r="I18924" s="3">
        <v>0</v>
      </c>
      <c r="J18924" s="3">
        <v>1</v>
      </c>
      <c r="K18924" s="3">
        <v>0</v>
      </c>
      <c r="L18924" s="3">
        <v>0</v>
      </c>
      <c r="M18924" s="3">
        <v>0</v>
      </c>
      <c r="N18924" s="3">
        <v>0</v>
      </c>
      <c r="O18924" s="3" t="s">
        <v>10</v>
      </c>
      <c r="P18924" s="3" t="s">
        <v>9</v>
      </c>
      <c r="Q18924" s="3"/>
    </row>
    <row r="18925" spans="1:17" ht="15" x14ac:dyDescent="0.25">
      <c r="A18925" s="3">
        <f>18918</f>
        <v>18918</v>
      </c>
      <c r="B18925" s="3" t="s">
        <v>18927</v>
      </c>
      <c r="C18925" s="3" t="s">
        <v>9</v>
      </c>
      <c r="D18925" s="3" t="s">
        <v>10</v>
      </c>
      <c r="E18925" s="3">
        <v>0</v>
      </c>
      <c r="F18925" s="3">
        <v>0</v>
      </c>
      <c r="G18925" s="3">
        <v>1</v>
      </c>
      <c r="H18925" s="3">
        <v>0</v>
      </c>
      <c r="I18925" s="3">
        <v>0</v>
      </c>
      <c r="J18925" s="3">
        <v>1</v>
      </c>
      <c r="K18925" s="3">
        <v>0</v>
      </c>
      <c r="L18925" s="3">
        <v>0</v>
      </c>
      <c r="M18925" s="3">
        <v>0</v>
      </c>
      <c r="N18925" s="3">
        <v>0</v>
      </c>
      <c r="O18925" s="3" t="s">
        <v>10</v>
      </c>
      <c r="P18925" s="3" t="s">
        <v>9</v>
      </c>
      <c r="Q18925" s="3"/>
    </row>
    <row r="18926" spans="1:17" ht="15" x14ac:dyDescent="0.25">
      <c r="A18926" s="3">
        <f>18919</f>
        <v>18919</v>
      </c>
      <c r="B18926" s="3" t="s">
        <v>18928</v>
      </c>
      <c r="C18926" s="3" t="s">
        <v>9</v>
      </c>
      <c r="D18926" s="3" t="s">
        <v>10</v>
      </c>
      <c r="E18926" s="3">
        <v>0</v>
      </c>
      <c r="F18926" s="3">
        <v>0</v>
      </c>
      <c r="G18926" s="3">
        <v>1</v>
      </c>
      <c r="H18926" s="3">
        <v>0</v>
      </c>
      <c r="I18926" s="3">
        <v>0</v>
      </c>
      <c r="J18926" s="3">
        <v>1</v>
      </c>
      <c r="K18926" s="3">
        <v>0</v>
      </c>
      <c r="L18926" s="3">
        <v>0</v>
      </c>
      <c r="M18926" s="3">
        <v>0</v>
      </c>
      <c r="N18926" s="3">
        <v>0</v>
      </c>
      <c r="O18926" s="3" t="s">
        <v>10</v>
      </c>
      <c r="P18926" s="3" t="s">
        <v>9</v>
      </c>
      <c r="Q18926" s="3"/>
    </row>
    <row r="18927" spans="1:17" ht="15" x14ac:dyDescent="0.25">
      <c r="A18927" s="3">
        <f>18920</f>
        <v>18920</v>
      </c>
      <c r="B18927" s="3" t="s">
        <v>18929</v>
      </c>
      <c r="C18927" s="3" t="s">
        <v>9</v>
      </c>
      <c r="D18927" s="3" t="s">
        <v>10</v>
      </c>
      <c r="E18927" s="3">
        <v>0</v>
      </c>
      <c r="F18927" s="3">
        <v>0</v>
      </c>
      <c r="G18927" s="3">
        <v>1</v>
      </c>
      <c r="H18927" s="3">
        <v>0</v>
      </c>
      <c r="I18927" s="3">
        <v>0</v>
      </c>
      <c r="J18927" s="3">
        <v>1</v>
      </c>
      <c r="K18927" s="3">
        <v>0</v>
      </c>
      <c r="L18927" s="3">
        <v>0</v>
      </c>
      <c r="M18927" s="3">
        <v>0</v>
      </c>
      <c r="N18927" s="3">
        <v>0</v>
      </c>
      <c r="O18927" s="3" t="s">
        <v>10</v>
      </c>
      <c r="P18927" s="3" t="s">
        <v>9</v>
      </c>
      <c r="Q18927" s="3"/>
    </row>
    <row r="18928" spans="1:17" ht="15" x14ac:dyDescent="0.25">
      <c r="A18928" s="3">
        <f>18921</f>
        <v>18921</v>
      </c>
      <c r="B18928" s="3" t="s">
        <v>18930</v>
      </c>
      <c r="C18928" s="3" t="s">
        <v>9</v>
      </c>
      <c r="D18928" s="3" t="s">
        <v>10</v>
      </c>
      <c r="E18928" s="3">
        <v>0</v>
      </c>
      <c r="F18928" s="3">
        <v>0</v>
      </c>
      <c r="G18928" s="3">
        <v>1</v>
      </c>
      <c r="H18928" s="3">
        <v>0</v>
      </c>
      <c r="I18928" s="3">
        <v>0</v>
      </c>
      <c r="J18928" s="3">
        <v>1</v>
      </c>
      <c r="K18928" s="3">
        <v>0</v>
      </c>
      <c r="L18928" s="3">
        <v>0</v>
      </c>
      <c r="M18928" s="3">
        <v>0</v>
      </c>
      <c r="N18928" s="3">
        <v>0</v>
      </c>
      <c r="O18928" s="3" t="s">
        <v>10</v>
      </c>
      <c r="P18928" s="3" t="s">
        <v>9</v>
      </c>
      <c r="Q18928" s="3"/>
    </row>
    <row r="18929" spans="1:17" ht="15" x14ac:dyDescent="0.25">
      <c r="A18929" s="3">
        <f>18922</f>
        <v>18922</v>
      </c>
      <c r="B18929" s="3" t="s">
        <v>18931</v>
      </c>
      <c r="C18929" s="3" t="s">
        <v>9</v>
      </c>
      <c r="D18929" s="3" t="s">
        <v>10</v>
      </c>
      <c r="E18929" s="3">
        <v>0</v>
      </c>
      <c r="F18929" s="3">
        <v>0</v>
      </c>
      <c r="G18929" s="3">
        <v>1</v>
      </c>
      <c r="H18929" s="3">
        <v>0</v>
      </c>
      <c r="I18929" s="3">
        <v>0</v>
      </c>
      <c r="J18929" s="3">
        <v>1</v>
      </c>
      <c r="K18929" s="3">
        <v>0</v>
      </c>
      <c r="L18929" s="3">
        <v>0</v>
      </c>
      <c r="M18929" s="3">
        <v>0</v>
      </c>
      <c r="N18929" s="3">
        <v>0</v>
      </c>
      <c r="O18929" s="3" t="s">
        <v>10</v>
      </c>
      <c r="P18929" s="3" t="s">
        <v>9</v>
      </c>
      <c r="Q18929" s="3"/>
    </row>
    <row r="18930" spans="1:17" ht="15" x14ac:dyDescent="0.25">
      <c r="A18930" s="3">
        <f>18923</f>
        <v>18923</v>
      </c>
      <c r="B18930" s="3" t="s">
        <v>18932</v>
      </c>
      <c r="C18930" s="3" t="s">
        <v>9</v>
      </c>
      <c r="D18930" s="3" t="s">
        <v>10</v>
      </c>
      <c r="E18930" s="3">
        <v>0</v>
      </c>
      <c r="F18930" s="3">
        <v>0</v>
      </c>
      <c r="G18930" s="3">
        <v>1</v>
      </c>
      <c r="H18930" s="3">
        <v>0</v>
      </c>
      <c r="I18930" s="3">
        <v>0</v>
      </c>
      <c r="J18930" s="3">
        <v>1</v>
      </c>
      <c r="K18930" s="3">
        <v>0</v>
      </c>
      <c r="L18930" s="3">
        <v>0</v>
      </c>
      <c r="M18930" s="3">
        <v>0</v>
      </c>
      <c r="N18930" s="3">
        <v>0</v>
      </c>
      <c r="O18930" s="3" t="s">
        <v>10</v>
      </c>
      <c r="P18930" s="3" t="s">
        <v>9</v>
      </c>
      <c r="Q18930" s="3"/>
    </row>
    <row r="18931" spans="1:17" ht="15" x14ac:dyDescent="0.25">
      <c r="A18931" s="3">
        <f>18924</f>
        <v>18924</v>
      </c>
      <c r="B18931" s="3" t="s">
        <v>18933</v>
      </c>
      <c r="C18931" s="3" t="s">
        <v>9</v>
      </c>
      <c r="D18931" s="3" t="s">
        <v>10</v>
      </c>
      <c r="E18931" s="3">
        <v>0</v>
      </c>
      <c r="F18931" s="3">
        <v>0</v>
      </c>
      <c r="G18931" s="3">
        <v>1</v>
      </c>
      <c r="H18931" s="3">
        <v>0</v>
      </c>
      <c r="I18931" s="3">
        <v>0</v>
      </c>
      <c r="J18931" s="3">
        <v>1</v>
      </c>
      <c r="K18931" s="3">
        <v>0</v>
      </c>
      <c r="L18931" s="3">
        <v>0</v>
      </c>
      <c r="M18931" s="3">
        <v>0</v>
      </c>
      <c r="N18931" s="3">
        <v>0</v>
      </c>
      <c r="O18931" s="3" t="s">
        <v>10</v>
      </c>
      <c r="P18931" s="3" t="s">
        <v>9</v>
      </c>
      <c r="Q18931" s="3"/>
    </row>
    <row r="18932" spans="1:17" ht="15" x14ac:dyDescent="0.25">
      <c r="A18932" s="3">
        <f>18925</f>
        <v>18925</v>
      </c>
      <c r="B18932" s="3" t="s">
        <v>18934</v>
      </c>
      <c r="C18932" s="3" t="s">
        <v>9</v>
      </c>
      <c r="D18932" s="3" t="s">
        <v>10</v>
      </c>
      <c r="E18932" s="3">
        <v>0</v>
      </c>
      <c r="F18932" s="3">
        <v>0</v>
      </c>
      <c r="G18932" s="3">
        <v>1</v>
      </c>
      <c r="H18932" s="3">
        <v>0</v>
      </c>
      <c r="I18932" s="3">
        <v>0</v>
      </c>
      <c r="J18932" s="3">
        <v>1</v>
      </c>
      <c r="K18932" s="3">
        <v>0</v>
      </c>
      <c r="L18932" s="3">
        <v>0</v>
      </c>
      <c r="M18932" s="3">
        <v>0</v>
      </c>
      <c r="N18932" s="3">
        <v>0</v>
      </c>
      <c r="O18932" s="3" t="s">
        <v>10</v>
      </c>
      <c r="P18932" s="3" t="s">
        <v>9</v>
      </c>
      <c r="Q18932" s="3"/>
    </row>
    <row r="18933" spans="1:17" ht="15" x14ac:dyDescent="0.25">
      <c r="A18933" s="3">
        <f>18926</f>
        <v>18926</v>
      </c>
      <c r="B18933" s="3" t="s">
        <v>18935</v>
      </c>
      <c r="C18933" s="3" t="s">
        <v>9</v>
      </c>
      <c r="D18933" s="3" t="s">
        <v>10</v>
      </c>
      <c r="E18933" s="3">
        <v>0</v>
      </c>
      <c r="F18933" s="3">
        <v>0</v>
      </c>
      <c r="G18933" s="3">
        <v>1</v>
      </c>
      <c r="H18933" s="3">
        <v>0</v>
      </c>
      <c r="I18933" s="3">
        <v>0</v>
      </c>
      <c r="J18933" s="3">
        <v>1</v>
      </c>
      <c r="K18933" s="3">
        <v>0</v>
      </c>
      <c r="L18933" s="3">
        <v>0</v>
      </c>
      <c r="M18933" s="3">
        <v>0</v>
      </c>
      <c r="N18933" s="3">
        <v>0</v>
      </c>
      <c r="O18933" s="3" t="s">
        <v>10</v>
      </c>
      <c r="P18933" s="3" t="s">
        <v>9</v>
      </c>
      <c r="Q18933" s="3"/>
    </row>
    <row r="18934" spans="1:17" ht="15" x14ac:dyDescent="0.25">
      <c r="A18934" s="3">
        <f>18927</f>
        <v>18927</v>
      </c>
      <c r="B18934" s="3" t="s">
        <v>18936</v>
      </c>
      <c r="C18934" s="3" t="s">
        <v>9</v>
      </c>
      <c r="D18934" s="3" t="s">
        <v>10</v>
      </c>
      <c r="E18934" s="3">
        <v>0</v>
      </c>
      <c r="F18934" s="3">
        <v>0</v>
      </c>
      <c r="G18934" s="3">
        <v>1</v>
      </c>
      <c r="H18934" s="3">
        <v>0</v>
      </c>
      <c r="I18934" s="3">
        <v>0</v>
      </c>
      <c r="J18934" s="3">
        <v>1</v>
      </c>
      <c r="K18934" s="3">
        <v>0</v>
      </c>
      <c r="L18934" s="3">
        <v>0</v>
      </c>
      <c r="M18934" s="3">
        <v>0</v>
      </c>
      <c r="N18934" s="3">
        <v>0</v>
      </c>
      <c r="O18934" s="3" t="s">
        <v>10</v>
      </c>
      <c r="P18934" s="3" t="s">
        <v>9</v>
      </c>
      <c r="Q18934" s="3"/>
    </row>
    <row r="18935" spans="1:17" ht="15" x14ac:dyDescent="0.25">
      <c r="A18935" s="3">
        <f>18928</f>
        <v>18928</v>
      </c>
      <c r="B18935" s="3" t="s">
        <v>18937</v>
      </c>
      <c r="C18935" s="3" t="s">
        <v>9</v>
      </c>
      <c r="D18935" s="3" t="s">
        <v>10</v>
      </c>
      <c r="E18935" s="3">
        <v>0</v>
      </c>
      <c r="F18935" s="3">
        <v>0</v>
      </c>
      <c r="G18935" s="3">
        <v>1</v>
      </c>
      <c r="H18935" s="3">
        <v>0</v>
      </c>
      <c r="I18935" s="3">
        <v>0</v>
      </c>
      <c r="J18935" s="3">
        <v>1</v>
      </c>
      <c r="K18935" s="3">
        <v>0</v>
      </c>
      <c r="L18935" s="3">
        <v>0</v>
      </c>
      <c r="M18935" s="3">
        <v>0</v>
      </c>
      <c r="N18935" s="3">
        <v>0</v>
      </c>
      <c r="O18935" s="3" t="s">
        <v>10</v>
      </c>
      <c r="P18935" s="3" t="s">
        <v>9</v>
      </c>
      <c r="Q18935" s="3"/>
    </row>
    <row r="18936" spans="1:17" ht="15" x14ac:dyDescent="0.25">
      <c r="A18936" s="3">
        <f>18929</f>
        <v>18929</v>
      </c>
      <c r="B18936" s="3" t="s">
        <v>18938</v>
      </c>
      <c r="C18936" s="3" t="s">
        <v>10</v>
      </c>
      <c r="D18936" s="3" t="s">
        <v>9</v>
      </c>
      <c r="E18936" s="3">
        <v>0</v>
      </c>
      <c r="F18936" s="3">
        <v>0</v>
      </c>
      <c r="G18936" s="3">
        <v>1</v>
      </c>
      <c r="H18936" s="3">
        <v>0</v>
      </c>
      <c r="I18936" s="3">
        <v>0</v>
      </c>
      <c r="J18936" s="3">
        <v>1</v>
      </c>
      <c r="K18936" s="3">
        <v>0</v>
      </c>
      <c r="L18936" s="3">
        <v>0</v>
      </c>
      <c r="M18936" s="3">
        <v>0</v>
      </c>
      <c r="N18936" s="3">
        <v>0</v>
      </c>
      <c r="O18936" s="3" t="s">
        <v>10</v>
      </c>
      <c r="P18936" s="3" t="s">
        <v>9</v>
      </c>
      <c r="Q18936" s="3"/>
    </row>
    <row r="18937" spans="1:17" ht="15" x14ac:dyDescent="0.25">
      <c r="A18937" s="3">
        <f>18930</f>
        <v>18930</v>
      </c>
      <c r="B18937" s="3" t="s">
        <v>18939</v>
      </c>
      <c r="C18937" s="3" t="s">
        <v>10</v>
      </c>
      <c r="D18937" s="3" t="s">
        <v>9</v>
      </c>
      <c r="E18937" s="3">
        <v>0</v>
      </c>
      <c r="F18937" s="3">
        <v>0</v>
      </c>
      <c r="G18937" s="3">
        <v>1</v>
      </c>
      <c r="H18937" s="3">
        <v>0</v>
      </c>
      <c r="I18937" s="3">
        <v>0</v>
      </c>
      <c r="J18937" s="3">
        <v>1</v>
      </c>
      <c r="K18937" s="3">
        <v>0</v>
      </c>
      <c r="L18937" s="3">
        <v>0</v>
      </c>
      <c r="M18937" s="3">
        <v>0</v>
      </c>
      <c r="N18937" s="3">
        <v>0</v>
      </c>
      <c r="O18937" s="3" t="s">
        <v>10</v>
      </c>
      <c r="P18937" s="3" t="s">
        <v>9</v>
      </c>
      <c r="Q18937" s="3"/>
    </row>
    <row r="18938" spans="1:17" ht="15" x14ac:dyDescent="0.25">
      <c r="A18938" s="3">
        <f>18931</f>
        <v>18931</v>
      </c>
      <c r="B18938" s="3" t="s">
        <v>18940</v>
      </c>
      <c r="C18938" s="3" t="s">
        <v>10</v>
      </c>
      <c r="D18938" s="3" t="s">
        <v>9</v>
      </c>
      <c r="E18938" s="3">
        <v>0</v>
      </c>
      <c r="F18938" s="3">
        <v>0</v>
      </c>
      <c r="G18938" s="3">
        <v>1</v>
      </c>
      <c r="H18938" s="3">
        <v>0</v>
      </c>
      <c r="I18938" s="3">
        <v>0</v>
      </c>
      <c r="J18938" s="3">
        <v>1</v>
      </c>
      <c r="K18938" s="3">
        <v>0</v>
      </c>
      <c r="L18938" s="3">
        <v>0</v>
      </c>
      <c r="M18938" s="3">
        <v>0</v>
      </c>
      <c r="N18938" s="3">
        <v>0</v>
      </c>
      <c r="O18938" s="3" t="s">
        <v>10</v>
      </c>
      <c r="P18938" s="3" t="s">
        <v>9</v>
      </c>
      <c r="Q18938" s="3"/>
    </row>
    <row r="18939" spans="1:17" ht="15" x14ac:dyDescent="0.25">
      <c r="A18939" s="3">
        <f>18932</f>
        <v>18932</v>
      </c>
      <c r="B18939" s="3" t="s">
        <v>18941</v>
      </c>
      <c r="C18939" s="3" t="s">
        <v>10</v>
      </c>
      <c r="D18939" s="3" t="s">
        <v>9</v>
      </c>
      <c r="E18939" s="3">
        <v>0</v>
      </c>
      <c r="F18939" s="3">
        <v>0</v>
      </c>
      <c r="G18939" s="3">
        <v>1</v>
      </c>
      <c r="H18939" s="3">
        <v>0</v>
      </c>
      <c r="I18939" s="3">
        <v>0</v>
      </c>
      <c r="J18939" s="3">
        <v>1</v>
      </c>
      <c r="K18939" s="3">
        <v>0</v>
      </c>
      <c r="L18939" s="3">
        <v>0</v>
      </c>
      <c r="M18939" s="3">
        <v>0</v>
      </c>
      <c r="N18939" s="3">
        <v>0</v>
      </c>
      <c r="O18939" s="3" t="s">
        <v>10</v>
      </c>
      <c r="P18939" s="3" t="s">
        <v>9</v>
      </c>
      <c r="Q18939" s="3"/>
    </row>
    <row r="18940" spans="1:17" ht="15" x14ac:dyDescent="0.25">
      <c r="A18940" s="3">
        <f>18933</f>
        <v>18933</v>
      </c>
      <c r="B18940" s="3" t="s">
        <v>18942</v>
      </c>
      <c r="C18940" s="3" t="s">
        <v>10</v>
      </c>
      <c r="D18940" s="3" t="s">
        <v>9</v>
      </c>
      <c r="E18940" s="3">
        <v>0</v>
      </c>
      <c r="F18940" s="3">
        <v>0</v>
      </c>
      <c r="G18940" s="3">
        <v>1</v>
      </c>
      <c r="H18940" s="3">
        <v>0</v>
      </c>
      <c r="I18940" s="3">
        <v>0</v>
      </c>
      <c r="J18940" s="3">
        <v>1</v>
      </c>
      <c r="K18940" s="3">
        <v>0</v>
      </c>
      <c r="L18940" s="3">
        <v>0</v>
      </c>
      <c r="M18940" s="3">
        <v>0</v>
      </c>
      <c r="N18940" s="3">
        <v>0</v>
      </c>
      <c r="O18940" s="3" t="s">
        <v>10</v>
      </c>
      <c r="P18940" s="3" t="s">
        <v>9</v>
      </c>
      <c r="Q18940" s="3"/>
    </row>
    <row r="18941" spans="1:17" ht="15" x14ac:dyDescent="0.25">
      <c r="A18941" s="3">
        <f>18934</f>
        <v>18934</v>
      </c>
      <c r="B18941" s="3" t="s">
        <v>18943</v>
      </c>
      <c r="C18941" s="3" t="s">
        <v>10</v>
      </c>
      <c r="D18941" s="3" t="s">
        <v>9</v>
      </c>
      <c r="E18941" s="3">
        <v>0</v>
      </c>
      <c r="F18941" s="3">
        <v>0</v>
      </c>
      <c r="G18941" s="3">
        <v>1</v>
      </c>
      <c r="H18941" s="3">
        <v>0</v>
      </c>
      <c r="I18941" s="3">
        <v>0</v>
      </c>
      <c r="J18941" s="3">
        <v>1</v>
      </c>
      <c r="K18941" s="3">
        <v>0</v>
      </c>
      <c r="L18941" s="3">
        <v>0</v>
      </c>
      <c r="M18941" s="3">
        <v>0</v>
      </c>
      <c r="N18941" s="3">
        <v>0</v>
      </c>
      <c r="O18941" s="3" t="s">
        <v>10</v>
      </c>
      <c r="P18941" s="3" t="s">
        <v>9</v>
      </c>
      <c r="Q18941" s="3"/>
    </row>
    <row r="18942" spans="1:17" ht="15" x14ac:dyDescent="0.25">
      <c r="A18942" s="3">
        <f>18935</f>
        <v>18935</v>
      </c>
      <c r="B18942" s="3" t="s">
        <v>18944</v>
      </c>
      <c r="C18942" s="3" t="s">
        <v>10</v>
      </c>
      <c r="D18942" s="3" t="s">
        <v>9</v>
      </c>
      <c r="E18942" s="3">
        <v>0</v>
      </c>
      <c r="F18942" s="3">
        <v>0</v>
      </c>
      <c r="G18942" s="3">
        <v>1</v>
      </c>
      <c r="H18942" s="3">
        <v>0</v>
      </c>
      <c r="I18942" s="3">
        <v>0</v>
      </c>
      <c r="J18942" s="3">
        <v>1</v>
      </c>
      <c r="K18942" s="3">
        <v>0</v>
      </c>
      <c r="L18942" s="3">
        <v>0</v>
      </c>
      <c r="M18942" s="3">
        <v>0</v>
      </c>
      <c r="N18942" s="3">
        <v>0</v>
      </c>
      <c r="O18942" s="3" t="s">
        <v>10</v>
      </c>
      <c r="P18942" s="3" t="s">
        <v>9</v>
      </c>
      <c r="Q18942" s="3"/>
    </row>
    <row r="18943" spans="1:17" ht="15" x14ac:dyDescent="0.25">
      <c r="A18943" s="3">
        <f>18936</f>
        <v>18936</v>
      </c>
      <c r="B18943" s="3" t="s">
        <v>18945</v>
      </c>
      <c r="C18943" s="3" t="s">
        <v>10</v>
      </c>
      <c r="D18943" s="3" t="s">
        <v>9</v>
      </c>
      <c r="E18943" s="3">
        <v>0</v>
      </c>
      <c r="F18943" s="3">
        <v>0</v>
      </c>
      <c r="G18943" s="3">
        <v>1</v>
      </c>
      <c r="H18943" s="3">
        <v>0</v>
      </c>
      <c r="I18943" s="3">
        <v>0</v>
      </c>
      <c r="J18943" s="3">
        <v>1</v>
      </c>
      <c r="K18943" s="3">
        <v>0</v>
      </c>
      <c r="L18943" s="3">
        <v>0</v>
      </c>
      <c r="M18943" s="3">
        <v>0</v>
      </c>
      <c r="N18943" s="3">
        <v>0</v>
      </c>
      <c r="O18943" s="3" t="s">
        <v>10</v>
      </c>
      <c r="P18943" s="3" t="s">
        <v>9</v>
      </c>
      <c r="Q18943" s="3"/>
    </row>
    <row r="18944" spans="1:17" ht="15" x14ac:dyDescent="0.25">
      <c r="A18944" s="3">
        <f>18937</f>
        <v>18937</v>
      </c>
      <c r="B18944" s="3" t="s">
        <v>18946</v>
      </c>
      <c r="C18944" s="3" t="s">
        <v>10</v>
      </c>
      <c r="D18944" s="3" t="s">
        <v>9</v>
      </c>
      <c r="E18944" s="3">
        <v>0</v>
      </c>
      <c r="F18944" s="3">
        <v>0</v>
      </c>
      <c r="G18944" s="3">
        <v>1</v>
      </c>
      <c r="H18944" s="3">
        <v>0</v>
      </c>
      <c r="I18944" s="3">
        <v>0</v>
      </c>
      <c r="J18944" s="3">
        <v>1</v>
      </c>
      <c r="K18944" s="3">
        <v>0</v>
      </c>
      <c r="L18944" s="3">
        <v>0</v>
      </c>
      <c r="M18944" s="3">
        <v>0</v>
      </c>
      <c r="N18944" s="3">
        <v>0</v>
      </c>
      <c r="O18944" s="3" t="s">
        <v>10</v>
      </c>
      <c r="P18944" s="3" t="s">
        <v>9</v>
      </c>
      <c r="Q18944" s="3"/>
    </row>
    <row r="18945" spans="1:17" ht="15" x14ac:dyDescent="0.25">
      <c r="A18945" s="3">
        <f>18938</f>
        <v>18938</v>
      </c>
      <c r="B18945" s="3" t="s">
        <v>18947</v>
      </c>
      <c r="C18945" s="3" t="s">
        <v>10</v>
      </c>
      <c r="D18945" s="3" t="s">
        <v>9</v>
      </c>
      <c r="E18945" s="3">
        <v>0</v>
      </c>
      <c r="F18945" s="3">
        <v>0</v>
      </c>
      <c r="G18945" s="3">
        <v>1</v>
      </c>
      <c r="H18945" s="3">
        <v>0</v>
      </c>
      <c r="I18945" s="3">
        <v>0</v>
      </c>
      <c r="J18945" s="3">
        <v>1</v>
      </c>
      <c r="K18945" s="3">
        <v>0</v>
      </c>
      <c r="L18945" s="3">
        <v>0</v>
      </c>
      <c r="M18945" s="3">
        <v>0</v>
      </c>
      <c r="N18945" s="3">
        <v>0</v>
      </c>
      <c r="O18945" s="3" t="s">
        <v>10</v>
      </c>
      <c r="P18945" s="3" t="s">
        <v>9</v>
      </c>
      <c r="Q18945" s="3"/>
    </row>
    <row r="18946" spans="1:17" ht="15" x14ac:dyDescent="0.25">
      <c r="A18946" s="3">
        <f>18939</f>
        <v>18939</v>
      </c>
      <c r="B18946" s="3" t="s">
        <v>18948</v>
      </c>
      <c r="C18946" s="3" t="s">
        <v>10</v>
      </c>
      <c r="D18946" s="3" t="s">
        <v>9</v>
      </c>
      <c r="E18946" s="3">
        <v>0</v>
      </c>
      <c r="F18946" s="3">
        <v>0</v>
      </c>
      <c r="G18946" s="3">
        <v>1</v>
      </c>
      <c r="H18946" s="3">
        <v>0</v>
      </c>
      <c r="I18946" s="3">
        <v>0</v>
      </c>
      <c r="J18946" s="3">
        <v>1</v>
      </c>
      <c r="K18946" s="3">
        <v>0</v>
      </c>
      <c r="L18946" s="3">
        <v>0</v>
      </c>
      <c r="M18946" s="3">
        <v>0</v>
      </c>
      <c r="N18946" s="3">
        <v>0</v>
      </c>
      <c r="O18946" s="3" t="s">
        <v>10</v>
      </c>
      <c r="P18946" s="3" t="s">
        <v>9</v>
      </c>
      <c r="Q18946" s="3"/>
    </row>
    <row r="18947" spans="1:17" ht="15" x14ac:dyDescent="0.25">
      <c r="A18947" s="3">
        <f>18940</f>
        <v>18940</v>
      </c>
      <c r="B18947" s="3" t="s">
        <v>18949</v>
      </c>
      <c r="C18947" s="3" t="s">
        <v>10</v>
      </c>
      <c r="D18947" s="3" t="s">
        <v>9</v>
      </c>
      <c r="E18947" s="3">
        <v>0</v>
      </c>
      <c r="F18947" s="3">
        <v>0</v>
      </c>
      <c r="G18947" s="3">
        <v>1</v>
      </c>
      <c r="H18947" s="3">
        <v>0</v>
      </c>
      <c r="I18947" s="3">
        <v>0</v>
      </c>
      <c r="J18947" s="3">
        <v>1</v>
      </c>
      <c r="K18947" s="3">
        <v>0</v>
      </c>
      <c r="L18947" s="3">
        <v>0</v>
      </c>
      <c r="M18947" s="3">
        <v>0</v>
      </c>
      <c r="N18947" s="3">
        <v>0</v>
      </c>
      <c r="O18947" s="3" t="s">
        <v>9</v>
      </c>
      <c r="P18947" s="3" t="s">
        <v>9</v>
      </c>
      <c r="Q18947" s="3"/>
    </row>
    <row r="18948" spans="1:17" ht="15" x14ac:dyDescent="0.25">
      <c r="A18948" s="3">
        <f>18941</f>
        <v>18941</v>
      </c>
      <c r="B18948" s="3" t="s">
        <v>18950</v>
      </c>
      <c r="C18948" s="3" t="s">
        <v>10</v>
      </c>
      <c r="D18948" s="3" t="s">
        <v>9</v>
      </c>
      <c r="E18948" s="3">
        <v>0</v>
      </c>
      <c r="F18948" s="3">
        <v>0</v>
      </c>
      <c r="G18948" s="3">
        <v>1</v>
      </c>
      <c r="H18948" s="3">
        <v>0</v>
      </c>
      <c r="I18948" s="3">
        <v>0</v>
      </c>
      <c r="J18948" s="3">
        <v>1</v>
      </c>
      <c r="K18948" s="3">
        <v>0</v>
      </c>
      <c r="L18948" s="3">
        <v>0</v>
      </c>
      <c r="M18948" s="3">
        <v>0</v>
      </c>
      <c r="N18948" s="3">
        <v>0</v>
      </c>
      <c r="O18948" s="3" t="s">
        <v>9</v>
      </c>
      <c r="P18948" s="3" t="s">
        <v>9</v>
      </c>
      <c r="Q18948" s="3"/>
    </row>
    <row r="18949" spans="1:17" ht="15" x14ac:dyDescent="0.25">
      <c r="A18949" s="3">
        <f>18942</f>
        <v>18942</v>
      </c>
      <c r="B18949" s="3" t="s">
        <v>18951</v>
      </c>
      <c r="C18949" s="3" t="s">
        <v>9</v>
      </c>
      <c r="D18949" s="3" t="s">
        <v>10</v>
      </c>
      <c r="E18949" s="3">
        <v>0</v>
      </c>
      <c r="F18949" s="3">
        <v>0</v>
      </c>
      <c r="G18949" s="3">
        <v>1</v>
      </c>
      <c r="H18949" s="3">
        <v>0</v>
      </c>
      <c r="I18949" s="3">
        <v>0</v>
      </c>
      <c r="J18949" s="3">
        <v>1</v>
      </c>
      <c r="K18949" s="3">
        <v>0</v>
      </c>
      <c r="L18949" s="3">
        <v>0</v>
      </c>
      <c r="M18949" s="3">
        <v>0</v>
      </c>
      <c r="N18949" s="3">
        <v>0</v>
      </c>
      <c r="O18949" s="3" t="s">
        <v>10</v>
      </c>
      <c r="P18949" s="3" t="s">
        <v>9</v>
      </c>
      <c r="Q18949" s="3"/>
    </row>
    <row r="18950" spans="1:17" ht="15" x14ac:dyDescent="0.25">
      <c r="A18950" s="3">
        <f>18943</f>
        <v>18943</v>
      </c>
      <c r="B18950" s="3" t="s">
        <v>18952</v>
      </c>
      <c r="C18950" s="3" t="s">
        <v>9</v>
      </c>
      <c r="D18950" s="3" t="s">
        <v>10</v>
      </c>
      <c r="E18950" s="3">
        <v>0</v>
      </c>
      <c r="F18950" s="3">
        <v>0</v>
      </c>
      <c r="G18950" s="3">
        <v>1</v>
      </c>
      <c r="H18950" s="3">
        <v>0</v>
      </c>
      <c r="I18950" s="3">
        <v>0</v>
      </c>
      <c r="J18950" s="3">
        <v>1</v>
      </c>
      <c r="K18950" s="3">
        <v>0</v>
      </c>
      <c r="L18950" s="3">
        <v>0</v>
      </c>
      <c r="M18950" s="3">
        <v>0</v>
      </c>
      <c r="N18950" s="3">
        <v>0</v>
      </c>
      <c r="O18950" s="3" t="s">
        <v>10</v>
      </c>
      <c r="P18950" s="3" t="s">
        <v>9</v>
      </c>
      <c r="Q18950" s="3"/>
    </row>
    <row r="18951" spans="1:17" ht="15" x14ac:dyDescent="0.25">
      <c r="A18951" s="3">
        <f>18944</f>
        <v>18944</v>
      </c>
      <c r="B18951" s="3" t="s">
        <v>18953</v>
      </c>
      <c r="C18951" s="3" t="s">
        <v>9</v>
      </c>
      <c r="D18951" s="3" t="s">
        <v>10</v>
      </c>
      <c r="E18951" s="3">
        <v>0</v>
      </c>
      <c r="F18951" s="3">
        <v>0</v>
      </c>
      <c r="G18951" s="3">
        <v>1</v>
      </c>
      <c r="H18951" s="3">
        <v>0</v>
      </c>
      <c r="I18951" s="3">
        <v>0</v>
      </c>
      <c r="J18951" s="3">
        <v>1</v>
      </c>
      <c r="K18951" s="3">
        <v>0</v>
      </c>
      <c r="L18951" s="3">
        <v>0</v>
      </c>
      <c r="M18951" s="3">
        <v>0</v>
      </c>
      <c r="N18951" s="3">
        <v>0</v>
      </c>
      <c r="O18951" s="3" t="s">
        <v>10</v>
      </c>
      <c r="P18951" s="3" t="s">
        <v>9</v>
      </c>
      <c r="Q18951" s="3"/>
    </row>
    <row r="18952" spans="1:17" ht="15" x14ac:dyDescent="0.25">
      <c r="A18952" s="3">
        <f>18945</f>
        <v>18945</v>
      </c>
      <c r="B18952" s="3" t="s">
        <v>18954</v>
      </c>
      <c r="C18952" s="3" t="s">
        <v>9</v>
      </c>
      <c r="D18952" s="3" t="s">
        <v>10</v>
      </c>
      <c r="E18952" s="3">
        <v>0</v>
      </c>
      <c r="F18952" s="3">
        <v>0</v>
      </c>
      <c r="G18952" s="3">
        <v>1</v>
      </c>
      <c r="H18952" s="3">
        <v>0</v>
      </c>
      <c r="I18952" s="3">
        <v>0</v>
      </c>
      <c r="J18952" s="3">
        <v>1</v>
      </c>
      <c r="K18952" s="3">
        <v>0</v>
      </c>
      <c r="L18952" s="3">
        <v>0</v>
      </c>
      <c r="M18952" s="3">
        <v>0</v>
      </c>
      <c r="N18952" s="3">
        <v>0</v>
      </c>
      <c r="O18952" s="3" t="s">
        <v>10</v>
      </c>
      <c r="P18952" s="3" t="s">
        <v>9</v>
      </c>
      <c r="Q18952" s="3"/>
    </row>
    <row r="18953" spans="1:17" ht="15" x14ac:dyDescent="0.25">
      <c r="A18953" s="3">
        <f>18946</f>
        <v>18946</v>
      </c>
      <c r="B18953" s="3" t="s">
        <v>18955</v>
      </c>
      <c r="C18953" s="3" t="s">
        <v>9</v>
      </c>
      <c r="D18953" s="3" t="s">
        <v>10</v>
      </c>
      <c r="E18953" s="3">
        <v>0</v>
      </c>
      <c r="F18953" s="3">
        <v>0</v>
      </c>
      <c r="G18953" s="3">
        <v>1</v>
      </c>
      <c r="H18953" s="3">
        <v>0</v>
      </c>
      <c r="I18953" s="3">
        <v>0</v>
      </c>
      <c r="J18953" s="3">
        <v>1</v>
      </c>
      <c r="K18953" s="3">
        <v>0</v>
      </c>
      <c r="L18953" s="3">
        <v>0</v>
      </c>
      <c r="M18953" s="3">
        <v>0</v>
      </c>
      <c r="N18953" s="3">
        <v>0</v>
      </c>
      <c r="O18953" s="3" t="s">
        <v>10</v>
      </c>
      <c r="P18953" s="3" t="s">
        <v>9</v>
      </c>
      <c r="Q18953" s="3"/>
    </row>
    <row r="18954" spans="1:17" ht="15" x14ac:dyDescent="0.25">
      <c r="A18954" s="3">
        <f>18947</f>
        <v>18947</v>
      </c>
      <c r="B18954" s="3" t="s">
        <v>18956</v>
      </c>
      <c r="C18954" s="3" t="s">
        <v>9</v>
      </c>
      <c r="D18954" s="3" t="s">
        <v>10</v>
      </c>
      <c r="E18954" s="3">
        <v>0</v>
      </c>
      <c r="F18954" s="3">
        <v>0</v>
      </c>
      <c r="G18954" s="3">
        <v>1</v>
      </c>
      <c r="H18954" s="3">
        <v>0</v>
      </c>
      <c r="I18954" s="3">
        <v>0</v>
      </c>
      <c r="J18954" s="3">
        <v>1</v>
      </c>
      <c r="K18954" s="3">
        <v>0</v>
      </c>
      <c r="L18954" s="3">
        <v>0</v>
      </c>
      <c r="M18954" s="3">
        <v>0</v>
      </c>
      <c r="N18954" s="3">
        <v>0</v>
      </c>
      <c r="O18954" s="3" t="s">
        <v>10</v>
      </c>
      <c r="P18954" s="3" t="s">
        <v>9</v>
      </c>
      <c r="Q18954" s="3"/>
    </row>
    <row r="18955" spans="1:17" ht="15" x14ac:dyDescent="0.25">
      <c r="A18955" s="3">
        <f>18948</f>
        <v>18948</v>
      </c>
      <c r="B18955" s="3" t="s">
        <v>18957</v>
      </c>
      <c r="C18955" s="3" t="s">
        <v>9</v>
      </c>
      <c r="D18955" s="3" t="s">
        <v>10</v>
      </c>
      <c r="E18955" s="3">
        <v>0</v>
      </c>
      <c r="F18955" s="3">
        <v>0</v>
      </c>
      <c r="G18955" s="3">
        <v>1</v>
      </c>
      <c r="H18955" s="3">
        <v>0</v>
      </c>
      <c r="I18955" s="3">
        <v>0</v>
      </c>
      <c r="J18955" s="3">
        <v>1</v>
      </c>
      <c r="K18955" s="3">
        <v>0</v>
      </c>
      <c r="L18955" s="3">
        <v>0</v>
      </c>
      <c r="M18955" s="3">
        <v>0</v>
      </c>
      <c r="N18955" s="3">
        <v>0</v>
      </c>
      <c r="O18955" s="3" t="s">
        <v>10</v>
      </c>
      <c r="P18955" s="3" t="s">
        <v>9</v>
      </c>
      <c r="Q18955" s="3"/>
    </row>
    <row r="18956" spans="1:17" ht="15" x14ac:dyDescent="0.25">
      <c r="A18956" s="3">
        <f>18949</f>
        <v>18949</v>
      </c>
      <c r="B18956" s="3" t="s">
        <v>18958</v>
      </c>
      <c r="C18956" s="3" t="s">
        <v>9</v>
      </c>
      <c r="D18956" s="3" t="s">
        <v>10</v>
      </c>
      <c r="E18956" s="3">
        <v>0</v>
      </c>
      <c r="F18956" s="3">
        <v>0</v>
      </c>
      <c r="G18956" s="3">
        <v>1</v>
      </c>
      <c r="H18956" s="3">
        <v>0</v>
      </c>
      <c r="I18956" s="3">
        <v>0</v>
      </c>
      <c r="J18956" s="3">
        <v>1</v>
      </c>
      <c r="K18956" s="3">
        <v>0</v>
      </c>
      <c r="L18956" s="3">
        <v>0</v>
      </c>
      <c r="M18956" s="3">
        <v>0</v>
      </c>
      <c r="N18956" s="3">
        <v>0</v>
      </c>
      <c r="O18956" s="3" t="s">
        <v>10</v>
      </c>
      <c r="P18956" s="3" t="s">
        <v>9</v>
      </c>
      <c r="Q18956" s="3"/>
    </row>
    <row r="18957" spans="1:17" ht="15" x14ac:dyDescent="0.25">
      <c r="A18957" s="3">
        <f>18950</f>
        <v>18950</v>
      </c>
      <c r="B18957" s="3" t="s">
        <v>18959</v>
      </c>
      <c r="C18957" s="3" t="s">
        <v>9</v>
      </c>
      <c r="D18957" s="3" t="s">
        <v>10</v>
      </c>
      <c r="E18957" s="3">
        <v>0</v>
      </c>
      <c r="F18957" s="3">
        <v>0</v>
      </c>
      <c r="G18957" s="3">
        <v>1</v>
      </c>
      <c r="H18957" s="3">
        <v>0</v>
      </c>
      <c r="I18957" s="3">
        <v>0</v>
      </c>
      <c r="J18957" s="3">
        <v>1</v>
      </c>
      <c r="K18957" s="3">
        <v>0</v>
      </c>
      <c r="L18957" s="3">
        <v>0</v>
      </c>
      <c r="M18957" s="3">
        <v>0</v>
      </c>
      <c r="N18957" s="3">
        <v>0</v>
      </c>
      <c r="O18957" s="3" t="s">
        <v>10</v>
      </c>
      <c r="P18957" s="3" t="s">
        <v>9</v>
      </c>
      <c r="Q18957" s="3"/>
    </row>
    <row r="18958" spans="1:17" ht="15" x14ac:dyDescent="0.25">
      <c r="A18958" s="3">
        <f>18951</f>
        <v>18951</v>
      </c>
      <c r="B18958" s="3" t="s">
        <v>18960</v>
      </c>
      <c r="C18958" s="3" t="s">
        <v>9</v>
      </c>
      <c r="D18958" s="3" t="s">
        <v>10</v>
      </c>
      <c r="E18958" s="3">
        <v>0</v>
      </c>
      <c r="F18958" s="3">
        <v>0</v>
      </c>
      <c r="G18958" s="3">
        <v>1</v>
      </c>
      <c r="H18958" s="3">
        <v>0</v>
      </c>
      <c r="I18958" s="3">
        <v>0</v>
      </c>
      <c r="J18958" s="3">
        <v>1</v>
      </c>
      <c r="K18958" s="3">
        <v>0</v>
      </c>
      <c r="L18958" s="3">
        <v>0</v>
      </c>
      <c r="M18958" s="3">
        <v>0</v>
      </c>
      <c r="N18958" s="3">
        <v>0</v>
      </c>
      <c r="O18958" s="3" t="s">
        <v>10</v>
      </c>
      <c r="P18958" s="3" t="s">
        <v>9</v>
      </c>
      <c r="Q18958" s="3"/>
    </row>
    <row r="18959" spans="1:17" ht="15" x14ac:dyDescent="0.25">
      <c r="A18959" s="3">
        <f>18952</f>
        <v>18952</v>
      </c>
      <c r="B18959" s="3" t="s">
        <v>18961</v>
      </c>
      <c r="C18959" s="3" t="s">
        <v>9</v>
      </c>
      <c r="D18959" s="3" t="s">
        <v>10</v>
      </c>
      <c r="E18959" s="3">
        <v>0</v>
      </c>
      <c r="F18959" s="3">
        <v>0</v>
      </c>
      <c r="G18959" s="3">
        <v>1</v>
      </c>
      <c r="H18959" s="3">
        <v>0</v>
      </c>
      <c r="I18959" s="3">
        <v>0</v>
      </c>
      <c r="J18959" s="3">
        <v>1</v>
      </c>
      <c r="K18959" s="3">
        <v>0</v>
      </c>
      <c r="L18959" s="3">
        <v>0</v>
      </c>
      <c r="M18959" s="3">
        <v>0</v>
      </c>
      <c r="N18959" s="3">
        <v>0</v>
      </c>
      <c r="O18959" s="3" t="s">
        <v>10</v>
      </c>
      <c r="P18959" s="3" t="s">
        <v>9</v>
      </c>
      <c r="Q18959" s="3"/>
    </row>
    <row r="18960" spans="1:17" ht="15" x14ac:dyDescent="0.25">
      <c r="A18960" s="3">
        <f>18953</f>
        <v>18953</v>
      </c>
      <c r="B18960" s="3" t="s">
        <v>18962</v>
      </c>
      <c r="C18960" s="3" t="s">
        <v>9</v>
      </c>
      <c r="D18960" s="3" t="s">
        <v>10</v>
      </c>
      <c r="E18960" s="3">
        <v>0</v>
      </c>
      <c r="F18960" s="3">
        <v>0</v>
      </c>
      <c r="G18960" s="3">
        <v>1</v>
      </c>
      <c r="H18960" s="3">
        <v>0</v>
      </c>
      <c r="I18960" s="3">
        <v>0</v>
      </c>
      <c r="J18960" s="3">
        <v>1</v>
      </c>
      <c r="K18960" s="3">
        <v>0</v>
      </c>
      <c r="L18960" s="3">
        <v>0</v>
      </c>
      <c r="M18960" s="3">
        <v>0</v>
      </c>
      <c r="N18960" s="3">
        <v>0</v>
      </c>
      <c r="O18960" s="3" t="s">
        <v>10</v>
      </c>
      <c r="P18960" s="3" t="s">
        <v>9</v>
      </c>
      <c r="Q18960" s="3"/>
    </row>
    <row r="18961" spans="1:17" ht="15" x14ac:dyDescent="0.25">
      <c r="A18961" s="3">
        <f>18954</f>
        <v>18954</v>
      </c>
      <c r="B18961" s="3" t="s">
        <v>18963</v>
      </c>
      <c r="C18961" s="3" t="s">
        <v>9</v>
      </c>
      <c r="D18961" s="3" t="s">
        <v>10</v>
      </c>
      <c r="E18961" s="3">
        <v>0</v>
      </c>
      <c r="F18961" s="3">
        <v>0</v>
      </c>
      <c r="G18961" s="3">
        <v>1</v>
      </c>
      <c r="H18961" s="3">
        <v>0</v>
      </c>
      <c r="I18961" s="3">
        <v>0</v>
      </c>
      <c r="J18961" s="3">
        <v>1</v>
      </c>
      <c r="K18961" s="3">
        <v>0</v>
      </c>
      <c r="L18961" s="3">
        <v>0</v>
      </c>
      <c r="M18961" s="3">
        <v>0</v>
      </c>
      <c r="N18961" s="3">
        <v>0</v>
      </c>
      <c r="O18961" s="3" t="s">
        <v>10</v>
      </c>
      <c r="P18961" s="3" t="s">
        <v>9</v>
      </c>
      <c r="Q18961" s="3"/>
    </row>
    <row r="18962" spans="1:17" ht="15" x14ac:dyDescent="0.25">
      <c r="A18962" s="3">
        <f>18955</f>
        <v>18955</v>
      </c>
      <c r="B18962" s="3" t="s">
        <v>18964</v>
      </c>
      <c r="C18962" s="3" t="s">
        <v>9</v>
      </c>
      <c r="D18962" s="3" t="s">
        <v>10</v>
      </c>
      <c r="E18962" s="3">
        <v>0</v>
      </c>
      <c r="F18962" s="3">
        <v>0</v>
      </c>
      <c r="G18962" s="3">
        <v>1</v>
      </c>
      <c r="H18962" s="3">
        <v>0</v>
      </c>
      <c r="I18962" s="3">
        <v>0</v>
      </c>
      <c r="J18962" s="3">
        <v>1</v>
      </c>
      <c r="K18962" s="3">
        <v>0</v>
      </c>
      <c r="L18962" s="3">
        <v>0</v>
      </c>
      <c r="M18962" s="3">
        <v>0</v>
      </c>
      <c r="N18962" s="3">
        <v>0</v>
      </c>
      <c r="O18962" s="3" t="s">
        <v>10</v>
      </c>
      <c r="P18962" s="3" t="s">
        <v>9</v>
      </c>
      <c r="Q18962" s="3"/>
    </row>
    <row r="18963" spans="1:17" ht="15" x14ac:dyDescent="0.25">
      <c r="A18963" s="3">
        <f>18956</f>
        <v>18956</v>
      </c>
      <c r="B18963" s="3" t="s">
        <v>18965</v>
      </c>
      <c r="C18963" s="3" t="s">
        <v>9</v>
      </c>
      <c r="D18963" s="3" t="s">
        <v>10</v>
      </c>
      <c r="E18963" s="3">
        <v>0</v>
      </c>
      <c r="F18963" s="3">
        <v>0</v>
      </c>
      <c r="G18963" s="3">
        <v>1</v>
      </c>
      <c r="H18963" s="3">
        <v>0</v>
      </c>
      <c r="I18963" s="3">
        <v>0</v>
      </c>
      <c r="J18963" s="3">
        <v>1</v>
      </c>
      <c r="K18963" s="3">
        <v>0</v>
      </c>
      <c r="L18963" s="3">
        <v>0</v>
      </c>
      <c r="M18963" s="3">
        <v>0</v>
      </c>
      <c r="N18963" s="3">
        <v>0</v>
      </c>
      <c r="O18963" s="3" t="s">
        <v>10</v>
      </c>
      <c r="P18963" s="3" t="s">
        <v>9</v>
      </c>
      <c r="Q18963" s="3"/>
    </row>
    <row r="18964" spans="1:17" ht="15" x14ac:dyDescent="0.25">
      <c r="A18964" s="3">
        <f>18957</f>
        <v>18957</v>
      </c>
      <c r="B18964" s="3" t="s">
        <v>18966</v>
      </c>
      <c r="C18964" s="3" t="s">
        <v>9</v>
      </c>
      <c r="D18964" s="3" t="s">
        <v>10</v>
      </c>
      <c r="E18964" s="3">
        <v>0</v>
      </c>
      <c r="F18964" s="3">
        <v>0</v>
      </c>
      <c r="G18964" s="3">
        <v>1</v>
      </c>
      <c r="H18964" s="3">
        <v>0</v>
      </c>
      <c r="I18964" s="3">
        <v>0</v>
      </c>
      <c r="J18964" s="3">
        <v>1</v>
      </c>
      <c r="K18964" s="3">
        <v>0</v>
      </c>
      <c r="L18964" s="3">
        <v>0</v>
      </c>
      <c r="M18964" s="3">
        <v>0</v>
      </c>
      <c r="N18964" s="3">
        <v>0</v>
      </c>
      <c r="O18964" s="3" t="s">
        <v>10</v>
      </c>
      <c r="P18964" s="3" t="s">
        <v>9</v>
      </c>
      <c r="Q18964" s="3"/>
    </row>
    <row r="18965" spans="1:17" ht="15" x14ac:dyDescent="0.25">
      <c r="A18965" s="3">
        <f>18958</f>
        <v>18958</v>
      </c>
      <c r="B18965" s="3" t="s">
        <v>18967</v>
      </c>
      <c r="C18965" s="3" t="s">
        <v>9</v>
      </c>
      <c r="D18965" s="3" t="s">
        <v>10</v>
      </c>
      <c r="E18965" s="3">
        <v>0</v>
      </c>
      <c r="F18965" s="3">
        <v>0</v>
      </c>
      <c r="G18965" s="3">
        <v>1</v>
      </c>
      <c r="H18965" s="3">
        <v>0</v>
      </c>
      <c r="I18965" s="3">
        <v>0</v>
      </c>
      <c r="J18965" s="3">
        <v>1</v>
      </c>
      <c r="K18965" s="3">
        <v>0</v>
      </c>
      <c r="L18965" s="3">
        <v>0</v>
      </c>
      <c r="M18965" s="3">
        <v>0</v>
      </c>
      <c r="N18965" s="3">
        <v>0</v>
      </c>
      <c r="O18965" s="3" t="s">
        <v>10</v>
      </c>
      <c r="P18965" s="3" t="s">
        <v>9</v>
      </c>
      <c r="Q18965" s="3"/>
    </row>
    <row r="18966" spans="1:17" ht="15" x14ac:dyDescent="0.25">
      <c r="A18966" s="3">
        <f>18959</f>
        <v>18959</v>
      </c>
      <c r="B18966" s="3" t="s">
        <v>18968</v>
      </c>
      <c r="C18966" s="3" t="s">
        <v>9</v>
      </c>
      <c r="D18966" s="3" t="s">
        <v>10</v>
      </c>
      <c r="E18966" s="3">
        <v>0</v>
      </c>
      <c r="F18966" s="3">
        <v>0</v>
      </c>
      <c r="G18966" s="3">
        <v>1</v>
      </c>
      <c r="H18966" s="3">
        <v>0</v>
      </c>
      <c r="I18966" s="3">
        <v>0</v>
      </c>
      <c r="J18966" s="3">
        <v>1</v>
      </c>
      <c r="K18966" s="3">
        <v>0</v>
      </c>
      <c r="L18966" s="3">
        <v>0</v>
      </c>
      <c r="M18966" s="3">
        <v>0</v>
      </c>
      <c r="N18966" s="3">
        <v>0</v>
      </c>
      <c r="O18966" s="3" t="s">
        <v>10</v>
      </c>
      <c r="P18966" s="3" t="s">
        <v>9</v>
      </c>
      <c r="Q18966" s="3"/>
    </row>
    <row r="18967" spans="1:17" ht="15" x14ac:dyDescent="0.25">
      <c r="A18967" s="3">
        <f>18960</f>
        <v>18960</v>
      </c>
      <c r="B18967" s="3" t="s">
        <v>18969</v>
      </c>
      <c r="C18967" s="3" t="s">
        <v>9</v>
      </c>
      <c r="D18967" s="3" t="s">
        <v>10</v>
      </c>
      <c r="E18967" s="3">
        <v>0</v>
      </c>
      <c r="F18967" s="3">
        <v>0</v>
      </c>
      <c r="G18967" s="3">
        <v>1</v>
      </c>
      <c r="H18967" s="3">
        <v>0</v>
      </c>
      <c r="I18967" s="3">
        <v>0</v>
      </c>
      <c r="J18967" s="3">
        <v>1</v>
      </c>
      <c r="K18967" s="3">
        <v>0</v>
      </c>
      <c r="L18967" s="3">
        <v>0</v>
      </c>
      <c r="M18967" s="3">
        <v>0</v>
      </c>
      <c r="N18967" s="3">
        <v>0</v>
      </c>
      <c r="O18967" s="3" t="s">
        <v>10</v>
      </c>
      <c r="P18967" s="3" t="s">
        <v>9</v>
      </c>
      <c r="Q18967" s="3"/>
    </row>
    <row r="18968" spans="1:17" ht="15" x14ac:dyDescent="0.25">
      <c r="A18968" s="3">
        <f>18961</f>
        <v>18961</v>
      </c>
      <c r="B18968" s="3" t="s">
        <v>18970</v>
      </c>
      <c r="C18968" s="3" t="s">
        <v>9</v>
      </c>
      <c r="D18968" s="3" t="s">
        <v>10</v>
      </c>
      <c r="E18968" s="3">
        <v>0</v>
      </c>
      <c r="F18968" s="3">
        <v>0</v>
      </c>
      <c r="G18968" s="3">
        <v>1</v>
      </c>
      <c r="H18968" s="3">
        <v>0</v>
      </c>
      <c r="I18968" s="3">
        <v>0</v>
      </c>
      <c r="J18968" s="3">
        <v>1</v>
      </c>
      <c r="K18968" s="3">
        <v>0</v>
      </c>
      <c r="L18968" s="3">
        <v>0</v>
      </c>
      <c r="M18968" s="3">
        <v>0</v>
      </c>
      <c r="N18968" s="3">
        <v>0</v>
      </c>
      <c r="O18968" s="3" t="s">
        <v>10</v>
      </c>
      <c r="P18968" s="3" t="s">
        <v>9</v>
      </c>
      <c r="Q18968" s="3"/>
    </row>
    <row r="18969" spans="1:17" ht="15" x14ac:dyDescent="0.25">
      <c r="A18969" s="3">
        <f>18962</f>
        <v>18962</v>
      </c>
      <c r="B18969" s="3" t="s">
        <v>18971</v>
      </c>
      <c r="C18969" s="3" t="s">
        <v>9</v>
      </c>
      <c r="D18969" s="3" t="s">
        <v>10</v>
      </c>
      <c r="E18969" s="3">
        <v>0</v>
      </c>
      <c r="F18969" s="3">
        <v>0</v>
      </c>
      <c r="G18969" s="3">
        <v>1</v>
      </c>
      <c r="H18969" s="3">
        <v>0</v>
      </c>
      <c r="I18969" s="3">
        <v>0</v>
      </c>
      <c r="J18969" s="3">
        <v>1</v>
      </c>
      <c r="K18969" s="3">
        <v>0</v>
      </c>
      <c r="L18969" s="3">
        <v>0</v>
      </c>
      <c r="M18969" s="3">
        <v>0</v>
      </c>
      <c r="N18969" s="3">
        <v>0</v>
      </c>
      <c r="O18969" s="3" t="s">
        <v>10</v>
      </c>
      <c r="P18969" s="3" t="s">
        <v>9</v>
      </c>
      <c r="Q18969" s="3"/>
    </row>
    <row r="18970" spans="1:17" ht="15" x14ac:dyDescent="0.25">
      <c r="A18970" s="3">
        <f>18963</f>
        <v>18963</v>
      </c>
      <c r="B18970" s="3" t="s">
        <v>18972</v>
      </c>
      <c r="C18970" s="3" t="s">
        <v>9</v>
      </c>
      <c r="D18970" s="3" t="s">
        <v>10</v>
      </c>
      <c r="E18970" s="3">
        <v>0</v>
      </c>
      <c r="F18970" s="3">
        <v>0</v>
      </c>
      <c r="G18970" s="3">
        <v>1</v>
      </c>
      <c r="H18970" s="3">
        <v>0</v>
      </c>
      <c r="I18970" s="3">
        <v>0</v>
      </c>
      <c r="J18970" s="3">
        <v>1</v>
      </c>
      <c r="K18970" s="3">
        <v>0</v>
      </c>
      <c r="L18970" s="3">
        <v>0</v>
      </c>
      <c r="M18970" s="3">
        <v>0</v>
      </c>
      <c r="N18970" s="3">
        <v>0</v>
      </c>
      <c r="O18970" s="3" t="s">
        <v>10</v>
      </c>
      <c r="P18970" s="3" t="s">
        <v>9</v>
      </c>
      <c r="Q18970" s="3"/>
    </row>
    <row r="18971" spans="1:17" ht="15" x14ac:dyDescent="0.25">
      <c r="A18971" s="3">
        <f>18964</f>
        <v>18964</v>
      </c>
      <c r="B18971" s="3" t="s">
        <v>18973</v>
      </c>
      <c r="C18971" s="3" t="s">
        <v>9</v>
      </c>
      <c r="D18971" s="3" t="s">
        <v>10</v>
      </c>
      <c r="E18971" s="3">
        <v>0</v>
      </c>
      <c r="F18971" s="3">
        <v>0</v>
      </c>
      <c r="G18971" s="3">
        <v>1</v>
      </c>
      <c r="H18971" s="3">
        <v>0</v>
      </c>
      <c r="I18971" s="3">
        <v>0</v>
      </c>
      <c r="J18971" s="3">
        <v>1</v>
      </c>
      <c r="K18971" s="3">
        <v>0</v>
      </c>
      <c r="L18971" s="3">
        <v>0</v>
      </c>
      <c r="M18971" s="3">
        <v>0</v>
      </c>
      <c r="N18971" s="3">
        <v>0</v>
      </c>
      <c r="O18971" s="3" t="s">
        <v>10</v>
      </c>
      <c r="P18971" s="3" t="s">
        <v>9</v>
      </c>
      <c r="Q18971" s="3"/>
    </row>
    <row r="18972" spans="1:17" ht="15" x14ac:dyDescent="0.25">
      <c r="A18972" s="3">
        <f>18965</f>
        <v>18965</v>
      </c>
      <c r="B18972" s="3" t="s">
        <v>18974</v>
      </c>
      <c r="C18972" s="3" t="s">
        <v>9</v>
      </c>
      <c r="D18972" s="3" t="s">
        <v>10</v>
      </c>
      <c r="E18972" s="3">
        <v>0</v>
      </c>
      <c r="F18972" s="3">
        <v>0</v>
      </c>
      <c r="G18972" s="3">
        <v>1</v>
      </c>
      <c r="H18972" s="3">
        <v>0</v>
      </c>
      <c r="I18972" s="3">
        <v>0</v>
      </c>
      <c r="J18972" s="3">
        <v>1</v>
      </c>
      <c r="K18972" s="3">
        <v>0</v>
      </c>
      <c r="L18972" s="3">
        <v>0</v>
      </c>
      <c r="M18972" s="3">
        <v>0</v>
      </c>
      <c r="N18972" s="3">
        <v>0</v>
      </c>
      <c r="O18972" s="3" t="s">
        <v>10</v>
      </c>
      <c r="P18972" s="3" t="s">
        <v>9</v>
      </c>
      <c r="Q18972" s="3"/>
    </row>
    <row r="18973" spans="1:17" ht="15" x14ac:dyDescent="0.25">
      <c r="A18973" s="3">
        <f>18966</f>
        <v>18966</v>
      </c>
      <c r="B18973" s="3" t="s">
        <v>18975</v>
      </c>
      <c r="C18973" s="3" t="s">
        <v>9</v>
      </c>
      <c r="D18973" s="3" t="s">
        <v>10</v>
      </c>
      <c r="E18973" s="3">
        <v>0</v>
      </c>
      <c r="F18973" s="3">
        <v>0</v>
      </c>
      <c r="G18973" s="3">
        <v>1</v>
      </c>
      <c r="H18973" s="3">
        <v>0</v>
      </c>
      <c r="I18973" s="3">
        <v>0</v>
      </c>
      <c r="J18973" s="3">
        <v>1</v>
      </c>
      <c r="K18973" s="3">
        <v>0</v>
      </c>
      <c r="L18973" s="3">
        <v>0</v>
      </c>
      <c r="M18973" s="3">
        <v>0</v>
      </c>
      <c r="N18973" s="3">
        <v>0</v>
      </c>
      <c r="O18973" s="3" t="s">
        <v>10</v>
      </c>
      <c r="P18973" s="3" t="s">
        <v>9</v>
      </c>
      <c r="Q18973" s="3"/>
    </row>
    <row r="18974" spans="1:17" ht="15" x14ac:dyDescent="0.25">
      <c r="A18974" s="3">
        <f>18967</f>
        <v>18967</v>
      </c>
      <c r="B18974" s="3" t="s">
        <v>18976</v>
      </c>
      <c r="C18974" s="3" t="s">
        <v>9</v>
      </c>
      <c r="D18974" s="3" t="s">
        <v>10</v>
      </c>
      <c r="E18974" s="3">
        <v>0</v>
      </c>
      <c r="F18974" s="3">
        <v>0</v>
      </c>
      <c r="G18974" s="3">
        <v>1</v>
      </c>
      <c r="H18974" s="3">
        <v>0</v>
      </c>
      <c r="I18974" s="3">
        <v>0</v>
      </c>
      <c r="J18974" s="3">
        <v>1</v>
      </c>
      <c r="K18974" s="3">
        <v>0</v>
      </c>
      <c r="L18974" s="3">
        <v>0</v>
      </c>
      <c r="M18974" s="3">
        <v>0</v>
      </c>
      <c r="N18974" s="3">
        <v>0</v>
      </c>
      <c r="O18974" s="3" t="s">
        <v>10</v>
      </c>
      <c r="P18974" s="3" t="s">
        <v>9</v>
      </c>
      <c r="Q18974" s="3"/>
    </row>
    <row r="18975" spans="1:17" ht="15" x14ac:dyDescent="0.25">
      <c r="A18975" s="3">
        <f>18968</f>
        <v>18968</v>
      </c>
      <c r="B18975" s="3" t="s">
        <v>18977</v>
      </c>
      <c r="C18975" s="3" t="s">
        <v>9</v>
      </c>
      <c r="D18975" s="3" t="s">
        <v>10</v>
      </c>
      <c r="E18975" s="3">
        <v>0</v>
      </c>
      <c r="F18975" s="3">
        <v>0</v>
      </c>
      <c r="G18975" s="3">
        <v>1</v>
      </c>
      <c r="H18975" s="3">
        <v>0</v>
      </c>
      <c r="I18975" s="3">
        <v>0</v>
      </c>
      <c r="J18975" s="3">
        <v>1</v>
      </c>
      <c r="K18975" s="3">
        <v>0</v>
      </c>
      <c r="L18975" s="3">
        <v>0</v>
      </c>
      <c r="M18975" s="3">
        <v>0</v>
      </c>
      <c r="N18975" s="3">
        <v>0</v>
      </c>
      <c r="O18975" s="3" t="s">
        <v>10</v>
      </c>
      <c r="P18975" s="3" t="s">
        <v>9</v>
      </c>
      <c r="Q18975" s="3"/>
    </row>
    <row r="18976" spans="1:17" ht="15" x14ac:dyDescent="0.25">
      <c r="A18976" s="3">
        <f>18969</f>
        <v>18969</v>
      </c>
      <c r="B18976" s="3" t="s">
        <v>18978</v>
      </c>
      <c r="C18976" s="3" t="s">
        <v>9</v>
      </c>
      <c r="D18976" s="3" t="s">
        <v>10</v>
      </c>
      <c r="E18976" s="3">
        <v>0</v>
      </c>
      <c r="F18976" s="3">
        <v>0</v>
      </c>
      <c r="G18976" s="3">
        <v>1</v>
      </c>
      <c r="H18976" s="3">
        <v>0</v>
      </c>
      <c r="I18976" s="3">
        <v>0</v>
      </c>
      <c r="J18976" s="3">
        <v>1</v>
      </c>
      <c r="K18976" s="3">
        <v>0</v>
      </c>
      <c r="L18976" s="3">
        <v>0</v>
      </c>
      <c r="M18976" s="3">
        <v>0</v>
      </c>
      <c r="N18976" s="3">
        <v>0</v>
      </c>
      <c r="O18976" s="3" t="s">
        <v>10</v>
      </c>
      <c r="P18976" s="3" t="s">
        <v>9</v>
      </c>
      <c r="Q18976" s="3"/>
    </row>
    <row r="18977" spans="1:17" ht="15" x14ac:dyDescent="0.25">
      <c r="A18977" s="3">
        <f>18970</f>
        <v>18970</v>
      </c>
      <c r="B18977" s="3" t="s">
        <v>18979</v>
      </c>
      <c r="C18977" s="3" t="s">
        <v>9</v>
      </c>
      <c r="D18977" s="3" t="s">
        <v>10</v>
      </c>
      <c r="E18977" s="3">
        <v>0</v>
      </c>
      <c r="F18977" s="3">
        <v>0</v>
      </c>
      <c r="G18977" s="3">
        <v>1</v>
      </c>
      <c r="H18977" s="3">
        <v>0</v>
      </c>
      <c r="I18977" s="3">
        <v>0</v>
      </c>
      <c r="J18977" s="3">
        <v>1</v>
      </c>
      <c r="K18977" s="3">
        <v>0</v>
      </c>
      <c r="L18977" s="3">
        <v>0</v>
      </c>
      <c r="M18977" s="3">
        <v>0</v>
      </c>
      <c r="N18977" s="3">
        <v>0</v>
      </c>
      <c r="O18977" s="3" t="s">
        <v>10</v>
      </c>
      <c r="P18977" s="3" t="s">
        <v>9</v>
      </c>
      <c r="Q18977" s="3"/>
    </row>
    <row r="18978" spans="1:17" ht="15" x14ac:dyDescent="0.25">
      <c r="A18978" s="3">
        <f>18971</f>
        <v>18971</v>
      </c>
      <c r="B18978" s="3" t="s">
        <v>18980</v>
      </c>
      <c r="C18978" s="3" t="s">
        <v>9</v>
      </c>
      <c r="D18978" s="3" t="s">
        <v>10</v>
      </c>
      <c r="E18978" s="3">
        <v>0</v>
      </c>
      <c r="F18978" s="3">
        <v>0</v>
      </c>
      <c r="G18978" s="3">
        <v>1</v>
      </c>
      <c r="H18978" s="3">
        <v>0</v>
      </c>
      <c r="I18978" s="3">
        <v>0</v>
      </c>
      <c r="J18978" s="3">
        <v>1</v>
      </c>
      <c r="K18978" s="3">
        <v>0</v>
      </c>
      <c r="L18978" s="3">
        <v>0</v>
      </c>
      <c r="M18978" s="3">
        <v>0</v>
      </c>
      <c r="N18978" s="3">
        <v>0</v>
      </c>
      <c r="O18978" s="3" t="s">
        <v>10</v>
      </c>
      <c r="P18978" s="3" t="s">
        <v>9</v>
      </c>
      <c r="Q18978" s="3"/>
    </row>
    <row r="18979" spans="1:17" ht="15" x14ac:dyDescent="0.25">
      <c r="A18979" s="3">
        <f>18972</f>
        <v>18972</v>
      </c>
      <c r="B18979" s="3" t="s">
        <v>18981</v>
      </c>
      <c r="C18979" s="3" t="s">
        <v>9</v>
      </c>
      <c r="D18979" s="3" t="s">
        <v>10</v>
      </c>
      <c r="E18979" s="3">
        <v>0</v>
      </c>
      <c r="F18979" s="3">
        <v>0</v>
      </c>
      <c r="G18979" s="3">
        <v>1</v>
      </c>
      <c r="H18979" s="3">
        <v>0</v>
      </c>
      <c r="I18979" s="3">
        <v>0</v>
      </c>
      <c r="J18979" s="3">
        <v>1</v>
      </c>
      <c r="K18979" s="3">
        <v>0</v>
      </c>
      <c r="L18979" s="3">
        <v>0</v>
      </c>
      <c r="M18979" s="3">
        <v>0</v>
      </c>
      <c r="N18979" s="3">
        <v>0</v>
      </c>
      <c r="O18979" s="3" t="s">
        <v>10</v>
      </c>
      <c r="P18979" s="3" t="s">
        <v>9</v>
      </c>
      <c r="Q18979" s="3"/>
    </row>
    <row r="18980" spans="1:17" ht="15" x14ac:dyDescent="0.25">
      <c r="A18980" s="3">
        <f>18973</f>
        <v>18973</v>
      </c>
      <c r="B18980" s="3" t="s">
        <v>18982</v>
      </c>
      <c r="C18980" s="3" t="s">
        <v>9</v>
      </c>
      <c r="D18980" s="3" t="s">
        <v>10</v>
      </c>
      <c r="E18980" s="3">
        <v>0</v>
      </c>
      <c r="F18980" s="3">
        <v>0</v>
      </c>
      <c r="G18980" s="3">
        <v>1</v>
      </c>
      <c r="H18980" s="3">
        <v>0</v>
      </c>
      <c r="I18980" s="3">
        <v>0</v>
      </c>
      <c r="J18980" s="3">
        <v>1</v>
      </c>
      <c r="K18980" s="3">
        <v>0</v>
      </c>
      <c r="L18980" s="3">
        <v>0</v>
      </c>
      <c r="M18980" s="3">
        <v>0</v>
      </c>
      <c r="N18980" s="3">
        <v>0</v>
      </c>
      <c r="O18980" s="3" t="s">
        <v>10</v>
      </c>
      <c r="P18980" s="3" t="s">
        <v>9</v>
      </c>
      <c r="Q18980" s="3"/>
    </row>
    <row r="18981" spans="1:17" ht="15" x14ac:dyDescent="0.25">
      <c r="A18981" s="3">
        <f>18974</f>
        <v>18974</v>
      </c>
      <c r="B18981" s="3" t="s">
        <v>18983</v>
      </c>
      <c r="C18981" s="3" t="s">
        <v>10</v>
      </c>
      <c r="D18981" s="3" t="s">
        <v>9</v>
      </c>
      <c r="E18981" s="3">
        <v>0</v>
      </c>
      <c r="F18981" s="3">
        <v>0</v>
      </c>
      <c r="G18981" s="3">
        <v>1</v>
      </c>
      <c r="H18981" s="3">
        <v>0</v>
      </c>
      <c r="I18981" s="3">
        <v>0</v>
      </c>
      <c r="J18981" s="3">
        <v>1</v>
      </c>
      <c r="K18981" s="3">
        <v>0</v>
      </c>
      <c r="L18981" s="3">
        <v>0</v>
      </c>
      <c r="M18981" s="3">
        <v>0</v>
      </c>
      <c r="N18981" s="3">
        <v>0</v>
      </c>
      <c r="O18981" s="3" t="s">
        <v>10</v>
      </c>
      <c r="P18981" s="3" t="s">
        <v>9</v>
      </c>
      <c r="Q18981" s="3"/>
    </row>
    <row r="18982" spans="1:17" ht="15" x14ac:dyDescent="0.25">
      <c r="A18982" s="3">
        <f>18975</f>
        <v>18975</v>
      </c>
      <c r="B18982" s="3" t="s">
        <v>18984</v>
      </c>
      <c r="C18982" s="3" t="s">
        <v>10</v>
      </c>
      <c r="D18982" s="3" t="s">
        <v>9</v>
      </c>
      <c r="E18982" s="3">
        <v>0</v>
      </c>
      <c r="F18982" s="3">
        <v>0</v>
      </c>
      <c r="G18982" s="3">
        <v>1</v>
      </c>
      <c r="H18982" s="3">
        <v>0</v>
      </c>
      <c r="I18982" s="3">
        <v>0</v>
      </c>
      <c r="J18982" s="3">
        <v>1</v>
      </c>
      <c r="K18982" s="3">
        <v>0</v>
      </c>
      <c r="L18982" s="3">
        <v>0</v>
      </c>
      <c r="M18982" s="3">
        <v>0</v>
      </c>
      <c r="N18982" s="3">
        <v>0</v>
      </c>
      <c r="O18982" s="3" t="s">
        <v>10</v>
      </c>
      <c r="P18982" s="3" t="s">
        <v>9</v>
      </c>
      <c r="Q18982" s="3"/>
    </row>
    <row r="18983" spans="1:17" ht="15" x14ac:dyDescent="0.25">
      <c r="A18983" s="3">
        <f>18976</f>
        <v>18976</v>
      </c>
      <c r="B18983" s="3" t="s">
        <v>18985</v>
      </c>
      <c r="C18983" s="3" t="s">
        <v>10</v>
      </c>
      <c r="D18983" s="3" t="s">
        <v>9</v>
      </c>
      <c r="E18983" s="3">
        <v>0</v>
      </c>
      <c r="F18983" s="3">
        <v>0</v>
      </c>
      <c r="G18983" s="3">
        <v>1</v>
      </c>
      <c r="H18983" s="3">
        <v>0</v>
      </c>
      <c r="I18983" s="3">
        <v>0</v>
      </c>
      <c r="J18983" s="3">
        <v>1</v>
      </c>
      <c r="K18983" s="3">
        <v>0</v>
      </c>
      <c r="L18983" s="3">
        <v>0</v>
      </c>
      <c r="M18983" s="3">
        <v>0</v>
      </c>
      <c r="N18983" s="3">
        <v>0</v>
      </c>
      <c r="O18983" s="3" t="s">
        <v>10</v>
      </c>
      <c r="P18983" s="3" t="s">
        <v>9</v>
      </c>
      <c r="Q18983" s="3"/>
    </row>
    <row r="18984" spans="1:17" ht="15" x14ac:dyDescent="0.25">
      <c r="A18984" s="3">
        <f>18977</f>
        <v>18977</v>
      </c>
      <c r="B18984" s="3" t="s">
        <v>18986</v>
      </c>
      <c r="C18984" s="3" t="s">
        <v>10</v>
      </c>
      <c r="D18984" s="3" t="s">
        <v>9</v>
      </c>
      <c r="E18984" s="3">
        <v>0</v>
      </c>
      <c r="F18984" s="3">
        <v>0</v>
      </c>
      <c r="G18984" s="3">
        <v>1</v>
      </c>
      <c r="H18984" s="3">
        <v>0</v>
      </c>
      <c r="I18984" s="3">
        <v>0</v>
      </c>
      <c r="J18984" s="3">
        <v>1</v>
      </c>
      <c r="K18984" s="3">
        <v>0</v>
      </c>
      <c r="L18984" s="3">
        <v>0</v>
      </c>
      <c r="M18984" s="3">
        <v>0</v>
      </c>
      <c r="N18984" s="3">
        <v>0</v>
      </c>
      <c r="O18984" s="3" t="s">
        <v>10</v>
      </c>
      <c r="P18984" s="3" t="s">
        <v>9</v>
      </c>
      <c r="Q18984" s="3"/>
    </row>
    <row r="18985" spans="1:17" ht="15" x14ac:dyDescent="0.25">
      <c r="A18985" s="3">
        <f>18978</f>
        <v>18978</v>
      </c>
      <c r="B18985" s="3" t="s">
        <v>18987</v>
      </c>
      <c r="C18985" s="3" t="s">
        <v>10</v>
      </c>
      <c r="D18985" s="3" t="s">
        <v>9</v>
      </c>
      <c r="E18985" s="3">
        <v>0</v>
      </c>
      <c r="F18985" s="3">
        <v>0</v>
      </c>
      <c r="G18985" s="3">
        <v>1</v>
      </c>
      <c r="H18985" s="3">
        <v>0</v>
      </c>
      <c r="I18985" s="3">
        <v>0</v>
      </c>
      <c r="J18985" s="3">
        <v>1</v>
      </c>
      <c r="K18985" s="3">
        <v>0</v>
      </c>
      <c r="L18985" s="3">
        <v>0</v>
      </c>
      <c r="M18985" s="3">
        <v>0</v>
      </c>
      <c r="N18985" s="3">
        <v>0</v>
      </c>
      <c r="O18985" s="3" t="s">
        <v>10</v>
      </c>
      <c r="P18985" s="3" t="s">
        <v>9</v>
      </c>
      <c r="Q18985" s="3"/>
    </row>
    <row r="18986" spans="1:17" ht="15" x14ac:dyDescent="0.25">
      <c r="A18986" s="3">
        <f>18979</f>
        <v>18979</v>
      </c>
      <c r="B18986" s="3" t="s">
        <v>18988</v>
      </c>
      <c r="C18986" s="3" t="s">
        <v>10</v>
      </c>
      <c r="D18986" s="3" t="s">
        <v>9</v>
      </c>
      <c r="E18986" s="3">
        <v>0</v>
      </c>
      <c r="F18986" s="3">
        <v>0</v>
      </c>
      <c r="G18986" s="3">
        <v>1</v>
      </c>
      <c r="H18986" s="3">
        <v>0</v>
      </c>
      <c r="I18986" s="3">
        <v>0</v>
      </c>
      <c r="J18986" s="3">
        <v>1</v>
      </c>
      <c r="K18986" s="3">
        <v>0</v>
      </c>
      <c r="L18986" s="3">
        <v>0</v>
      </c>
      <c r="M18986" s="3">
        <v>0</v>
      </c>
      <c r="N18986" s="3">
        <v>0</v>
      </c>
      <c r="O18986" s="3" t="s">
        <v>10</v>
      </c>
      <c r="P18986" s="3" t="s">
        <v>9</v>
      </c>
      <c r="Q18986" s="3"/>
    </row>
    <row r="18987" spans="1:17" ht="15" x14ac:dyDescent="0.25">
      <c r="A18987" s="3">
        <f>18980</f>
        <v>18980</v>
      </c>
      <c r="B18987" s="3" t="s">
        <v>18989</v>
      </c>
      <c r="C18987" s="3" t="s">
        <v>10</v>
      </c>
      <c r="D18987" s="3" t="s">
        <v>9</v>
      </c>
      <c r="E18987" s="3">
        <v>0</v>
      </c>
      <c r="F18987" s="3">
        <v>0</v>
      </c>
      <c r="G18987" s="3">
        <v>1</v>
      </c>
      <c r="H18987" s="3">
        <v>0</v>
      </c>
      <c r="I18987" s="3">
        <v>0</v>
      </c>
      <c r="J18987" s="3">
        <v>1</v>
      </c>
      <c r="K18987" s="3">
        <v>0</v>
      </c>
      <c r="L18987" s="3">
        <v>0</v>
      </c>
      <c r="M18987" s="3">
        <v>0</v>
      </c>
      <c r="N18987" s="3">
        <v>0</v>
      </c>
      <c r="O18987" s="3" t="s">
        <v>10</v>
      </c>
      <c r="P18987" s="3" t="s">
        <v>9</v>
      </c>
      <c r="Q18987" s="3"/>
    </row>
    <row r="18988" spans="1:17" ht="15" x14ac:dyDescent="0.25">
      <c r="A18988" s="3">
        <f>18981</f>
        <v>18981</v>
      </c>
      <c r="B18988" s="3" t="s">
        <v>18990</v>
      </c>
      <c r="C18988" s="3" t="s">
        <v>10</v>
      </c>
      <c r="D18988" s="3" t="s">
        <v>9</v>
      </c>
      <c r="E18988" s="3">
        <v>0</v>
      </c>
      <c r="F18988" s="3">
        <v>0</v>
      </c>
      <c r="G18988" s="3">
        <v>1</v>
      </c>
      <c r="H18988" s="3">
        <v>0</v>
      </c>
      <c r="I18988" s="3">
        <v>0</v>
      </c>
      <c r="J18988" s="3">
        <v>1</v>
      </c>
      <c r="K18988" s="3">
        <v>0</v>
      </c>
      <c r="L18988" s="3">
        <v>0</v>
      </c>
      <c r="M18988" s="3">
        <v>0</v>
      </c>
      <c r="N18988" s="3">
        <v>0</v>
      </c>
      <c r="O18988" s="3" t="s">
        <v>10</v>
      </c>
      <c r="P18988" s="3" t="s">
        <v>9</v>
      </c>
      <c r="Q18988" s="3"/>
    </row>
    <row r="18989" spans="1:17" ht="15" x14ac:dyDescent="0.25">
      <c r="A18989" s="3">
        <f>18982</f>
        <v>18982</v>
      </c>
      <c r="B18989" s="3" t="s">
        <v>18991</v>
      </c>
      <c r="C18989" s="3" t="s">
        <v>10</v>
      </c>
      <c r="D18989" s="3" t="s">
        <v>9</v>
      </c>
      <c r="E18989" s="3">
        <v>0</v>
      </c>
      <c r="F18989" s="3">
        <v>0</v>
      </c>
      <c r="G18989" s="3">
        <v>1</v>
      </c>
      <c r="H18989" s="3">
        <v>0</v>
      </c>
      <c r="I18989" s="3">
        <v>0</v>
      </c>
      <c r="J18989" s="3">
        <v>1</v>
      </c>
      <c r="K18989" s="3">
        <v>0</v>
      </c>
      <c r="L18989" s="3">
        <v>0</v>
      </c>
      <c r="M18989" s="3">
        <v>0</v>
      </c>
      <c r="N18989" s="3">
        <v>0</v>
      </c>
      <c r="O18989" s="3" t="s">
        <v>10</v>
      </c>
      <c r="P18989" s="3" t="s">
        <v>9</v>
      </c>
      <c r="Q18989" s="3"/>
    </row>
    <row r="18990" spans="1:17" ht="15" x14ac:dyDescent="0.25">
      <c r="A18990" s="3">
        <f>18983</f>
        <v>18983</v>
      </c>
      <c r="B18990" s="3" t="s">
        <v>18992</v>
      </c>
      <c r="C18990" s="3" t="s">
        <v>10</v>
      </c>
      <c r="D18990" s="3" t="s">
        <v>9</v>
      </c>
      <c r="E18990" s="3">
        <v>0</v>
      </c>
      <c r="F18990" s="3">
        <v>0</v>
      </c>
      <c r="G18990" s="3">
        <v>1</v>
      </c>
      <c r="H18990" s="3">
        <v>0</v>
      </c>
      <c r="I18990" s="3">
        <v>0</v>
      </c>
      <c r="J18990" s="3">
        <v>1</v>
      </c>
      <c r="K18990" s="3">
        <v>0</v>
      </c>
      <c r="L18990" s="3">
        <v>0</v>
      </c>
      <c r="M18990" s="3">
        <v>0</v>
      </c>
      <c r="N18990" s="3">
        <v>0</v>
      </c>
      <c r="O18990" s="3" t="s">
        <v>10</v>
      </c>
      <c r="P18990" s="3" t="s">
        <v>9</v>
      </c>
      <c r="Q18990" s="3"/>
    </row>
    <row r="18991" spans="1:17" ht="15" x14ac:dyDescent="0.25">
      <c r="A18991" s="3">
        <f>18984</f>
        <v>18984</v>
      </c>
      <c r="B18991" s="3" t="s">
        <v>18993</v>
      </c>
      <c r="C18991" s="3" t="s">
        <v>10</v>
      </c>
      <c r="D18991" s="3" t="s">
        <v>9</v>
      </c>
      <c r="E18991" s="3">
        <v>0</v>
      </c>
      <c r="F18991" s="3">
        <v>0</v>
      </c>
      <c r="G18991" s="3">
        <v>1</v>
      </c>
      <c r="H18991" s="3">
        <v>0</v>
      </c>
      <c r="I18991" s="3">
        <v>0</v>
      </c>
      <c r="J18991" s="3">
        <v>1</v>
      </c>
      <c r="K18991" s="3">
        <v>0</v>
      </c>
      <c r="L18991" s="3">
        <v>0</v>
      </c>
      <c r="M18991" s="3">
        <v>0</v>
      </c>
      <c r="N18991" s="3">
        <v>0</v>
      </c>
      <c r="O18991" s="3" t="s">
        <v>10</v>
      </c>
      <c r="P18991" s="3" t="s">
        <v>9</v>
      </c>
      <c r="Q18991" s="3"/>
    </row>
    <row r="18992" spans="1:17" ht="15" x14ac:dyDescent="0.25">
      <c r="A18992" s="3">
        <f>18985</f>
        <v>18985</v>
      </c>
      <c r="B18992" s="3" t="s">
        <v>18994</v>
      </c>
      <c r="C18992" s="3" t="s">
        <v>10</v>
      </c>
      <c r="D18992" s="3" t="s">
        <v>9</v>
      </c>
      <c r="E18992" s="3">
        <v>0</v>
      </c>
      <c r="F18992" s="3">
        <v>0</v>
      </c>
      <c r="G18992" s="3">
        <v>1</v>
      </c>
      <c r="H18992" s="3">
        <v>0</v>
      </c>
      <c r="I18992" s="3">
        <v>0</v>
      </c>
      <c r="J18992" s="3">
        <v>1</v>
      </c>
      <c r="K18992" s="3">
        <v>0</v>
      </c>
      <c r="L18992" s="3">
        <v>0</v>
      </c>
      <c r="M18992" s="3">
        <v>0</v>
      </c>
      <c r="N18992" s="3">
        <v>0</v>
      </c>
      <c r="O18992" s="3" t="s">
        <v>10</v>
      </c>
      <c r="P18992" s="3" t="s">
        <v>9</v>
      </c>
      <c r="Q18992" s="3"/>
    </row>
    <row r="18993" spans="1:17" ht="15" x14ac:dyDescent="0.25">
      <c r="A18993" s="3">
        <f>18986</f>
        <v>18986</v>
      </c>
      <c r="B18993" s="3" t="s">
        <v>18995</v>
      </c>
      <c r="C18993" s="3" t="s">
        <v>10</v>
      </c>
      <c r="D18993" s="3" t="s">
        <v>9</v>
      </c>
      <c r="E18993" s="3">
        <v>0</v>
      </c>
      <c r="F18993" s="3">
        <v>0</v>
      </c>
      <c r="G18993" s="3">
        <v>1</v>
      </c>
      <c r="H18993" s="3">
        <v>0</v>
      </c>
      <c r="I18993" s="3">
        <v>0</v>
      </c>
      <c r="J18993" s="3">
        <v>1</v>
      </c>
      <c r="K18993" s="3">
        <v>0</v>
      </c>
      <c r="L18993" s="3">
        <v>0</v>
      </c>
      <c r="M18993" s="3">
        <v>0</v>
      </c>
      <c r="N18993" s="3">
        <v>0</v>
      </c>
      <c r="O18993" s="3" t="s">
        <v>10</v>
      </c>
      <c r="P18993" s="3" t="s">
        <v>9</v>
      </c>
      <c r="Q18993" s="3"/>
    </row>
    <row r="18994" spans="1:17" ht="15" x14ac:dyDescent="0.25">
      <c r="A18994" s="3">
        <f>18987</f>
        <v>18987</v>
      </c>
      <c r="B18994" s="3" t="s">
        <v>18996</v>
      </c>
      <c r="C18994" s="3" t="s">
        <v>10</v>
      </c>
      <c r="D18994" s="3" t="s">
        <v>9</v>
      </c>
      <c r="E18994" s="3">
        <v>0</v>
      </c>
      <c r="F18994" s="3">
        <v>0</v>
      </c>
      <c r="G18994" s="3">
        <v>1</v>
      </c>
      <c r="H18994" s="3">
        <v>0</v>
      </c>
      <c r="I18994" s="3">
        <v>0</v>
      </c>
      <c r="J18994" s="3">
        <v>1</v>
      </c>
      <c r="K18994" s="3">
        <v>0</v>
      </c>
      <c r="L18994" s="3">
        <v>0</v>
      </c>
      <c r="M18994" s="3">
        <v>0</v>
      </c>
      <c r="N18994" s="3">
        <v>0</v>
      </c>
      <c r="O18994" s="3" t="s">
        <v>10</v>
      </c>
      <c r="P18994" s="3" t="s">
        <v>9</v>
      </c>
      <c r="Q18994" s="3"/>
    </row>
    <row r="18995" spans="1:17" ht="15" x14ac:dyDescent="0.25">
      <c r="A18995" s="3">
        <f>18988</f>
        <v>18988</v>
      </c>
      <c r="B18995" s="3" t="s">
        <v>18997</v>
      </c>
      <c r="C18995" s="3" t="s">
        <v>10</v>
      </c>
      <c r="D18995" s="3" t="s">
        <v>9</v>
      </c>
      <c r="E18995" s="3">
        <v>0</v>
      </c>
      <c r="F18995" s="3">
        <v>0</v>
      </c>
      <c r="G18995" s="3">
        <v>1</v>
      </c>
      <c r="H18995" s="3">
        <v>0</v>
      </c>
      <c r="I18995" s="3">
        <v>0</v>
      </c>
      <c r="J18995" s="3">
        <v>1</v>
      </c>
      <c r="K18995" s="3">
        <v>0</v>
      </c>
      <c r="L18995" s="3">
        <v>0</v>
      </c>
      <c r="M18995" s="3">
        <v>0</v>
      </c>
      <c r="N18995" s="3">
        <v>0</v>
      </c>
      <c r="O18995" s="3" t="s">
        <v>10</v>
      </c>
      <c r="P18995" s="3" t="s">
        <v>9</v>
      </c>
      <c r="Q18995" s="3"/>
    </row>
    <row r="18996" spans="1:17" ht="15" x14ac:dyDescent="0.25">
      <c r="A18996" s="3">
        <f>18989</f>
        <v>18989</v>
      </c>
      <c r="B18996" s="3" t="s">
        <v>18998</v>
      </c>
      <c r="C18996" s="3" t="s">
        <v>10</v>
      </c>
      <c r="D18996" s="3" t="s">
        <v>9</v>
      </c>
      <c r="E18996" s="3">
        <v>0</v>
      </c>
      <c r="F18996" s="3">
        <v>0</v>
      </c>
      <c r="G18996" s="3">
        <v>1</v>
      </c>
      <c r="H18996" s="3">
        <v>0</v>
      </c>
      <c r="I18996" s="3">
        <v>0</v>
      </c>
      <c r="J18996" s="3">
        <v>1</v>
      </c>
      <c r="K18996" s="3">
        <v>0</v>
      </c>
      <c r="L18996" s="3">
        <v>0</v>
      </c>
      <c r="M18996" s="3">
        <v>0</v>
      </c>
      <c r="N18996" s="3">
        <v>0</v>
      </c>
      <c r="O18996" s="3" t="s">
        <v>10</v>
      </c>
      <c r="P18996" s="3" t="s">
        <v>9</v>
      </c>
      <c r="Q18996" s="3"/>
    </row>
    <row r="18997" spans="1:17" ht="15" x14ac:dyDescent="0.25">
      <c r="A18997" s="3">
        <f>18990</f>
        <v>18990</v>
      </c>
      <c r="B18997" s="3" t="s">
        <v>18999</v>
      </c>
      <c r="C18997" s="3" t="s">
        <v>10</v>
      </c>
      <c r="D18997" s="3" t="s">
        <v>9</v>
      </c>
      <c r="E18997" s="3">
        <v>0</v>
      </c>
      <c r="F18997" s="3">
        <v>0</v>
      </c>
      <c r="G18997" s="3">
        <v>1</v>
      </c>
      <c r="H18997" s="3">
        <v>0</v>
      </c>
      <c r="I18997" s="3">
        <v>0</v>
      </c>
      <c r="J18997" s="3">
        <v>1</v>
      </c>
      <c r="K18997" s="3">
        <v>0</v>
      </c>
      <c r="L18997" s="3">
        <v>0</v>
      </c>
      <c r="M18997" s="3">
        <v>0</v>
      </c>
      <c r="N18997" s="3">
        <v>0</v>
      </c>
      <c r="O18997" s="3" t="s">
        <v>10</v>
      </c>
      <c r="P18997" s="3" t="s">
        <v>9</v>
      </c>
      <c r="Q18997" s="3"/>
    </row>
    <row r="18998" spans="1:17" ht="15" x14ac:dyDescent="0.25">
      <c r="A18998" s="3">
        <f>18991</f>
        <v>18991</v>
      </c>
      <c r="B18998" s="3" t="s">
        <v>19000</v>
      </c>
      <c r="C18998" s="3" t="s">
        <v>10</v>
      </c>
      <c r="D18998" s="3" t="s">
        <v>9</v>
      </c>
      <c r="E18998" s="3">
        <v>0</v>
      </c>
      <c r="F18998" s="3">
        <v>0</v>
      </c>
      <c r="G18998" s="3">
        <v>1</v>
      </c>
      <c r="H18998" s="3">
        <v>0</v>
      </c>
      <c r="I18998" s="3">
        <v>0</v>
      </c>
      <c r="J18998" s="3">
        <v>1</v>
      </c>
      <c r="K18998" s="3">
        <v>0</v>
      </c>
      <c r="L18998" s="3">
        <v>0</v>
      </c>
      <c r="M18998" s="3">
        <v>0</v>
      </c>
      <c r="N18998" s="3">
        <v>0</v>
      </c>
      <c r="O18998" s="3" t="s">
        <v>10</v>
      </c>
      <c r="P18998" s="3" t="s">
        <v>9</v>
      </c>
      <c r="Q18998" s="3"/>
    </row>
    <row r="18999" spans="1:17" ht="15" x14ac:dyDescent="0.25">
      <c r="A18999" s="3">
        <f>18992</f>
        <v>18992</v>
      </c>
      <c r="B18999" s="3" t="s">
        <v>19001</v>
      </c>
      <c r="C18999" s="3" t="s">
        <v>10</v>
      </c>
      <c r="D18999" s="3" t="s">
        <v>9</v>
      </c>
      <c r="E18999" s="3">
        <v>0</v>
      </c>
      <c r="F18999" s="3">
        <v>0</v>
      </c>
      <c r="G18999" s="3">
        <v>1</v>
      </c>
      <c r="H18999" s="3">
        <v>0</v>
      </c>
      <c r="I18999" s="3">
        <v>0</v>
      </c>
      <c r="J18999" s="3">
        <v>1</v>
      </c>
      <c r="K18999" s="3">
        <v>0</v>
      </c>
      <c r="L18999" s="3">
        <v>0</v>
      </c>
      <c r="M18999" s="3">
        <v>0</v>
      </c>
      <c r="N18999" s="3">
        <v>0</v>
      </c>
      <c r="O18999" s="3" t="s">
        <v>10</v>
      </c>
      <c r="P18999" s="3" t="s">
        <v>9</v>
      </c>
      <c r="Q18999" s="3"/>
    </row>
    <row r="19000" spans="1:17" ht="15" x14ac:dyDescent="0.25">
      <c r="A19000" s="3">
        <f>18993</f>
        <v>18993</v>
      </c>
      <c r="B19000" s="3" t="s">
        <v>19002</v>
      </c>
      <c r="C19000" s="3" t="s">
        <v>10</v>
      </c>
      <c r="D19000" s="3" t="s">
        <v>9</v>
      </c>
      <c r="E19000" s="3">
        <v>0</v>
      </c>
      <c r="F19000" s="3">
        <v>0</v>
      </c>
      <c r="G19000" s="3">
        <v>1</v>
      </c>
      <c r="H19000" s="3">
        <v>0</v>
      </c>
      <c r="I19000" s="3">
        <v>0</v>
      </c>
      <c r="J19000" s="3">
        <v>1</v>
      </c>
      <c r="K19000" s="3">
        <v>0</v>
      </c>
      <c r="L19000" s="3">
        <v>0</v>
      </c>
      <c r="M19000" s="3">
        <v>0</v>
      </c>
      <c r="N19000" s="3">
        <v>0</v>
      </c>
      <c r="O19000" s="3" t="s">
        <v>10</v>
      </c>
      <c r="P19000" s="3" t="s">
        <v>9</v>
      </c>
      <c r="Q19000" s="3"/>
    </row>
    <row r="19001" spans="1:17" ht="15" x14ac:dyDescent="0.25">
      <c r="A19001" s="3">
        <f>18994</f>
        <v>18994</v>
      </c>
      <c r="B19001" s="3" t="s">
        <v>19003</v>
      </c>
      <c r="C19001" s="3" t="s">
        <v>10</v>
      </c>
      <c r="D19001" s="3" t="s">
        <v>9</v>
      </c>
      <c r="E19001" s="3">
        <v>0</v>
      </c>
      <c r="F19001" s="3">
        <v>0</v>
      </c>
      <c r="G19001" s="3">
        <v>1</v>
      </c>
      <c r="H19001" s="3">
        <v>0</v>
      </c>
      <c r="I19001" s="3">
        <v>0</v>
      </c>
      <c r="J19001" s="3">
        <v>1</v>
      </c>
      <c r="K19001" s="3">
        <v>0</v>
      </c>
      <c r="L19001" s="3">
        <v>0</v>
      </c>
      <c r="M19001" s="3">
        <v>0</v>
      </c>
      <c r="N19001" s="3">
        <v>0</v>
      </c>
      <c r="O19001" s="3" t="s">
        <v>10</v>
      </c>
      <c r="P19001" s="3" t="s">
        <v>9</v>
      </c>
      <c r="Q19001" s="3"/>
    </row>
    <row r="19002" spans="1:17" ht="15" x14ac:dyDescent="0.25">
      <c r="A19002" s="3">
        <f>18995</f>
        <v>18995</v>
      </c>
      <c r="B19002" s="3" t="s">
        <v>19004</v>
      </c>
      <c r="C19002" s="3" t="s">
        <v>10</v>
      </c>
      <c r="D19002" s="3" t="s">
        <v>9</v>
      </c>
      <c r="E19002" s="3">
        <v>0</v>
      </c>
      <c r="F19002" s="3">
        <v>0</v>
      </c>
      <c r="G19002" s="3">
        <v>1</v>
      </c>
      <c r="H19002" s="3">
        <v>0</v>
      </c>
      <c r="I19002" s="3">
        <v>0</v>
      </c>
      <c r="J19002" s="3">
        <v>1</v>
      </c>
      <c r="K19002" s="3">
        <v>0</v>
      </c>
      <c r="L19002" s="3">
        <v>0</v>
      </c>
      <c r="M19002" s="3">
        <v>0</v>
      </c>
      <c r="N19002" s="3">
        <v>0</v>
      </c>
      <c r="O19002" s="3" t="s">
        <v>10</v>
      </c>
      <c r="P19002" s="3" t="s">
        <v>9</v>
      </c>
      <c r="Q19002" s="3"/>
    </row>
    <row r="19003" spans="1:17" ht="15" x14ac:dyDescent="0.25">
      <c r="A19003" s="3">
        <f>18996</f>
        <v>18996</v>
      </c>
      <c r="B19003" s="3" t="s">
        <v>19005</v>
      </c>
      <c r="C19003" s="3" t="s">
        <v>10</v>
      </c>
      <c r="D19003" s="3" t="s">
        <v>9</v>
      </c>
      <c r="E19003" s="3">
        <v>0</v>
      </c>
      <c r="F19003" s="3">
        <v>0</v>
      </c>
      <c r="G19003" s="3">
        <v>1</v>
      </c>
      <c r="H19003" s="3">
        <v>0</v>
      </c>
      <c r="I19003" s="3">
        <v>0</v>
      </c>
      <c r="J19003" s="3">
        <v>1</v>
      </c>
      <c r="K19003" s="3">
        <v>0</v>
      </c>
      <c r="L19003" s="3">
        <v>0</v>
      </c>
      <c r="M19003" s="3">
        <v>0</v>
      </c>
      <c r="N19003" s="3">
        <v>0</v>
      </c>
      <c r="O19003" s="3" t="s">
        <v>10</v>
      </c>
      <c r="P19003" s="3" t="s">
        <v>9</v>
      </c>
      <c r="Q19003" s="3"/>
    </row>
    <row r="19004" spans="1:17" ht="15" x14ac:dyDescent="0.25">
      <c r="A19004" s="3">
        <f>18997</f>
        <v>18997</v>
      </c>
      <c r="B19004" s="3" t="s">
        <v>19006</v>
      </c>
      <c r="C19004" s="3" t="s">
        <v>10</v>
      </c>
      <c r="D19004" s="3" t="s">
        <v>9</v>
      </c>
      <c r="E19004" s="3">
        <v>0</v>
      </c>
      <c r="F19004" s="3">
        <v>0</v>
      </c>
      <c r="G19004" s="3">
        <v>1</v>
      </c>
      <c r="H19004" s="3">
        <v>0</v>
      </c>
      <c r="I19004" s="3">
        <v>0</v>
      </c>
      <c r="J19004" s="3">
        <v>1</v>
      </c>
      <c r="K19004" s="3">
        <v>0</v>
      </c>
      <c r="L19004" s="3">
        <v>0</v>
      </c>
      <c r="M19004" s="3">
        <v>0</v>
      </c>
      <c r="N19004" s="3">
        <v>0</v>
      </c>
      <c r="O19004" s="3" t="s">
        <v>10</v>
      </c>
      <c r="P19004" s="3" t="s">
        <v>9</v>
      </c>
      <c r="Q19004" s="3"/>
    </row>
    <row r="19005" spans="1:17" ht="15" x14ac:dyDescent="0.25">
      <c r="A19005" s="3">
        <f>18998</f>
        <v>18998</v>
      </c>
      <c r="B19005" s="3" t="s">
        <v>19007</v>
      </c>
      <c r="C19005" s="3" t="s">
        <v>10</v>
      </c>
      <c r="D19005" s="3" t="s">
        <v>9</v>
      </c>
      <c r="E19005" s="3">
        <v>0</v>
      </c>
      <c r="F19005" s="3">
        <v>0</v>
      </c>
      <c r="G19005" s="3">
        <v>1</v>
      </c>
      <c r="H19005" s="3">
        <v>0</v>
      </c>
      <c r="I19005" s="3">
        <v>0</v>
      </c>
      <c r="J19005" s="3">
        <v>1</v>
      </c>
      <c r="K19005" s="3">
        <v>0</v>
      </c>
      <c r="L19005" s="3">
        <v>0</v>
      </c>
      <c r="M19005" s="3">
        <v>0</v>
      </c>
      <c r="N19005" s="3">
        <v>0</v>
      </c>
      <c r="O19005" s="3" t="s">
        <v>10</v>
      </c>
      <c r="P19005" s="3" t="s">
        <v>9</v>
      </c>
      <c r="Q19005" s="3"/>
    </row>
    <row r="19006" spans="1:17" ht="15" x14ac:dyDescent="0.25">
      <c r="A19006" s="3">
        <f>18999</f>
        <v>18999</v>
      </c>
      <c r="B19006" s="3" t="s">
        <v>19008</v>
      </c>
      <c r="C19006" s="3" t="s">
        <v>10</v>
      </c>
      <c r="D19006" s="3" t="s">
        <v>9</v>
      </c>
      <c r="E19006" s="3">
        <v>0</v>
      </c>
      <c r="F19006" s="3">
        <v>0</v>
      </c>
      <c r="G19006" s="3">
        <v>1</v>
      </c>
      <c r="H19006" s="3">
        <v>0</v>
      </c>
      <c r="I19006" s="3">
        <v>0</v>
      </c>
      <c r="J19006" s="3">
        <v>1</v>
      </c>
      <c r="K19006" s="3">
        <v>0</v>
      </c>
      <c r="L19006" s="3">
        <v>0</v>
      </c>
      <c r="M19006" s="3">
        <v>0</v>
      </c>
      <c r="N19006" s="3">
        <v>0</v>
      </c>
      <c r="O19006" s="3" t="s">
        <v>10</v>
      </c>
      <c r="P19006" s="3" t="s">
        <v>9</v>
      </c>
      <c r="Q19006" s="3"/>
    </row>
    <row r="19007" spans="1:17" ht="15" x14ac:dyDescent="0.25">
      <c r="A19007" s="3">
        <f>19000</f>
        <v>19000</v>
      </c>
      <c r="B19007" s="3" t="s">
        <v>19009</v>
      </c>
      <c r="C19007" s="3" t="s">
        <v>10</v>
      </c>
      <c r="D19007" s="3" t="s">
        <v>9</v>
      </c>
      <c r="E19007" s="3">
        <v>0</v>
      </c>
      <c r="F19007" s="3">
        <v>0</v>
      </c>
      <c r="G19007" s="3">
        <v>1</v>
      </c>
      <c r="H19007" s="3">
        <v>0</v>
      </c>
      <c r="I19007" s="3">
        <v>0</v>
      </c>
      <c r="J19007" s="3">
        <v>1</v>
      </c>
      <c r="K19007" s="3">
        <v>0</v>
      </c>
      <c r="L19007" s="3">
        <v>0</v>
      </c>
      <c r="M19007" s="3">
        <v>0</v>
      </c>
      <c r="N19007" s="3">
        <v>0</v>
      </c>
      <c r="O19007" s="3" t="s">
        <v>10</v>
      </c>
      <c r="P19007" s="3" t="s">
        <v>9</v>
      </c>
      <c r="Q19007" s="3"/>
    </row>
    <row r="19008" spans="1:17" ht="15" x14ac:dyDescent="0.25">
      <c r="A19008" s="3">
        <f>19001</f>
        <v>19001</v>
      </c>
      <c r="B19008" s="3" t="s">
        <v>19010</v>
      </c>
      <c r="C19008" s="3" t="s">
        <v>10</v>
      </c>
      <c r="D19008" s="3" t="s">
        <v>9</v>
      </c>
      <c r="E19008" s="3">
        <v>0</v>
      </c>
      <c r="F19008" s="3">
        <v>0</v>
      </c>
      <c r="G19008" s="3">
        <v>1</v>
      </c>
      <c r="H19008" s="3">
        <v>0</v>
      </c>
      <c r="I19008" s="3">
        <v>0</v>
      </c>
      <c r="J19008" s="3">
        <v>1</v>
      </c>
      <c r="K19008" s="3">
        <v>0</v>
      </c>
      <c r="L19008" s="3">
        <v>0</v>
      </c>
      <c r="M19008" s="3">
        <v>0</v>
      </c>
      <c r="N19008" s="3">
        <v>0</v>
      </c>
      <c r="O19008" s="3" t="s">
        <v>10</v>
      </c>
      <c r="P19008" s="3" t="s">
        <v>9</v>
      </c>
      <c r="Q19008" s="3"/>
    </row>
    <row r="19009" spans="1:17" ht="15" x14ac:dyDescent="0.25">
      <c r="A19009" s="3">
        <f>19002</f>
        <v>19002</v>
      </c>
      <c r="B19009" s="3" t="s">
        <v>19011</v>
      </c>
      <c r="C19009" s="3" t="s">
        <v>10</v>
      </c>
      <c r="D19009" s="3" t="s">
        <v>9</v>
      </c>
      <c r="E19009" s="3">
        <v>0</v>
      </c>
      <c r="F19009" s="3">
        <v>0</v>
      </c>
      <c r="G19009" s="3">
        <v>1</v>
      </c>
      <c r="H19009" s="3">
        <v>0</v>
      </c>
      <c r="I19009" s="3">
        <v>0</v>
      </c>
      <c r="J19009" s="3">
        <v>1</v>
      </c>
      <c r="K19009" s="3">
        <v>0</v>
      </c>
      <c r="L19009" s="3">
        <v>0</v>
      </c>
      <c r="M19009" s="3">
        <v>0</v>
      </c>
      <c r="N19009" s="3">
        <v>0</v>
      </c>
      <c r="O19009" s="3" t="s">
        <v>10</v>
      </c>
      <c r="P19009" s="3" t="s">
        <v>9</v>
      </c>
      <c r="Q19009" s="3"/>
    </row>
    <row r="19010" spans="1:17" ht="15" x14ac:dyDescent="0.25">
      <c r="A19010" s="3">
        <f>19003</f>
        <v>19003</v>
      </c>
      <c r="B19010" s="3" t="s">
        <v>19012</v>
      </c>
      <c r="C19010" s="3" t="s">
        <v>10</v>
      </c>
      <c r="D19010" s="3" t="s">
        <v>9</v>
      </c>
      <c r="E19010" s="3">
        <v>0</v>
      </c>
      <c r="F19010" s="3">
        <v>0</v>
      </c>
      <c r="G19010" s="3">
        <v>1</v>
      </c>
      <c r="H19010" s="3">
        <v>0</v>
      </c>
      <c r="I19010" s="3">
        <v>0</v>
      </c>
      <c r="J19010" s="3">
        <v>1</v>
      </c>
      <c r="K19010" s="3">
        <v>0</v>
      </c>
      <c r="L19010" s="3">
        <v>0</v>
      </c>
      <c r="M19010" s="3">
        <v>0</v>
      </c>
      <c r="N19010" s="3">
        <v>0</v>
      </c>
      <c r="O19010" s="3" t="s">
        <v>10</v>
      </c>
      <c r="P19010" s="3" t="s">
        <v>9</v>
      </c>
      <c r="Q19010" s="3"/>
    </row>
    <row r="19011" spans="1:17" ht="15" x14ac:dyDescent="0.25">
      <c r="A19011" s="3">
        <f>19004</f>
        <v>19004</v>
      </c>
      <c r="B19011" s="3" t="s">
        <v>19013</v>
      </c>
      <c r="C19011" s="3" t="s">
        <v>10</v>
      </c>
      <c r="D19011" s="3" t="s">
        <v>9</v>
      </c>
      <c r="E19011" s="3">
        <v>0</v>
      </c>
      <c r="F19011" s="3">
        <v>0</v>
      </c>
      <c r="G19011" s="3">
        <v>1</v>
      </c>
      <c r="H19011" s="3">
        <v>0</v>
      </c>
      <c r="I19011" s="3">
        <v>0</v>
      </c>
      <c r="J19011" s="3">
        <v>1</v>
      </c>
      <c r="K19011" s="3">
        <v>0</v>
      </c>
      <c r="L19011" s="3">
        <v>0</v>
      </c>
      <c r="M19011" s="3">
        <v>0</v>
      </c>
      <c r="N19011" s="3">
        <v>0</v>
      </c>
      <c r="O19011" s="3" t="s">
        <v>10</v>
      </c>
      <c r="P19011" s="3" t="s">
        <v>9</v>
      </c>
      <c r="Q19011" s="3"/>
    </row>
    <row r="19012" spans="1:17" ht="15" x14ac:dyDescent="0.25">
      <c r="A19012" s="3">
        <f>19005</f>
        <v>19005</v>
      </c>
      <c r="B19012" s="3" t="s">
        <v>19014</v>
      </c>
      <c r="C19012" s="3" t="s">
        <v>10</v>
      </c>
      <c r="D19012" s="3" t="s">
        <v>9</v>
      </c>
      <c r="E19012" s="3">
        <v>0</v>
      </c>
      <c r="F19012" s="3">
        <v>0</v>
      </c>
      <c r="G19012" s="3">
        <v>1</v>
      </c>
      <c r="H19012" s="3">
        <v>0</v>
      </c>
      <c r="I19012" s="3">
        <v>0</v>
      </c>
      <c r="J19012" s="3">
        <v>1</v>
      </c>
      <c r="K19012" s="3">
        <v>0</v>
      </c>
      <c r="L19012" s="3">
        <v>0</v>
      </c>
      <c r="M19012" s="3">
        <v>0</v>
      </c>
      <c r="N19012" s="3">
        <v>0</v>
      </c>
      <c r="O19012" s="3" t="s">
        <v>10</v>
      </c>
      <c r="P19012" s="3" t="s">
        <v>9</v>
      </c>
      <c r="Q19012" s="3"/>
    </row>
    <row r="19013" spans="1:17" ht="15" x14ac:dyDescent="0.25">
      <c r="A19013" s="3">
        <f>19006</f>
        <v>19006</v>
      </c>
      <c r="B19013" s="3" t="s">
        <v>19015</v>
      </c>
      <c r="C19013" s="3" t="s">
        <v>10</v>
      </c>
      <c r="D19013" s="3" t="s">
        <v>9</v>
      </c>
      <c r="E19013" s="3">
        <v>0</v>
      </c>
      <c r="F19013" s="3">
        <v>0</v>
      </c>
      <c r="G19013" s="3">
        <v>1</v>
      </c>
      <c r="H19013" s="3">
        <v>0</v>
      </c>
      <c r="I19013" s="3">
        <v>0</v>
      </c>
      <c r="J19013" s="3">
        <v>1</v>
      </c>
      <c r="K19013" s="3">
        <v>0</v>
      </c>
      <c r="L19013" s="3">
        <v>0</v>
      </c>
      <c r="M19013" s="3">
        <v>0</v>
      </c>
      <c r="N19013" s="3">
        <v>0</v>
      </c>
      <c r="O19013" s="3" t="s">
        <v>10</v>
      </c>
      <c r="P19013" s="3" t="s">
        <v>9</v>
      </c>
      <c r="Q19013" s="3"/>
    </row>
    <row r="19014" spans="1:17" ht="15" x14ac:dyDescent="0.25">
      <c r="A19014" s="3">
        <f>19007</f>
        <v>19007</v>
      </c>
      <c r="B19014" s="3" t="s">
        <v>19016</v>
      </c>
      <c r="C19014" s="3" t="s">
        <v>10</v>
      </c>
      <c r="D19014" s="3" t="s">
        <v>9</v>
      </c>
      <c r="E19014" s="3">
        <v>0</v>
      </c>
      <c r="F19014" s="3">
        <v>0</v>
      </c>
      <c r="G19014" s="3">
        <v>1</v>
      </c>
      <c r="H19014" s="3">
        <v>0</v>
      </c>
      <c r="I19014" s="3">
        <v>0</v>
      </c>
      <c r="J19014" s="3">
        <v>1</v>
      </c>
      <c r="K19014" s="3">
        <v>0</v>
      </c>
      <c r="L19014" s="3">
        <v>0</v>
      </c>
      <c r="M19014" s="3">
        <v>0</v>
      </c>
      <c r="N19014" s="3">
        <v>0</v>
      </c>
      <c r="O19014" s="3" t="s">
        <v>10</v>
      </c>
      <c r="P19014" s="3" t="s">
        <v>9</v>
      </c>
      <c r="Q19014" s="3"/>
    </row>
    <row r="19015" spans="1:17" ht="15" x14ac:dyDescent="0.25">
      <c r="A19015" s="3">
        <f>19008</f>
        <v>19008</v>
      </c>
      <c r="B19015" s="3" t="s">
        <v>19017</v>
      </c>
      <c r="C19015" s="3" t="s">
        <v>10</v>
      </c>
      <c r="D19015" s="3" t="s">
        <v>9</v>
      </c>
      <c r="E19015" s="3">
        <v>0</v>
      </c>
      <c r="F19015" s="3">
        <v>0</v>
      </c>
      <c r="G19015" s="3">
        <v>1</v>
      </c>
      <c r="H19015" s="3">
        <v>0</v>
      </c>
      <c r="I19015" s="3">
        <v>0</v>
      </c>
      <c r="J19015" s="3">
        <v>1</v>
      </c>
      <c r="K19015" s="3">
        <v>0</v>
      </c>
      <c r="L19015" s="3">
        <v>0</v>
      </c>
      <c r="M19015" s="3">
        <v>0</v>
      </c>
      <c r="N19015" s="3">
        <v>0</v>
      </c>
      <c r="O19015" s="3" t="s">
        <v>10</v>
      </c>
      <c r="P19015" s="3" t="s">
        <v>9</v>
      </c>
      <c r="Q19015" s="3"/>
    </row>
    <row r="19016" spans="1:17" ht="15" x14ac:dyDescent="0.25">
      <c r="A19016" s="3">
        <f>19009</f>
        <v>19009</v>
      </c>
      <c r="B19016" s="3" t="s">
        <v>19018</v>
      </c>
      <c r="C19016" s="3" t="s">
        <v>10</v>
      </c>
      <c r="D19016" s="3" t="s">
        <v>9</v>
      </c>
      <c r="E19016" s="3">
        <v>0</v>
      </c>
      <c r="F19016" s="3">
        <v>0</v>
      </c>
      <c r="G19016" s="3">
        <v>1</v>
      </c>
      <c r="H19016" s="3">
        <v>0</v>
      </c>
      <c r="I19016" s="3">
        <v>0</v>
      </c>
      <c r="J19016" s="3">
        <v>1</v>
      </c>
      <c r="K19016" s="3">
        <v>0</v>
      </c>
      <c r="L19016" s="3">
        <v>0</v>
      </c>
      <c r="M19016" s="3">
        <v>0</v>
      </c>
      <c r="N19016" s="3">
        <v>0</v>
      </c>
      <c r="O19016" s="3" t="s">
        <v>10</v>
      </c>
      <c r="P19016" s="3" t="s">
        <v>9</v>
      </c>
      <c r="Q19016" s="3"/>
    </row>
    <row r="19017" spans="1:17" ht="15" x14ac:dyDescent="0.25">
      <c r="A19017" s="3">
        <f>19010</f>
        <v>19010</v>
      </c>
      <c r="B19017" s="3" t="s">
        <v>19019</v>
      </c>
      <c r="C19017" s="3" t="s">
        <v>10</v>
      </c>
      <c r="D19017" s="3" t="s">
        <v>9</v>
      </c>
      <c r="E19017" s="3">
        <v>0</v>
      </c>
      <c r="F19017" s="3">
        <v>0</v>
      </c>
      <c r="G19017" s="3">
        <v>1</v>
      </c>
      <c r="H19017" s="3">
        <v>0</v>
      </c>
      <c r="I19017" s="3">
        <v>0</v>
      </c>
      <c r="J19017" s="3">
        <v>1</v>
      </c>
      <c r="K19017" s="3">
        <v>0</v>
      </c>
      <c r="L19017" s="3">
        <v>0</v>
      </c>
      <c r="M19017" s="3">
        <v>0</v>
      </c>
      <c r="N19017" s="3">
        <v>0</v>
      </c>
      <c r="O19017" s="3" t="s">
        <v>10</v>
      </c>
      <c r="P19017" s="3" t="s">
        <v>9</v>
      </c>
      <c r="Q19017" s="3"/>
    </row>
    <row r="19018" spans="1:17" ht="15" x14ac:dyDescent="0.25">
      <c r="A19018" s="3">
        <f>19011</f>
        <v>19011</v>
      </c>
      <c r="B19018" s="3" t="s">
        <v>19020</v>
      </c>
      <c r="C19018" s="3" t="s">
        <v>10</v>
      </c>
      <c r="D19018" s="3" t="s">
        <v>9</v>
      </c>
      <c r="E19018" s="3">
        <v>0</v>
      </c>
      <c r="F19018" s="3">
        <v>0</v>
      </c>
      <c r="G19018" s="3">
        <v>1</v>
      </c>
      <c r="H19018" s="3">
        <v>0</v>
      </c>
      <c r="I19018" s="3">
        <v>0</v>
      </c>
      <c r="J19018" s="3">
        <v>1</v>
      </c>
      <c r="K19018" s="3">
        <v>0</v>
      </c>
      <c r="L19018" s="3">
        <v>0</v>
      </c>
      <c r="M19018" s="3">
        <v>0</v>
      </c>
      <c r="N19018" s="3">
        <v>0</v>
      </c>
      <c r="O19018" s="3" t="s">
        <v>10</v>
      </c>
      <c r="P19018" s="3" t="s">
        <v>9</v>
      </c>
      <c r="Q19018" s="3"/>
    </row>
    <row r="19019" spans="1:17" ht="15" x14ac:dyDescent="0.25">
      <c r="A19019" s="3">
        <f>19012</f>
        <v>19012</v>
      </c>
      <c r="B19019" s="3" t="s">
        <v>19021</v>
      </c>
      <c r="C19019" s="3" t="s">
        <v>10</v>
      </c>
      <c r="D19019" s="3" t="s">
        <v>9</v>
      </c>
      <c r="E19019" s="3">
        <v>0</v>
      </c>
      <c r="F19019" s="3">
        <v>0</v>
      </c>
      <c r="G19019" s="3">
        <v>1</v>
      </c>
      <c r="H19019" s="3">
        <v>0</v>
      </c>
      <c r="I19019" s="3">
        <v>0</v>
      </c>
      <c r="J19019" s="3">
        <v>1</v>
      </c>
      <c r="K19019" s="3">
        <v>0</v>
      </c>
      <c r="L19019" s="3">
        <v>0</v>
      </c>
      <c r="M19019" s="3">
        <v>0</v>
      </c>
      <c r="N19019" s="3">
        <v>0</v>
      </c>
      <c r="O19019" s="3" t="s">
        <v>10</v>
      </c>
      <c r="P19019" s="3" t="s">
        <v>9</v>
      </c>
      <c r="Q19019" s="3"/>
    </row>
    <row r="19020" spans="1:17" ht="15" x14ac:dyDescent="0.25">
      <c r="A19020" s="3">
        <f>19013</f>
        <v>19013</v>
      </c>
      <c r="B19020" s="3" t="s">
        <v>19022</v>
      </c>
      <c r="C19020" s="3" t="s">
        <v>10</v>
      </c>
      <c r="D19020" s="3" t="s">
        <v>9</v>
      </c>
      <c r="E19020" s="3">
        <v>0</v>
      </c>
      <c r="F19020" s="3">
        <v>0</v>
      </c>
      <c r="G19020" s="3">
        <v>1</v>
      </c>
      <c r="H19020" s="3">
        <v>0</v>
      </c>
      <c r="I19020" s="3">
        <v>0</v>
      </c>
      <c r="J19020" s="3">
        <v>1</v>
      </c>
      <c r="K19020" s="3">
        <v>0</v>
      </c>
      <c r="L19020" s="3">
        <v>0</v>
      </c>
      <c r="M19020" s="3">
        <v>0</v>
      </c>
      <c r="N19020" s="3">
        <v>0</v>
      </c>
      <c r="O19020" s="3" t="s">
        <v>10</v>
      </c>
      <c r="P19020" s="3" t="s">
        <v>9</v>
      </c>
      <c r="Q19020" s="3"/>
    </row>
    <row r="19021" spans="1:17" ht="15" x14ac:dyDescent="0.25">
      <c r="A19021" s="3">
        <f>19014</f>
        <v>19014</v>
      </c>
      <c r="B19021" s="3" t="s">
        <v>19023</v>
      </c>
      <c r="C19021" s="3" t="s">
        <v>10</v>
      </c>
      <c r="D19021" s="3" t="s">
        <v>9</v>
      </c>
      <c r="E19021" s="3">
        <v>0</v>
      </c>
      <c r="F19021" s="3">
        <v>0</v>
      </c>
      <c r="G19021" s="3">
        <v>1</v>
      </c>
      <c r="H19021" s="3">
        <v>0</v>
      </c>
      <c r="I19021" s="3">
        <v>0</v>
      </c>
      <c r="J19021" s="3">
        <v>1</v>
      </c>
      <c r="K19021" s="3">
        <v>0</v>
      </c>
      <c r="L19021" s="3">
        <v>0</v>
      </c>
      <c r="M19021" s="3">
        <v>0</v>
      </c>
      <c r="N19021" s="3">
        <v>0</v>
      </c>
      <c r="O19021" s="3" t="s">
        <v>10</v>
      </c>
      <c r="P19021" s="3" t="s">
        <v>9</v>
      </c>
      <c r="Q19021" s="3"/>
    </row>
    <row r="19022" spans="1:17" ht="15" x14ac:dyDescent="0.25">
      <c r="A19022" s="3">
        <f>19015</f>
        <v>19015</v>
      </c>
      <c r="B19022" s="3" t="s">
        <v>19024</v>
      </c>
      <c r="C19022" s="3" t="s">
        <v>10</v>
      </c>
      <c r="D19022" s="3" t="s">
        <v>9</v>
      </c>
      <c r="E19022" s="3">
        <v>0</v>
      </c>
      <c r="F19022" s="3">
        <v>0</v>
      </c>
      <c r="G19022" s="3">
        <v>1</v>
      </c>
      <c r="H19022" s="3">
        <v>0</v>
      </c>
      <c r="I19022" s="3">
        <v>0</v>
      </c>
      <c r="J19022" s="3">
        <v>1</v>
      </c>
      <c r="K19022" s="3">
        <v>0</v>
      </c>
      <c r="L19022" s="3">
        <v>0</v>
      </c>
      <c r="M19022" s="3">
        <v>0</v>
      </c>
      <c r="N19022" s="3">
        <v>0</v>
      </c>
      <c r="O19022" s="3" t="s">
        <v>10</v>
      </c>
      <c r="P19022" s="3" t="s">
        <v>9</v>
      </c>
      <c r="Q19022" s="3"/>
    </row>
    <row r="19023" spans="1:17" ht="15" x14ac:dyDescent="0.25">
      <c r="A19023" s="3">
        <f>19016</f>
        <v>19016</v>
      </c>
      <c r="B19023" s="3" t="s">
        <v>19025</v>
      </c>
      <c r="C19023" s="3" t="s">
        <v>10</v>
      </c>
      <c r="D19023" s="3" t="s">
        <v>9</v>
      </c>
      <c r="E19023" s="3">
        <v>0</v>
      </c>
      <c r="F19023" s="3">
        <v>0</v>
      </c>
      <c r="G19023" s="3">
        <v>1</v>
      </c>
      <c r="H19023" s="3">
        <v>0</v>
      </c>
      <c r="I19023" s="3">
        <v>0</v>
      </c>
      <c r="J19023" s="3">
        <v>1</v>
      </c>
      <c r="K19023" s="3">
        <v>0</v>
      </c>
      <c r="L19023" s="3">
        <v>0</v>
      </c>
      <c r="M19023" s="3">
        <v>0</v>
      </c>
      <c r="N19023" s="3">
        <v>0</v>
      </c>
      <c r="O19023" s="3" t="s">
        <v>10</v>
      </c>
      <c r="P19023" s="3" t="s">
        <v>9</v>
      </c>
      <c r="Q19023" s="3"/>
    </row>
    <row r="19024" spans="1:17" ht="15" x14ac:dyDescent="0.25">
      <c r="A19024" s="3">
        <f>19017</f>
        <v>19017</v>
      </c>
      <c r="B19024" s="3" t="s">
        <v>19026</v>
      </c>
      <c r="C19024" s="3" t="s">
        <v>10</v>
      </c>
      <c r="D19024" s="3" t="s">
        <v>9</v>
      </c>
      <c r="E19024" s="3">
        <v>0</v>
      </c>
      <c r="F19024" s="3">
        <v>0</v>
      </c>
      <c r="G19024" s="3">
        <v>1</v>
      </c>
      <c r="H19024" s="3">
        <v>0</v>
      </c>
      <c r="I19024" s="3">
        <v>0</v>
      </c>
      <c r="J19024" s="3">
        <v>1</v>
      </c>
      <c r="K19024" s="3">
        <v>0</v>
      </c>
      <c r="L19024" s="3">
        <v>0</v>
      </c>
      <c r="M19024" s="3">
        <v>0</v>
      </c>
      <c r="N19024" s="3">
        <v>0</v>
      </c>
      <c r="O19024" s="3" t="s">
        <v>10</v>
      </c>
      <c r="P19024" s="3" t="s">
        <v>9</v>
      </c>
      <c r="Q19024" s="3"/>
    </row>
    <row r="19025" spans="1:17" ht="15" x14ac:dyDescent="0.25">
      <c r="A19025" s="3">
        <f>19018</f>
        <v>19018</v>
      </c>
      <c r="B19025" s="3" t="s">
        <v>19027</v>
      </c>
      <c r="C19025" s="3" t="s">
        <v>10</v>
      </c>
      <c r="D19025" s="3" t="s">
        <v>9</v>
      </c>
      <c r="E19025" s="3">
        <v>0</v>
      </c>
      <c r="F19025" s="3">
        <v>0</v>
      </c>
      <c r="G19025" s="3">
        <v>1</v>
      </c>
      <c r="H19025" s="3">
        <v>0</v>
      </c>
      <c r="I19025" s="3">
        <v>0</v>
      </c>
      <c r="J19025" s="3">
        <v>1</v>
      </c>
      <c r="K19025" s="3">
        <v>0</v>
      </c>
      <c r="L19025" s="3">
        <v>0</v>
      </c>
      <c r="M19025" s="3">
        <v>0</v>
      </c>
      <c r="N19025" s="3">
        <v>0</v>
      </c>
      <c r="O19025" s="3" t="s">
        <v>10</v>
      </c>
      <c r="P19025" s="3" t="s">
        <v>9</v>
      </c>
      <c r="Q19025" s="3"/>
    </row>
    <row r="19026" spans="1:17" ht="15" x14ac:dyDescent="0.25">
      <c r="A19026" s="3">
        <f>19019</f>
        <v>19019</v>
      </c>
      <c r="B19026" s="3" t="s">
        <v>19028</v>
      </c>
      <c r="C19026" s="3" t="s">
        <v>10</v>
      </c>
      <c r="D19026" s="3" t="s">
        <v>9</v>
      </c>
      <c r="E19026" s="3">
        <v>0</v>
      </c>
      <c r="F19026" s="3">
        <v>0</v>
      </c>
      <c r="G19026" s="3">
        <v>1</v>
      </c>
      <c r="H19026" s="3">
        <v>0</v>
      </c>
      <c r="I19026" s="3">
        <v>0</v>
      </c>
      <c r="J19026" s="3">
        <v>1</v>
      </c>
      <c r="K19026" s="3">
        <v>0</v>
      </c>
      <c r="L19026" s="3">
        <v>0</v>
      </c>
      <c r="M19026" s="3">
        <v>0</v>
      </c>
      <c r="N19026" s="3">
        <v>0</v>
      </c>
      <c r="O19026" s="3" t="s">
        <v>10</v>
      </c>
      <c r="P19026" s="3" t="s">
        <v>9</v>
      </c>
      <c r="Q19026" s="3"/>
    </row>
    <row r="19027" spans="1:17" ht="15" x14ac:dyDescent="0.25">
      <c r="A19027" s="3">
        <f>19020</f>
        <v>19020</v>
      </c>
      <c r="B19027" s="3" t="s">
        <v>19029</v>
      </c>
      <c r="C19027" s="3" t="s">
        <v>10</v>
      </c>
      <c r="D19027" s="3" t="s">
        <v>9</v>
      </c>
      <c r="E19027" s="3">
        <v>0</v>
      </c>
      <c r="F19027" s="3">
        <v>0</v>
      </c>
      <c r="G19027" s="3">
        <v>1</v>
      </c>
      <c r="H19027" s="3">
        <v>0</v>
      </c>
      <c r="I19027" s="3">
        <v>0</v>
      </c>
      <c r="J19027" s="3">
        <v>1</v>
      </c>
      <c r="K19027" s="3">
        <v>0</v>
      </c>
      <c r="L19027" s="3">
        <v>0</v>
      </c>
      <c r="M19027" s="3">
        <v>0</v>
      </c>
      <c r="N19027" s="3">
        <v>0</v>
      </c>
      <c r="O19027" s="3" t="s">
        <v>10</v>
      </c>
      <c r="P19027" s="3" t="s">
        <v>9</v>
      </c>
      <c r="Q19027" s="3"/>
    </row>
    <row r="19028" spans="1:17" ht="15" x14ac:dyDescent="0.25">
      <c r="A19028" s="3">
        <f>19021</f>
        <v>19021</v>
      </c>
      <c r="B19028" s="3" t="s">
        <v>19030</v>
      </c>
      <c r="C19028" s="3" t="s">
        <v>10</v>
      </c>
      <c r="D19028" s="3" t="s">
        <v>9</v>
      </c>
      <c r="E19028" s="3">
        <v>0</v>
      </c>
      <c r="F19028" s="3">
        <v>0</v>
      </c>
      <c r="G19028" s="3">
        <v>1</v>
      </c>
      <c r="H19028" s="3">
        <v>0</v>
      </c>
      <c r="I19028" s="3">
        <v>0</v>
      </c>
      <c r="J19028" s="3">
        <v>1</v>
      </c>
      <c r="K19028" s="3">
        <v>0</v>
      </c>
      <c r="L19028" s="3">
        <v>0</v>
      </c>
      <c r="M19028" s="3">
        <v>0</v>
      </c>
      <c r="N19028" s="3">
        <v>0</v>
      </c>
      <c r="O19028" s="3" t="s">
        <v>10</v>
      </c>
      <c r="P19028" s="3" t="s">
        <v>9</v>
      </c>
      <c r="Q19028" s="3"/>
    </row>
    <row r="19029" spans="1:17" ht="15" x14ac:dyDescent="0.25">
      <c r="A19029" s="3">
        <f>19022</f>
        <v>19022</v>
      </c>
      <c r="B19029" s="3" t="s">
        <v>19031</v>
      </c>
      <c r="C19029" s="3" t="s">
        <v>10</v>
      </c>
      <c r="D19029" s="3" t="s">
        <v>9</v>
      </c>
      <c r="E19029" s="3">
        <v>0</v>
      </c>
      <c r="F19029" s="3">
        <v>0</v>
      </c>
      <c r="G19029" s="3">
        <v>1</v>
      </c>
      <c r="H19029" s="3">
        <v>0</v>
      </c>
      <c r="I19029" s="3">
        <v>0</v>
      </c>
      <c r="J19029" s="3">
        <v>1</v>
      </c>
      <c r="K19029" s="3">
        <v>0</v>
      </c>
      <c r="L19029" s="3">
        <v>0</v>
      </c>
      <c r="M19029" s="3">
        <v>0</v>
      </c>
      <c r="N19029" s="3">
        <v>0</v>
      </c>
      <c r="O19029" s="3" t="s">
        <v>10</v>
      </c>
      <c r="P19029" s="3" t="s">
        <v>9</v>
      </c>
      <c r="Q19029" s="3"/>
    </row>
    <row r="19030" spans="1:17" ht="15" x14ac:dyDescent="0.25">
      <c r="A19030" s="3">
        <f>19023</f>
        <v>19023</v>
      </c>
      <c r="B19030" s="3" t="s">
        <v>19032</v>
      </c>
      <c r="C19030" s="3" t="s">
        <v>10</v>
      </c>
      <c r="D19030" s="3" t="s">
        <v>9</v>
      </c>
      <c r="E19030" s="3">
        <v>0</v>
      </c>
      <c r="F19030" s="3">
        <v>0</v>
      </c>
      <c r="G19030" s="3">
        <v>1</v>
      </c>
      <c r="H19030" s="3">
        <v>0</v>
      </c>
      <c r="I19030" s="3">
        <v>0</v>
      </c>
      <c r="J19030" s="3">
        <v>1</v>
      </c>
      <c r="K19030" s="3">
        <v>0</v>
      </c>
      <c r="L19030" s="3">
        <v>0</v>
      </c>
      <c r="M19030" s="3">
        <v>0</v>
      </c>
      <c r="N19030" s="3">
        <v>0</v>
      </c>
      <c r="O19030" s="3" t="s">
        <v>10</v>
      </c>
      <c r="P19030" s="3" t="s">
        <v>9</v>
      </c>
      <c r="Q19030" s="3"/>
    </row>
    <row r="19031" spans="1:17" ht="15" x14ac:dyDescent="0.25">
      <c r="A19031" s="3">
        <f>19024</f>
        <v>19024</v>
      </c>
      <c r="B19031" s="3" t="s">
        <v>19033</v>
      </c>
      <c r="C19031" s="3" t="s">
        <v>10</v>
      </c>
      <c r="D19031" s="3" t="s">
        <v>9</v>
      </c>
      <c r="E19031" s="3">
        <v>0</v>
      </c>
      <c r="F19031" s="3">
        <v>0</v>
      </c>
      <c r="G19031" s="3">
        <v>1</v>
      </c>
      <c r="H19031" s="3">
        <v>0</v>
      </c>
      <c r="I19031" s="3">
        <v>0</v>
      </c>
      <c r="J19031" s="3">
        <v>1</v>
      </c>
      <c r="K19031" s="3">
        <v>0</v>
      </c>
      <c r="L19031" s="3">
        <v>0</v>
      </c>
      <c r="M19031" s="3">
        <v>0</v>
      </c>
      <c r="N19031" s="3">
        <v>0</v>
      </c>
      <c r="O19031" s="3" t="s">
        <v>10</v>
      </c>
      <c r="P19031" s="3" t="s">
        <v>9</v>
      </c>
      <c r="Q19031" s="3"/>
    </row>
    <row r="19032" spans="1:17" ht="15" x14ac:dyDescent="0.25">
      <c r="A19032" s="3">
        <f>19025</f>
        <v>19025</v>
      </c>
      <c r="B19032" s="3" t="s">
        <v>19034</v>
      </c>
      <c r="C19032" s="3" t="s">
        <v>10</v>
      </c>
      <c r="D19032" s="3" t="s">
        <v>9</v>
      </c>
      <c r="E19032" s="3">
        <v>0</v>
      </c>
      <c r="F19032" s="3">
        <v>0</v>
      </c>
      <c r="G19032" s="3">
        <v>1</v>
      </c>
      <c r="H19032" s="3">
        <v>0</v>
      </c>
      <c r="I19032" s="3">
        <v>0</v>
      </c>
      <c r="J19032" s="3">
        <v>1</v>
      </c>
      <c r="K19032" s="3">
        <v>0</v>
      </c>
      <c r="L19032" s="3">
        <v>0</v>
      </c>
      <c r="M19032" s="3">
        <v>0</v>
      </c>
      <c r="N19032" s="3">
        <v>0</v>
      </c>
      <c r="O19032" s="3" t="s">
        <v>10</v>
      </c>
      <c r="P19032" s="3" t="s">
        <v>9</v>
      </c>
      <c r="Q19032" s="3"/>
    </row>
    <row r="19033" spans="1:17" ht="15" x14ac:dyDescent="0.25">
      <c r="A19033" s="3">
        <f>19026</f>
        <v>19026</v>
      </c>
      <c r="B19033" s="3" t="s">
        <v>19035</v>
      </c>
      <c r="C19033" s="3" t="s">
        <v>10</v>
      </c>
      <c r="D19033" s="3" t="s">
        <v>9</v>
      </c>
      <c r="E19033" s="3">
        <v>0</v>
      </c>
      <c r="F19033" s="3">
        <v>0</v>
      </c>
      <c r="G19033" s="3">
        <v>1</v>
      </c>
      <c r="H19033" s="3">
        <v>0</v>
      </c>
      <c r="I19033" s="3">
        <v>0</v>
      </c>
      <c r="J19033" s="3">
        <v>1</v>
      </c>
      <c r="K19033" s="3">
        <v>0</v>
      </c>
      <c r="L19033" s="3">
        <v>0</v>
      </c>
      <c r="M19033" s="3">
        <v>0</v>
      </c>
      <c r="N19033" s="3">
        <v>0</v>
      </c>
      <c r="O19033" s="3" t="s">
        <v>10</v>
      </c>
      <c r="P19033" s="3" t="s">
        <v>9</v>
      </c>
      <c r="Q19033" s="3"/>
    </row>
    <row r="19034" spans="1:17" ht="15" x14ac:dyDescent="0.25">
      <c r="A19034" s="3">
        <f>19027</f>
        <v>19027</v>
      </c>
      <c r="B19034" s="3" t="s">
        <v>19036</v>
      </c>
      <c r="C19034" s="3" t="s">
        <v>10</v>
      </c>
      <c r="D19034" s="3" t="s">
        <v>9</v>
      </c>
      <c r="E19034" s="3">
        <v>0</v>
      </c>
      <c r="F19034" s="3">
        <v>0</v>
      </c>
      <c r="G19034" s="3">
        <v>1</v>
      </c>
      <c r="H19034" s="3">
        <v>0</v>
      </c>
      <c r="I19034" s="3">
        <v>0</v>
      </c>
      <c r="J19034" s="3">
        <v>1</v>
      </c>
      <c r="K19034" s="3">
        <v>0</v>
      </c>
      <c r="L19034" s="3">
        <v>0</v>
      </c>
      <c r="M19034" s="3">
        <v>0</v>
      </c>
      <c r="N19034" s="3">
        <v>0</v>
      </c>
      <c r="O19034" s="3" t="s">
        <v>10</v>
      </c>
      <c r="P19034" s="3" t="s">
        <v>9</v>
      </c>
      <c r="Q19034" s="3"/>
    </row>
    <row r="19035" spans="1:17" ht="15" x14ac:dyDescent="0.25">
      <c r="A19035" s="3">
        <f>19028</f>
        <v>19028</v>
      </c>
      <c r="B19035" s="3" t="s">
        <v>19037</v>
      </c>
      <c r="C19035" s="3" t="s">
        <v>10</v>
      </c>
      <c r="D19035" s="3" t="s">
        <v>9</v>
      </c>
      <c r="E19035" s="3">
        <v>0</v>
      </c>
      <c r="F19035" s="3">
        <v>0</v>
      </c>
      <c r="G19035" s="3">
        <v>1</v>
      </c>
      <c r="H19035" s="3">
        <v>0</v>
      </c>
      <c r="I19035" s="3">
        <v>0</v>
      </c>
      <c r="J19035" s="3">
        <v>1</v>
      </c>
      <c r="K19035" s="3">
        <v>0</v>
      </c>
      <c r="L19035" s="3">
        <v>0</v>
      </c>
      <c r="M19035" s="3">
        <v>0</v>
      </c>
      <c r="N19035" s="3">
        <v>0</v>
      </c>
      <c r="O19035" s="3" t="s">
        <v>10</v>
      </c>
      <c r="P19035" s="3" t="s">
        <v>9</v>
      </c>
      <c r="Q19035" s="3"/>
    </row>
    <row r="19036" spans="1:17" ht="15" x14ac:dyDescent="0.25">
      <c r="A19036" s="3">
        <f>19029</f>
        <v>19029</v>
      </c>
      <c r="B19036" s="3" t="s">
        <v>19038</v>
      </c>
      <c r="C19036" s="3" t="s">
        <v>10</v>
      </c>
      <c r="D19036" s="3" t="s">
        <v>9</v>
      </c>
      <c r="E19036" s="3">
        <v>0</v>
      </c>
      <c r="F19036" s="3">
        <v>0</v>
      </c>
      <c r="G19036" s="3">
        <v>1</v>
      </c>
      <c r="H19036" s="3">
        <v>0</v>
      </c>
      <c r="I19036" s="3">
        <v>0</v>
      </c>
      <c r="J19036" s="3">
        <v>1</v>
      </c>
      <c r="K19036" s="3">
        <v>0</v>
      </c>
      <c r="L19036" s="3">
        <v>0</v>
      </c>
      <c r="M19036" s="3">
        <v>0</v>
      </c>
      <c r="N19036" s="3">
        <v>0</v>
      </c>
      <c r="O19036" s="3" t="s">
        <v>10</v>
      </c>
      <c r="P19036" s="3" t="s">
        <v>9</v>
      </c>
      <c r="Q19036" s="3"/>
    </row>
    <row r="19037" spans="1:17" ht="15" x14ac:dyDescent="0.25">
      <c r="A19037" s="3">
        <f>19030</f>
        <v>19030</v>
      </c>
      <c r="B19037" s="3" t="s">
        <v>19039</v>
      </c>
      <c r="C19037" s="3" t="s">
        <v>10</v>
      </c>
      <c r="D19037" s="3" t="s">
        <v>9</v>
      </c>
      <c r="E19037" s="3">
        <v>0</v>
      </c>
      <c r="F19037" s="3">
        <v>0</v>
      </c>
      <c r="G19037" s="3">
        <v>1</v>
      </c>
      <c r="H19037" s="3">
        <v>0</v>
      </c>
      <c r="I19037" s="3">
        <v>0</v>
      </c>
      <c r="J19037" s="3">
        <v>1</v>
      </c>
      <c r="K19037" s="3">
        <v>0</v>
      </c>
      <c r="L19037" s="3">
        <v>0</v>
      </c>
      <c r="M19037" s="3">
        <v>0</v>
      </c>
      <c r="N19037" s="3">
        <v>0</v>
      </c>
      <c r="O19037" s="3" t="s">
        <v>10</v>
      </c>
      <c r="P19037" s="3" t="s">
        <v>9</v>
      </c>
      <c r="Q19037" s="3"/>
    </row>
    <row r="19038" spans="1:17" ht="15" x14ac:dyDescent="0.25">
      <c r="A19038" s="3">
        <f>19031</f>
        <v>19031</v>
      </c>
      <c r="B19038" s="3" t="s">
        <v>19040</v>
      </c>
      <c r="C19038" s="3" t="s">
        <v>10</v>
      </c>
      <c r="D19038" s="3" t="s">
        <v>9</v>
      </c>
      <c r="E19038" s="3">
        <v>0</v>
      </c>
      <c r="F19038" s="3">
        <v>0</v>
      </c>
      <c r="G19038" s="3">
        <v>1</v>
      </c>
      <c r="H19038" s="3">
        <v>0</v>
      </c>
      <c r="I19038" s="3">
        <v>0</v>
      </c>
      <c r="J19038" s="3">
        <v>1</v>
      </c>
      <c r="K19038" s="3">
        <v>0</v>
      </c>
      <c r="L19038" s="3">
        <v>0</v>
      </c>
      <c r="M19038" s="3">
        <v>0</v>
      </c>
      <c r="N19038" s="3">
        <v>0</v>
      </c>
      <c r="O19038" s="3" t="s">
        <v>10</v>
      </c>
      <c r="P19038" s="3" t="s">
        <v>9</v>
      </c>
      <c r="Q19038" s="3"/>
    </row>
    <row r="19039" spans="1:17" ht="15" x14ac:dyDescent="0.25">
      <c r="A19039" s="3">
        <f>19032</f>
        <v>19032</v>
      </c>
      <c r="B19039" s="3" t="s">
        <v>19041</v>
      </c>
      <c r="C19039" s="3" t="s">
        <v>10</v>
      </c>
      <c r="D19039" s="3" t="s">
        <v>9</v>
      </c>
      <c r="E19039" s="3">
        <v>0</v>
      </c>
      <c r="F19039" s="3">
        <v>0</v>
      </c>
      <c r="G19039" s="3">
        <v>1</v>
      </c>
      <c r="H19039" s="3">
        <v>0</v>
      </c>
      <c r="I19039" s="3">
        <v>0</v>
      </c>
      <c r="J19039" s="3">
        <v>1</v>
      </c>
      <c r="K19039" s="3">
        <v>0</v>
      </c>
      <c r="L19039" s="3">
        <v>0</v>
      </c>
      <c r="M19039" s="3">
        <v>0</v>
      </c>
      <c r="N19039" s="3">
        <v>0</v>
      </c>
      <c r="O19039" s="3" t="s">
        <v>10</v>
      </c>
      <c r="P19039" s="3" t="s">
        <v>9</v>
      </c>
      <c r="Q19039" s="3"/>
    </row>
    <row r="19040" spans="1:17" ht="15" x14ac:dyDescent="0.25">
      <c r="A19040" s="3">
        <f>19033</f>
        <v>19033</v>
      </c>
      <c r="B19040" s="3" t="s">
        <v>19042</v>
      </c>
      <c r="C19040" s="3" t="s">
        <v>10</v>
      </c>
      <c r="D19040" s="3" t="s">
        <v>9</v>
      </c>
      <c r="E19040" s="3">
        <v>0</v>
      </c>
      <c r="F19040" s="3">
        <v>0</v>
      </c>
      <c r="G19040" s="3">
        <v>1</v>
      </c>
      <c r="H19040" s="3">
        <v>0</v>
      </c>
      <c r="I19040" s="3">
        <v>0</v>
      </c>
      <c r="J19040" s="3">
        <v>1</v>
      </c>
      <c r="K19040" s="3">
        <v>0</v>
      </c>
      <c r="L19040" s="3">
        <v>0</v>
      </c>
      <c r="M19040" s="3">
        <v>0</v>
      </c>
      <c r="N19040" s="3">
        <v>0</v>
      </c>
      <c r="O19040" s="3" t="s">
        <v>10</v>
      </c>
      <c r="P19040" s="3" t="s">
        <v>9</v>
      </c>
      <c r="Q19040" s="3"/>
    </row>
    <row r="19041" spans="1:17" ht="15" x14ac:dyDescent="0.25">
      <c r="A19041" s="3">
        <f>19034</f>
        <v>19034</v>
      </c>
      <c r="B19041" s="3" t="s">
        <v>19043</v>
      </c>
      <c r="C19041" s="3" t="s">
        <v>10</v>
      </c>
      <c r="D19041" s="3" t="s">
        <v>9</v>
      </c>
      <c r="E19041" s="3">
        <v>0</v>
      </c>
      <c r="F19041" s="3">
        <v>0</v>
      </c>
      <c r="G19041" s="3">
        <v>1</v>
      </c>
      <c r="H19041" s="3">
        <v>0</v>
      </c>
      <c r="I19041" s="3">
        <v>0</v>
      </c>
      <c r="J19041" s="3">
        <v>1</v>
      </c>
      <c r="K19041" s="3">
        <v>0</v>
      </c>
      <c r="L19041" s="3">
        <v>0</v>
      </c>
      <c r="M19041" s="3">
        <v>0</v>
      </c>
      <c r="N19041" s="3">
        <v>0</v>
      </c>
      <c r="O19041" s="3" t="s">
        <v>10</v>
      </c>
      <c r="P19041" s="3" t="s">
        <v>9</v>
      </c>
      <c r="Q19041" s="3"/>
    </row>
    <row r="19042" spans="1:17" ht="15" x14ac:dyDescent="0.25">
      <c r="A19042" s="3">
        <f>19035</f>
        <v>19035</v>
      </c>
      <c r="B19042" s="3" t="s">
        <v>19044</v>
      </c>
      <c r="C19042" s="3" t="s">
        <v>10</v>
      </c>
      <c r="D19042" s="3" t="s">
        <v>9</v>
      </c>
      <c r="E19042" s="3">
        <v>0</v>
      </c>
      <c r="F19042" s="3">
        <v>0</v>
      </c>
      <c r="G19042" s="3">
        <v>1</v>
      </c>
      <c r="H19042" s="3">
        <v>0</v>
      </c>
      <c r="I19042" s="3">
        <v>0</v>
      </c>
      <c r="J19042" s="3">
        <v>1</v>
      </c>
      <c r="K19042" s="3">
        <v>0</v>
      </c>
      <c r="L19042" s="3">
        <v>0</v>
      </c>
      <c r="M19042" s="3">
        <v>0</v>
      </c>
      <c r="N19042" s="3">
        <v>0</v>
      </c>
      <c r="O19042" s="3" t="s">
        <v>10</v>
      </c>
      <c r="P19042" s="3" t="s">
        <v>9</v>
      </c>
      <c r="Q19042" s="3"/>
    </row>
    <row r="19043" spans="1:17" ht="15" x14ac:dyDescent="0.25">
      <c r="A19043" s="3">
        <f>19036</f>
        <v>19036</v>
      </c>
      <c r="B19043" s="3" t="s">
        <v>19045</v>
      </c>
      <c r="C19043" s="3" t="s">
        <v>10</v>
      </c>
      <c r="D19043" s="3" t="s">
        <v>9</v>
      </c>
      <c r="E19043" s="3">
        <v>0</v>
      </c>
      <c r="F19043" s="3">
        <v>0</v>
      </c>
      <c r="G19043" s="3">
        <v>1</v>
      </c>
      <c r="H19043" s="3">
        <v>0</v>
      </c>
      <c r="I19043" s="3">
        <v>0</v>
      </c>
      <c r="J19043" s="3">
        <v>1</v>
      </c>
      <c r="K19043" s="3">
        <v>0</v>
      </c>
      <c r="L19043" s="3">
        <v>0</v>
      </c>
      <c r="M19043" s="3">
        <v>0</v>
      </c>
      <c r="N19043" s="3">
        <v>0</v>
      </c>
      <c r="O19043" s="3" t="s">
        <v>10</v>
      </c>
      <c r="P19043" s="3" t="s">
        <v>9</v>
      </c>
      <c r="Q19043" s="3"/>
    </row>
    <row r="19044" spans="1:17" ht="15" x14ac:dyDescent="0.25">
      <c r="A19044" s="3">
        <f>19037</f>
        <v>19037</v>
      </c>
      <c r="B19044" s="3" t="s">
        <v>19046</v>
      </c>
      <c r="C19044" s="3" t="s">
        <v>10</v>
      </c>
      <c r="D19044" s="3" t="s">
        <v>9</v>
      </c>
      <c r="E19044" s="3">
        <v>0</v>
      </c>
      <c r="F19044" s="3">
        <v>0</v>
      </c>
      <c r="G19044" s="3">
        <v>1</v>
      </c>
      <c r="H19044" s="3">
        <v>0</v>
      </c>
      <c r="I19044" s="3">
        <v>0</v>
      </c>
      <c r="J19044" s="3">
        <v>1</v>
      </c>
      <c r="K19044" s="3">
        <v>0</v>
      </c>
      <c r="L19044" s="3">
        <v>0</v>
      </c>
      <c r="M19044" s="3">
        <v>0</v>
      </c>
      <c r="N19044" s="3">
        <v>0</v>
      </c>
      <c r="O19044" s="3" t="s">
        <v>10</v>
      </c>
      <c r="P19044" s="3" t="s">
        <v>9</v>
      </c>
      <c r="Q19044" s="3"/>
    </row>
    <row r="19045" spans="1:17" ht="15" x14ac:dyDescent="0.25">
      <c r="A19045" s="3">
        <f>19038</f>
        <v>19038</v>
      </c>
      <c r="B19045" s="3" t="s">
        <v>19047</v>
      </c>
      <c r="C19045" s="3" t="s">
        <v>10</v>
      </c>
      <c r="D19045" s="3" t="s">
        <v>9</v>
      </c>
      <c r="E19045" s="3">
        <v>0</v>
      </c>
      <c r="F19045" s="3">
        <v>0</v>
      </c>
      <c r="G19045" s="3">
        <v>1</v>
      </c>
      <c r="H19045" s="3">
        <v>0</v>
      </c>
      <c r="I19045" s="3">
        <v>0</v>
      </c>
      <c r="J19045" s="3">
        <v>1</v>
      </c>
      <c r="K19045" s="3">
        <v>0</v>
      </c>
      <c r="L19045" s="3">
        <v>0</v>
      </c>
      <c r="M19045" s="3">
        <v>0</v>
      </c>
      <c r="N19045" s="3">
        <v>0</v>
      </c>
      <c r="O19045" s="3" t="s">
        <v>10</v>
      </c>
      <c r="P19045" s="3" t="s">
        <v>9</v>
      </c>
      <c r="Q19045" s="3"/>
    </row>
    <row r="19046" spans="1:17" ht="15" x14ac:dyDescent="0.25">
      <c r="A19046" s="3">
        <f>19039</f>
        <v>19039</v>
      </c>
      <c r="B19046" s="3" t="s">
        <v>19048</v>
      </c>
      <c r="C19046" s="3" t="s">
        <v>10</v>
      </c>
      <c r="D19046" s="3" t="s">
        <v>9</v>
      </c>
      <c r="E19046" s="3">
        <v>0</v>
      </c>
      <c r="F19046" s="3">
        <v>0</v>
      </c>
      <c r="G19046" s="3">
        <v>1</v>
      </c>
      <c r="H19046" s="3">
        <v>0</v>
      </c>
      <c r="I19046" s="3">
        <v>0</v>
      </c>
      <c r="J19046" s="3">
        <v>1</v>
      </c>
      <c r="K19046" s="3">
        <v>0</v>
      </c>
      <c r="L19046" s="3">
        <v>0</v>
      </c>
      <c r="M19046" s="3">
        <v>0</v>
      </c>
      <c r="N19046" s="3">
        <v>0</v>
      </c>
      <c r="O19046" s="3" t="s">
        <v>10</v>
      </c>
      <c r="P19046" s="3" t="s">
        <v>9</v>
      </c>
      <c r="Q19046" s="3"/>
    </row>
    <row r="19047" spans="1:17" ht="15" x14ac:dyDescent="0.25">
      <c r="A19047" s="3">
        <f>19040</f>
        <v>19040</v>
      </c>
      <c r="B19047" s="3" t="s">
        <v>19049</v>
      </c>
      <c r="C19047" s="3" t="s">
        <v>10</v>
      </c>
      <c r="D19047" s="3" t="s">
        <v>9</v>
      </c>
      <c r="E19047" s="3">
        <v>0</v>
      </c>
      <c r="F19047" s="3">
        <v>0</v>
      </c>
      <c r="G19047" s="3">
        <v>1</v>
      </c>
      <c r="H19047" s="3">
        <v>0</v>
      </c>
      <c r="I19047" s="3">
        <v>0</v>
      </c>
      <c r="J19047" s="3">
        <v>1</v>
      </c>
      <c r="K19047" s="3">
        <v>0</v>
      </c>
      <c r="L19047" s="3">
        <v>0</v>
      </c>
      <c r="M19047" s="3">
        <v>0</v>
      </c>
      <c r="N19047" s="3">
        <v>0</v>
      </c>
      <c r="O19047" s="3" t="s">
        <v>10</v>
      </c>
      <c r="P19047" s="3" t="s">
        <v>9</v>
      </c>
      <c r="Q19047" s="3"/>
    </row>
    <row r="19048" spans="1:17" ht="15" x14ac:dyDescent="0.25">
      <c r="A19048" s="3">
        <f>19041</f>
        <v>19041</v>
      </c>
      <c r="B19048" s="3" t="s">
        <v>19050</v>
      </c>
      <c r="C19048" s="3" t="s">
        <v>10</v>
      </c>
      <c r="D19048" s="3" t="s">
        <v>9</v>
      </c>
      <c r="E19048" s="3">
        <v>0</v>
      </c>
      <c r="F19048" s="3">
        <v>0</v>
      </c>
      <c r="G19048" s="3">
        <v>1</v>
      </c>
      <c r="H19048" s="3">
        <v>0</v>
      </c>
      <c r="I19048" s="3">
        <v>0</v>
      </c>
      <c r="J19048" s="3">
        <v>1</v>
      </c>
      <c r="K19048" s="3">
        <v>0</v>
      </c>
      <c r="L19048" s="3">
        <v>0</v>
      </c>
      <c r="M19048" s="3">
        <v>0</v>
      </c>
      <c r="N19048" s="3">
        <v>0</v>
      </c>
      <c r="O19048" s="3" t="s">
        <v>10</v>
      </c>
      <c r="P19048" s="3" t="s">
        <v>9</v>
      </c>
      <c r="Q19048" s="3"/>
    </row>
    <row r="19049" spans="1:17" ht="15" x14ac:dyDescent="0.25">
      <c r="A19049" s="3">
        <f>19042</f>
        <v>19042</v>
      </c>
      <c r="B19049" s="3" t="s">
        <v>19051</v>
      </c>
      <c r="C19049" s="3" t="s">
        <v>10</v>
      </c>
      <c r="D19049" s="3" t="s">
        <v>9</v>
      </c>
      <c r="E19049" s="3">
        <v>0</v>
      </c>
      <c r="F19049" s="3">
        <v>0</v>
      </c>
      <c r="G19049" s="3">
        <v>1</v>
      </c>
      <c r="H19049" s="3">
        <v>0</v>
      </c>
      <c r="I19049" s="3">
        <v>0</v>
      </c>
      <c r="J19049" s="3">
        <v>1</v>
      </c>
      <c r="K19049" s="3">
        <v>0</v>
      </c>
      <c r="L19049" s="3">
        <v>0</v>
      </c>
      <c r="M19049" s="3">
        <v>0</v>
      </c>
      <c r="N19049" s="3">
        <v>0</v>
      </c>
      <c r="O19049" s="3" t="s">
        <v>10</v>
      </c>
      <c r="P19049" s="3" t="s">
        <v>9</v>
      </c>
      <c r="Q19049" s="3"/>
    </row>
    <row r="19050" spans="1:17" ht="15" x14ac:dyDescent="0.25">
      <c r="A19050" s="3">
        <f>19043</f>
        <v>19043</v>
      </c>
      <c r="B19050" s="3" t="s">
        <v>19052</v>
      </c>
      <c r="C19050" s="3" t="s">
        <v>10</v>
      </c>
      <c r="D19050" s="3" t="s">
        <v>9</v>
      </c>
      <c r="E19050" s="3">
        <v>0</v>
      </c>
      <c r="F19050" s="3">
        <v>0</v>
      </c>
      <c r="G19050" s="3">
        <v>1</v>
      </c>
      <c r="H19050" s="3">
        <v>0</v>
      </c>
      <c r="I19050" s="3">
        <v>0</v>
      </c>
      <c r="J19050" s="3">
        <v>1</v>
      </c>
      <c r="K19050" s="3">
        <v>0</v>
      </c>
      <c r="L19050" s="3">
        <v>0</v>
      </c>
      <c r="M19050" s="3">
        <v>0</v>
      </c>
      <c r="N19050" s="3">
        <v>0</v>
      </c>
      <c r="O19050" s="3" t="s">
        <v>10</v>
      </c>
      <c r="P19050" s="3" t="s">
        <v>9</v>
      </c>
      <c r="Q19050" s="3"/>
    </row>
    <row r="19051" spans="1:17" ht="15" x14ac:dyDescent="0.25">
      <c r="A19051" s="3">
        <f>19044</f>
        <v>19044</v>
      </c>
      <c r="B19051" s="3" t="s">
        <v>19053</v>
      </c>
      <c r="C19051" s="3" t="s">
        <v>10</v>
      </c>
      <c r="D19051" s="3" t="s">
        <v>9</v>
      </c>
      <c r="E19051" s="3">
        <v>0</v>
      </c>
      <c r="F19051" s="3">
        <v>0</v>
      </c>
      <c r="G19051" s="3">
        <v>1</v>
      </c>
      <c r="H19051" s="3">
        <v>0</v>
      </c>
      <c r="I19051" s="3">
        <v>0</v>
      </c>
      <c r="J19051" s="3">
        <v>1</v>
      </c>
      <c r="K19051" s="3">
        <v>0</v>
      </c>
      <c r="L19051" s="3">
        <v>0</v>
      </c>
      <c r="M19051" s="3">
        <v>0</v>
      </c>
      <c r="N19051" s="3">
        <v>0</v>
      </c>
      <c r="O19051" s="3" t="s">
        <v>10</v>
      </c>
      <c r="P19051" s="3" t="s">
        <v>9</v>
      </c>
      <c r="Q19051" s="3"/>
    </row>
    <row r="19052" spans="1:17" ht="15" x14ac:dyDescent="0.25">
      <c r="A19052" s="3">
        <f>19045</f>
        <v>19045</v>
      </c>
      <c r="B19052" s="3" t="s">
        <v>19054</v>
      </c>
      <c r="C19052" s="3" t="s">
        <v>10</v>
      </c>
      <c r="D19052" s="3" t="s">
        <v>9</v>
      </c>
      <c r="E19052" s="3">
        <v>0</v>
      </c>
      <c r="F19052" s="3">
        <v>0</v>
      </c>
      <c r="G19052" s="3">
        <v>1</v>
      </c>
      <c r="H19052" s="3">
        <v>0</v>
      </c>
      <c r="I19052" s="3">
        <v>0</v>
      </c>
      <c r="J19052" s="3">
        <v>1</v>
      </c>
      <c r="K19052" s="3">
        <v>0</v>
      </c>
      <c r="L19052" s="3">
        <v>0</v>
      </c>
      <c r="M19052" s="3">
        <v>0</v>
      </c>
      <c r="N19052" s="3">
        <v>0</v>
      </c>
      <c r="O19052" s="3" t="s">
        <v>10</v>
      </c>
      <c r="P19052" s="3" t="s">
        <v>9</v>
      </c>
      <c r="Q19052" s="3"/>
    </row>
    <row r="19053" spans="1:17" ht="15" x14ac:dyDescent="0.25">
      <c r="A19053" s="3">
        <f>19046</f>
        <v>19046</v>
      </c>
      <c r="B19053" s="3" t="s">
        <v>19055</v>
      </c>
      <c r="C19053" s="3" t="s">
        <v>10</v>
      </c>
      <c r="D19053" s="3" t="s">
        <v>9</v>
      </c>
      <c r="E19053" s="3">
        <v>0</v>
      </c>
      <c r="F19053" s="3">
        <v>0</v>
      </c>
      <c r="G19053" s="3">
        <v>1</v>
      </c>
      <c r="H19053" s="3">
        <v>0</v>
      </c>
      <c r="I19053" s="3">
        <v>0</v>
      </c>
      <c r="J19053" s="3">
        <v>1</v>
      </c>
      <c r="K19053" s="3">
        <v>0</v>
      </c>
      <c r="L19053" s="3">
        <v>0</v>
      </c>
      <c r="M19053" s="3">
        <v>0</v>
      </c>
      <c r="N19053" s="3">
        <v>0</v>
      </c>
      <c r="O19053" s="3" t="s">
        <v>10</v>
      </c>
      <c r="P19053" s="3" t="s">
        <v>9</v>
      </c>
      <c r="Q19053" s="3"/>
    </row>
    <row r="19054" spans="1:17" ht="15" x14ac:dyDescent="0.25">
      <c r="A19054" s="3">
        <f>19047</f>
        <v>19047</v>
      </c>
      <c r="B19054" s="3" t="s">
        <v>19056</v>
      </c>
      <c r="C19054" s="3" t="s">
        <v>10</v>
      </c>
      <c r="D19054" s="3" t="s">
        <v>9</v>
      </c>
      <c r="E19054" s="3">
        <v>0</v>
      </c>
      <c r="F19054" s="3">
        <v>0</v>
      </c>
      <c r="G19054" s="3">
        <v>1</v>
      </c>
      <c r="H19054" s="3">
        <v>0</v>
      </c>
      <c r="I19054" s="3">
        <v>0</v>
      </c>
      <c r="J19054" s="3">
        <v>1</v>
      </c>
      <c r="K19054" s="3">
        <v>0</v>
      </c>
      <c r="L19054" s="3">
        <v>0</v>
      </c>
      <c r="M19054" s="3">
        <v>0</v>
      </c>
      <c r="N19054" s="3">
        <v>0</v>
      </c>
      <c r="O19054" s="3" t="s">
        <v>10</v>
      </c>
      <c r="P19054" s="3" t="s">
        <v>9</v>
      </c>
      <c r="Q19054" s="3"/>
    </row>
    <row r="19055" spans="1:17" ht="15" x14ac:dyDescent="0.25">
      <c r="A19055" s="3">
        <f>19048</f>
        <v>19048</v>
      </c>
      <c r="B19055" s="3" t="s">
        <v>19057</v>
      </c>
      <c r="C19055" s="3" t="s">
        <v>10</v>
      </c>
      <c r="D19055" s="3" t="s">
        <v>9</v>
      </c>
      <c r="E19055" s="3">
        <v>0</v>
      </c>
      <c r="F19055" s="3">
        <v>0</v>
      </c>
      <c r="G19055" s="3">
        <v>1</v>
      </c>
      <c r="H19055" s="3">
        <v>0</v>
      </c>
      <c r="I19055" s="3">
        <v>0</v>
      </c>
      <c r="J19055" s="3">
        <v>1</v>
      </c>
      <c r="K19055" s="3">
        <v>0</v>
      </c>
      <c r="L19055" s="3">
        <v>0</v>
      </c>
      <c r="M19055" s="3">
        <v>0</v>
      </c>
      <c r="N19055" s="3">
        <v>0</v>
      </c>
      <c r="O19055" s="3" t="s">
        <v>10</v>
      </c>
      <c r="P19055" s="3" t="s">
        <v>9</v>
      </c>
      <c r="Q19055" s="3"/>
    </row>
    <row r="19056" spans="1:17" ht="15" x14ac:dyDescent="0.25">
      <c r="A19056" s="3">
        <f>19049</f>
        <v>19049</v>
      </c>
      <c r="B19056" s="3" t="s">
        <v>19058</v>
      </c>
      <c r="C19056" s="3" t="s">
        <v>10</v>
      </c>
      <c r="D19056" s="3" t="s">
        <v>9</v>
      </c>
      <c r="E19056" s="3">
        <v>0</v>
      </c>
      <c r="F19056" s="3">
        <v>0</v>
      </c>
      <c r="G19056" s="3">
        <v>1</v>
      </c>
      <c r="H19056" s="3">
        <v>0</v>
      </c>
      <c r="I19056" s="3">
        <v>0</v>
      </c>
      <c r="J19056" s="3">
        <v>1</v>
      </c>
      <c r="K19056" s="3">
        <v>0</v>
      </c>
      <c r="L19056" s="3">
        <v>0</v>
      </c>
      <c r="M19056" s="3">
        <v>0</v>
      </c>
      <c r="N19056" s="3">
        <v>0</v>
      </c>
      <c r="O19056" s="3" t="s">
        <v>10</v>
      </c>
      <c r="P19056" s="3" t="s">
        <v>9</v>
      </c>
      <c r="Q19056" s="3"/>
    </row>
    <row r="19057" spans="1:17" ht="15" x14ac:dyDescent="0.25">
      <c r="A19057" s="3">
        <f>19050</f>
        <v>19050</v>
      </c>
      <c r="B19057" s="3" t="s">
        <v>19059</v>
      </c>
      <c r="C19057" s="3" t="s">
        <v>10</v>
      </c>
      <c r="D19057" s="3" t="s">
        <v>9</v>
      </c>
      <c r="E19057" s="3">
        <v>0</v>
      </c>
      <c r="F19057" s="3">
        <v>0</v>
      </c>
      <c r="G19057" s="3">
        <v>1</v>
      </c>
      <c r="H19057" s="3">
        <v>0</v>
      </c>
      <c r="I19057" s="3">
        <v>0</v>
      </c>
      <c r="J19057" s="3">
        <v>1</v>
      </c>
      <c r="K19057" s="3">
        <v>0</v>
      </c>
      <c r="L19057" s="3">
        <v>0</v>
      </c>
      <c r="M19057" s="3">
        <v>0</v>
      </c>
      <c r="N19057" s="3">
        <v>0</v>
      </c>
      <c r="O19057" s="3" t="s">
        <v>10</v>
      </c>
      <c r="P19057" s="3" t="s">
        <v>9</v>
      </c>
      <c r="Q19057" s="3"/>
    </row>
    <row r="19058" spans="1:17" ht="15" x14ac:dyDescent="0.25">
      <c r="A19058" s="3">
        <f>19051</f>
        <v>19051</v>
      </c>
      <c r="B19058" s="3" t="s">
        <v>19060</v>
      </c>
      <c r="C19058" s="3" t="s">
        <v>10</v>
      </c>
      <c r="D19058" s="3" t="s">
        <v>9</v>
      </c>
      <c r="E19058" s="3">
        <v>0</v>
      </c>
      <c r="F19058" s="3">
        <v>0</v>
      </c>
      <c r="G19058" s="3">
        <v>1</v>
      </c>
      <c r="H19058" s="3">
        <v>0</v>
      </c>
      <c r="I19058" s="3">
        <v>0</v>
      </c>
      <c r="J19058" s="3">
        <v>1</v>
      </c>
      <c r="K19058" s="3">
        <v>0</v>
      </c>
      <c r="L19058" s="3">
        <v>0</v>
      </c>
      <c r="M19058" s="3">
        <v>0</v>
      </c>
      <c r="N19058" s="3">
        <v>0</v>
      </c>
      <c r="O19058" s="3" t="s">
        <v>10</v>
      </c>
      <c r="P19058" s="3" t="s">
        <v>9</v>
      </c>
      <c r="Q19058" s="3"/>
    </row>
    <row r="19059" spans="1:17" ht="15" x14ac:dyDescent="0.25">
      <c r="A19059" s="3">
        <f>19052</f>
        <v>19052</v>
      </c>
      <c r="B19059" s="3" t="s">
        <v>19061</v>
      </c>
      <c r="C19059" s="3" t="s">
        <v>10</v>
      </c>
      <c r="D19059" s="3" t="s">
        <v>9</v>
      </c>
      <c r="E19059" s="3">
        <v>0</v>
      </c>
      <c r="F19059" s="3">
        <v>0</v>
      </c>
      <c r="G19059" s="3">
        <v>1</v>
      </c>
      <c r="H19059" s="3">
        <v>0</v>
      </c>
      <c r="I19059" s="3">
        <v>0</v>
      </c>
      <c r="J19059" s="3">
        <v>1</v>
      </c>
      <c r="K19059" s="3">
        <v>0</v>
      </c>
      <c r="L19059" s="3">
        <v>0</v>
      </c>
      <c r="M19059" s="3">
        <v>0</v>
      </c>
      <c r="N19059" s="3">
        <v>0</v>
      </c>
      <c r="O19059" s="3" t="s">
        <v>10</v>
      </c>
      <c r="P19059" s="3" t="s">
        <v>9</v>
      </c>
      <c r="Q19059" s="3"/>
    </row>
    <row r="19060" spans="1:17" ht="15" x14ac:dyDescent="0.25">
      <c r="A19060" s="3">
        <f>19053</f>
        <v>19053</v>
      </c>
      <c r="B19060" s="3" t="s">
        <v>19062</v>
      </c>
      <c r="C19060" s="3" t="s">
        <v>10</v>
      </c>
      <c r="D19060" s="3" t="s">
        <v>9</v>
      </c>
      <c r="E19060" s="3">
        <v>0</v>
      </c>
      <c r="F19060" s="3">
        <v>0</v>
      </c>
      <c r="G19060" s="3">
        <v>1</v>
      </c>
      <c r="H19060" s="3">
        <v>0</v>
      </c>
      <c r="I19060" s="3">
        <v>0</v>
      </c>
      <c r="J19060" s="3">
        <v>1</v>
      </c>
      <c r="K19060" s="3">
        <v>0</v>
      </c>
      <c r="L19060" s="3">
        <v>0</v>
      </c>
      <c r="M19060" s="3">
        <v>0</v>
      </c>
      <c r="N19060" s="3">
        <v>0</v>
      </c>
      <c r="O19060" s="3" t="s">
        <v>10</v>
      </c>
      <c r="P19060" s="3" t="s">
        <v>9</v>
      </c>
      <c r="Q19060" s="3"/>
    </row>
    <row r="19061" spans="1:17" ht="15" x14ac:dyDescent="0.25">
      <c r="A19061" s="3">
        <f>19054</f>
        <v>19054</v>
      </c>
      <c r="B19061" s="3" t="s">
        <v>19063</v>
      </c>
      <c r="C19061" s="3" t="s">
        <v>10</v>
      </c>
      <c r="D19061" s="3" t="s">
        <v>9</v>
      </c>
      <c r="E19061" s="3">
        <v>0</v>
      </c>
      <c r="F19061" s="3">
        <v>0</v>
      </c>
      <c r="G19061" s="3">
        <v>1</v>
      </c>
      <c r="H19061" s="3">
        <v>0</v>
      </c>
      <c r="I19061" s="3">
        <v>0</v>
      </c>
      <c r="J19061" s="3">
        <v>1</v>
      </c>
      <c r="K19061" s="3">
        <v>0</v>
      </c>
      <c r="L19061" s="3">
        <v>0</v>
      </c>
      <c r="M19061" s="3">
        <v>0</v>
      </c>
      <c r="N19061" s="3">
        <v>0</v>
      </c>
      <c r="O19061" s="3" t="s">
        <v>10</v>
      </c>
      <c r="P19061" s="3" t="s">
        <v>9</v>
      </c>
      <c r="Q19061" s="3"/>
    </row>
    <row r="19062" spans="1:17" ht="15" x14ac:dyDescent="0.25">
      <c r="A19062" s="3">
        <f>19055</f>
        <v>19055</v>
      </c>
      <c r="B19062" s="3" t="s">
        <v>19064</v>
      </c>
      <c r="C19062" s="3" t="s">
        <v>10</v>
      </c>
      <c r="D19062" s="3" t="s">
        <v>9</v>
      </c>
      <c r="E19062" s="3">
        <v>0</v>
      </c>
      <c r="F19062" s="3">
        <v>0</v>
      </c>
      <c r="G19062" s="3">
        <v>1</v>
      </c>
      <c r="H19062" s="3">
        <v>0</v>
      </c>
      <c r="I19062" s="3">
        <v>0</v>
      </c>
      <c r="J19062" s="3">
        <v>1</v>
      </c>
      <c r="K19062" s="3">
        <v>0</v>
      </c>
      <c r="L19062" s="3">
        <v>0</v>
      </c>
      <c r="M19062" s="3">
        <v>0</v>
      </c>
      <c r="N19062" s="3">
        <v>0</v>
      </c>
      <c r="O19062" s="3" t="s">
        <v>10</v>
      </c>
      <c r="P19062" s="3" t="s">
        <v>9</v>
      </c>
      <c r="Q19062" s="3"/>
    </row>
    <row r="19063" spans="1:17" ht="15" x14ac:dyDescent="0.25">
      <c r="A19063" s="3">
        <f>19056</f>
        <v>19056</v>
      </c>
      <c r="B19063" s="3" t="s">
        <v>19065</v>
      </c>
      <c r="C19063" s="3" t="s">
        <v>10</v>
      </c>
      <c r="D19063" s="3" t="s">
        <v>9</v>
      </c>
      <c r="E19063" s="3">
        <v>0</v>
      </c>
      <c r="F19063" s="3">
        <v>0</v>
      </c>
      <c r="G19063" s="3">
        <v>1</v>
      </c>
      <c r="H19063" s="3">
        <v>0</v>
      </c>
      <c r="I19063" s="3">
        <v>0</v>
      </c>
      <c r="J19063" s="3">
        <v>1</v>
      </c>
      <c r="K19063" s="3">
        <v>0</v>
      </c>
      <c r="L19063" s="3">
        <v>0</v>
      </c>
      <c r="M19063" s="3">
        <v>0</v>
      </c>
      <c r="N19063" s="3">
        <v>0</v>
      </c>
      <c r="O19063" s="3" t="s">
        <v>10</v>
      </c>
      <c r="P19063" s="3" t="s">
        <v>9</v>
      </c>
      <c r="Q19063" s="3"/>
    </row>
    <row r="19064" spans="1:17" ht="15" x14ac:dyDescent="0.25">
      <c r="A19064" s="3">
        <f>19057</f>
        <v>19057</v>
      </c>
      <c r="B19064" s="3" t="s">
        <v>19066</v>
      </c>
      <c r="C19064" s="3" t="s">
        <v>10</v>
      </c>
      <c r="D19064" s="3" t="s">
        <v>9</v>
      </c>
      <c r="E19064" s="3">
        <v>0</v>
      </c>
      <c r="F19064" s="3">
        <v>0</v>
      </c>
      <c r="G19064" s="3">
        <v>1</v>
      </c>
      <c r="H19064" s="3">
        <v>0</v>
      </c>
      <c r="I19064" s="3">
        <v>0</v>
      </c>
      <c r="J19064" s="3">
        <v>1</v>
      </c>
      <c r="K19064" s="3">
        <v>0</v>
      </c>
      <c r="L19064" s="3">
        <v>0</v>
      </c>
      <c r="M19064" s="3">
        <v>0</v>
      </c>
      <c r="N19064" s="3">
        <v>0</v>
      </c>
      <c r="O19064" s="3" t="s">
        <v>10</v>
      </c>
      <c r="P19064" s="3" t="s">
        <v>9</v>
      </c>
      <c r="Q19064" s="3"/>
    </row>
    <row r="19065" spans="1:17" ht="15" x14ac:dyDescent="0.25">
      <c r="A19065" s="3">
        <f>19058</f>
        <v>19058</v>
      </c>
      <c r="B19065" s="3" t="s">
        <v>19067</v>
      </c>
      <c r="C19065" s="3" t="s">
        <v>10</v>
      </c>
      <c r="D19065" s="3" t="s">
        <v>9</v>
      </c>
      <c r="E19065" s="3">
        <v>0</v>
      </c>
      <c r="F19065" s="3">
        <v>0</v>
      </c>
      <c r="G19065" s="3">
        <v>1</v>
      </c>
      <c r="H19065" s="3">
        <v>0</v>
      </c>
      <c r="I19065" s="3">
        <v>0</v>
      </c>
      <c r="J19065" s="3">
        <v>1</v>
      </c>
      <c r="K19065" s="3">
        <v>0</v>
      </c>
      <c r="L19065" s="3">
        <v>0</v>
      </c>
      <c r="M19065" s="3">
        <v>0</v>
      </c>
      <c r="N19065" s="3">
        <v>0</v>
      </c>
      <c r="O19065" s="3" t="s">
        <v>10</v>
      </c>
      <c r="P19065" s="3" t="s">
        <v>9</v>
      </c>
      <c r="Q19065" s="3"/>
    </row>
    <row r="19066" spans="1:17" ht="15" x14ac:dyDescent="0.25">
      <c r="A19066" s="3">
        <f>19059</f>
        <v>19059</v>
      </c>
      <c r="B19066" s="3" t="s">
        <v>19068</v>
      </c>
      <c r="C19066" s="3" t="s">
        <v>10</v>
      </c>
      <c r="D19066" s="3" t="s">
        <v>9</v>
      </c>
      <c r="E19066" s="3">
        <v>0</v>
      </c>
      <c r="F19066" s="3">
        <v>0</v>
      </c>
      <c r="G19066" s="3">
        <v>1</v>
      </c>
      <c r="H19066" s="3">
        <v>0</v>
      </c>
      <c r="I19066" s="3">
        <v>0</v>
      </c>
      <c r="J19066" s="3">
        <v>1</v>
      </c>
      <c r="K19066" s="3">
        <v>0</v>
      </c>
      <c r="L19066" s="3">
        <v>0</v>
      </c>
      <c r="M19066" s="3">
        <v>0</v>
      </c>
      <c r="N19066" s="3">
        <v>0</v>
      </c>
      <c r="O19066" s="3" t="s">
        <v>10</v>
      </c>
      <c r="P19066" s="3" t="s">
        <v>9</v>
      </c>
      <c r="Q19066" s="3"/>
    </row>
    <row r="19067" spans="1:17" ht="15" x14ac:dyDescent="0.25">
      <c r="A19067" s="3">
        <f>19060</f>
        <v>19060</v>
      </c>
      <c r="B19067" s="3" t="s">
        <v>19069</v>
      </c>
      <c r="C19067" s="3" t="s">
        <v>10</v>
      </c>
      <c r="D19067" s="3" t="s">
        <v>9</v>
      </c>
      <c r="E19067" s="3">
        <v>0</v>
      </c>
      <c r="F19067" s="3">
        <v>0</v>
      </c>
      <c r="G19067" s="3">
        <v>1</v>
      </c>
      <c r="H19067" s="3">
        <v>0</v>
      </c>
      <c r="I19067" s="3">
        <v>0</v>
      </c>
      <c r="J19067" s="3">
        <v>1</v>
      </c>
      <c r="K19067" s="3">
        <v>0</v>
      </c>
      <c r="L19067" s="3">
        <v>0</v>
      </c>
      <c r="M19067" s="3">
        <v>0</v>
      </c>
      <c r="N19067" s="3">
        <v>0</v>
      </c>
      <c r="O19067" s="3" t="s">
        <v>10</v>
      </c>
      <c r="P19067" s="3" t="s">
        <v>9</v>
      </c>
      <c r="Q19067" s="3"/>
    </row>
    <row r="19068" spans="1:17" ht="15" x14ac:dyDescent="0.25">
      <c r="A19068" s="3">
        <f>19061</f>
        <v>19061</v>
      </c>
      <c r="B19068" s="3" t="s">
        <v>19070</v>
      </c>
      <c r="C19068" s="3" t="s">
        <v>10</v>
      </c>
      <c r="D19068" s="3" t="s">
        <v>9</v>
      </c>
      <c r="E19068" s="3">
        <v>0</v>
      </c>
      <c r="F19068" s="3">
        <v>0</v>
      </c>
      <c r="G19068" s="3">
        <v>1</v>
      </c>
      <c r="H19068" s="3">
        <v>0</v>
      </c>
      <c r="I19068" s="3">
        <v>0</v>
      </c>
      <c r="J19068" s="3">
        <v>1</v>
      </c>
      <c r="K19068" s="3">
        <v>0</v>
      </c>
      <c r="L19068" s="3">
        <v>0</v>
      </c>
      <c r="M19068" s="3">
        <v>0</v>
      </c>
      <c r="N19068" s="3">
        <v>0</v>
      </c>
      <c r="O19068" s="3" t="s">
        <v>10</v>
      </c>
      <c r="P19068" s="3" t="s">
        <v>9</v>
      </c>
      <c r="Q19068" s="3"/>
    </row>
    <row r="19069" spans="1:17" ht="15" x14ac:dyDescent="0.25">
      <c r="A19069" s="3">
        <f>19062</f>
        <v>19062</v>
      </c>
      <c r="B19069" s="3" t="s">
        <v>19071</v>
      </c>
      <c r="C19069" s="3" t="s">
        <v>10</v>
      </c>
      <c r="D19069" s="3" t="s">
        <v>9</v>
      </c>
      <c r="E19069" s="3">
        <v>0</v>
      </c>
      <c r="F19069" s="3">
        <v>0</v>
      </c>
      <c r="G19069" s="3">
        <v>1</v>
      </c>
      <c r="H19069" s="3">
        <v>0</v>
      </c>
      <c r="I19069" s="3">
        <v>0</v>
      </c>
      <c r="J19069" s="3">
        <v>1</v>
      </c>
      <c r="K19069" s="3">
        <v>0</v>
      </c>
      <c r="L19069" s="3">
        <v>0</v>
      </c>
      <c r="M19069" s="3">
        <v>0</v>
      </c>
      <c r="N19069" s="3">
        <v>0</v>
      </c>
      <c r="O19069" s="3" t="s">
        <v>10</v>
      </c>
      <c r="P19069" s="3" t="s">
        <v>9</v>
      </c>
      <c r="Q19069" s="3"/>
    </row>
    <row r="19070" spans="1:17" ht="15" x14ac:dyDescent="0.25">
      <c r="A19070" s="3">
        <f>19063</f>
        <v>19063</v>
      </c>
      <c r="B19070" s="3" t="s">
        <v>19072</v>
      </c>
      <c r="C19070" s="3" t="s">
        <v>10</v>
      </c>
      <c r="D19070" s="3" t="s">
        <v>9</v>
      </c>
      <c r="E19070" s="3">
        <v>0</v>
      </c>
      <c r="F19070" s="3">
        <v>0</v>
      </c>
      <c r="G19070" s="3">
        <v>1</v>
      </c>
      <c r="H19070" s="3">
        <v>0</v>
      </c>
      <c r="I19070" s="3">
        <v>0</v>
      </c>
      <c r="J19070" s="3">
        <v>1</v>
      </c>
      <c r="K19070" s="3">
        <v>0</v>
      </c>
      <c r="L19070" s="3">
        <v>0</v>
      </c>
      <c r="M19070" s="3">
        <v>0</v>
      </c>
      <c r="N19070" s="3">
        <v>0</v>
      </c>
      <c r="O19070" s="3" t="s">
        <v>10</v>
      </c>
      <c r="P19070" s="3" t="s">
        <v>9</v>
      </c>
      <c r="Q19070" s="3"/>
    </row>
    <row r="19071" spans="1:17" ht="15" x14ac:dyDescent="0.25">
      <c r="A19071" s="3">
        <f>19064</f>
        <v>19064</v>
      </c>
      <c r="B19071" s="3" t="s">
        <v>19073</v>
      </c>
      <c r="C19071" s="3" t="s">
        <v>10</v>
      </c>
      <c r="D19071" s="3" t="s">
        <v>9</v>
      </c>
      <c r="E19071" s="3">
        <v>0</v>
      </c>
      <c r="F19071" s="3">
        <v>0</v>
      </c>
      <c r="G19071" s="3">
        <v>1</v>
      </c>
      <c r="H19071" s="3">
        <v>0</v>
      </c>
      <c r="I19071" s="3">
        <v>0</v>
      </c>
      <c r="J19071" s="3">
        <v>1</v>
      </c>
      <c r="K19071" s="3">
        <v>0</v>
      </c>
      <c r="L19071" s="3">
        <v>0</v>
      </c>
      <c r="M19071" s="3">
        <v>0</v>
      </c>
      <c r="N19071" s="3">
        <v>0</v>
      </c>
      <c r="O19071" s="3" t="s">
        <v>10</v>
      </c>
      <c r="P19071" s="3" t="s">
        <v>9</v>
      </c>
      <c r="Q19071" s="3"/>
    </row>
    <row r="19072" spans="1:17" ht="15" x14ac:dyDescent="0.25">
      <c r="A19072" s="3">
        <f>19065</f>
        <v>19065</v>
      </c>
      <c r="B19072" s="3" t="s">
        <v>19074</v>
      </c>
      <c r="C19072" s="3" t="s">
        <v>10</v>
      </c>
      <c r="D19072" s="3" t="s">
        <v>9</v>
      </c>
      <c r="E19072" s="3">
        <v>0</v>
      </c>
      <c r="F19072" s="3">
        <v>0</v>
      </c>
      <c r="G19072" s="3">
        <v>1</v>
      </c>
      <c r="H19072" s="3">
        <v>0</v>
      </c>
      <c r="I19072" s="3">
        <v>0</v>
      </c>
      <c r="J19072" s="3">
        <v>1</v>
      </c>
      <c r="K19072" s="3">
        <v>0</v>
      </c>
      <c r="L19072" s="3">
        <v>0</v>
      </c>
      <c r="M19072" s="3">
        <v>0</v>
      </c>
      <c r="N19072" s="3">
        <v>0</v>
      </c>
      <c r="O19072" s="3" t="s">
        <v>10</v>
      </c>
      <c r="P19072" s="3" t="s">
        <v>9</v>
      </c>
      <c r="Q19072" s="3"/>
    </row>
    <row r="19073" spans="1:17" ht="15" x14ac:dyDescent="0.25">
      <c r="A19073" s="3">
        <f>19066</f>
        <v>19066</v>
      </c>
      <c r="B19073" s="3" t="s">
        <v>19075</v>
      </c>
      <c r="C19073" s="3" t="s">
        <v>10</v>
      </c>
      <c r="D19073" s="3" t="s">
        <v>9</v>
      </c>
      <c r="E19073" s="3">
        <v>0</v>
      </c>
      <c r="F19073" s="3">
        <v>0</v>
      </c>
      <c r="G19073" s="3">
        <v>1</v>
      </c>
      <c r="H19073" s="3">
        <v>0</v>
      </c>
      <c r="I19073" s="3">
        <v>0</v>
      </c>
      <c r="J19073" s="3">
        <v>1</v>
      </c>
      <c r="K19073" s="3">
        <v>0</v>
      </c>
      <c r="L19073" s="3">
        <v>0</v>
      </c>
      <c r="M19073" s="3">
        <v>0</v>
      </c>
      <c r="N19073" s="3">
        <v>0</v>
      </c>
      <c r="O19073" s="3" t="s">
        <v>10</v>
      </c>
      <c r="P19073" s="3" t="s">
        <v>9</v>
      </c>
      <c r="Q19073" s="3"/>
    </row>
    <row r="19074" spans="1:17" ht="15" x14ac:dyDescent="0.25">
      <c r="A19074" s="3">
        <f>19067</f>
        <v>19067</v>
      </c>
      <c r="B19074" s="3" t="s">
        <v>19076</v>
      </c>
      <c r="C19074" s="3" t="s">
        <v>10</v>
      </c>
      <c r="D19074" s="3" t="s">
        <v>9</v>
      </c>
      <c r="E19074" s="3">
        <v>0</v>
      </c>
      <c r="F19074" s="3">
        <v>0</v>
      </c>
      <c r="G19074" s="3">
        <v>1</v>
      </c>
      <c r="H19074" s="3">
        <v>0</v>
      </c>
      <c r="I19074" s="3">
        <v>0</v>
      </c>
      <c r="J19074" s="3">
        <v>1</v>
      </c>
      <c r="K19074" s="3">
        <v>0</v>
      </c>
      <c r="L19074" s="3">
        <v>0</v>
      </c>
      <c r="M19074" s="3">
        <v>0</v>
      </c>
      <c r="N19074" s="3">
        <v>0</v>
      </c>
      <c r="O19074" s="3" t="s">
        <v>10</v>
      </c>
      <c r="P19074" s="3" t="s">
        <v>9</v>
      </c>
      <c r="Q19074" s="3"/>
    </row>
    <row r="19075" spans="1:17" ht="15" x14ac:dyDescent="0.25">
      <c r="A19075" s="3">
        <f>19068</f>
        <v>19068</v>
      </c>
      <c r="B19075" s="3" t="s">
        <v>19077</v>
      </c>
      <c r="C19075" s="3" t="s">
        <v>10</v>
      </c>
      <c r="D19075" s="3" t="s">
        <v>9</v>
      </c>
      <c r="E19075" s="3">
        <v>0</v>
      </c>
      <c r="F19075" s="3">
        <v>0</v>
      </c>
      <c r="G19075" s="3">
        <v>1</v>
      </c>
      <c r="H19075" s="3">
        <v>0</v>
      </c>
      <c r="I19075" s="3">
        <v>0</v>
      </c>
      <c r="J19075" s="3">
        <v>1</v>
      </c>
      <c r="K19075" s="3">
        <v>0</v>
      </c>
      <c r="L19075" s="3">
        <v>0</v>
      </c>
      <c r="M19075" s="3">
        <v>0</v>
      </c>
      <c r="N19075" s="3">
        <v>0</v>
      </c>
      <c r="O19075" s="3" t="s">
        <v>10</v>
      </c>
      <c r="P19075" s="3" t="s">
        <v>9</v>
      </c>
      <c r="Q19075" s="3"/>
    </row>
    <row r="19076" spans="1:17" ht="15" x14ac:dyDescent="0.25">
      <c r="A19076" s="3">
        <f>19069</f>
        <v>19069</v>
      </c>
      <c r="B19076" s="3" t="s">
        <v>19078</v>
      </c>
      <c r="C19076" s="3" t="s">
        <v>10</v>
      </c>
      <c r="D19076" s="3" t="s">
        <v>9</v>
      </c>
      <c r="E19076" s="3">
        <v>0</v>
      </c>
      <c r="F19076" s="3">
        <v>0</v>
      </c>
      <c r="G19076" s="3">
        <v>1</v>
      </c>
      <c r="H19076" s="3">
        <v>0</v>
      </c>
      <c r="I19076" s="3">
        <v>0</v>
      </c>
      <c r="J19076" s="3">
        <v>1</v>
      </c>
      <c r="K19076" s="3">
        <v>0</v>
      </c>
      <c r="L19076" s="3">
        <v>0</v>
      </c>
      <c r="M19076" s="3">
        <v>0</v>
      </c>
      <c r="N19076" s="3">
        <v>0</v>
      </c>
      <c r="O19076" s="3" t="s">
        <v>10</v>
      </c>
      <c r="P19076" s="3" t="s">
        <v>9</v>
      </c>
      <c r="Q19076" s="3"/>
    </row>
    <row r="19077" spans="1:17" ht="15" x14ac:dyDescent="0.25">
      <c r="A19077" s="3">
        <f>19070</f>
        <v>19070</v>
      </c>
      <c r="B19077" s="3" t="s">
        <v>19079</v>
      </c>
      <c r="C19077" s="3" t="s">
        <v>10</v>
      </c>
      <c r="D19077" s="3" t="s">
        <v>9</v>
      </c>
      <c r="E19077" s="3">
        <v>0</v>
      </c>
      <c r="F19077" s="3">
        <v>0</v>
      </c>
      <c r="G19077" s="3">
        <v>1</v>
      </c>
      <c r="H19077" s="3">
        <v>0</v>
      </c>
      <c r="I19077" s="3">
        <v>0</v>
      </c>
      <c r="J19077" s="3">
        <v>1</v>
      </c>
      <c r="K19077" s="3">
        <v>0</v>
      </c>
      <c r="L19077" s="3">
        <v>0</v>
      </c>
      <c r="M19077" s="3">
        <v>0</v>
      </c>
      <c r="N19077" s="3">
        <v>0</v>
      </c>
      <c r="O19077" s="3" t="s">
        <v>10</v>
      </c>
      <c r="P19077" s="3" t="s">
        <v>9</v>
      </c>
      <c r="Q19077" s="3"/>
    </row>
    <row r="19078" spans="1:17" ht="15" x14ac:dyDescent="0.25">
      <c r="A19078" s="3">
        <f>19071</f>
        <v>19071</v>
      </c>
      <c r="B19078" s="3" t="s">
        <v>19080</v>
      </c>
      <c r="C19078" s="3" t="s">
        <v>10</v>
      </c>
      <c r="D19078" s="3" t="s">
        <v>9</v>
      </c>
      <c r="E19078" s="3">
        <v>0</v>
      </c>
      <c r="F19078" s="3">
        <v>0</v>
      </c>
      <c r="G19078" s="3">
        <v>1</v>
      </c>
      <c r="H19078" s="3">
        <v>0</v>
      </c>
      <c r="I19078" s="3">
        <v>0</v>
      </c>
      <c r="J19078" s="3">
        <v>1</v>
      </c>
      <c r="K19078" s="3">
        <v>0</v>
      </c>
      <c r="L19078" s="3">
        <v>0</v>
      </c>
      <c r="M19078" s="3">
        <v>0</v>
      </c>
      <c r="N19078" s="3">
        <v>0</v>
      </c>
      <c r="O19078" s="3" t="s">
        <v>10</v>
      </c>
      <c r="P19078" s="3" t="s">
        <v>9</v>
      </c>
      <c r="Q19078" s="3"/>
    </row>
    <row r="19079" spans="1:17" ht="15" x14ac:dyDescent="0.25">
      <c r="A19079" s="3">
        <f>19072</f>
        <v>19072</v>
      </c>
      <c r="B19079" s="3" t="s">
        <v>19081</v>
      </c>
      <c r="C19079" s="3" t="s">
        <v>10</v>
      </c>
      <c r="D19079" s="3" t="s">
        <v>9</v>
      </c>
      <c r="E19079" s="3">
        <v>0</v>
      </c>
      <c r="F19079" s="3">
        <v>0</v>
      </c>
      <c r="G19079" s="3">
        <v>1</v>
      </c>
      <c r="H19079" s="3">
        <v>0</v>
      </c>
      <c r="I19079" s="3">
        <v>0</v>
      </c>
      <c r="J19079" s="3">
        <v>1</v>
      </c>
      <c r="K19079" s="3">
        <v>0</v>
      </c>
      <c r="L19079" s="3">
        <v>0</v>
      </c>
      <c r="M19079" s="3">
        <v>0</v>
      </c>
      <c r="N19079" s="3">
        <v>0</v>
      </c>
      <c r="O19079" s="3" t="s">
        <v>10</v>
      </c>
      <c r="P19079" s="3" t="s">
        <v>9</v>
      </c>
      <c r="Q19079" s="3"/>
    </row>
    <row r="19080" spans="1:17" ht="15" x14ac:dyDescent="0.25">
      <c r="A19080" s="3">
        <f>19073</f>
        <v>19073</v>
      </c>
      <c r="B19080" s="3" t="s">
        <v>19082</v>
      </c>
      <c r="C19080" s="3" t="s">
        <v>10</v>
      </c>
      <c r="D19080" s="3" t="s">
        <v>9</v>
      </c>
      <c r="E19080" s="3">
        <v>0</v>
      </c>
      <c r="F19080" s="3">
        <v>0</v>
      </c>
      <c r="G19080" s="3">
        <v>1</v>
      </c>
      <c r="H19080" s="3">
        <v>0</v>
      </c>
      <c r="I19080" s="3">
        <v>0</v>
      </c>
      <c r="J19080" s="3">
        <v>1</v>
      </c>
      <c r="K19080" s="3">
        <v>0</v>
      </c>
      <c r="L19080" s="3">
        <v>0</v>
      </c>
      <c r="M19080" s="3">
        <v>0</v>
      </c>
      <c r="N19080" s="3">
        <v>0</v>
      </c>
      <c r="O19080" s="3" t="s">
        <v>10</v>
      </c>
      <c r="P19080" s="3" t="s">
        <v>9</v>
      </c>
      <c r="Q19080" s="3"/>
    </row>
    <row r="19081" spans="1:17" ht="15" x14ac:dyDescent="0.25">
      <c r="A19081" s="3">
        <f>19074</f>
        <v>19074</v>
      </c>
      <c r="B19081" s="3" t="s">
        <v>19083</v>
      </c>
      <c r="C19081" s="3" t="s">
        <v>10</v>
      </c>
      <c r="D19081" s="3" t="s">
        <v>9</v>
      </c>
      <c r="E19081" s="3">
        <v>0</v>
      </c>
      <c r="F19081" s="3">
        <v>0</v>
      </c>
      <c r="G19081" s="3">
        <v>1</v>
      </c>
      <c r="H19081" s="3">
        <v>0</v>
      </c>
      <c r="I19081" s="3">
        <v>0</v>
      </c>
      <c r="J19081" s="3">
        <v>1</v>
      </c>
      <c r="K19081" s="3">
        <v>0</v>
      </c>
      <c r="L19081" s="3">
        <v>0</v>
      </c>
      <c r="M19081" s="3">
        <v>0</v>
      </c>
      <c r="N19081" s="3">
        <v>0</v>
      </c>
      <c r="O19081" s="3" t="s">
        <v>10</v>
      </c>
      <c r="P19081" s="3" t="s">
        <v>9</v>
      </c>
      <c r="Q19081" s="3"/>
    </row>
    <row r="19082" spans="1:17" ht="15" x14ac:dyDescent="0.25">
      <c r="A19082" s="3">
        <f>19075</f>
        <v>19075</v>
      </c>
      <c r="B19082" s="3" t="s">
        <v>19084</v>
      </c>
      <c r="C19082" s="3" t="s">
        <v>10</v>
      </c>
      <c r="D19082" s="3" t="s">
        <v>9</v>
      </c>
      <c r="E19082" s="3">
        <v>0</v>
      </c>
      <c r="F19082" s="3">
        <v>0</v>
      </c>
      <c r="G19082" s="3">
        <v>1</v>
      </c>
      <c r="H19082" s="3">
        <v>0</v>
      </c>
      <c r="I19082" s="3">
        <v>0</v>
      </c>
      <c r="J19082" s="3">
        <v>1</v>
      </c>
      <c r="K19082" s="3">
        <v>0</v>
      </c>
      <c r="L19082" s="3">
        <v>0</v>
      </c>
      <c r="M19082" s="3">
        <v>0</v>
      </c>
      <c r="N19082" s="3">
        <v>0</v>
      </c>
      <c r="O19082" s="3" t="s">
        <v>10</v>
      </c>
      <c r="P19082" s="3" t="s">
        <v>9</v>
      </c>
      <c r="Q19082" s="3"/>
    </row>
    <row r="19083" spans="1:17" ht="15" x14ac:dyDescent="0.25">
      <c r="A19083" s="3">
        <f>19076</f>
        <v>19076</v>
      </c>
      <c r="B19083" s="3" t="s">
        <v>19085</v>
      </c>
      <c r="C19083" s="3" t="s">
        <v>10</v>
      </c>
      <c r="D19083" s="3" t="s">
        <v>9</v>
      </c>
      <c r="E19083" s="3">
        <v>0</v>
      </c>
      <c r="F19083" s="3">
        <v>0</v>
      </c>
      <c r="G19083" s="3">
        <v>1</v>
      </c>
      <c r="H19083" s="3">
        <v>0</v>
      </c>
      <c r="I19083" s="3">
        <v>0</v>
      </c>
      <c r="J19083" s="3">
        <v>1</v>
      </c>
      <c r="K19083" s="3">
        <v>0</v>
      </c>
      <c r="L19083" s="3">
        <v>0</v>
      </c>
      <c r="M19083" s="3">
        <v>0</v>
      </c>
      <c r="N19083" s="3">
        <v>0</v>
      </c>
      <c r="O19083" s="3" t="s">
        <v>10</v>
      </c>
      <c r="P19083" s="3" t="s">
        <v>9</v>
      </c>
      <c r="Q19083" s="3"/>
    </row>
    <row r="19084" spans="1:17" ht="15" x14ac:dyDescent="0.25">
      <c r="A19084" s="3">
        <f>19077</f>
        <v>19077</v>
      </c>
      <c r="B19084" s="3" t="s">
        <v>19086</v>
      </c>
      <c r="C19084" s="3" t="s">
        <v>10</v>
      </c>
      <c r="D19084" s="3" t="s">
        <v>9</v>
      </c>
      <c r="E19084" s="3">
        <v>0</v>
      </c>
      <c r="F19084" s="3">
        <v>0</v>
      </c>
      <c r="G19084" s="3">
        <v>1</v>
      </c>
      <c r="H19084" s="3">
        <v>0</v>
      </c>
      <c r="I19084" s="3">
        <v>0</v>
      </c>
      <c r="J19084" s="3">
        <v>1</v>
      </c>
      <c r="K19084" s="3">
        <v>0</v>
      </c>
      <c r="L19084" s="3">
        <v>0</v>
      </c>
      <c r="M19084" s="3">
        <v>0</v>
      </c>
      <c r="N19084" s="3">
        <v>0</v>
      </c>
      <c r="O19084" s="3" t="s">
        <v>10</v>
      </c>
      <c r="P19084" s="3" t="s">
        <v>9</v>
      </c>
      <c r="Q19084" s="3"/>
    </row>
    <row r="19085" spans="1:17" ht="15" x14ac:dyDescent="0.25">
      <c r="A19085" s="3">
        <f>19078</f>
        <v>19078</v>
      </c>
      <c r="B19085" s="3" t="s">
        <v>19087</v>
      </c>
      <c r="C19085" s="3" t="s">
        <v>10</v>
      </c>
      <c r="D19085" s="3" t="s">
        <v>9</v>
      </c>
      <c r="E19085" s="3">
        <v>0</v>
      </c>
      <c r="F19085" s="3">
        <v>0</v>
      </c>
      <c r="G19085" s="3">
        <v>1</v>
      </c>
      <c r="H19085" s="3">
        <v>0</v>
      </c>
      <c r="I19085" s="3">
        <v>0</v>
      </c>
      <c r="J19085" s="3">
        <v>1</v>
      </c>
      <c r="K19085" s="3">
        <v>0</v>
      </c>
      <c r="L19085" s="3">
        <v>0</v>
      </c>
      <c r="M19085" s="3">
        <v>0</v>
      </c>
      <c r="N19085" s="3">
        <v>0</v>
      </c>
      <c r="O19085" s="3" t="s">
        <v>10</v>
      </c>
      <c r="P19085" s="3" t="s">
        <v>9</v>
      </c>
      <c r="Q19085" s="3"/>
    </row>
    <row r="19086" spans="1:17" ht="15" x14ac:dyDescent="0.25">
      <c r="A19086" s="3">
        <f>19079</f>
        <v>19079</v>
      </c>
      <c r="B19086" s="3" t="s">
        <v>19088</v>
      </c>
      <c r="C19086" s="3" t="s">
        <v>10</v>
      </c>
      <c r="D19086" s="3" t="s">
        <v>9</v>
      </c>
      <c r="E19086" s="3">
        <v>0</v>
      </c>
      <c r="F19086" s="3">
        <v>0</v>
      </c>
      <c r="G19086" s="3">
        <v>1</v>
      </c>
      <c r="H19086" s="3">
        <v>0</v>
      </c>
      <c r="I19086" s="3">
        <v>0</v>
      </c>
      <c r="J19086" s="3">
        <v>1</v>
      </c>
      <c r="K19086" s="3">
        <v>0</v>
      </c>
      <c r="L19086" s="3">
        <v>0</v>
      </c>
      <c r="M19086" s="3">
        <v>0</v>
      </c>
      <c r="N19086" s="3">
        <v>0</v>
      </c>
      <c r="O19086" s="3" t="s">
        <v>10</v>
      </c>
      <c r="P19086" s="3" t="s">
        <v>9</v>
      </c>
      <c r="Q19086" s="3"/>
    </row>
    <row r="19087" spans="1:17" ht="15" x14ac:dyDescent="0.25">
      <c r="A19087" s="3">
        <f>19080</f>
        <v>19080</v>
      </c>
      <c r="B19087" s="3" t="s">
        <v>19089</v>
      </c>
      <c r="C19087" s="3" t="s">
        <v>10</v>
      </c>
      <c r="D19087" s="3" t="s">
        <v>9</v>
      </c>
      <c r="E19087" s="3">
        <v>0</v>
      </c>
      <c r="F19087" s="3">
        <v>0</v>
      </c>
      <c r="G19087" s="3">
        <v>1</v>
      </c>
      <c r="H19087" s="3">
        <v>0</v>
      </c>
      <c r="I19087" s="3">
        <v>0</v>
      </c>
      <c r="J19087" s="3">
        <v>1</v>
      </c>
      <c r="K19087" s="3">
        <v>0</v>
      </c>
      <c r="L19087" s="3">
        <v>0</v>
      </c>
      <c r="M19087" s="3">
        <v>0</v>
      </c>
      <c r="N19087" s="3">
        <v>0</v>
      </c>
      <c r="O19087" s="3" t="s">
        <v>10</v>
      </c>
      <c r="P19087" s="3" t="s">
        <v>9</v>
      </c>
      <c r="Q19087" s="3"/>
    </row>
    <row r="19088" spans="1:17" ht="15" x14ac:dyDescent="0.25">
      <c r="A19088" s="3">
        <f>19081</f>
        <v>19081</v>
      </c>
      <c r="B19088" s="3" t="s">
        <v>19090</v>
      </c>
      <c r="C19088" s="3" t="s">
        <v>10</v>
      </c>
      <c r="D19088" s="3" t="s">
        <v>9</v>
      </c>
      <c r="E19088" s="3">
        <v>0</v>
      </c>
      <c r="F19088" s="3">
        <v>0</v>
      </c>
      <c r="G19088" s="3">
        <v>1</v>
      </c>
      <c r="H19088" s="3">
        <v>0</v>
      </c>
      <c r="I19088" s="3">
        <v>0</v>
      </c>
      <c r="J19088" s="3">
        <v>1</v>
      </c>
      <c r="K19088" s="3">
        <v>0</v>
      </c>
      <c r="L19088" s="3">
        <v>0</v>
      </c>
      <c r="M19088" s="3">
        <v>0</v>
      </c>
      <c r="N19088" s="3">
        <v>0</v>
      </c>
      <c r="O19088" s="3" t="s">
        <v>10</v>
      </c>
      <c r="P19088" s="3" t="s">
        <v>9</v>
      </c>
      <c r="Q19088" s="3"/>
    </row>
    <row r="19089" spans="1:17" ht="15" x14ac:dyDescent="0.25">
      <c r="A19089" s="3">
        <f>19082</f>
        <v>19082</v>
      </c>
      <c r="B19089" s="3" t="s">
        <v>19091</v>
      </c>
      <c r="C19089" s="3" t="s">
        <v>10</v>
      </c>
      <c r="D19089" s="3" t="s">
        <v>9</v>
      </c>
      <c r="E19089" s="3">
        <v>0</v>
      </c>
      <c r="F19089" s="3">
        <v>0</v>
      </c>
      <c r="G19089" s="3">
        <v>1</v>
      </c>
      <c r="H19089" s="3">
        <v>0</v>
      </c>
      <c r="I19089" s="3">
        <v>0</v>
      </c>
      <c r="J19089" s="3">
        <v>1</v>
      </c>
      <c r="K19089" s="3">
        <v>0</v>
      </c>
      <c r="L19089" s="3">
        <v>0</v>
      </c>
      <c r="M19089" s="3">
        <v>0</v>
      </c>
      <c r="N19089" s="3">
        <v>0</v>
      </c>
      <c r="O19089" s="3" t="s">
        <v>10</v>
      </c>
      <c r="P19089" s="3" t="s">
        <v>9</v>
      </c>
      <c r="Q19089" s="3"/>
    </row>
    <row r="19090" spans="1:17" ht="15" x14ac:dyDescent="0.25">
      <c r="A19090" s="3">
        <f>19083</f>
        <v>19083</v>
      </c>
      <c r="B19090" s="3" t="s">
        <v>19092</v>
      </c>
      <c r="C19090" s="3" t="s">
        <v>10</v>
      </c>
      <c r="D19090" s="3" t="s">
        <v>9</v>
      </c>
      <c r="E19090" s="3">
        <v>0</v>
      </c>
      <c r="F19090" s="3">
        <v>0</v>
      </c>
      <c r="G19090" s="3">
        <v>1</v>
      </c>
      <c r="H19090" s="3">
        <v>0</v>
      </c>
      <c r="I19090" s="3">
        <v>0</v>
      </c>
      <c r="J19090" s="3">
        <v>1</v>
      </c>
      <c r="K19090" s="3">
        <v>0</v>
      </c>
      <c r="L19090" s="3">
        <v>0</v>
      </c>
      <c r="M19090" s="3">
        <v>0</v>
      </c>
      <c r="N19090" s="3">
        <v>0</v>
      </c>
      <c r="O19090" s="3" t="s">
        <v>10</v>
      </c>
      <c r="P19090" s="3" t="s">
        <v>9</v>
      </c>
      <c r="Q19090" s="3"/>
    </row>
    <row r="19091" spans="1:17" ht="15" x14ac:dyDescent="0.25">
      <c r="A19091" s="3">
        <f>19084</f>
        <v>19084</v>
      </c>
      <c r="B19091" s="3" t="s">
        <v>19093</v>
      </c>
      <c r="C19091" s="3" t="s">
        <v>10</v>
      </c>
      <c r="D19091" s="3" t="s">
        <v>9</v>
      </c>
      <c r="E19091" s="3">
        <v>0</v>
      </c>
      <c r="F19091" s="3">
        <v>0</v>
      </c>
      <c r="G19091" s="3">
        <v>1</v>
      </c>
      <c r="H19091" s="3">
        <v>0</v>
      </c>
      <c r="I19091" s="3">
        <v>0</v>
      </c>
      <c r="J19091" s="3">
        <v>1</v>
      </c>
      <c r="K19091" s="3">
        <v>0</v>
      </c>
      <c r="L19091" s="3">
        <v>0</v>
      </c>
      <c r="M19091" s="3">
        <v>0</v>
      </c>
      <c r="N19091" s="3">
        <v>0</v>
      </c>
      <c r="O19091" s="3" t="s">
        <v>10</v>
      </c>
      <c r="P19091" s="3" t="s">
        <v>9</v>
      </c>
      <c r="Q19091" s="3"/>
    </row>
    <row r="19092" spans="1:17" ht="15" x14ac:dyDescent="0.25">
      <c r="A19092" s="3">
        <f>19085</f>
        <v>19085</v>
      </c>
      <c r="B19092" s="3" t="s">
        <v>19094</v>
      </c>
      <c r="C19092" s="3" t="s">
        <v>10</v>
      </c>
      <c r="D19092" s="3" t="s">
        <v>9</v>
      </c>
      <c r="E19092" s="3">
        <v>0</v>
      </c>
      <c r="F19092" s="3">
        <v>0</v>
      </c>
      <c r="G19092" s="3">
        <v>1</v>
      </c>
      <c r="H19092" s="3">
        <v>0</v>
      </c>
      <c r="I19092" s="3">
        <v>0</v>
      </c>
      <c r="J19092" s="3">
        <v>1</v>
      </c>
      <c r="K19092" s="3">
        <v>0</v>
      </c>
      <c r="L19092" s="3">
        <v>0</v>
      </c>
      <c r="M19092" s="3">
        <v>0</v>
      </c>
      <c r="N19092" s="3">
        <v>0</v>
      </c>
      <c r="O19092" s="3" t="s">
        <v>10</v>
      </c>
      <c r="P19092" s="3" t="s">
        <v>9</v>
      </c>
      <c r="Q19092" s="3"/>
    </row>
    <row r="19093" spans="1:17" ht="15" x14ac:dyDescent="0.25">
      <c r="A19093" s="3">
        <f>19086</f>
        <v>19086</v>
      </c>
      <c r="B19093" s="3" t="s">
        <v>19095</v>
      </c>
      <c r="C19093" s="3" t="s">
        <v>10</v>
      </c>
      <c r="D19093" s="3" t="s">
        <v>9</v>
      </c>
      <c r="E19093" s="3">
        <v>0</v>
      </c>
      <c r="F19093" s="3">
        <v>0</v>
      </c>
      <c r="G19093" s="3">
        <v>1</v>
      </c>
      <c r="H19093" s="3">
        <v>0</v>
      </c>
      <c r="I19093" s="3">
        <v>0</v>
      </c>
      <c r="J19093" s="3">
        <v>1</v>
      </c>
      <c r="K19093" s="3">
        <v>0</v>
      </c>
      <c r="L19093" s="3">
        <v>0</v>
      </c>
      <c r="M19093" s="3">
        <v>0</v>
      </c>
      <c r="N19093" s="3">
        <v>0</v>
      </c>
      <c r="O19093" s="3" t="s">
        <v>10</v>
      </c>
      <c r="P19093" s="3" t="s">
        <v>9</v>
      </c>
      <c r="Q19093" s="3"/>
    </row>
    <row r="19094" spans="1:17" ht="15" x14ac:dyDescent="0.25">
      <c r="A19094" s="3">
        <f>19087</f>
        <v>19087</v>
      </c>
      <c r="B19094" s="3" t="s">
        <v>19096</v>
      </c>
      <c r="C19094" s="3" t="s">
        <v>10</v>
      </c>
      <c r="D19094" s="3" t="s">
        <v>9</v>
      </c>
      <c r="E19094" s="3">
        <v>0</v>
      </c>
      <c r="F19094" s="3">
        <v>0</v>
      </c>
      <c r="G19094" s="3">
        <v>1</v>
      </c>
      <c r="H19094" s="3">
        <v>0</v>
      </c>
      <c r="I19094" s="3">
        <v>0</v>
      </c>
      <c r="J19094" s="3">
        <v>1</v>
      </c>
      <c r="K19094" s="3">
        <v>0</v>
      </c>
      <c r="L19094" s="3">
        <v>0</v>
      </c>
      <c r="M19094" s="3">
        <v>0</v>
      </c>
      <c r="N19094" s="3">
        <v>0</v>
      </c>
      <c r="O19094" s="3" t="s">
        <v>10</v>
      </c>
      <c r="P19094" s="3" t="s">
        <v>9</v>
      </c>
      <c r="Q19094" s="3"/>
    </row>
    <row r="19095" spans="1:17" ht="15" x14ac:dyDescent="0.25">
      <c r="A19095" s="3">
        <f>19088</f>
        <v>19088</v>
      </c>
      <c r="B19095" s="3" t="s">
        <v>19097</v>
      </c>
      <c r="C19095" s="3" t="s">
        <v>10</v>
      </c>
      <c r="D19095" s="3" t="s">
        <v>9</v>
      </c>
      <c r="E19095" s="3">
        <v>0</v>
      </c>
      <c r="F19095" s="3">
        <v>0</v>
      </c>
      <c r="G19095" s="3">
        <v>1</v>
      </c>
      <c r="H19095" s="3">
        <v>0</v>
      </c>
      <c r="I19095" s="3">
        <v>0</v>
      </c>
      <c r="J19095" s="3">
        <v>1</v>
      </c>
      <c r="K19095" s="3">
        <v>0</v>
      </c>
      <c r="L19095" s="3">
        <v>0</v>
      </c>
      <c r="M19095" s="3">
        <v>0</v>
      </c>
      <c r="N19095" s="3">
        <v>0</v>
      </c>
      <c r="O19095" s="3" t="s">
        <v>10</v>
      </c>
      <c r="P19095" s="3" t="s">
        <v>9</v>
      </c>
      <c r="Q19095" s="3"/>
    </row>
    <row r="19096" spans="1:17" ht="15" x14ac:dyDescent="0.25">
      <c r="A19096" s="3">
        <f>19089</f>
        <v>19089</v>
      </c>
      <c r="B19096" s="3" t="s">
        <v>19098</v>
      </c>
      <c r="C19096" s="3" t="s">
        <v>10</v>
      </c>
      <c r="D19096" s="3" t="s">
        <v>9</v>
      </c>
      <c r="E19096" s="3">
        <v>0</v>
      </c>
      <c r="F19096" s="3">
        <v>0</v>
      </c>
      <c r="G19096" s="3">
        <v>1</v>
      </c>
      <c r="H19096" s="3">
        <v>0</v>
      </c>
      <c r="I19096" s="3">
        <v>0</v>
      </c>
      <c r="J19096" s="3">
        <v>1</v>
      </c>
      <c r="K19096" s="3">
        <v>0</v>
      </c>
      <c r="L19096" s="3">
        <v>0</v>
      </c>
      <c r="M19096" s="3">
        <v>0</v>
      </c>
      <c r="N19096" s="3">
        <v>0</v>
      </c>
      <c r="O19096" s="3" t="s">
        <v>10</v>
      </c>
      <c r="P19096" s="3" t="s">
        <v>9</v>
      </c>
      <c r="Q19096" s="3"/>
    </row>
    <row r="19097" spans="1:17" ht="15" x14ac:dyDescent="0.25">
      <c r="A19097" s="3">
        <f>19090</f>
        <v>19090</v>
      </c>
      <c r="B19097" s="3" t="s">
        <v>19099</v>
      </c>
      <c r="C19097" s="3" t="s">
        <v>10</v>
      </c>
      <c r="D19097" s="3" t="s">
        <v>9</v>
      </c>
      <c r="E19097" s="3">
        <v>0</v>
      </c>
      <c r="F19097" s="3">
        <v>0</v>
      </c>
      <c r="G19097" s="3">
        <v>1</v>
      </c>
      <c r="H19097" s="3">
        <v>0</v>
      </c>
      <c r="I19097" s="3">
        <v>0</v>
      </c>
      <c r="J19097" s="3">
        <v>1</v>
      </c>
      <c r="K19097" s="3">
        <v>0</v>
      </c>
      <c r="L19097" s="3">
        <v>0</v>
      </c>
      <c r="M19097" s="3">
        <v>0</v>
      </c>
      <c r="N19097" s="3">
        <v>0</v>
      </c>
      <c r="O19097" s="3" t="s">
        <v>10</v>
      </c>
      <c r="P19097" s="3" t="s">
        <v>9</v>
      </c>
      <c r="Q19097" s="3"/>
    </row>
    <row r="19098" spans="1:17" ht="15" x14ac:dyDescent="0.25">
      <c r="A19098" s="3">
        <f>19091</f>
        <v>19091</v>
      </c>
      <c r="B19098" s="3" t="s">
        <v>19100</v>
      </c>
      <c r="C19098" s="3" t="s">
        <v>10</v>
      </c>
      <c r="D19098" s="3" t="s">
        <v>9</v>
      </c>
      <c r="E19098" s="3">
        <v>0</v>
      </c>
      <c r="F19098" s="3">
        <v>0</v>
      </c>
      <c r="G19098" s="3">
        <v>1</v>
      </c>
      <c r="H19098" s="3">
        <v>0</v>
      </c>
      <c r="I19098" s="3">
        <v>0</v>
      </c>
      <c r="J19098" s="3">
        <v>1</v>
      </c>
      <c r="K19098" s="3">
        <v>0</v>
      </c>
      <c r="L19098" s="3">
        <v>0</v>
      </c>
      <c r="M19098" s="3">
        <v>0</v>
      </c>
      <c r="N19098" s="3">
        <v>0</v>
      </c>
      <c r="O19098" s="3" t="s">
        <v>10</v>
      </c>
      <c r="P19098" s="3" t="s">
        <v>9</v>
      </c>
      <c r="Q19098" s="3"/>
    </row>
    <row r="19099" spans="1:17" ht="15" x14ac:dyDescent="0.25">
      <c r="A19099" s="3">
        <f>19092</f>
        <v>19092</v>
      </c>
      <c r="B19099" s="3" t="s">
        <v>19101</v>
      </c>
      <c r="C19099" s="3" t="s">
        <v>10</v>
      </c>
      <c r="D19099" s="3" t="s">
        <v>9</v>
      </c>
      <c r="E19099" s="3">
        <v>0</v>
      </c>
      <c r="F19099" s="3">
        <v>0</v>
      </c>
      <c r="G19099" s="3">
        <v>1</v>
      </c>
      <c r="H19099" s="3">
        <v>0</v>
      </c>
      <c r="I19099" s="3">
        <v>0</v>
      </c>
      <c r="J19099" s="3">
        <v>1</v>
      </c>
      <c r="K19099" s="3">
        <v>0</v>
      </c>
      <c r="L19099" s="3">
        <v>0</v>
      </c>
      <c r="M19099" s="3">
        <v>0</v>
      </c>
      <c r="N19099" s="3">
        <v>0</v>
      </c>
      <c r="O19099" s="3" t="s">
        <v>10</v>
      </c>
      <c r="P19099" s="3" t="s">
        <v>9</v>
      </c>
      <c r="Q19099" s="3"/>
    </row>
    <row r="19100" spans="1:17" ht="15" x14ac:dyDescent="0.25">
      <c r="A19100" s="3">
        <f>19093</f>
        <v>19093</v>
      </c>
      <c r="B19100" s="3" t="s">
        <v>19102</v>
      </c>
      <c r="C19100" s="3" t="s">
        <v>10</v>
      </c>
      <c r="D19100" s="3" t="s">
        <v>9</v>
      </c>
      <c r="E19100" s="3">
        <v>0</v>
      </c>
      <c r="F19100" s="3">
        <v>0</v>
      </c>
      <c r="G19100" s="3">
        <v>1</v>
      </c>
      <c r="H19100" s="3">
        <v>0</v>
      </c>
      <c r="I19100" s="3">
        <v>0</v>
      </c>
      <c r="J19100" s="3">
        <v>1</v>
      </c>
      <c r="K19100" s="3">
        <v>0</v>
      </c>
      <c r="L19100" s="3">
        <v>0</v>
      </c>
      <c r="M19100" s="3">
        <v>0</v>
      </c>
      <c r="N19100" s="3">
        <v>0</v>
      </c>
      <c r="O19100" s="3" t="s">
        <v>10</v>
      </c>
      <c r="P19100" s="3" t="s">
        <v>9</v>
      </c>
      <c r="Q19100" s="3"/>
    </row>
    <row r="19101" spans="1:17" ht="15" x14ac:dyDescent="0.25">
      <c r="A19101" s="3">
        <f>19094</f>
        <v>19094</v>
      </c>
      <c r="B19101" s="3" t="s">
        <v>19103</v>
      </c>
      <c r="C19101" s="3" t="s">
        <v>10</v>
      </c>
      <c r="D19101" s="3" t="s">
        <v>9</v>
      </c>
      <c r="E19101" s="3">
        <v>0</v>
      </c>
      <c r="F19101" s="3">
        <v>0</v>
      </c>
      <c r="G19101" s="3">
        <v>1</v>
      </c>
      <c r="H19101" s="3">
        <v>0</v>
      </c>
      <c r="I19101" s="3">
        <v>0</v>
      </c>
      <c r="J19101" s="3">
        <v>1</v>
      </c>
      <c r="K19101" s="3">
        <v>0</v>
      </c>
      <c r="L19101" s="3">
        <v>0</v>
      </c>
      <c r="M19101" s="3">
        <v>0</v>
      </c>
      <c r="N19101" s="3">
        <v>0</v>
      </c>
      <c r="O19101" s="3" t="s">
        <v>10</v>
      </c>
      <c r="P19101" s="3" t="s">
        <v>9</v>
      </c>
      <c r="Q19101" s="3"/>
    </row>
    <row r="19102" spans="1:17" ht="15" x14ac:dyDescent="0.25">
      <c r="A19102" s="3">
        <f>19095</f>
        <v>19095</v>
      </c>
      <c r="B19102" s="3" t="s">
        <v>19104</v>
      </c>
      <c r="C19102" s="3" t="s">
        <v>10</v>
      </c>
      <c r="D19102" s="3" t="s">
        <v>9</v>
      </c>
      <c r="E19102" s="3">
        <v>0</v>
      </c>
      <c r="F19102" s="3">
        <v>0</v>
      </c>
      <c r="G19102" s="3">
        <v>1</v>
      </c>
      <c r="H19102" s="3">
        <v>0</v>
      </c>
      <c r="I19102" s="3">
        <v>0</v>
      </c>
      <c r="J19102" s="3">
        <v>1</v>
      </c>
      <c r="K19102" s="3">
        <v>0</v>
      </c>
      <c r="L19102" s="3">
        <v>0</v>
      </c>
      <c r="M19102" s="3">
        <v>0</v>
      </c>
      <c r="N19102" s="3">
        <v>0</v>
      </c>
      <c r="O19102" s="3" t="s">
        <v>10</v>
      </c>
      <c r="P19102" s="3" t="s">
        <v>9</v>
      </c>
      <c r="Q19102" s="3"/>
    </row>
    <row r="19103" spans="1:17" ht="15" x14ac:dyDescent="0.25">
      <c r="A19103" s="3">
        <f>19096</f>
        <v>19096</v>
      </c>
      <c r="B19103" s="3" t="s">
        <v>19105</v>
      </c>
      <c r="C19103" s="3" t="s">
        <v>10</v>
      </c>
      <c r="D19103" s="3" t="s">
        <v>9</v>
      </c>
      <c r="E19103" s="3">
        <v>0</v>
      </c>
      <c r="F19103" s="3">
        <v>0</v>
      </c>
      <c r="G19103" s="3">
        <v>1</v>
      </c>
      <c r="H19103" s="3">
        <v>0</v>
      </c>
      <c r="I19103" s="3">
        <v>0</v>
      </c>
      <c r="J19103" s="3">
        <v>1</v>
      </c>
      <c r="K19103" s="3">
        <v>0</v>
      </c>
      <c r="L19103" s="3">
        <v>0</v>
      </c>
      <c r="M19103" s="3">
        <v>0</v>
      </c>
      <c r="N19103" s="3">
        <v>0</v>
      </c>
      <c r="O19103" s="3" t="s">
        <v>10</v>
      </c>
      <c r="P19103" s="3" t="s">
        <v>9</v>
      </c>
      <c r="Q19103" s="3"/>
    </row>
    <row r="19104" spans="1:17" ht="15" x14ac:dyDescent="0.25">
      <c r="A19104" s="3">
        <f>19097</f>
        <v>19097</v>
      </c>
      <c r="B19104" s="3" t="s">
        <v>19106</v>
      </c>
      <c r="C19104" s="3" t="s">
        <v>10</v>
      </c>
      <c r="D19104" s="3" t="s">
        <v>9</v>
      </c>
      <c r="E19104" s="3">
        <v>0</v>
      </c>
      <c r="F19104" s="3">
        <v>0</v>
      </c>
      <c r="G19104" s="3">
        <v>1</v>
      </c>
      <c r="H19104" s="3">
        <v>0</v>
      </c>
      <c r="I19104" s="3">
        <v>0</v>
      </c>
      <c r="J19104" s="3">
        <v>1</v>
      </c>
      <c r="K19104" s="3">
        <v>0</v>
      </c>
      <c r="L19104" s="3">
        <v>0</v>
      </c>
      <c r="M19104" s="3">
        <v>0</v>
      </c>
      <c r="N19104" s="3">
        <v>0</v>
      </c>
      <c r="O19104" s="3" t="s">
        <v>10</v>
      </c>
      <c r="P19104" s="3" t="s">
        <v>9</v>
      </c>
      <c r="Q19104" s="3"/>
    </row>
    <row r="19105" spans="1:17" ht="15" x14ac:dyDescent="0.25">
      <c r="A19105" s="3">
        <f>19098</f>
        <v>19098</v>
      </c>
      <c r="B19105" s="3" t="s">
        <v>19107</v>
      </c>
      <c r="C19105" s="3" t="s">
        <v>10</v>
      </c>
      <c r="D19105" s="3" t="s">
        <v>9</v>
      </c>
      <c r="E19105" s="3">
        <v>0</v>
      </c>
      <c r="F19105" s="3">
        <v>0</v>
      </c>
      <c r="G19105" s="3">
        <v>1</v>
      </c>
      <c r="H19105" s="3">
        <v>0</v>
      </c>
      <c r="I19105" s="3">
        <v>0</v>
      </c>
      <c r="J19105" s="3">
        <v>1</v>
      </c>
      <c r="K19105" s="3">
        <v>0</v>
      </c>
      <c r="L19105" s="3">
        <v>0</v>
      </c>
      <c r="M19105" s="3">
        <v>0</v>
      </c>
      <c r="N19105" s="3">
        <v>0</v>
      </c>
      <c r="O19105" s="3" t="s">
        <v>10</v>
      </c>
      <c r="P19105" s="3" t="s">
        <v>9</v>
      </c>
      <c r="Q19105" s="3"/>
    </row>
    <row r="19106" spans="1:17" ht="15" x14ac:dyDescent="0.25">
      <c r="A19106" s="3">
        <f>19099</f>
        <v>19099</v>
      </c>
      <c r="B19106" s="3" t="s">
        <v>19108</v>
      </c>
      <c r="C19106" s="3" t="s">
        <v>10</v>
      </c>
      <c r="D19106" s="3" t="s">
        <v>9</v>
      </c>
      <c r="E19106" s="3">
        <v>0</v>
      </c>
      <c r="F19106" s="3">
        <v>0</v>
      </c>
      <c r="G19106" s="3">
        <v>1</v>
      </c>
      <c r="H19106" s="3">
        <v>0</v>
      </c>
      <c r="I19106" s="3">
        <v>0</v>
      </c>
      <c r="J19106" s="3">
        <v>1</v>
      </c>
      <c r="K19106" s="3">
        <v>0</v>
      </c>
      <c r="L19106" s="3">
        <v>0</v>
      </c>
      <c r="M19106" s="3">
        <v>0</v>
      </c>
      <c r="N19106" s="3">
        <v>0</v>
      </c>
      <c r="O19106" s="3" t="s">
        <v>10</v>
      </c>
      <c r="P19106" s="3" t="s">
        <v>9</v>
      </c>
      <c r="Q19106" s="3"/>
    </row>
    <row r="19107" spans="1:17" ht="15" x14ac:dyDescent="0.25">
      <c r="A19107" s="3">
        <f>19100</f>
        <v>19100</v>
      </c>
      <c r="B19107" s="3" t="s">
        <v>19109</v>
      </c>
      <c r="C19107" s="3" t="s">
        <v>10</v>
      </c>
      <c r="D19107" s="3" t="s">
        <v>9</v>
      </c>
      <c r="E19107" s="3">
        <v>0</v>
      </c>
      <c r="F19107" s="3">
        <v>0</v>
      </c>
      <c r="G19107" s="3">
        <v>1</v>
      </c>
      <c r="H19107" s="3">
        <v>0</v>
      </c>
      <c r="I19107" s="3">
        <v>0</v>
      </c>
      <c r="J19107" s="3">
        <v>1</v>
      </c>
      <c r="K19107" s="3">
        <v>0</v>
      </c>
      <c r="L19107" s="3">
        <v>0</v>
      </c>
      <c r="M19107" s="3">
        <v>0</v>
      </c>
      <c r="N19107" s="3">
        <v>0</v>
      </c>
      <c r="O19107" s="3" t="s">
        <v>10</v>
      </c>
      <c r="P19107" s="3" t="s">
        <v>9</v>
      </c>
      <c r="Q19107" s="3"/>
    </row>
    <row r="19108" spans="1:17" ht="15" x14ac:dyDescent="0.25">
      <c r="A19108" s="3">
        <f>19101</f>
        <v>19101</v>
      </c>
      <c r="B19108" s="3" t="s">
        <v>19110</v>
      </c>
      <c r="C19108" s="3" t="s">
        <v>10</v>
      </c>
      <c r="D19108" s="3" t="s">
        <v>9</v>
      </c>
      <c r="E19108" s="3">
        <v>0</v>
      </c>
      <c r="F19108" s="3">
        <v>0</v>
      </c>
      <c r="G19108" s="3">
        <v>1</v>
      </c>
      <c r="H19108" s="3">
        <v>0</v>
      </c>
      <c r="I19108" s="3">
        <v>0</v>
      </c>
      <c r="J19108" s="3">
        <v>1</v>
      </c>
      <c r="K19108" s="3">
        <v>0</v>
      </c>
      <c r="L19108" s="3">
        <v>0</v>
      </c>
      <c r="M19108" s="3">
        <v>0</v>
      </c>
      <c r="N19108" s="3">
        <v>0</v>
      </c>
      <c r="O19108" s="3" t="s">
        <v>10</v>
      </c>
      <c r="P19108" s="3" t="s">
        <v>9</v>
      </c>
      <c r="Q19108" s="3"/>
    </row>
    <row r="19109" spans="1:17" ht="15" x14ac:dyDescent="0.25">
      <c r="A19109" s="3">
        <f>19102</f>
        <v>19102</v>
      </c>
      <c r="B19109" s="3" t="s">
        <v>19111</v>
      </c>
      <c r="C19109" s="3" t="s">
        <v>10</v>
      </c>
      <c r="D19109" s="3" t="s">
        <v>9</v>
      </c>
      <c r="E19109" s="3">
        <v>0</v>
      </c>
      <c r="F19109" s="3">
        <v>0</v>
      </c>
      <c r="G19109" s="3">
        <v>1</v>
      </c>
      <c r="H19109" s="3">
        <v>0</v>
      </c>
      <c r="I19109" s="3">
        <v>0</v>
      </c>
      <c r="J19109" s="3">
        <v>1</v>
      </c>
      <c r="K19109" s="3">
        <v>0</v>
      </c>
      <c r="L19109" s="3">
        <v>0</v>
      </c>
      <c r="M19109" s="3">
        <v>0</v>
      </c>
      <c r="N19109" s="3">
        <v>0</v>
      </c>
      <c r="O19109" s="3" t="s">
        <v>10</v>
      </c>
      <c r="P19109" s="3" t="s">
        <v>9</v>
      </c>
      <c r="Q19109" s="3"/>
    </row>
    <row r="19110" spans="1:17" ht="15" x14ac:dyDescent="0.25">
      <c r="A19110" s="3">
        <f>19103</f>
        <v>19103</v>
      </c>
      <c r="B19110" s="3" t="s">
        <v>19112</v>
      </c>
      <c r="C19110" s="3" t="s">
        <v>10</v>
      </c>
      <c r="D19110" s="3" t="s">
        <v>9</v>
      </c>
      <c r="E19110" s="3">
        <v>0</v>
      </c>
      <c r="F19110" s="3">
        <v>0</v>
      </c>
      <c r="G19110" s="3">
        <v>1</v>
      </c>
      <c r="H19110" s="3">
        <v>0</v>
      </c>
      <c r="I19110" s="3">
        <v>0</v>
      </c>
      <c r="J19110" s="3">
        <v>1</v>
      </c>
      <c r="K19110" s="3">
        <v>0</v>
      </c>
      <c r="L19110" s="3">
        <v>0</v>
      </c>
      <c r="M19110" s="3">
        <v>0</v>
      </c>
      <c r="N19110" s="3">
        <v>0</v>
      </c>
      <c r="O19110" s="3" t="s">
        <v>10</v>
      </c>
      <c r="P19110" s="3" t="s">
        <v>9</v>
      </c>
      <c r="Q19110" s="3"/>
    </row>
    <row r="19111" spans="1:17" ht="15" x14ac:dyDescent="0.25">
      <c r="A19111" s="3">
        <f>19104</f>
        <v>19104</v>
      </c>
      <c r="B19111" s="3" t="s">
        <v>19113</v>
      </c>
      <c r="C19111" s="3" t="s">
        <v>10</v>
      </c>
      <c r="D19111" s="3" t="s">
        <v>9</v>
      </c>
      <c r="E19111" s="3">
        <v>0</v>
      </c>
      <c r="F19111" s="3">
        <v>0</v>
      </c>
      <c r="G19111" s="3">
        <v>1</v>
      </c>
      <c r="H19111" s="3">
        <v>0</v>
      </c>
      <c r="I19111" s="3">
        <v>0</v>
      </c>
      <c r="J19111" s="3">
        <v>1</v>
      </c>
      <c r="K19111" s="3">
        <v>0</v>
      </c>
      <c r="L19111" s="3">
        <v>0</v>
      </c>
      <c r="M19111" s="3">
        <v>0</v>
      </c>
      <c r="N19111" s="3">
        <v>0</v>
      </c>
      <c r="O19111" s="3" t="s">
        <v>10</v>
      </c>
      <c r="P19111" s="3" t="s">
        <v>9</v>
      </c>
      <c r="Q19111" s="3"/>
    </row>
    <row r="19112" spans="1:17" ht="15" x14ac:dyDescent="0.25">
      <c r="A19112" s="3">
        <f>19105</f>
        <v>19105</v>
      </c>
      <c r="B19112" s="3" t="s">
        <v>19114</v>
      </c>
      <c r="C19112" s="3" t="s">
        <v>10</v>
      </c>
      <c r="D19112" s="3" t="s">
        <v>9</v>
      </c>
      <c r="E19112" s="3">
        <v>0</v>
      </c>
      <c r="F19112" s="3">
        <v>0</v>
      </c>
      <c r="G19112" s="3">
        <v>1</v>
      </c>
      <c r="H19112" s="3">
        <v>0</v>
      </c>
      <c r="I19112" s="3">
        <v>0</v>
      </c>
      <c r="J19112" s="3">
        <v>1</v>
      </c>
      <c r="K19112" s="3">
        <v>0</v>
      </c>
      <c r="L19112" s="3">
        <v>0</v>
      </c>
      <c r="M19112" s="3">
        <v>0</v>
      </c>
      <c r="N19112" s="3">
        <v>0</v>
      </c>
      <c r="O19112" s="3" t="s">
        <v>10</v>
      </c>
      <c r="P19112" s="3" t="s">
        <v>9</v>
      </c>
      <c r="Q19112" s="3"/>
    </row>
    <row r="19113" spans="1:17" ht="15" x14ac:dyDescent="0.25">
      <c r="A19113" s="3">
        <f>19106</f>
        <v>19106</v>
      </c>
      <c r="B19113" s="3" t="s">
        <v>19115</v>
      </c>
      <c r="C19113" s="3" t="s">
        <v>10</v>
      </c>
      <c r="D19113" s="3" t="s">
        <v>9</v>
      </c>
      <c r="E19113" s="3">
        <v>0</v>
      </c>
      <c r="F19113" s="3">
        <v>0</v>
      </c>
      <c r="G19113" s="3">
        <v>1</v>
      </c>
      <c r="H19113" s="3">
        <v>0</v>
      </c>
      <c r="I19113" s="3">
        <v>0</v>
      </c>
      <c r="J19113" s="3">
        <v>1</v>
      </c>
      <c r="K19113" s="3">
        <v>0</v>
      </c>
      <c r="L19113" s="3">
        <v>0</v>
      </c>
      <c r="M19113" s="3">
        <v>0</v>
      </c>
      <c r="N19113" s="3">
        <v>0</v>
      </c>
      <c r="O19113" s="3" t="s">
        <v>10</v>
      </c>
      <c r="P19113" s="3" t="s">
        <v>9</v>
      </c>
      <c r="Q19113" s="3"/>
    </row>
    <row r="19114" spans="1:17" ht="15" x14ac:dyDescent="0.25">
      <c r="A19114" s="3">
        <f>19107</f>
        <v>19107</v>
      </c>
      <c r="B19114" s="3" t="s">
        <v>19116</v>
      </c>
      <c r="C19114" s="3" t="s">
        <v>10</v>
      </c>
      <c r="D19114" s="3" t="s">
        <v>9</v>
      </c>
      <c r="E19114" s="3">
        <v>0</v>
      </c>
      <c r="F19114" s="3">
        <v>0</v>
      </c>
      <c r="G19114" s="3">
        <v>1</v>
      </c>
      <c r="H19114" s="3">
        <v>0</v>
      </c>
      <c r="I19114" s="3">
        <v>0</v>
      </c>
      <c r="J19114" s="3">
        <v>1</v>
      </c>
      <c r="K19114" s="3">
        <v>0</v>
      </c>
      <c r="L19114" s="3">
        <v>0</v>
      </c>
      <c r="M19114" s="3">
        <v>0</v>
      </c>
      <c r="N19114" s="3">
        <v>0</v>
      </c>
      <c r="O19114" s="3" t="s">
        <v>10</v>
      </c>
      <c r="P19114" s="3" t="s">
        <v>9</v>
      </c>
      <c r="Q19114" s="3"/>
    </row>
    <row r="19115" spans="1:17" ht="15" x14ac:dyDescent="0.25">
      <c r="A19115" s="3">
        <f>19108</f>
        <v>19108</v>
      </c>
      <c r="B19115" s="3" t="s">
        <v>19117</v>
      </c>
      <c r="C19115" s="3" t="s">
        <v>10</v>
      </c>
      <c r="D19115" s="3" t="s">
        <v>9</v>
      </c>
      <c r="E19115" s="3">
        <v>0</v>
      </c>
      <c r="F19115" s="3">
        <v>0</v>
      </c>
      <c r="G19115" s="3">
        <v>1</v>
      </c>
      <c r="H19115" s="3">
        <v>0</v>
      </c>
      <c r="I19115" s="3">
        <v>0</v>
      </c>
      <c r="J19115" s="3">
        <v>1</v>
      </c>
      <c r="K19115" s="3">
        <v>0</v>
      </c>
      <c r="L19115" s="3">
        <v>0</v>
      </c>
      <c r="M19115" s="3">
        <v>0</v>
      </c>
      <c r="N19115" s="3">
        <v>0</v>
      </c>
      <c r="O19115" s="3" t="s">
        <v>10</v>
      </c>
      <c r="P19115" s="3" t="s">
        <v>9</v>
      </c>
      <c r="Q19115" s="3"/>
    </row>
    <row r="19116" spans="1:17" ht="15" x14ac:dyDescent="0.25">
      <c r="A19116" s="3">
        <f>19109</f>
        <v>19109</v>
      </c>
      <c r="B19116" s="3" t="s">
        <v>19118</v>
      </c>
      <c r="C19116" s="3" t="s">
        <v>10</v>
      </c>
      <c r="D19116" s="3" t="s">
        <v>9</v>
      </c>
      <c r="E19116" s="3">
        <v>0</v>
      </c>
      <c r="F19116" s="3">
        <v>0</v>
      </c>
      <c r="G19116" s="3">
        <v>1</v>
      </c>
      <c r="H19116" s="3">
        <v>0</v>
      </c>
      <c r="I19116" s="3">
        <v>0</v>
      </c>
      <c r="J19116" s="3">
        <v>1</v>
      </c>
      <c r="K19116" s="3">
        <v>0</v>
      </c>
      <c r="L19116" s="3">
        <v>0</v>
      </c>
      <c r="M19116" s="3">
        <v>0</v>
      </c>
      <c r="N19116" s="3">
        <v>0</v>
      </c>
      <c r="O19116" s="3" t="s">
        <v>10</v>
      </c>
      <c r="P19116" s="3" t="s">
        <v>9</v>
      </c>
      <c r="Q19116" s="3"/>
    </row>
    <row r="19117" spans="1:17" ht="15" x14ac:dyDescent="0.25">
      <c r="A19117" s="3">
        <f>19110</f>
        <v>19110</v>
      </c>
      <c r="B19117" s="3" t="s">
        <v>19119</v>
      </c>
      <c r="C19117" s="3" t="s">
        <v>10</v>
      </c>
      <c r="D19117" s="3" t="s">
        <v>9</v>
      </c>
      <c r="E19117" s="3">
        <v>0</v>
      </c>
      <c r="F19117" s="3">
        <v>0</v>
      </c>
      <c r="G19117" s="3">
        <v>1</v>
      </c>
      <c r="H19117" s="3">
        <v>0</v>
      </c>
      <c r="I19117" s="3">
        <v>0</v>
      </c>
      <c r="J19117" s="3">
        <v>1</v>
      </c>
      <c r="K19117" s="3">
        <v>0</v>
      </c>
      <c r="L19117" s="3">
        <v>0</v>
      </c>
      <c r="M19117" s="3">
        <v>0</v>
      </c>
      <c r="N19117" s="3">
        <v>0</v>
      </c>
      <c r="O19117" s="3" t="s">
        <v>10</v>
      </c>
      <c r="P19117" s="3" t="s">
        <v>9</v>
      </c>
      <c r="Q19117" s="3"/>
    </row>
    <row r="19118" spans="1:17" ht="15" x14ac:dyDescent="0.25">
      <c r="A19118" s="3">
        <f>19111</f>
        <v>19111</v>
      </c>
      <c r="B19118" s="3" t="s">
        <v>19120</v>
      </c>
      <c r="C19118" s="3" t="s">
        <v>10</v>
      </c>
      <c r="D19118" s="3" t="s">
        <v>9</v>
      </c>
      <c r="E19118" s="3">
        <v>0</v>
      </c>
      <c r="F19118" s="3">
        <v>0</v>
      </c>
      <c r="G19118" s="3">
        <v>1</v>
      </c>
      <c r="H19118" s="3">
        <v>0</v>
      </c>
      <c r="I19118" s="3">
        <v>0</v>
      </c>
      <c r="J19118" s="3">
        <v>1</v>
      </c>
      <c r="K19118" s="3">
        <v>0</v>
      </c>
      <c r="L19118" s="3">
        <v>0</v>
      </c>
      <c r="M19118" s="3">
        <v>0</v>
      </c>
      <c r="N19118" s="3">
        <v>0</v>
      </c>
      <c r="O19118" s="3" t="s">
        <v>10</v>
      </c>
      <c r="P19118" s="3" t="s">
        <v>9</v>
      </c>
      <c r="Q19118" s="3"/>
    </row>
    <row r="19119" spans="1:17" ht="15" x14ac:dyDescent="0.25">
      <c r="A19119" s="3">
        <f>19112</f>
        <v>19112</v>
      </c>
      <c r="B19119" s="3" t="s">
        <v>19121</v>
      </c>
      <c r="C19119" s="3" t="s">
        <v>10</v>
      </c>
      <c r="D19119" s="3" t="s">
        <v>9</v>
      </c>
      <c r="E19119" s="3">
        <v>0</v>
      </c>
      <c r="F19119" s="3">
        <v>0</v>
      </c>
      <c r="G19119" s="3">
        <v>1</v>
      </c>
      <c r="H19119" s="3">
        <v>0</v>
      </c>
      <c r="I19119" s="3">
        <v>0</v>
      </c>
      <c r="J19119" s="3">
        <v>1</v>
      </c>
      <c r="K19119" s="3">
        <v>0</v>
      </c>
      <c r="L19119" s="3">
        <v>0</v>
      </c>
      <c r="M19119" s="3">
        <v>0</v>
      </c>
      <c r="N19119" s="3">
        <v>0</v>
      </c>
      <c r="O19119" s="3" t="s">
        <v>10</v>
      </c>
      <c r="P19119" s="3" t="s">
        <v>9</v>
      </c>
      <c r="Q19119" s="3"/>
    </row>
    <row r="19120" spans="1:17" ht="15" x14ac:dyDescent="0.25">
      <c r="A19120" s="3">
        <f>19113</f>
        <v>19113</v>
      </c>
      <c r="B19120" s="3" t="s">
        <v>19122</v>
      </c>
      <c r="C19120" s="3" t="s">
        <v>10</v>
      </c>
      <c r="D19120" s="3" t="s">
        <v>9</v>
      </c>
      <c r="E19120" s="3">
        <v>0</v>
      </c>
      <c r="F19120" s="3">
        <v>0</v>
      </c>
      <c r="G19120" s="3">
        <v>1</v>
      </c>
      <c r="H19120" s="3">
        <v>0</v>
      </c>
      <c r="I19120" s="3">
        <v>0</v>
      </c>
      <c r="J19120" s="3">
        <v>1</v>
      </c>
      <c r="K19120" s="3">
        <v>0</v>
      </c>
      <c r="L19120" s="3">
        <v>0</v>
      </c>
      <c r="M19120" s="3">
        <v>0</v>
      </c>
      <c r="N19120" s="3">
        <v>0</v>
      </c>
      <c r="O19120" s="3" t="s">
        <v>10</v>
      </c>
      <c r="P19120" s="3" t="s">
        <v>9</v>
      </c>
      <c r="Q19120" s="3"/>
    </row>
    <row r="19121" spans="1:17" ht="15" x14ac:dyDescent="0.25">
      <c r="A19121" s="3">
        <f>19114</f>
        <v>19114</v>
      </c>
      <c r="B19121" s="3" t="s">
        <v>19123</v>
      </c>
      <c r="C19121" s="3" t="s">
        <v>10</v>
      </c>
      <c r="D19121" s="3" t="s">
        <v>9</v>
      </c>
      <c r="E19121" s="3">
        <v>0</v>
      </c>
      <c r="F19121" s="3">
        <v>0</v>
      </c>
      <c r="G19121" s="3">
        <v>1</v>
      </c>
      <c r="H19121" s="3">
        <v>0</v>
      </c>
      <c r="I19121" s="3">
        <v>0</v>
      </c>
      <c r="J19121" s="3">
        <v>1</v>
      </c>
      <c r="K19121" s="3">
        <v>0</v>
      </c>
      <c r="L19121" s="3">
        <v>0</v>
      </c>
      <c r="M19121" s="3">
        <v>0</v>
      </c>
      <c r="N19121" s="3">
        <v>0</v>
      </c>
      <c r="O19121" s="3" t="s">
        <v>10</v>
      </c>
      <c r="P19121" s="3" t="s">
        <v>9</v>
      </c>
      <c r="Q19121" s="3"/>
    </row>
    <row r="19122" spans="1:17" ht="15" x14ac:dyDescent="0.25">
      <c r="A19122" s="3">
        <f>19115</f>
        <v>19115</v>
      </c>
      <c r="B19122" s="3" t="s">
        <v>19124</v>
      </c>
      <c r="C19122" s="3" t="s">
        <v>10</v>
      </c>
      <c r="D19122" s="3" t="s">
        <v>9</v>
      </c>
      <c r="E19122" s="3">
        <v>0</v>
      </c>
      <c r="F19122" s="3">
        <v>0</v>
      </c>
      <c r="G19122" s="3">
        <v>1</v>
      </c>
      <c r="H19122" s="3">
        <v>0</v>
      </c>
      <c r="I19122" s="3">
        <v>0</v>
      </c>
      <c r="J19122" s="3">
        <v>1</v>
      </c>
      <c r="K19122" s="3">
        <v>0</v>
      </c>
      <c r="L19122" s="3">
        <v>0</v>
      </c>
      <c r="M19122" s="3">
        <v>0</v>
      </c>
      <c r="N19122" s="3">
        <v>0</v>
      </c>
      <c r="O19122" s="3" t="s">
        <v>10</v>
      </c>
      <c r="P19122" s="3" t="s">
        <v>9</v>
      </c>
      <c r="Q19122" s="3"/>
    </row>
    <row r="19123" spans="1:17" ht="15" x14ac:dyDescent="0.25">
      <c r="A19123" s="3">
        <f>19116</f>
        <v>19116</v>
      </c>
      <c r="B19123" s="3" t="s">
        <v>19125</v>
      </c>
      <c r="C19123" s="3" t="s">
        <v>10</v>
      </c>
      <c r="D19123" s="3" t="s">
        <v>9</v>
      </c>
      <c r="E19123" s="3">
        <v>0</v>
      </c>
      <c r="F19123" s="3">
        <v>0</v>
      </c>
      <c r="G19123" s="3">
        <v>1</v>
      </c>
      <c r="H19123" s="3">
        <v>0</v>
      </c>
      <c r="I19123" s="3">
        <v>0</v>
      </c>
      <c r="J19123" s="3">
        <v>1</v>
      </c>
      <c r="K19123" s="3">
        <v>0</v>
      </c>
      <c r="L19123" s="3">
        <v>0</v>
      </c>
      <c r="M19123" s="3">
        <v>0</v>
      </c>
      <c r="N19123" s="3">
        <v>0</v>
      </c>
      <c r="O19123" s="3" t="s">
        <v>10</v>
      </c>
      <c r="P19123" s="3" t="s">
        <v>9</v>
      </c>
      <c r="Q19123" s="3"/>
    </row>
    <row r="19124" spans="1:17" ht="15" x14ac:dyDescent="0.25">
      <c r="A19124" s="3">
        <f>19117</f>
        <v>19117</v>
      </c>
      <c r="B19124" s="3" t="s">
        <v>19126</v>
      </c>
      <c r="C19124" s="3" t="s">
        <v>10</v>
      </c>
      <c r="D19124" s="3" t="s">
        <v>9</v>
      </c>
      <c r="E19124" s="3">
        <v>0</v>
      </c>
      <c r="F19124" s="3">
        <v>0</v>
      </c>
      <c r="G19124" s="3">
        <v>1</v>
      </c>
      <c r="H19124" s="3">
        <v>0</v>
      </c>
      <c r="I19124" s="3">
        <v>0</v>
      </c>
      <c r="J19124" s="3">
        <v>1</v>
      </c>
      <c r="K19124" s="3">
        <v>0</v>
      </c>
      <c r="L19124" s="3">
        <v>0</v>
      </c>
      <c r="M19124" s="3">
        <v>0</v>
      </c>
      <c r="N19124" s="3">
        <v>0</v>
      </c>
      <c r="O19124" s="3" t="s">
        <v>10</v>
      </c>
      <c r="P19124" s="3" t="s">
        <v>9</v>
      </c>
      <c r="Q19124" s="3"/>
    </row>
    <row r="19125" spans="1:17" ht="15" x14ac:dyDescent="0.25">
      <c r="A19125" s="3">
        <f>19118</f>
        <v>19118</v>
      </c>
      <c r="B19125" s="3" t="s">
        <v>19127</v>
      </c>
      <c r="C19125" s="3" t="s">
        <v>10</v>
      </c>
      <c r="D19125" s="3" t="s">
        <v>9</v>
      </c>
      <c r="E19125" s="3">
        <v>0</v>
      </c>
      <c r="F19125" s="3">
        <v>0</v>
      </c>
      <c r="G19125" s="3">
        <v>1</v>
      </c>
      <c r="H19125" s="3">
        <v>0</v>
      </c>
      <c r="I19125" s="3">
        <v>0</v>
      </c>
      <c r="J19125" s="3">
        <v>1</v>
      </c>
      <c r="K19125" s="3">
        <v>0</v>
      </c>
      <c r="L19125" s="3">
        <v>0</v>
      </c>
      <c r="M19125" s="3">
        <v>0</v>
      </c>
      <c r="N19125" s="3">
        <v>0</v>
      </c>
      <c r="O19125" s="3" t="s">
        <v>10</v>
      </c>
      <c r="P19125" s="3" t="s">
        <v>9</v>
      </c>
      <c r="Q19125" s="3"/>
    </row>
    <row r="19126" spans="1:17" ht="15" x14ac:dyDescent="0.25">
      <c r="A19126" s="3">
        <f>19119</f>
        <v>19119</v>
      </c>
      <c r="B19126" s="3" t="s">
        <v>19128</v>
      </c>
      <c r="C19126" s="3" t="s">
        <v>10</v>
      </c>
      <c r="D19126" s="3" t="s">
        <v>9</v>
      </c>
      <c r="E19126" s="3">
        <v>0</v>
      </c>
      <c r="F19126" s="3">
        <v>0</v>
      </c>
      <c r="G19126" s="3">
        <v>1</v>
      </c>
      <c r="H19126" s="3">
        <v>0</v>
      </c>
      <c r="I19126" s="3">
        <v>0</v>
      </c>
      <c r="J19126" s="3">
        <v>1</v>
      </c>
      <c r="K19126" s="3">
        <v>0</v>
      </c>
      <c r="L19126" s="3">
        <v>0</v>
      </c>
      <c r="M19126" s="3">
        <v>0</v>
      </c>
      <c r="N19126" s="3">
        <v>0</v>
      </c>
      <c r="O19126" s="3" t="s">
        <v>10</v>
      </c>
      <c r="P19126" s="3" t="s">
        <v>9</v>
      </c>
      <c r="Q19126" s="3"/>
    </row>
    <row r="19127" spans="1:17" ht="15" x14ac:dyDescent="0.25">
      <c r="A19127" s="3">
        <f>19120</f>
        <v>19120</v>
      </c>
      <c r="B19127" s="3" t="s">
        <v>19129</v>
      </c>
      <c r="C19127" s="3" t="s">
        <v>10</v>
      </c>
      <c r="D19127" s="3" t="s">
        <v>9</v>
      </c>
      <c r="E19127" s="3">
        <v>0</v>
      </c>
      <c r="F19127" s="3">
        <v>0</v>
      </c>
      <c r="G19127" s="3">
        <v>1</v>
      </c>
      <c r="H19127" s="3">
        <v>0</v>
      </c>
      <c r="I19127" s="3">
        <v>0</v>
      </c>
      <c r="J19127" s="3">
        <v>1</v>
      </c>
      <c r="K19127" s="3">
        <v>0</v>
      </c>
      <c r="L19127" s="3">
        <v>0</v>
      </c>
      <c r="M19127" s="3">
        <v>0</v>
      </c>
      <c r="N19127" s="3">
        <v>0</v>
      </c>
      <c r="O19127" s="3" t="s">
        <v>10</v>
      </c>
      <c r="P19127" s="3" t="s">
        <v>9</v>
      </c>
      <c r="Q19127" s="3"/>
    </row>
    <row r="19128" spans="1:17" ht="15" x14ac:dyDescent="0.25">
      <c r="A19128" s="3">
        <f>19121</f>
        <v>19121</v>
      </c>
      <c r="B19128" s="3" t="s">
        <v>19130</v>
      </c>
      <c r="C19128" s="3" t="s">
        <v>10</v>
      </c>
      <c r="D19128" s="3" t="s">
        <v>9</v>
      </c>
      <c r="E19128" s="3">
        <v>0</v>
      </c>
      <c r="F19128" s="3">
        <v>0</v>
      </c>
      <c r="G19128" s="3">
        <v>1</v>
      </c>
      <c r="H19128" s="3">
        <v>0</v>
      </c>
      <c r="I19128" s="3">
        <v>0</v>
      </c>
      <c r="J19128" s="3">
        <v>1</v>
      </c>
      <c r="K19128" s="3">
        <v>0</v>
      </c>
      <c r="L19128" s="3">
        <v>0</v>
      </c>
      <c r="M19128" s="3">
        <v>0</v>
      </c>
      <c r="N19128" s="3">
        <v>0</v>
      </c>
      <c r="O19128" s="3" t="s">
        <v>10</v>
      </c>
      <c r="P19128" s="3" t="s">
        <v>9</v>
      </c>
      <c r="Q19128" s="3"/>
    </row>
    <row r="19129" spans="1:17" ht="15" x14ac:dyDescent="0.25">
      <c r="A19129" s="3">
        <f>19122</f>
        <v>19122</v>
      </c>
      <c r="B19129" s="3" t="s">
        <v>19131</v>
      </c>
      <c r="C19129" s="3" t="s">
        <v>10</v>
      </c>
      <c r="D19129" s="3" t="s">
        <v>9</v>
      </c>
      <c r="E19129" s="3">
        <v>0</v>
      </c>
      <c r="F19129" s="3">
        <v>0</v>
      </c>
      <c r="G19129" s="3">
        <v>1</v>
      </c>
      <c r="H19129" s="3">
        <v>0</v>
      </c>
      <c r="I19129" s="3">
        <v>0</v>
      </c>
      <c r="J19129" s="3">
        <v>1</v>
      </c>
      <c r="K19129" s="3">
        <v>0</v>
      </c>
      <c r="L19129" s="3">
        <v>0</v>
      </c>
      <c r="M19129" s="3">
        <v>0</v>
      </c>
      <c r="N19129" s="3">
        <v>0</v>
      </c>
      <c r="O19129" s="3" t="s">
        <v>10</v>
      </c>
      <c r="P19129" s="3" t="s">
        <v>9</v>
      </c>
      <c r="Q19129" s="3"/>
    </row>
    <row r="19130" spans="1:17" ht="15" x14ac:dyDescent="0.25">
      <c r="A19130" s="3">
        <f>19123</f>
        <v>19123</v>
      </c>
      <c r="B19130" s="3" t="s">
        <v>19132</v>
      </c>
      <c r="C19130" s="3" t="s">
        <v>10</v>
      </c>
      <c r="D19130" s="3" t="s">
        <v>9</v>
      </c>
      <c r="E19130" s="3">
        <v>0</v>
      </c>
      <c r="F19130" s="3">
        <v>0</v>
      </c>
      <c r="G19130" s="3">
        <v>1</v>
      </c>
      <c r="H19130" s="3">
        <v>0</v>
      </c>
      <c r="I19130" s="3">
        <v>0</v>
      </c>
      <c r="J19130" s="3">
        <v>1</v>
      </c>
      <c r="K19130" s="3">
        <v>0</v>
      </c>
      <c r="L19130" s="3">
        <v>0</v>
      </c>
      <c r="M19130" s="3">
        <v>0</v>
      </c>
      <c r="N19130" s="3">
        <v>0</v>
      </c>
      <c r="O19130" s="3" t="s">
        <v>10</v>
      </c>
      <c r="P19130" s="3" t="s">
        <v>9</v>
      </c>
      <c r="Q19130" s="3"/>
    </row>
    <row r="19131" spans="1:17" ht="15" x14ac:dyDescent="0.25">
      <c r="A19131" s="3">
        <f>19124</f>
        <v>19124</v>
      </c>
      <c r="B19131" s="3" t="s">
        <v>19133</v>
      </c>
      <c r="C19131" s="3" t="s">
        <v>10</v>
      </c>
      <c r="D19131" s="3" t="s">
        <v>9</v>
      </c>
      <c r="E19131" s="3">
        <v>0</v>
      </c>
      <c r="F19131" s="3">
        <v>0</v>
      </c>
      <c r="G19131" s="3">
        <v>1</v>
      </c>
      <c r="H19131" s="3">
        <v>0</v>
      </c>
      <c r="I19131" s="3">
        <v>0</v>
      </c>
      <c r="J19131" s="3">
        <v>1</v>
      </c>
      <c r="K19131" s="3">
        <v>0</v>
      </c>
      <c r="L19131" s="3">
        <v>0</v>
      </c>
      <c r="M19131" s="3">
        <v>0</v>
      </c>
      <c r="N19131" s="3">
        <v>0</v>
      </c>
      <c r="O19131" s="3" t="s">
        <v>10</v>
      </c>
      <c r="P19131" s="3" t="s">
        <v>9</v>
      </c>
      <c r="Q19131" s="3"/>
    </row>
    <row r="19132" spans="1:17" ht="15" x14ac:dyDescent="0.25">
      <c r="A19132" s="3">
        <f>19125</f>
        <v>19125</v>
      </c>
      <c r="B19132" s="3" t="s">
        <v>19134</v>
      </c>
      <c r="C19132" s="3" t="s">
        <v>10</v>
      </c>
      <c r="D19132" s="3" t="s">
        <v>9</v>
      </c>
      <c r="E19132" s="3">
        <v>0</v>
      </c>
      <c r="F19132" s="3">
        <v>0</v>
      </c>
      <c r="G19132" s="3">
        <v>1</v>
      </c>
      <c r="H19132" s="3">
        <v>0</v>
      </c>
      <c r="I19132" s="3">
        <v>0</v>
      </c>
      <c r="J19132" s="3">
        <v>1</v>
      </c>
      <c r="K19132" s="3">
        <v>0</v>
      </c>
      <c r="L19132" s="3">
        <v>0</v>
      </c>
      <c r="M19132" s="3">
        <v>0</v>
      </c>
      <c r="N19132" s="3">
        <v>0</v>
      </c>
      <c r="O19132" s="3" t="s">
        <v>10</v>
      </c>
      <c r="P19132" s="3" t="s">
        <v>9</v>
      </c>
      <c r="Q19132" s="3"/>
    </row>
    <row r="19133" spans="1:17" ht="15" x14ac:dyDescent="0.25">
      <c r="A19133" s="3">
        <f>19126</f>
        <v>19126</v>
      </c>
      <c r="B19133" s="3" t="s">
        <v>19135</v>
      </c>
      <c r="C19133" s="3" t="s">
        <v>10</v>
      </c>
      <c r="D19133" s="3" t="s">
        <v>9</v>
      </c>
      <c r="E19133" s="3">
        <v>0</v>
      </c>
      <c r="F19133" s="3">
        <v>0</v>
      </c>
      <c r="G19133" s="3">
        <v>1</v>
      </c>
      <c r="H19133" s="3">
        <v>0</v>
      </c>
      <c r="I19133" s="3">
        <v>0</v>
      </c>
      <c r="J19133" s="3">
        <v>1</v>
      </c>
      <c r="K19133" s="3">
        <v>0</v>
      </c>
      <c r="L19133" s="3">
        <v>0</v>
      </c>
      <c r="M19133" s="3">
        <v>0</v>
      </c>
      <c r="N19133" s="3">
        <v>0</v>
      </c>
      <c r="O19133" s="3" t="s">
        <v>10</v>
      </c>
      <c r="P19133" s="3" t="s">
        <v>9</v>
      </c>
      <c r="Q19133" s="3"/>
    </row>
    <row r="19134" spans="1:17" ht="15" x14ac:dyDescent="0.25">
      <c r="A19134" s="3">
        <f>19127</f>
        <v>19127</v>
      </c>
      <c r="B19134" s="3" t="s">
        <v>19136</v>
      </c>
      <c r="C19134" s="3" t="s">
        <v>10</v>
      </c>
      <c r="D19134" s="3" t="s">
        <v>9</v>
      </c>
      <c r="E19134" s="3">
        <v>0</v>
      </c>
      <c r="F19134" s="3">
        <v>0</v>
      </c>
      <c r="G19134" s="3">
        <v>1</v>
      </c>
      <c r="H19134" s="3">
        <v>0</v>
      </c>
      <c r="I19134" s="3">
        <v>0</v>
      </c>
      <c r="J19134" s="3">
        <v>1</v>
      </c>
      <c r="K19134" s="3">
        <v>0</v>
      </c>
      <c r="L19134" s="3">
        <v>0</v>
      </c>
      <c r="M19134" s="3">
        <v>0</v>
      </c>
      <c r="N19134" s="3">
        <v>0</v>
      </c>
      <c r="O19134" s="3" t="s">
        <v>10</v>
      </c>
      <c r="P19134" s="3" t="s">
        <v>9</v>
      </c>
      <c r="Q19134" s="3"/>
    </row>
    <row r="19135" spans="1:17" ht="15" x14ac:dyDescent="0.25">
      <c r="A19135" s="3">
        <f>19128</f>
        <v>19128</v>
      </c>
      <c r="B19135" s="3" t="s">
        <v>19137</v>
      </c>
      <c r="C19135" s="3" t="s">
        <v>10</v>
      </c>
      <c r="D19135" s="3" t="s">
        <v>9</v>
      </c>
      <c r="E19135" s="3">
        <v>0</v>
      </c>
      <c r="F19135" s="3">
        <v>0</v>
      </c>
      <c r="G19135" s="3">
        <v>1</v>
      </c>
      <c r="H19135" s="3">
        <v>0</v>
      </c>
      <c r="I19135" s="3">
        <v>0</v>
      </c>
      <c r="J19135" s="3">
        <v>1</v>
      </c>
      <c r="K19135" s="3">
        <v>0</v>
      </c>
      <c r="L19135" s="3">
        <v>0</v>
      </c>
      <c r="M19135" s="3">
        <v>0</v>
      </c>
      <c r="N19135" s="3">
        <v>0</v>
      </c>
      <c r="O19135" s="3" t="s">
        <v>10</v>
      </c>
      <c r="P19135" s="3" t="s">
        <v>9</v>
      </c>
      <c r="Q19135" s="3"/>
    </row>
    <row r="19136" spans="1:17" ht="15" x14ac:dyDescent="0.25">
      <c r="A19136" s="3">
        <f>19129</f>
        <v>19129</v>
      </c>
      <c r="B19136" s="3" t="s">
        <v>19138</v>
      </c>
      <c r="C19136" s="3" t="s">
        <v>10</v>
      </c>
      <c r="D19136" s="3" t="s">
        <v>9</v>
      </c>
      <c r="E19136" s="3">
        <v>0</v>
      </c>
      <c r="F19136" s="3">
        <v>0</v>
      </c>
      <c r="G19136" s="3">
        <v>1</v>
      </c>
      <c r="H19136" s="3">
        <v>0</v>
      </c>
      <c r="I19136" s="3">
        <v>0</v>
      </c>
      <c r="J19136" s="3">
        <v>1</v>
      </c>
      <c r="K19136" s="3">
        <v>0</v>
      </c>
      <c r="L19136" s="3">
        <v>0</v>
      </c>
      <c r="M19136" s="3">
        <v>0</v>
      </c>
      <c r="N19136" s="3">
        <v>0</v>
      </c>
      <c r="O19136" s="3" t="s">
        <v>10</v>
      </c>
      <c r="P19136" s="3" t="s">
        <v>9</v>
      </c>
      <c r="Q19136" s="3"/>
    </row>
    <row r="19137" spans="1:17" ht="15" x14ac:dyDescent="0.25">
      <c r="A19137" s="3">
        <f>19130</f>
        <v>19130</v>
      </c>
      <c r="B19137" s="3" t="s">
        <v>19139</v>
      </c>
      <c r="C19137" s="3" t="s">
        <v>10</v>
      </c>
      <c r="D19137" s="3" t="s">
        <v>9</v>
      </c>
      <c r="E19137" s="3">
        <v>0</v>
      </c>
      <c r="F19137" s="3">
        <v>0</v>
      </c>
      <c r="G19137" s="3">
        <v>1</v>
      </c>
      <c r="H19137" s="3">
        <v>0</v>
      </c>
      <c r="I19137" s="3">
        <v>0</v>
      </c>
      <c r="J19137" s="3">
        <v>1</v>
      </c>
      <c r="K19137" s="3">
        <v>0</v>
      </c>
      <c r="L19137" s="3">
        <v>0</v>
      </c>
      <c r="M19137" s="3">
        <v>0</v>
      </c>
      <c r="N19137" s="3">
        <v>0</v>
      </c>
      <c r="O19137" s="3" t="s">
        <v>10</v>
      </c>
      <c r="P19137" s="3" t="s">
        <v>9</v>
      </c>
      <c r="Q19137" s="3"/>
    </row>
    <row r="19138" spans="1:17" ht="15" x14ac:dyDescent="0.25">
      <c r="A19138" s="3">
        <f>19131</f>
        <v>19131</v>
      </c>
      <c r="B19138" s="3" t="s">
        <v>19140</v>
      </c>
      <c r="C19138" s="3" t="s">
        <v>10</v>
      </c>
      <c r="D19138" s="3" t="s">
        <v>9</v>
      </c>
      <c r="E19138" s="3">
        <v>0</v>
      </c>
      <c r="F19138" s="3">
        <v>0</v>
      </c>
      <c r="G19138" s="3">
        <v>1</v>
      </c>
      <c r="H19138" s="3">
        <v>0</v>
      </c>
      <c r="I19138" s="3">
        <v>0</v>
      </c>
      <c r="J19138" s="3">
        <v>1</v>
      </c>
      <c r="K19138" s="3">
        <v>0</v>
      </c>
      <c r="L19138" s="3">
        <v>0</v>
      </c>
      <c r="M19138" s="3">
        <v>0</v>
      </c>
      <c r="N19138" s="3">
        <v>0</v>
      </c>
      <c r="O19138" s="3" t="s">
        <v>10</v>
      </c>
      <c r="P19138" s="3" t="s">
        <v>9</v>
      </c>
      <c r="Q19138" s="3"/>
    </row>
    <row r="19139" spans="1:17" ht="15" x14ac:dyDescent="0.25">
      <c r="A19139" s="3">
        <f>19132</f>
        <v>19132</v>
      </c>
      <c r="B19139" s="3" t="s">
        <v>19141</v>
      </c>
      <c r="C19139" s="3" t="s">
        <v>10</v>
      </c>
      <c r="D19139" s="3" t="s">
        <v>9</v>
      </c>
      <c r="E19139" s="3">
        <v>0</v>
      </c>
      <c r="F19139" s="3">
        <v>0</v>
      </c>
      <c r="G19139" s="3">
        <v>1</v>
      </c>
      <c r="H19139" s="3">
        <v>0</v>
      </c>
      <c r="I19139" s="3">
        <v>0</v>
      </c>
      <c r="J19139" s="3">
        <v>1</v>
      </c>
      <c r="K19139" s="3">
        <v>0</v>
      </c>
      <c r="L19139" s="3">
        <v>0</v>
      </c>
      <c r="M19139" s="3">
        <v>0</v>
      </c>
      <c r="N19139" s="3">
        <v>0</v>
      </c>
      <c r="O19139" s="3" t="s">
        <v>10</v>
      </c>
      <c r="P19139" s="3" t="s">
        <v>9</v>
      </c>
      <c r="Q19139" s="3"/>
    </row>
    <row r="19140" spans="1:17" ht="15" x14ac:dyDescent="0.25">
      <c r="A19140" s="3">
        <f>19133</f>
        <v>19133</v>
      </c>
      <c r="B19140" s="3" t="s">
        <v>19142</v>
      </c>
      <c r="C19140" s="3" t="s">
        <v>10</v>
      </c>
      <c r="D19140" s="3" t="s">
        <v>9</v>
      </c>
      <c r="E19140" s="3">
        <v>0</v>
      </c>
      <c r="F19140" s="3">
        <v>0</v>
      </c>
      <c r="G19140" s="3">
        <v>1</v>
      </c>
      <c r="H19140" s="3">
        <v>0</v>
      </c>
      <c r="I19140" s="3">
        <v>0</v>
      </c>
      <c r="J19140" s="3">
        <v>1</v>
      </c>
      <c r="K19140" s="3">
        <v>0</v>
      </c>
      <c r="L19140" s="3">
        <v>0</v>
      </c>
      <c r="M19140" s="3">
        <v>0</v>
      </c>
      <c r="N19140" s="3">
        <v>0</v>
      </c>
      <c r="O19140" s="3" t="s">
        <v>10</v>
      </c>
      <c r="P19140" s="3" t="s">
        <v>9</v>
      </c>
      <c r="Q19140" s="3"/>
    </row>
    <row r="19141" spans="1:17" ht="15" x14ac:dyDescent="0.25">
      <c r="A19141" s="3">
        <f>19134</f>
        <v>19134</v>
      </c>
      <c r="B19141" s="3" t="s">
        <v>19143</v>
      </c>
      <c r="C19141" s="3" t="s">
        <v>10</v>
      </c>
      <c r="D19141" s="3" t="s">
        <v>9</v>
      </c>
      <c r="E19141" s="3">
        <v>0</v>
      </c>
      <c r="F19141" s="3">
        <v>0</v>
      </c>
      <c r="G19141" s="3">
        <v>1</v>
      </c>
      <c r="H19141" s="3">
        <v>0</v>
      </c>
      <c r="I19141" s="3">
        <v>0</v>
      </c>
      <c r="J19141" s="3">
        <v>1</v>
      </c>
      <c r="K19141" s="3">
        <v>0</v>
      </c>
      <c r="L19141" s="3">
        <v>0</v>
      </c>
      <c r="M19141" s="3">
        <v>0</v>
      </c>
      <c r="N19141" s="3">
        <v>0</v>
      </c>
      <c r="O19141" s="3" t="s">
        <v>10</v>
      </c>
      <c r="P19141" s="3" t="s">
        <v>9</v>
      </c>
      <c r="Q19141" s="3"/>
    </row>
    <row r="19142" spans="1:17" ht="15" x14ac:dyDescent="0.25">
      <c r="A19142" s="3">
        <f>19135</f>
        <v>19135</v>
      </c>
      <c r="B19142" s="3" t="s">
        <v>19144</v>
      </c>
      <c r="C19142" s="3" t="s">
        <v>10</v>
      </c>
      <c r="D19142" s="3" t="s">
        <v>9</v>
      </c>
      <c r="E19142" s="3">
        <v>0</v>
      </c>
      <c r="F19142" s="3">
        <v>0</v>
      </c>
      <c r="G19142" s="3">
        <v>1</v>
      </c>
      <c r="H19142" s="3">
        <v>0</v>
      </c>
      <c r="I19142" s="3">
        <v>0</v>
      </c>
      <c r="J19142" s="3">
        <v>1</v>
      </c>
      <c r="K19142" s="3">
        <v>0</v>
      </c>
      <c r="L19142" s="3">
        <v>0</v>
      </c>
      <c r="M19142" s="3">
        <v>0</v>
      </c>
      <c r="N19142" s="3">
        <v>0</v>
      </c>
      <c r="O19142" s="3" t="s">
        <v>10</v>
      </c>
      <c r="P19142" s="3" t="s">
        <v>9</v>
      </c>
      <c r="Q19142" s="3"/>
    </row>
    <row r="19143" spans="1:17" ht="15" x14ac:dyDescent="0.25">
      <c r="A19143" s="3">
        <f>19136</f>
        <v>19136</v>
      </c>
      <c r="B19143" s="3" t="s">
        <v>19145</v>
      </c>
      <c r="C19143" s="3" t="s">
        <v>10</v>
      </c>
      <c r="D19143" s="3" t="s">
        <v>9</v>
      </c>
      <c r="E19143" s="3">
        <v>0</v>
      </c>
      <c r="F19143" s="3">
        <v>0</v>
      </c>
      <c r="G19143" s="3">
        <v>1</v>
      </c>
      <c r="H19143" s="3">
        <v>0</v>
      </c>
      <c r="I19143" s="3">
        <v>0</v>
      </c>
      <c r="J19143" s="3">
        <v>1</v>
      </c>
      <c r="K19143" s="3">
        <v>0</v>
      </c>
      <c r="L19143" s="3">
        <v>0</v>
      </c>
      <c r="M19143" s="3">
        <v>0</v>
      </c>
      <c r="N19143" s="3">
        <v>0</v>
      </c>
      <c r="O19143" s="3" t="s">
        <v>10</v>
      </c>
      <c r="P19143" s="3" t="s">
        <v>9</v>
      </c>
      <c r="Q19143" s="3"/>
    </row>
    <row r="19144" spans="1:17" ht="15" x14ac:dyDescent="0.25">
      <c r="A19144" s="3">
        <f>19137</f>
        <v>19137</v>
      </c>
      <c r="B19144" s="3" t="s">
        <v>19146</v>
      </c>
      <c r="C19144" s="3" t="s">
        <v>10</v>
      </c>
      <c r="D19144" s="3" t="s">
        <v>9</v>
      </c>
      <c r="E19144" s="3">
        <v>0</v>
      </c>
      <c r="F19144" s="3">
        <v>0</v>
      </c>
      <c r="G19144" s="3">
        <v>1</v>
      </c>
      <c r="H19144" s="3">
        <v>0</v>
      </c>
      <c r="I19144" s="3">
        <v>0</v>
      </c>
      <c r="J19144" s="3">
        <v>1</v>
      </c>
      <c r="K19144" s="3">
        <v>0</v>
      </c>
      <c r="L19144" s="3">
        <v>0</v>
      </c>
      <c r="M19144" s="3">
        <v>0</v>
      </c>
      <c r="N19144" s="3">
        <v>0</v>
      </c>
      <c r="O19144" s="3" t="s">
        <v>10</v>
      </c>
      <c r="P19144" s="3" t="s">
        <v>9</v>
      </c>
      <c r="Q19144" s="3"/>
    </row>
    <row r="19145" spans="1:17" ht="15" x14ac:dyDescent="0.25">
      <c r="A19145" s="3">
        <f>19138</f>
        <v>19138</v>
      </c>
      <c r="B19145" s="3" t="s">
        <v>19147</v>
      </c>
      <c r="C19145" s="3" t="s">
        <v>10</v>
      </c>
      <c r="D19145" s="3" t="s">
        <v>9</v>
      </c>
      <c r="E19145" s="3">
        <v>0</v>
      </c>
      <c r="F19145" s="3">
        <v>0</v>
      </c>
      <c r="G19145" s="3">
        <v>1</v>
      </c>
      <c r="H19145" s="3">
        <v>0</v>
      </c>
      <c r="I19145" s="3">
        <v>0</v>
      </c>
      <c r="J19145" s="3">
        <v>1</v>
      </c>
      <c r="K19145" s="3">
        <v>0</v>
      </c>
      <c r="L19145" s="3">
        <v>0</v>
      </c>
      <c r="M19145" s="3">
        <v>0</v>
      </c>
      <c r="N19145" s="3">
        <v>0</v>
      </c>
      <c r="O19145" s="3" t="s">
        <v>10</v>
      </c>
      <c r="P19145" s="3" t="s">
        <v>9</v>
      </c>
      <c r="Q19145" s="3"/>
    </row>
    <row r="19146" spans="1:17" ht="15" x14ac:dyDescent="0.25">
      <c r="A19146" s="3">
        <f>19139</f>
        <v>19139</v>
      </c>
      <c r="B19146" s="3" t="s">
        <v>19148</v>
      </c>
      <c r="C19146" s="3" t="s">
        <v>10</v>
      </c>
      <c r="D19146" s="3" t="s">
        <v>9</v>
      </c>
      <c r="E19146" s="3">
        <v>0</v>
      </c>
      <c r="F19146" s="3">
        <v>0</v>
      </c>
      <c r="G19146" s="3">
        <v>1</v>
      </c>
      <c r="H19146" s="3">
        <v>0</v>
      </c>
      <c r="I19146" s="3">
        <v>0</v>
      </c>
      <c r="J19146" s="3">
        <v>1</v>
      </c>
      <c r="K19146" s="3">
        <v>0</v>
      </c>
      <c r="L19146" s="3">
        <v>0</v>
      </c>
      <c r="M19146" s="3">
        <v>0</v>
      </c>
      <c r="N19146" s="3">
        <v>0</v>
      </c>
      <c r="O19146" s="3" t="s">
        <v>10</v>
      </c>
      <c r="P19146" s="3" t="s">
        <v>9</v>
      </c>
      <c r="Q19146" s="3"/>
    </row>
    <row r="19147" spans="1:17" ht="15" x14ac:dyDescent="0.25">
      <c r="A19147" s="3">
        <f>19140</f>
        <v>19140</v>
      </c>
      <c r="B19147" s="3" t="s">
        <v>19149</v>
      </c>
      <c r="C19147" s="3" t="s">
        <v>10</v>
      </c>
      <c r="D19147" s="3" t="s">
        <v>9</v>
      </c>
      <c r="E19147" s="3">
        <v>0</v>
      </c>
      <c r="F19147" s="3">
        <v>0</v>
      </c>
      <c r="G19147" s="3">
        <v>1</v>
      </c>
      <c r="H19147" s="3">
        <v>0</v>
      </c>
      <c r="I19147" s="3">
        <v>0</v>
      </c>
      <c r="J19147" s="3">
        <v>1</v>
      </c>
      <c r="K19147" s="3">
        <v>0</v>
      </c>
      <c r="L19147" s="3">
        <v>0</v>
      </c>
      <c r="M19147" s="3">
        <v>0</v>
      </c>
      <c r="N19147" s="3">
        <v>0</v>
      </c>
      <c r="O19147" s="3" t="s">
        <v>10</v>
      </c>
      <c r="P19147" s="3" t="s">
        <v>9</v>
      </c>
      <c r="Q19147" s="3"/>
    </row>
    <row r="19148" spans="1:17" ht="15" x14ac:dyDescent="0.25">
      <c r="A19148" s="3">
        <f>19141</f>
        <v>19141</v>
      </c>
      <c r="B19148" s="3" t="s">
        <v>19150</v>
      </c>
      <c r="C19148" s="3" t="s">
        <v>10</v>
      </c>
      <c r="D19148" s="3" t="s">
        <v>9</v>
      </c>
      <c r="E19148" s="3">
        <v>0</v>
      </c>
      <c r="F19148" s="3">
        <v>0</v>
      </c>
      <c r="G19148" s="3">
        <v>1</v>
      </c>
      <c r="H19148" s="3">
        <v>0</v>
      </c>
      <c r="I19148" s="3">
        <v>0</v>
      </c>
      <c r="J19148" s="3">
        <v>1</v>
      </c>
      <c r="K19148" s="3">
        <v>0</v>
      </c>
      <c r="L19148" s="3">
        <v>0</v>
      </c>
      <c r="M19148" s="3">
        <v>0</v>
      </c>
      <c r="N19148" s="3">
        <v>0</v>
      </c>
      <c r="O19148" s="3" t="s">
        <v>10</v>
      </c>
      <c r="P19148" s="3" t="s">
        <v>9</v>
      </c>
      <c r="Q19148" s="3"/>
    </row>
    <row r="19149" spans="1:17" ht="15" x14ac:dyDescent="0.25">
      <c r="A19149" s="3">
        <f>19142</f>
        <v>19142</v>
      </c>
      <c r="B19149" s="3" t="s">
        <v>19151</v>
      </c>
      <c r="C19149" s="3" t="s">
        <v>10</v>
      </c>
      <c r="D19149" s="3" t="s">
        <v>9</v>
      </c>
      <c r="E19149" s="3">
        <v>0</v>
      </c>
      <c r="F19149" s="3">
        <v>0</v>
      </c>
      <c r="G19149" s="3">
        <v>1</v>
      </c>
      <c r="H19149" s="3">
        <v>0</v>
      </c>
      <c r="I19149" s="3">
        <v>0</v>
      </c>
      <c r="J19149" s="3">
        <v>1</v>
      </c>
      <c r="K19149" s="3">
        <v>0</v>
      </c>
      <c r="L19149" s="3">
        <v>0</v>
      </c>
      <c r="M19149" s="3">
        <v>0</v>
      </c>
      <c r="N19149" s="3">
        <v>0</v>
      </c>
      <c r="O19149" s="3" t="s">
        <v>10</v>
      </c>
      <c r="P19149" s="3" t="s">
        <v>9</v>
      </c>
      <c r="Q19149" s="3"/>
    </row>
    <row r="19150" spans="1:17" ht="15" x14ac:dyDescent="0.25">
      <c r="A19150" s="3">
        <f>19143</f>
        <v>19143</v>
      </c>
      <c r="B19150" s="3" t="s">
        <v>19152</v>
      </c>
      <c r="C19150" s="3" t="s">
        <v>10</v>
      </c>
      <c r="D19150" s="3" t="s">
        <v>9</v>
      </c>
      <c r="E19150" s="3">
        <v>0</v>
      </c>
      <c r="F19150" s="3">
        <v>0</v>
      </c>
      <c r="G19150" s="3">
        <v>1</v>
      </c>
      <c r="H19150" s="3">
        <v>0</v>
      </c>
      <c r="I19150" s="3">
        <v>0</v>
      </c>
      <c r="J19150" s="3">
        <v>1</v>
      </c>
      <c r="K19150" s="3">
        <v>0</v>
      </c>
      <c r="L19150" s="3">
        <v>0</v>
      </c>
      <c r="M19150" s="3">
        <v>0</v>
      </c>
      <c r="N19150" s="3">
        <v>0</v>
      </c>
      <c r="O19150" s="3" t="s">
        <v>10</v>
      </c>
      <c r="P19150" s="3" t="s">
        <v>9</v>
      </c>
      <c r="Q19150" s="3"/>
    </row>
    <row r="19151" spans="1:17" ht="15" x14ac:dyDescent="0.25">
      <c r="A19151" s="3">
        <f>19144</f>
        <v>19144</v>
      </c>
      <c r="B19151" s="3" t="s">
        <v>19153</v>
      </c>
      <c r="C19151" s="3" t="s">
        <v>10</v>
      </c>
      <c r="D19151" s="3" t="s">
        <v>9</v>
      </c>
      <c r="E19151" s="3">
        <v>0</v>
      </c>
      <c r="F19151" s="3">
        <v>0</v>
      </c>
      <c r="G19151" s="3">
        <v>1</v>
      </c>
      <c r="H19151" s="3">
        <v>0</v>
      </c>
      <c r="I19151" s="3">
        <v>0</v>
      </c>
      <c r="J19151" s="3">
        <v>1</v>
      </c>
      <c r="K19151" s="3">
        <v>0</v>
      </c>
      <c r="L19151" s="3">
        <v>0</v>
      </c>
      <c r="M19151" s="3">
        <v>0</v>
      </c>
      <c r="N19151" s="3">
        <v>0</v>
      </c>
      <c r="O19151" s="3" t="s">
        <v>10</v>
      </c>
      <c r="P19151" s="3" t="s">
        <v>9</v>
      </c>
      <c r="Q19151" s="3"/>
    </row>
    <row r="19152" spans="1:17" ht="15" x14ac:dyDescent="0.25">
      <c r="A19152" s="3">
        <f>19145</f>
        <v>19145</v>
      </c>
      <c r="B19152" s="3" t="s">
        <v>19154</v>
      </c>
      <c r="C19152" s="3" t="s">
        <v>10</v>
      </c>
      <c r="D19152" s="3" t="s">
        <v>9</v>
      </c>
      <c r="E19152" s="3">
        <v>0</v>
      </c>
      <c r="F19152" s="3">
        <v>0</v>
      </c>
      <c r="G19152" s="3">
        <v>1</v>
      </c>
      <c r="H19152" s="3">
        <v>0</v>
      </c>
      <c r="I19152" s="3">
        <v>0</v>
      </c>
      <c r="J19152" s="3">
        <v>1</v>
      </c>
      <c r="K19152" s="3">
        <v>0</v>
      </c>
      <c r="L19152" s="3">
        <v>0</v>
      </c>
      <c r="M19152" s="3">
        <v>0</v>
      </c>
      <c r="N19152" s="3">
        <v>0</v>
      </c>
      <c r="O19152" s="3" t="s">
        <v>10</v>
      </c>
      <c r="P19152" s="3" t="s">
        <v>9</v>
      </c>
      <c r="Q19152" s="3"/>
    </row>
    <row r="19153" spans="1:17" ht="15" x14ac:dyDescent="0.25">
      <c r="A19153" s="3">
        <f>19146</f>
        <v>19146</v>
      </c>
      <c r="B19153" s="3" t="s">
        <v>19155</v>
      </c>
      <c r="C19153" s="3" t="s">
        <v>10</v>
      </c>
      <c r="D19153" s="3" t="s">
        <v>9</v>
      </c>
      <c r="E19153" s="3">
        <v>0</v>
      </c>
      <c r="F19153" s="3">
        <v>0</v>
      </c>
      <c r="G19153" s="3">
        <v>1</v>
      </c>
      <c r="H19153" s="3">
        <v>0</v>
      </c>
      <c r="I19153" s="3">
        <v>0</v>
      </c>
      <c r="J19153" s="3">
        <v>1</v>
      </c>
      <c r="K19153" s="3">
        <v>0</v>
      </c>
      <c r="L19153" s="3">
        <v>0</v>
      </c>
      <c r="M19153" s="3">
        <v>0</v>
      </c>
      <c r="N19153" s="3">
        <v>0</v>
      </c>
      <c r="O19153" s="3" t="s">
        <v>10</v>
      </c>
      <c r="P19153" s="3" t="s">
        <v>9</v>
      </c>
      <c r="Q19153" s="3"/>
    </row>
    <row r="19154" spans="1:17" ht="15" x14ac:dyDescent="0.25">
      <c r="A19154" s="3">
        <f>19147</f>
        <v>19147</v>
      </c>
      <c r="B19154" s="3" t="s">
        <v>19156</v>
      </c>
      <c r="C19154" s="3" t="s">
        <v>10</v>
      </c>
      <c r="D19154" s="3" t="s">
        <v>9</v>
      </c>
      <c r="E19154" s="3">
        <v>0</v>
      </c>
      <c r="F19154" s="3">
        <v>0</v>
      </c>
      <c r="G19154" s="3">
        <v>1</v>
      </c>
      <c r="H19154" s="3">
        <v>0</v>
      </c>
      <c r="I19154" s="3">
        <v>0</v>
      </c>
      <c r="J19154" s="3">
        <v>1</v>
      </c>
      <c r="K19154" s="3">
        <v>0</v>
      </c>
      <c r="L19154" s="3">
        <v>0</v>
      </c>
      <c r="M19154" s="3">
        <v>0</v>
      </c>
      <c r="N19154" s="3">
        <v>0</v>
      </c>
      <c r="O19154" s="3" t="s">
        <v>10</v>
      </c>
      <c r="P19154" s="3" t="s">
        <v>9</v>
      </c>
      <c r="Q19154" s="3"/>
    </row>
    <row r="19155" spans="1:17" ht="15" x14ac:dyDescent="0.25">
      <c r="A19155" s="3">
        <f>19148</f>
        <v>19148</v>
      </c>
      <c r="B19155" s="3" t="s">
        <v>19157</v>
      </c>
      <c r="C19155" s="3" t="s">
        <v>10</v>
      </c>
      <c r="D19155" s="3" t="s">
        <v>9</v>
      </c>
      <c r="E19155" s="3">
        <v>0</v>
      </c>
      <c r="F19155" s="3">
        <v>0</v>
      </c>
      <c r="G19155" s="3">
        <v>1</v>
      </c>
      <c r="H19155" s="3">
        <v>0</v>
      </c>
      <c r="I19155" s="3">
        <v>0</v>
      </c>
      <c r="J19155" s="3">
        <v>1</v>
      </c>
      <c r="K19155" s="3">
        <v>0</v>
      </c>
      <c r="L19155" s="3">
        <v>0</v>
      </c>
      <c r="M19155" s="3">
        <v>0</v>
      </c>
      <c r="N19155" s="3">
        <v>0</v>
      </c>
      <c r="O19155" s="3" t="s">
        <v>10</v>
      </c>
      <c r="P19155" s="3" t="s">
        <v>9</v>
      </c>
      <c r="Q19155" s="3"/>
    </row>
    <row r="19156" spans="1:17" ht="15" x14ac:dyDescent="0.25">
      <c r="A19156" s="3">
        <f>19149</f>
        <v>19149</v>
      </c>
      <c r="B19156" s="3" t="s">
        <v>19158</v>
      </c>
      <c r="C19156" s="3" t="s">
        <v>10</v>
      </c>
      <c r="D19156" s="3" t="s">
        <v>9</v>
      </c>
      <c r="E19156" s="3">
        <v>0</v>
      </c>
      <c r="F19156" s="3">
        <v>0</v>
      </c>
      <c r="G19156" s="3">
        <v>1</v>
      </c>
      <c r="H19156" s="3">
        <v>0</v>
      </c>
      <c r="I19156" s="3">
        <v>0</v>
      </c>
      <c r="J19156" s="3">
        <v>1</v>
      </c>
      <c r="K19156" s="3">
        <v>0</v>
      </c>
      <c r="L19156" s="3">
        <v>0</v>
      </c>
      <c r="M19156" s="3">
        <v>0</v>
      </c>
      <c r="N19156" s="3">
        <v>0</v>
      </c>
      <c r="O19156" s="3" t="s">
        <v>10</v>
      </c>
      <c r="P19156" s="3" t="s">
        <v>9</v>
      </c>
      <c r="Q19156" s="3"/>
    </row>
    <row r="19157" spans="1:17" ht="15" x14ac:dyDescent="0.25">
      <c r="A19157" s="3">
        <f>19150</f>
        <v>19150</v>
      </c>
      <c r="B19157" s="3" t="s">
        <v>19159</v>
      </c>
      <c r="C19157" s="3" t="s">
        <v>10</v>
      </c>
      <c r="D19157" s="3" t="s">
        <v>9</v>
      </c>
      <c r="E19157" s="3">
        <v>0</v>
      </c>
      <c r="F19157" s="3">
        <v>0</v>
      </c>
      <c r="G19157" s="3">
        <v>1</v>
      </c>
      <c r="H19157" s="3">
        <v>0</v>
      </c>
      <c r="I19157" s="3">
        <v>0</v>
      </c>
      <c r="J19157" s="3">
        <v>1</v>
      </c>
      <c r="K19157" s="3">
        <v>0</v>
      </c>
      <c r="L19157" s="3">
        <v>0</v>
      </c>
      <c r="M19157" s="3">
        <v>0</v>
      </c>
      <c r="N19157" s="3">
        <v>0</v>
      </c>
      <c r="O19157" s="3" t="s">
        <v>10</v>
      </c>
      <c r="P19157" s="3" t="s">
        <v>9</v>
      </c>
      <c r="Q19157" s="3"/>
    </row>
    <row r="19158" spans="1:17" ht="15" x14ac:dyDescent="0.25">
      <c r="A19158" s="3">
        <f>19151</f>
        <v>19151</v>
      </c>
      <c r="B19158" s="3" t="s">
        <v>19160</v>
      </c>
      <c r="C19158" s="3" t="s">
        <v>10</v>
      </c>
      <c r="D19158" s="3" t="s">
        <v>9</v>
      </c>
      <c r="E19158" s="3">
        <v>0</v>
      </c>
      <c r="F19158" s="3">
        <v>0</v>
      </c>
      <c r="G19158" s="3">
        <v>1</v>
      </c>
      <c r="H19158" s="3">
        <v>0</v>
      </c>
      <c r="I19158" s="3">
        <v>0</v>
      </c>
      <c r="J19158" s="3">
        <v>1</v>
      </c>
      <c r="K19158" s="3">
        <v>0</v>
      </c>
      <c r="L19158" s="3">
        <v>0</v>
      </c>
      <c r="M19158" s="3">
        <v>0</v>
      </c>
      <c r="N19158" s="3">
        <v>0</v>
      </c>
      <c r="O19158" s="3" t="s">
        <v>10</v>
      </c>
      <c r="P19158" s="3" t="s">
        <v>9</v>
      </c>
      <c r="Q19158" s="3"/>
    </row>
    <row r="19159" spans="1:17" ht="15" x14ac:dyDescent="0.25">
      <c r="A19159" s="3">
        <f>19152</f>
        <v>19152</v>
      </c>
      <c r="B19159" s="3" t="s">
        <v>19161</v>
      </c>
      <c r="C19159" s="3" t="s">
        <v>10</v>
      </c>
      <c r="D19159" s="3" t="s">
        <v>9</v>
      </c>
      <c r="E19159" s="3">
        <v>0</v>
      </c>
      <c r="F19159" s="3">
        <v>0</v>
      </c>
      <c r="G19159" s="3">
        <v>1</v>
      </c>
      <c r="H19159" s="3">
        <v>0</v>
      </c>
      <c r="I19159" s="3">
        <v>0</v>
      </c>
      <c r="J19159" s="3">
        <v>1</v>
      </c>
      <c r="K19159" s="3">
        <v>0</v>
      </c>
      <c r="L19159" s="3">
        <v>0</v>
      </c>
      <c r="M19159" s="3">
        <v>0</v>
      </c>
      <c r="N19159" s="3">
        <v>0</v>
      </c>
      <c r="O19159" s="3" t="s">
        <v>10</v>
      </c>
      <c r="P19159" s="3" t="s">
        <v>9</v>
      </c>
      <c r="Q19159" s="3"/>
    </row>
    <row r="19160" spans="1:17" ht="15" x14ac:dyDescent="0.25">
      <c r="A19160" s="3">
        <f>19153</f>
        <v>19153</v>
      </c>
      <c r="B19160" s="3" t="s">
        <v>19162</v>
      </c>
      <c r="C19160" s="3" t="s">
        <v>10</v>
      </c>
      <c r="D19160" s="3" t="s">
        <v>9</v>
      </c>
      <c r="E19160" s="3">
        <v>0</v>
      </c>
      <c r="F19160" s="3">
        <v>0</v>
      </c>
      <c r="G19160" s="3">
        <v>1</v>
      </c>
      <c r="H19160" s="3">
        <v>0</v>
      </c>
      <c r="I19160" s="3">
        <v>0</v>
      </c>
      <c r="J19160" s="3">
        <v>1</v>
      </c>
      <c r="K19160" s="3">
        <v>0</v>
      </c>
      <c r="L19160" s="3">
        <v>0</v>
      </c>
      <c r="M19160" s="3">
        <v>0</v>
      </c>
      <c r="N19160" s="3">
        <v>0</v>
      </c>
      <c r="O19160" s="3" t="s">
        <v>10</v>
      </c>
      <c r="P19160" s="3" t="s">
        <v>9</v>
      </c>
      <c r="Q19160" s="3"/>
    </row>
    <row r="19161" spans="1:17" ht="15" x14ac:dyDescent="0.25">
      <c r="A19161" s="3">
        <f>19154</f>
        <v>19154</v>
      </c>
      <c r="B19161" s="3" t="s">
        <v>19163</v>
      </c>
      <c r="C19161" s="3" t="s">
        <v>10</v>
      </c>
      <c r="D19161" s="3" t="s">
        <v>9</v>
      </c>
      <c r="E19161" s="3">
        <v>0</v>
      </c>
      <c r="F19161" s="3">
        <v>0</v>
      </c>
      <c r="G19161" s="3">
        <v>1</v>
      </c>
      <c r="H19161" s="3">
        <v>0</v>
      </c>
      <c r="I19161" s="3">
        <v>0</v>
      </c>
      <c r="J19161" s="3">
        <v>1</v>
      </c>
      <c r="K19161" s="3">
        <v>0</v>
      </c>
      <c r="L19161" s="3">
        <v>0</v>
      </c>
      <c r="M19161" s="3">
        <v>0</v>
      </c>
      <c r="N19161" s="3">
        <v>0</v>
      </c>
      <c r="O19161" s="3" t="s">
        <v>10</v>
      </c>
      <c r="P19161" s="3" t="s">
        <v>9</v>
      </c>
      <c r="Q19161" s="3"/>
    </row>
    <row r="19162" spans="1:17" ht="15" x14ac:dyDescent="0.25">
      <c r="A19162" s="3">
        <f>19155</f>
        <v>19155</v>
      </c>
      <c r="B19162" s="3" t="s">
        <v>19164</v>
      </c>
      <c r="C19162" s="3" t="s">
        <v>10</v>
      </c>
      <c r="D19162" s="3" t="s">
        <v>9</v>
      </c>
      <c r="E19162" s="3">
        <v>0</v>
      </c>
      <c r="F19162" s="3">
        <v>0</v>
      </c>
      <c r="G19162" s="3">
        <v>1</v>
      </c>
      <c r="H19162" s="3">
        <v>0</v>
      </c>
      <c r="I19162" s="3">
        <v>0</v>
      </c>
      <c r="J19162" s="3">
        <v>1</v>
      </c>
      <c r="K19162" s="3">
        <v>0</v>
      </c>
      <c r="L19162" s="3">
        <v>0</v>
      </c>
      <c r="M19162" s="3">
        <v>0</v>
      </c>
      <c r="N19162" s="3">
        <v>0</v>
      </c>
      <c r="O19162" s="3" t="s">
        <v>10</v>
      </c>
      <c r="P19162" s="3" t="s">
        <v>9</v>
      </c>
      <c r="Q19162" s="3"/>
    </row>
    <row r="19163" spans="1:17" ht="15" x14ac:dyDescent="0.25">
      <c r="A19163" s="3">
        <f>19156</f>
        <v>19156</v>
      </c>
      <c r="B19163" s="3" t="s">
        <v>19165</v>
      </c>
      <c r="C19163" s="3" t="s">
        <v>10</v>
      </c>
      <c r="D19163" s="3" t="s">
        <v>9</v>
      </c>
      <c r="E19163" s="3">
        <v>0</v>
      </c>
      <c r="F19163" s="3">
        <v>0</v>
      </c>
      <c r="G19163" s="3">
        <v>1</v>
      </c>
      <c r="H19163" s="3">
        <v>0</v>
      </c>
      <c r="I19163" s="3">
        <v>0</v>
      </c>
      <c r="J19163" s="3">
        <v>1</v>
      </c>
      <c r="K19163" s="3">
        <v>0</v>
      </c>
      <c r="L19163" s="3">
        <v>0</v>
      </c>
      <c r="M19163" s="3">
        <v>0</v>
      </c>
      <c r="N19163" s="3">
        <v>0</v>
      </c>
      <c r="O19163" s="3" t="s">
        <v>10</v>
      </c>
      <c r="P19163" s="3" t="s">
        <v>9</v>
      </c>
      <c r="Q19163" s="3"/>
    </row>
    <row r="19164" spans="1:17" ht="15" x14ac:dyDescent="0.25">
      <c r="A19164" s="3">
        <f>19157</f>
        <v>19157</v>
      </c>
      <c r="B19164" s="3" t="s">
        <v>19166</v>
      </c>
      <c r="C19164" s="3" t="s">
        <v>10</v>
      </c>
      <c r="D19164" s="3" t="s">
        <v>9</v>
      </c>
      <c r="E19164" s="3">
        <v>0</v>
      </c>
      <c r="F19164" s="3">
        <v>0</v>
      </c>
      <c r="G19164" s="3">
        <v>1</v>
      </c>
      <c r="H19164" s="3">
        <v>0</v>
      </c>
      <c r="I19164" s="3">
        <v>0</v>
      </c>
      <c r="J19164" s="3">
        <v>1</v>
      </c>
      <c r="K19164" s="3">
        <v>0</v>
      </c>
      <c r="L19164" s="3">
        <v>0</v>
      </c>
      <c r="M19164" s="3">
        <v>0</v>
      </c>
      <c r="N19164" s="3">
        <v>0</v>
      </c>
      <c r="O19164" s="3" t="s">
        <v>10</v>
      </c>
      <c r="P19164" s="3" t="s">
        <v>9</v>
      </c>
      <c r="Q19164" s="3"/>
    </row>
    <row r="19165" spans="1:17" ht="15" x14ac:dyDescent="0.25">
      <c r="A19165" s="3">
        <f>19158</f>
        <v>19158</v>
      </c>
      <c r="B19165" s="3" t="s">
        <v>19167</v>
      </c>
      <c r="C19165" s="3" t="s">
        <v>10</v>
      </c>
      <c r="D19165" s="3" t="s">
        <v>9</v>
      </c>
      <c r="E19165" s="3">
        <v>0</v>
      </c>
      <c r="F19165" s="3">
        <v>0</v>
      </c>
      <c r="G19165" s="3">
        <v>1</v>
      </c>
      <c r="H19165" s="3">
        <v>0</v>
      </c>
      <c r="I19165" s="3">
        <v>0</v>
      </c>
      <c r="J19165" s="3">
        <v>1</v>
      </c>
      <c r="K19165" s="3">
        <v>0</v>
      </c>
      <c r="L19165" s="3">
        <v>0</v>
      </c>
      <c r="M19165" s="3">
        <v>0</v>
      </c>
      <c r="N19165" s="3">
        <v>0</v>
      </c>
      <c r="O19165" s="3" t="s">
        <v>10</v>
      </c>
      <c r="P19165" s="3" t="s">
        <v>9</v>
      </c>
      <c r="Q19165" s="3"/>
    </row>
    <row r="19166" spans="1:17" ht="15" x14ac:dyDescent="0.25">
      <c r="A19166" s="3">
        <f>19159</f>
        <v>19159</v>
      </c>
      <c r="B19166" s="3" t="s">
        <v>19168</v>
      </c>
      <c r="C19166" s="3" t="s">
        <v>10</v>
      </c>
      <c r="D19166" s="3" t="s">
        <v>9</v>
      </c>
      <c r="E19166" s="3">
        <v>0</v>
      </c>
      <c r="F19166" s="3">
        <v>0</v>
      </c>
      <c r="G19166" s="3">
        <v>1</v>
      </c>
      <c r="H19166" s="3">
        <v>0</v>
      </c>
      <c r="I19166" s="3">
        <v>0</v>
      </c>
      <c r="J19166" s="3">
        <v>1</v>
      </c>
      <c r="K19166" s="3">
        <v>0</v>
      </c>
      <c r="L19166" s="3">
        <v>0</v>
      </c>
      <c r="M19166" s="3">
        <v>0</v>
      </c>
      <c r="N19166" s="3">
        <v>0</v>
      </c>
      <c r="O19166" s="3" t="s">
        <v>10</v>
      </c>
      <c r="P19166" s="3" t="s">
        <v>9</v>
      </c>
      <c r="Q19166" s="3"/>
    </row>
    <row r="19167" spans="1:17" ht="15" x14ac:dyDescent="0.25">
      <c r="A19167" s="3">
        <f>19160</f>
        <v>19160</v>
      </c>
      <c r="B19167" s="3" t="s">
        <v>19169</v>
      </c>
      <c r="C19167" s="3" t="s">
        <v>10</v>
      </c>
      <c r="D19167" s="3" t="s">
        <v>9</v>
      </c>
      <c r="E19167" s="3">
        <v>0</v>
      </c>
      <c r="F19167" s="3">
        <v>0</v>
      </c>
      <c r="G19167" s="3">
        <v>1</v>
      </c>
      <c r="H19167" s="3">
        <v>0</v>
      </c>
      <c r="I19167" s="3">
        <v>0</v>
      </c>
      <c r="J19167" s="3">
        <v>1</v>
      </c>
      <c r="K19167" s="3">
        <v>0</v>
      </c>
      <c r="L19167" s="3">
        <v>0</v>
      </c>
      <c r="M19167" s="3">
        <v>0</v>
      </c>
      <c r="N19167" s="3">
        <v>0</v>
      </c>
      <c r="O19167" s="3" t="s">
        <v>10</v>
      </c>
      <c r="P19167" s="3" t="s">
        <v>9</v>
      </c>
      <c r="Q19167" s="3"/>
    </row>
    <row r="19168" spans="1:17" ht="15" x14ac:dyDescent="0.25">
      <c r="A19168" s="3">
        <f>19161</f>
        <v>19161</v>
      </c>
      <c r="B19168" s="3" t="s">
        <v>19170</v>
      </c>
      <c r="C19168" s="3" t="s">
        <v>10</v>
      </c>
      <c r="D19168" s="3" t="s">
        <v>9</v>
      </c>
      <c r="E19168" s="3">
        <v>0</v>
      </c>
      <c r="F19168" s="3">
        <v>0</v>
      </c>
      <c r="G19168" s="3">
        <v>1</v>
      </c>
      <c r="H19168" s="3">
        <v>0</v>
      </c>
      <c r="I19168" s="3">
        <v>0</v>
      </c>
      <c r="J19168" s="3">
        <v>1</v>
      </c>
      <c r="K19168" s="3">
        <v>0</v>
      </c>
      <c r="L19168" s="3">
        <v>0</v>
      </c>
      <c r="M19168" s="3">
        <v>0</v>
      </c>
      <c r="N19168" s="3">
        <v>0</v>
      </c>
      <c r="O19168" s="3" t="s">
        <v>10</v>
      </c>
      <c r="P19168" s="3" t="s">
        <v>9</v>
      </c>
      <c r="Q19168" s="3"/>
    </row>
    <row r="19169" spans="1:17" ht="15" x14ac:dyDescent="0.25">
      <c r="A19169" s="3">
        <f>19162</f>
        <v>19162</v>
      </c>
      <c r="B19169" s="3" t="s">
        <v>19171</v>
      </c>
      <c r="C19169" s="3" t="s">
        <v>10</v>
      </c>
      <c r="D19169" s="3" t="s">
        <v>9</v>
      </c>
      <c r="E19169" s="3">
        <v>0</v>
      </c>
      <c r="F19169" s="3">
        <v>0</v>
      </c>
      <c r="G19169" s="3">
        <v>1</v>
      </c>
      <c r="H19169" s="3">
        <v>0</v>
      </c>
      <c r="I19169" s="3">
        <v>0</v>
      </c>
      <c r="J19169" s="3">
        <v>1</v>
      </c>
      <c r="K19169" s="3">
        <v>0</v>
      </c>
      <c r="L19169" s="3">
        <v>0</v>
      </c>
      <c r="M19169" s="3">
        <v>0</v>
      </c>
      <c r="N19169" s="3">
        <v>0</v>
      </c>
      <c r="O19169" s="3" t="s">
        <v>10</v>
      </c>
      <c r="P19169" s="3" t="s">
        <v>9</v>
      </c>
      <c r="Q19169" s="3"/>
    </row>
    <row r="19170" spans="1:17" ht="15" x14ac:dyDescent="0.25">
      <c r="A19170" s="3">
        <f>19163</f>
        <v>19163</v>
      </c>
      <c r="B19170" s="3" t="s">
        <v>19172</v>
      </c>
      <c r="C19170" s="3" t="s">
        <v>10</v>
      </c>
      <c r="D19170" s="3" t="s">
        <v>9</v>
      </c>
      <c r="E19170" s="3">
        <v>0</v>
      </c>
      <c r="F19170" s="3">
        <v>0</v>
      </c>
      <c r="G19170" s="3">
        <v>1</v>
      </c>
      <c r="H19170" s="3">
        <v>0</v>
      </c>
      <c r="I19170" s="3">
        <v>0</v>
      </c>
      <c r="J19170" s="3">
        <v>1</v>
      </c>
      <c r="K19170" s="3">
        <v>0</v>
      </c>
      <c r="L19170" s="3">
        <v>0</v>
      </c>
      <c r="M19170" s="3">
        <v>0</v>
      </c>
      <c r="N19170" s="3">
        <v>0</v>
      </c>
      <c r="O19170" s="3" t="s">
        <v>10</v>
      </c>
      <c r="P19170" s="3" t="s">
        <v>9</v>
      </c>
      <c r="Q19170" s="3"/>
    </row>
    <row r="19171" spans="1:17" ht="15" x14ac:dyDescent="0.25">
      <c r="A19171" s="3">
        <f>19164</f>
        <v>19164</v>
      </c>
      <c r="B19171" s="3" t="s">
        <v>19173</v>
      </c>
      <c r="C19171" s="3" t="s">
        <v>10</v>
      </c>
      <c r="D19171" s="3" t="s">
        <v>9</v>
      </c>
      <c r="E19171" s="3">
        <v>0</v>
      </c>
      <c r="F19171" s="3">
        <v>0</v>
      </c>
      <c r="G19171" s="3">
        <v>1</v>
      </c>
      <c r="H19171" s="3">
        <v>0</v>
      </c>
      <c r="I19171" s="3">
        <v>0</v>
      </c>
      <c r="J19171" s="3">
        <v>1</v>
      </c>
      <c r="K19171" s="3">
        <v>0</v>
      </c>
      <c r="L19171" s="3">
        <v>0</v>
      </c>
      <c r="M19171" s="3">
        <v>0</v>
      </c>
      <c r="N19171" s="3">
        <v>0</v>
      </c>
      <c r="O19171" s="3" t="s">
        <v>10</v>
      </c>
      <c r="P19171" s="3" t="s">
        <v>9</v>
      </c>
      <c r="Q19171" s="3"/>
    </row>
    <row r="19172" spans="1:17" ht="15" x14ac:dyDescent="0.25">
      <c r="A19172" s="3">
        <f>19165</f>
        <v>19165</v>
      </c>
      <c r="B19172" s="3" t="s">
        <v>19174</v>
      </c>
      <c r="C19172" s="3" t="s">
        <v>10</v>
      </c>
      <c r="D19172" s="3" t="s">
        <v>9</v>
      </c>
      <c r="E19172" s="3">
        <v>0</v>
      </c>
      <c r="F19172" s="3">
        <v>0</v>
      </c>
      <c r="G19172" s="3">
        <v>1</v>
      </c>
      <c r="H19172" s="3">
        <v>0</v>
      </c>
      <c r="I19172" s="3">
        <v>0</v>
      </c>
      <c r="J19172" s="3">
        <v>1</v>
      </c>
      <c r="K19172" s="3">
        <v>0</v>
      </c>
      <c r="L19172" s="3">
        <v>0</v>
      </c>
      <c r="M19172" s="3">
        <v>0</v>
      </c>
      <c r="N19172" s="3">
        <v>0</v>
      </c>
      <c r="O19172" s="3" t="s">
        <v>10</v>
      </c>
      <c r="P19172" s="3" t="s">
        <v>9</v>
      </c>
      <c r="Q19172" s="3"/>
    </row>
    <row r="19173" spans="1:17" ht="15" x14ac:dyDescent="0.25">
      <c r="A19173" s="3">
        <f>19166</f>
        <v>19166</v>
      </c>
      <c r="B19173" s="3" t="s">
        <v>19175</v>
      </c>
      <c r="C19173" s="3" t="s">
        <v>10</v>
      </c>
      <c r="D19173" s="3" t="s">
        <v>9</v>
      </c>
      <c r="E19173" s="3">
        <v>0</v>
      </c>
      <c r="F19173" s="3">
        <v>0</v>
      </c>
      <c r="G19173" s="3">
        <v>1</v>
      </c>
      <c r="H19173" s="3">
        <v>0</v>
      </c>
      <c r="I19173" s="3">
        <v>0</v>
      </c>
      <c r="J19173" s="3">
        <v>1</v>
      </c>
      <c r="K19173" s="3">
        <v>0</v>
      </c>
      <c r="L19173" s="3">
        <v>0</v>
      </c>
      <c r="M19173" s="3">
        <v>0</v>
      </c>
      <c r="N19173" s="3">
        <v>0</v>
      </c>
      <c r="O19173" s="3" t="s">
        <v>10</v>
      </c>
      <c r="P19173" s="3" t="s">
        <v>9</v>
      </c>
      <c r="Q19173" s="3"/>
    </row>
    <row r="19174" spans="1:17" ht="15" x14ac:dyDescent="0.25">
      <c r="A19174" s="3">
        <f>19167</f>
        <v>19167</v>
      </c>
      <c r="B19174" s="3" t="s">
        <v>19176</v>
      </c>
      <c r="C19174" s="3" t="s">
        <v>10</v>
      </c>
      <c r="D19174" s="3" t="s">
        <v>9</v>
      </c>
      <c r="E19174" s="3">
        <v>0</v>
      </c>
      <c r="F19174" s="3">
        <v>0</v>
      </c>
      <c r="G19174" s="3">
        <v>1</v>
      </c>
      <c r="H19174" s="3">
        <v>0</v>
      </c>
      <c r="I19174" s="3">
        <v>0</v>
      </c>
      <c r="J19174" s="3">
        <v>1</v>
      </c>
      <c r="K19174" s="3">
        <v>0</v>
      </c>
      <c r="L19174" s="3">
        <v>0</v>
      </c>
      <c r="M19174" s="3">
        <v>0</v>
      </c>
      <c r="N19174" s="3">
        <v>0</v>
      </c>
      <c r="O19174" s="3" t="s">
        <v>10</v>
      </c>
      <c r="P19174" s="3" t="s">
        <v>9</v>
      </c>
      <c r="Q19174" s="3"/>
    </row>
    <row r="19175" spans="1:17" ht="15" x14ac:dyDescent="0.25">
      <c r="A19175" s="3">
        <f>19168</f>
        <v>19168</v>
      </c>
      <c r="B19175" s="3" t="s">
        <v>19177</v>
      </c>
      <c r="C19175" s="3" t="s">
        <v>10</v>
      </c>
      <c r="D19175" s="3" t="s">
        <v>9</v>
      </c>
      <c r="E19175" s="3">
        <v>0</v>
      </c>
      <c r="F19175" s="3">
        <v>0</v>
      </c>
      <c r="G19175" s="3">
        <v>1</v>
      </c>
      <c r="H19175" s="3">
        <v>0</v>
      </c>
      <c r="I19175" s="3">
        <v>0</v>
      </c>
      <c r="J19175" s="3">
        <v>1</v>
      </c>
      <c r="K19175" s="3">
        <v>0</v>
      </c>
      <c r="L19175" s="3">
        <v>0</v>
      </c>
      <c r="M19175" s="3">
        <v>0</v>
      </c>
      <c r="N19175" s="3">
        <v>0</v>
      </c>
      <c r="O19175" s="3" t="s">
        <v>10</v>
      </c>
      <c r="P19175" s="3" t="s">
        <v>9</v>
      </c>
      <c r="Q19175" s="3"/>
    </row>
    <row r="19176" spans="1:17" ht="15" x14ac:dyDescent="0.25">
      <c r="A19176" s="3">
        <f>19169</f>
        <v>19169</v>
      </c>
      <c r="B19176" s="3" t="s">
        <v>19178</v>
      </c>
      <c r="C19176" s="3" t="s">
        <v>10</v>
      </c>
      <c r="D19176" s="3" t="s">
        <v>9</v>
      </c>
      <c r="E19176" s="3">
        <v>0</v>
      </c>
      <c r="F19176" s="3">
        <v>0</v>
      </c>
      <c r="G19176" s="3">
        <v>1</v>
      </c>
      <c r="H19176" s="3">
        <v>0</v>
      </c>
      <c r="I19176" s="3">
        <v>0</v>
      </c>
      <c r="J19176" s="3">
        <v>1</v>
      </c>
      <c r="K19176" s="3">
        <v>0</v>
      </c>
      <c r="L19176" s="3">
        <v>0</v>
      </c>
      <c r="M19176" s="3">
        <v>0</v>
      </c>
      <c r="N19176" s="3">
        <v>0</v>
      </c>
      <c r="O19176" s="3" t="s">
        <v>10</v>
      </c>
      <c r="P19176" s="3" t="s">
        <v>9</v>
      </c>
      <c r="Q19176" s="3"/>
    </row>
    <row r="19177" spans="1:17" ht="15" x14ac:dyDescent="0.25">
      <c r="A19177" s="3">
        <f>19170</f>
        <v>19170</v>
      </c>
      <c r="B19177" s="3" t="s">
        <v>19179</v>
      </c>
      <c r="C19177" s="3" t="s">
        <v>10</v>
      </c>
      <c r="D19177" s="3" t="s">
        <v>9</v>
      </c>
      <c r="E19177" s="3">
        <v>0</v>
      </c>
      <c r="F19177" s="3">
        <v>0</v>
      </c>
      <c r="G19177" s="3">
        <v>1</v>
      </c>
      <c r="H19177" s="3">
        <v>0</v>
      </c>
      <c r="I19177" s="3">
        <v>0</v>
      </c>
      <c r="J19177" s="3">
        <v>1</v>
      </c>
      <c r="K19177" s="3">
        <v>0</v>
      </c>
      <c r="L19177" s="3">
        <v>0</v>
      </c>
      <c r="M19177" s="3">
        <v>0</v>
      </c>
      <c r="N19177" s="3">
        <v>0</v>
      </c>
      <c r="O19177" s="3" t="s">
        <v>10</v>
      </c>
      <c r="P19177" s="3" t="s">
        <v>9</v>
      </c>
      <c r="Q19177" s="3"/>
    </row>
    <row r="19178" spans="1:17" ht="15" x14ac:dyDescent="0.25">
      <c r="A19178" s="3">
        <f>19171</f>
        <v>19171</v>
      </c>
      <c r="B19178" s="3" t="s">
        <v>19180</v>
      </c>
      <c r="C19178" s="3" t="s">
        <v>10</v>
      </c>
      <c r="D19178" s="3" t="s">
        <v>9</v>
      </c>
      <c r="E19178" s="3">
        <v>0</v>
      </c>
      <c r="F19178" s="3">
        <v>0</v>
      </c>
      <c r="G19178" s="3">
        <v>1</v>
      </c>
      <c r="H19178" s="3">
        <v>0</v>
      </c>
      <c r="I19178" s="3">
        <v>0</v>
      </c>
      <c r="J19178" s="3">
        <v>1</v>
      </c>
      <c r="K19178" s="3">
        <v>0</v>
      </c>
      <c r="L19178" s="3">
        <v>0</v>
      </c>
      <c r="M19178" s="3">
        <v>0</v>
      </c>
      <c r="N19178" s="3">
        <v>0</v>
      </c>
      <c r="O19178" s="3" t="s">
        <v>10</v>
      </c>
      <c r="P19178" s="3" t="s">
        <v>9</v>
      </c>
      <c r="Q19178" s="3"/>
    </row>
    <row r="19179" spans="1:17" ht="15" x14ac:dyDescent="0.25">
      <c r="A19179" s="3">
        <f>19172</f>
        <v>19172</v>
      </c>
      <c r="B19179" s="3" t="s">
        <v>19181</v>
      </c>
      <c r="C19179" s="3" t="s">
        <v>10</v>
      </c>
      <c r="D19179" s="3" t="s">
        <v>9</v>
      </c>
      <c r="E19179" s="3">
        <v>0</v>
      </c>
      <c r="F19179" s="3">
        <v>0</v>
      </c>
      <c r="G19179" s="3">
        <v>1</v>
      </c>
      <c r="H19179" s="3">
        <v>0</v>
      </c>
      <c r="I19179" s="3">
        <v>0</v>
      </c>
      <c r="J19179" s="3">
        <v>1</v>
      </c>
      <c r="K19179" s="3">
        <v>0</v>
      </c>
      <c r="L19179" s="3">
        <v>0</v>
      </c>
      <c r="M19179" s="3">
        <v>0</v>
      </c>
      <c r="N19179" s="3">
        <v>0</v>
      </c>
      <c r="O19179" s="3" t="s">
        <v>10</v>
      </c>
      <c r="P19179" s="3" t="s">
        <v>9</v>
      </c>
      <c r="Q19179" s="3"/>
    </row>
    <row r="19180" spans="1:17" ht="15" x14ac:dyDescent="0.25">
      <c r="A19180" s="3">
        <f>19173</f>
        <v>19173</v>
      </c>
      <c r="B19180" s="3" t="s">
        <v>19182</v>
      </c>
      <c r="C19180" s="3" t="s">
        <v>10</v>
      </c>
      <c r="D19180" s="3" t="s">
        <v>9</v>
      </c>
      <c r="E19180" s="3">
        <v>0</v>
      </c>
      <c r="F19180" s="3">
        <v>0</v>
      </c>
      <c r="G19180" s="3">
        <v>1</v>
      </c>
      <c r="H19180" s="3">
        <v>0</v>
      </c>
      <c r="I19180" s="3">
        <v>0</v>
      </c>
      <c r="J19180" s="3">
        <v>1</v>
      </c>
      <c r="K19180" s="3">
        <v>0</v>
      </c>
      <c r="L19180" s="3">
        <v>0</v>
      </c>
      <c r="M19180" s="3">
        <v>0</v>
      </c>
      <c r="N19180" s="3">
        <v>0</v>
      </c>
      <c r="O19180" s="3" t="s">
        <v>10</v>
      </c>
      <c r="P19180" s="3" t="s">
        <v>9</v>
      </c>
      <c r="Q19180" s="3"/>
    </row>
    <row r="19181" spans="1:17" ht="15" x14ac:dyDescent="0.25">
      <c r="A19181" s="3">
        <f>19174</f>
        <v>19174</v>
      </c>
      <c r="B19181" s="3" t="s">
        <v>19183</v>
      </c>
      <c r="C19181" s="3" t="s">
        <v>10</v>
      </c>
      <c r="D19181" s="3" t="s">
        <v>9</v>
      </c>
      <c r="E19181" s="3">
        <v>0</v>
      </c>
      <c r="F19181" s="3">
        <v>0</v>
      </c>
      <c r="G19181" s="3">
        <v>1</v>
      </c>
      <c r="H19181" s="3">
        <v>0</v>
      </c>
      <c r="I19181" s="3">
        <v>0</v>
      </c>
      <c r="J19181" s="3">
        <v>1</v>
      </c>
      <c r="K19181" s="3">
        <v>0</v>
      </c>
      <c r="L19181" s="3">
        <v>0</v>
      </c>
      <c r="M19181" s="3">
        <v>0</v>
      </c>
      <c r="N19181" s="3">
        <v>0</v>
      </c>
      <c r="O19181" s="3" t="s">
        <v>10</v>
      </c>
      <c r="P19181" s="3" t="s">
        <v>9</v>
      </c>
      <c r="Q19181" s="3"/>
    </row>
    <row r="19182" spans="1:17" ht="15" x14ac:dyDescent="0.25">
      <c r="A19182" s="3">
        <f>19175</f>
        <v>19175</v>
      </c>
      <c r="B19182" s="3" t="s">
        <v>19184</v>
      </c>
      <c r="C19182" s="3" t="s">
        <v>10</v>
      </c>
      <c r="D19182" s="3" t="s">
        <v>9</v>
      </c>
      <c r="E19182" s="3">
        <v>0</v>
      </c>
      <c r="F19182" s="3">
        <v>0</v>
      </c>
      <c r="G19182" s="3">
        <v>1</v>
      </c>
      <c r="H19182" s="3">
        <v>0</v>
      </c>
      <c r="I19182" s="3">
        <v>0</v>
      </c>
      <c r="J19182" s="3">
        <v>1</v>
      </c>
      <c r="K19182" s="3">
        <v>0</v>
      </c>
      <c r="L19182" s="3">
        <v>0</v>
      </c>
      <c r="M19182" s="3">
        <v>0</v>
      </c>
      <c r="N19182" s="3">
        <v>0</v>
      </c>
      <c r="O19182" s="3" t="s">
        <v>10</v>
      </c>
      <c r="P19182" s="3" t="s">
        <v>9</v>
      </c>
      <c r="Q19182" s="3"/>
    </row>
    <row r="19183" spans="1:17" ht="15" x14ac:dyDescent="0.25">
      <c r="A19183" s="3">
        <f>19176</f>
        <v>19176</v>
      </c>
      <c r="B19183" s="3" t="s">
        <v>19185</v>
      </c>
      <c r="C19183" s="3" t="s">
        <v>10</v>
      </c>
      <c r="D19183" s="3" t="s">
        <v>9</v>
      </c>
      <c r="E19183" s="3">
        <v>0</v>
      </c>
      <c r="F19183" s="3">
        <v>0</v>
      </c>
      <c r="G19183" s="3">
        <v>1</v>
      </c>
      <c r="H19183" s="3">
        <v>0</v>
      </c>
      <c r="I19183" s="3">
        <v>0</v>
      </c>
      <c r="J19183" s="3">
        <v>1</v>
      </c>
      <c r="K19183" s="3">
        <v>0</v>
      </c>
      <c r="L19183" s="3">
        <v>0</v>
      </c>
      <c r="M19183" s="3">
        <v>0</v>
      </c>
      <c r="N19183" s="3">
        <v>0</v>
      </c>
      <c r="O19183" s="3" t="s">
        <v>10</v>
      </c>
      <c r="P19183" s="3" t="s">
        <v>9</v>
      </c>
      <c r="Q19183" s="3"/>
    </row>
    <row r="19184" spans="1:17" ht="15" x14ac:dyDescent="0.25">
      <c r="A19184" s="3">
        <f>19177</f>
        <v>19177</v>
      </c>
      <c r="B19184" s="3" t="s">
        <v>19186</v>
      </c>
      <c r="C19184" s="3" t="s">
        <v>10</v>
      </c>
      <c r="D19184" s="3" t="s">
        <v>9</v>
      </c>
      <c r="E19184" s="3">
        <v>0</v>
      </c>
      <c r="F19184" s="3">
        <v>0</v>
      </c>
      <c r="G19184" s="3">
        <v>1</v>
      </c>
      <c r="H19184" s="3">
        <v>0</v>
      </c>
      <c r="I19184" s="3">
        <v>0</v>
      </c>
      <c r="J19184" s="3">
        <v>1</v>
      </c>
      <c r="K19184" s="3">
        <v>0</v>
      </c>
      <c r="L19184" s="3">
        <v>0</v>
      </c>
      <c r="M19184" s="3">
        <v>0</v>
      </c>
      <c r="N19184" s="3">
        <v>0</v>
      </c>
      <c r="O19184" s="3" t="s">
        <v>10</v>
      </c>
      <c r="P19184" s="3" t="s">
        <v>9</v>
      </c>
      <c r="Q19184" s="3"/>
    </row>
    <row r="19185" spans="1:17" ht="15" x14ac:dyDescent="0.25">
      <c r="A19185" s="3">
        <f>19178</f>
        <v>19178</v>
      </c>
      <c r="B19185" s="3" t="s">
        <v>19187</v>
      </c>
      <c r="C19185" s="3" t="s">
        <v>10</v>
      </c>
      <c r="D19185" s="3" t="s">
        <v>9</v>
      </c>
      <c r="E19185" s="3">
        <v>0</v>
      </c>
      <c r="F19185" s="3">
        <v>0</v>
      </c>
      <c r="G19185" s="3">
        <v>1</v>
      </c>
      <c r="H19185" s="3">
        <v>0</v>
      </c>
      <c r="I19185" s="3">
        <v>0</v>
      </c>
      <c r="J19185" s="3">
        <v>1</v>
      </c>
      <c r="K19185" s="3">
        <v>0</v>
      </c>
      <c r="L19185" s="3">
        <v>0</v>
      </c>
      <c r="M19185" s="3">
        <v>0</v>
      </c>
      <c r="N19185" s="3">
        <v>0</v>
      </c>
      <c r="O19185" s="3" t="s">
        <v>10</v>
      </c>
      <c r="P19185" s="3" t="s">
        <v>9</v>
      </c>
      <c r="Q19185" s="3"/>
    </row>
    <row r="19186" spans="1:17" ht="15" x14ac:dyDescent="0.25">
      <c r="A19186" s="3">
        <f>19179</f>
        <v>19179</v>
      </c>
      <c r="B19186" s="3" t="s">
        <v>19188</v>
      </c>
      <c r="C19186" s="3" t="s">
        <v>10</v>
      </c>
      <c r="D19186" s="3" t="s">
        <v>9</v>
      </c>
      <c r="E19186" s="3">
        <v>0</v>
      </c>
      <c r="F19186" s="3">
        <v>0</v>
      </c>
      <c r="G19186" s="3">
        <v>1</v>
      </c>
      <c r="H19186" s="3">
        <v>0</v>
      </c>
      <c r="I19186" s="3">
        <v>0</v>
      </c>
      <c r="J19186" s="3">
        <v>1</v>
      </c>
      <c r="K19186" s="3">
        <v>0</v>
      </c>
      <c r="L19186" s="3">
        <v>0</v>
      </c>
      <c r="M19186" s="3">
        <v>0</v>
      </c>
      <c r="N19186" s="3">
        <v>0</v>
      </c>
      <c r="O19186" s="3" t="s">
        <v>10</v>
      </c>
      <c r="P19186" s="3" t="s">
        <v>9</v>
      </c>
      <c r="Q19186" s="3"/>
    </row>
    <row r="19187" spans="1:17" ht="15" x14ac:dyDescent="0.25">
      <c r="A19187" s="3">
        <f>19180</f>
        <v>19180</v>
      </c>
      <c r="B19187" s="3" t="s">
        <v>19189</v>
      </c>
      <c r="C19187" s="3" t="s">
        <v>10</v>
      </c>
      <c r="D19187" s="3" t="s">
        <v>9</v>
      </c>
      <c r="E19187" s="3">
        <v>0</v>
      </c>
      <c r="F19187" s="3">
        <v>0</v>
      </c>
      <c r="G19187" s="3">
        <v>1</v>
      </c>
      <c r="H19187" s="3">
        <v>0</v>
      </c>
      <c r="I19187" s="3">
        <v>0</v>
      </c>
      <c r="J19187" s="3">
        <v>1</v>
      </c>
      <c r="K19187" s="3">
        <v>0</v>
      </c>
      <c r="L19187" s="3">
        <v>0</v>
      </c>
      <c r="M19187" s="3">
        <v>0</v>
      </c>
      <c r="N19187" s="3">
        <v>0</v>
      </c>
      <c r="O19187" s="3" t="s">
        <v>10</v>
      </c>
      <c r="P19187" s="3" t="s">
        <v>9</v>
      </c>
      <c r="Q19187" s="3"/>
    </row>
    <row r="19188" spans="1:17" ht="15" x14ac:dyDescent="0.25">
      <c r="A19188" s="3">
        <f>19181</f>
        <v>19181</v>
      </c>
      <c r="B19188" s="3" t="s">
        <v>19190</v>
      </c>
      <c r="C19188" s="3" t="s">
        <v>10</v>
      </c>
      <c r="D19188" s="3" t="s">
        <v>9</v>
      </c>
      <c r="E19188" s="3">
        <v>0</v>
      </c>
      <c r="F19188" s="3">
        <v>0</v>
      </c>
      <c r="G19188" s="3">
        <v>1</v>
      </c>
      <c r="H19188" s="3">
        <v>0</v>
      </c>
      <c r="I19188" s="3">
        <v>0</v>
      </c>
      <c r="J19188" s="3">
        <v>1</v>
      </c>
      <c r="K19188" s="3">
        <v>0</v>
      </c>
      <c r="L19188" s="3">
        <v>0</v>
      </c>
      <c r="M19188" s="3">
        <v>0</v>
      </c>
      <c r="N19188" s="3">
        <v>0</v>
      </c>
      <c r="O19188" s="3" t="s">
        <v>10</v>
      </c>
      <c r="P19188" s="3" t="s">
        <v>9</v>
      </c>
      <c r="Q19188" s="3"/>
    </row>
    <row r="19189" spans="1:17" ht="15" x14ac:dyDescent="0.25">
      <c r="A19189" s="3">
        <f>19182</f>
        <v>19182</v>
      </c>
      <c r="B19189" s="3" t="s">
        <v>19191</v>
      </c>
      <c r="C19189" s="3" t="s">
        <v>10</v>
      </c>
      <c r="D19189" s="3" t="s">
        <v>9</v>
      </c>
      <c r="E19189" s="3">
        <v>0</v>
      </c>
      <c r="F19189" s="3">
        <v>0</v>
      </c>
      <c r="G19189" s="3">
        <v>1</v>
      </c>
      <c r="H19189" s="3">
        <v>0</v>
      </c>
      <c r="I19189" s="3">
        <v>0</v>
      </c>
      <c r="J19189" s="3">
        <v>1</v>
      </c>
      <c r="K19189" s="3">
        <v>0</v>
      </c>
      <c r="L19189" s="3">
        <v>0</v>
      </c>
      <c r="M19189" s="3">
        <v>0</v>
      </c>
      <c r="N19189" s="3">
        <v>0</v>
      </c>
      <c r="O19189" s="3" t="s">
        <v>10</v>
      </c>
      <c r="P19189" s="3" t="s">
        <v>9</v>
      </c>
      <c r="Q19189" s="3"/>
    </row>
    <row r="19190" spans="1:17" ht="15" x14ac:dyDescent="0.25">
      <c r="A19190" s="3">
        <f>19183</f>
        <v>19183</v>
      </c>
      <c r="B19190" s="3" t="s">
        <v>19192</v>
      </c>
      <c r="C19190" s="3" t="s">
        <v>10</v>
      </c>
      <c r="D19190" s="3" t="s">
        <v>9</v>
      </c>
      <c r="E19190" s="3">
        <v>0</v>
      </c>
      <c r="F19190" s="3">
        <v>0</v>
      </c>
      <c r="G19190" s="3">
        <v>1</v>
      </c>
      <c r="H19190" s="3">
        <v>0</v>
      </c>
      <c r="I19190" s="3">
        <v>0</v>
      </c>
      <c r="J19190" s="3">
        <v>1</v>
      </c>
      <c r="K19190" s="3">
        <v>0</v>
      </c>
      <c r="L19190" s="3">
        <v>0</v>
      </c>
      <c r="M19190" s="3">
        <v>0</v>
      </c>
      <c r="N19190" s="3">
        <v>0</v>
      </c>
      <c r="O19190" s="3" t="s">
        <v>10</v>
      </c>
      <c r="P19190" s="3" t="s">
        <v>9</v>
      </c>
      <c r="Q19190" s="3"/>
    </row>
    <row r="19191" spans="1:17" ht="15" x14ac:dyDescent="0.25">
      <c r="A19191" s="3">
        <f>19184</f>
        <v>19184</v>
      </c>
      <c r="B19191" s="3" t="s">
        <v>19193</v>
      </c>
      <c r="C19191" s="3" t="s">
        <v>10</v>
      </c>
      <c r="D19191" s="3" t="s">
        <v>9</v>
      </c>
      <c r="E19191" s="3">
        <v>0</v>
      </c>
      <c r="F19191" s="3">
        <v>0</v>
      </c>
      <c r="G19191" s="3">
        <v>1</v>
      </c>
      <c r="H19191" s="3">
        <v>0</v>
      </c>
      <c r="I19191" s="3">
        <v>0</v>
      </c>
      <c r="J19191" s="3">
        <v>1</v>
      </c>
      <c r="K19191" s="3">
        <v>0</v>
      </c>
      <c r="L19191" s="3">
        <v>0</v>
      </c>
      <c r="M19191" s="3">
        <v>0</v>
      </c>
      <c r="N19191" s="3">
        <v>0</v>
      </c>
      <c r="O19191" s="3" t="s">
        <v>10</v>
      </c>
      <c r="P19191" s="3" t="s">
        <v>9</v>
      </c>
      <c r="Q19191" s="3"/>
    </row>
    <row r="19192" spans="1:17" ht="15" x14ac:dyDescent="0.25">
      <c r="A19192" s="3">
        <f>19185</f>
        <v>19185</v>
      </c>
      <c r="B19192" s="3" t="s">
        <v>19194</v>
      </c>
      <c r="C19192" s="3" t="s">
        <v>10</v>
      </c>
      <c r="D19192" s="3" t="s">
        <v>9</v>
      </c>
      <c r="E19192" s="3">
        <v>0</v>
      </c>
      <c r="F19192" s="3">
        <v>0</v>
      </c>
      <c r="G19192" s="3">
        <v>1</v>
      </c>
      <c r="H19192" s="3">
        <v>0</v>
      </c>
      <c r="I19192" s="3">
        <v>0</v>
      </c>
      <c r="J19192" s="3">
        <v>1</v>
      </c>
      <c r="K19192" s="3">
        <v>0</v>
      </c>
      <c r="L19192" s="3">
        <v>0</v>
      </c>
      <c r="M19192" s="3">
        <v>0</v>
      </c>
      <c r="N19192" s="3">
        <v>0</v>
      </c>
      <c r="O19192" s="3" t="s">
        <v>10</v>
      </c>
      <c r="P19192" s="3" t="s">
        <v>9</v>
      </c>
      <c r="Q19192" s="3"/>
    </row>
    <row r="19193" spans="1:17" ht="15" x14ac:dyDescent="0.25">
      <c r="A19193" s="3">
        <f>19186</f>
        <v>19186</v>
      </c>
      <c r="B19193" s="3" t="s">
        <v>19195</v>
      </c>
      <c r="C19193" s="3" t="s">
        <v>10</v>
      </c>
      <c r="D19193" s="3" t="s">
        <v>9</v>
      </c>
      <c r="E19193" s="3">
        <v>0</v>
      </c>
      <c r="F19193" s="3">
        <v>0</v>
      </c>
      <c r="G19193" s="3">
        <v>1</v>
      </c>
      <c r="H19193" s="3">
        <v>0</v>
      </c>
      <c r="I19193" s="3">
        <v>0</v>
      </c>
      <c r="J19193" s="3">
        <v>1</v>
      </c>
      <c r="K19193" s="3">
        <v>0</v>
      </c>
      <c r="L19193" s="3">
        <v>0</v>
      </c>
      <c r="M19193" s="3">
        <v>0</v>
      </c>
      <c r="N19193" s="3">
        <v>0</v>
      </c>
      <c r="O19193" s="3" t="s">
        <v>10</v>
      </c>
      <c r="P19193" s="3" t="s">
        <v>9</v>
      </c>
      <c r="Q19193" s="3"/>
    </row>
    <row r="19194" spans="1:17" ht="15" x14ac:dyDescent="0.25">
      <c r="A19194" s="3">
        <f>19187</f>
        <v>19187</v>
      </c>
      <c r="B19194" s="3" t="s">
        <v>19196</v>
      </c>
      <c r="C19194" s="3" t="s">
        <v>10</v>
      </c>
      <c r="D19194" s="3" t="s">
        <v>9</v>
      </c>
      <c r="E19194" s="3">
        <v>0</v>
      </c>
      <c r="F19194" s="3">
        <v>0</v>
      </c>
      <c r="G19194" s="3">
        <v>1</v>
      </c>
      <c r="H19194" s="3">
        <v>0</v>
      </c>
      <c r="I19194" s="3">
        <v>0</v>
      </c>
      <c r="J19194" s="3">
        <v>1</v>
      </c>
      <c r="K19194" s="3">
        <v>0</v>
      </c>
      <c r="L19194" s="3">
        <v>0</v>
      </c>
      <c r="M19194" s="3">
        <v>0</v>
      </c>
      <c r="N19194" s="3">
        <v>0</v>
      </c>
      <c r="O19194" s="3" t="s">
        <v>10</v>
      </c>
      <c r="P19194" s="3" t="s">
        <v>9</v>
      </c>
      <c r="Q19194" s="3"/>
    </row>
    <row r="19195" spans="1:17" ht="15" x14ac:dyDescent="0.25">
      <c r="A19195" s="3">
        <f>19188</f>
        <v>19188</v>
      </c>
      <c r="B19195" s="3" t="s">
        <v>19197</v>
      </c>
      <c r="C19195" s="3" t="s">
        <v>10</v>
      </c>
      <c r="D19195" s="3" t="s">
        <v>9</v>
      </c>
      <c r="E19195" s="3">
        <v>0</v>
      </c>
      <c r="F19195" s="3">
        <v>0</v>
      </c>
      <c r="G19195" s="3">
        <v>1</v>
      </c>
      <c r="H19195" s="3">
        <v>0</v>
      </c>
      <c r="I19195" s="3">
        <v>0</v>
      </c>
      <c r="J19195" s="3">
        <v>1</v>
      </c>
      <c r="K19195" s="3">
        <v>0</v>
      </c>
      <c r="L19195" s="3">
        <v>0</v>
      </c>
      <c r="M19195" s="3">
        <v>0</v>
      </c>
      <c r="N19195" s="3">
        <v>0</v>
      </c>
      <c r="O19195" s="3" t="s">
        <v>10</v>
      </c>
      <c r="P19195" s="3" t="s">
        <v>9</v>
      </c>
      <c r="Q19195" s="3"/>
    </row>
    <row r="19196" spans="1:17" ht="15" x14ac:dyDescent="0.25">
      <c r="A19196" s="3">
        <f>19189</f>
        <v>19189</v>
      </c>
      <c r="B19196" s="3" t="s">
        <v>19198</v>
      </c>
      <c r="C19196" s="3" t="s">
        <v>10</v>
      </c>
      <c r="D19196" s="3" t="s">
        <v>9</v>
      </c>
      <c r="E19196" s="3">
        <v>0</v>
      </c>
      <c r="F19196" s="3">
        <v>0</v>
      </c>
      <c r="G19196" s="3">
        <v>1</v>
      </c>
      <c r="H19196" s="3">
        <v>0</v>
      </c>
      <c r="I19196" s="3">
        <v>0</v>
      </c>
      <c r="J19196" s="3">
        <v>1</v>
      </c>
      <c r="K19196" s="3">
        <v>0</v>
      </c>
      <c r="L19196" s="3">
        <v>0</v>
      </c>
      <c r="M19196" s="3">
        <v>0</v>
      </c>
      <c r="N19196" s="3">
        <v>0</v>
      </c>
      <c r="O19196" s="3" t="s">
        <v>10</v>
      </c>
      <c r="P19196" s="3" t="s">
        <v>9</v>
      </c>
      <c r="Q19196" s="3"/>
    </row>
    <row r="19197" spans="1:17" ht="15" x14ac:dyDescent="0.25">
      <c r="A19197" s="3">
        <f>19190</f>
        <v>19190</v>
      </c>
      <c r="B19197" s="3" t="s">
        <v>19199</v>
      </c>
      <c r="C19197" s="3" t="s">
        <v>10</v>
      </c>
      <c r="D19197" s="3" t="s">
        <v>9</v>
      </c>
      <c r="E19197" s="3">
        <v>0</v>
      </c>
      <c r="F19197" s="3">
        <v>0</v>
      </c>
      <c r="G19197" s="3">
        <v>1</v>
      </c>
      <c r="H19197" s="3">
        <v>0</v>
      </c>
      <c r="I19197" s="3">
        <v>0</v>
      </c>
      <c r="J19197" s="3">
        <v>1</v>
      </c>
      <c r="K19197" s="3">
        <v>0</v>
      </c>
      <c r="L19197" s="3">
        <v>0</v>
      </c>
      <c r="M19197" s="3">
        <v>0</v>
      </c>
      <c r="N19197" s="3">
        <v>0</v>
      </c>
      <c r="O19197" s="3" t="s">
        <v>10</v>
      </c>
      <c r="P19197" s="3" t="s">
        <v>9</v>
      </c>
      <c r="Q19197" s="3"/>
    </row>
    <row r="19198" spans="1:17" ht="15" x14ac:dyDescent="0.25">
      <c r="A19198" s="3">
        <f>19191</f>
        <v>19191</v>
      </c>
      <c r="B19198" s="3" t="s">
        <v>19200</v>
      </c>
      <c r="C19198" s="3" t="s">
        <v>10</v>
      </c>
      <c r="D19198" s="3" t="s">
        <v>9</v>
      </c>
      <c r="E19198" s="3">
        <v>0</v>
      </c>
      <c r="F19198" s="3">
        <v>0</v>
      </c>
      <c r="G19198" s="3">
        <v>1</v>
      </c>
      <c r="H19198" s="3">
        <v>0</v>
      </c>
      <c r="I19198" s="3">
        <v>0</v>
      </c>
      <c r="J19198" s="3">
        <v>1</v>
      </c>
      <c r="K19198" s="3">
        <v>0</v>
      </c>
      <c r="L19198" s="3">
        <v>0</v>
      </c>
      <c r="M19198" s="3">
        <v>0</v>
      </c>
      <c r="N19198" s="3">
        <v>0</v>
      </c>
      <c r="O19198" s="3" t="s">
        <v>10</v>
      </c>
      <c r="P19198" s="3" t="s">
        <v>9</v>
      </c>
      <c r="Q19198" s="3"/>
    </row>
    <row r="19199" spans="1:17" ht="15" x14ac:dyDescent="0.25">
      <c r="A19199" s="3">
        <f>19192</f>
        <v>19192</v>
      </c>
      <c r="B19199" s="3" t="s">
        <v>19201</v>
      </c>
      <c r="C19199" s="3" t="s">
        <v>10</v>
      </c>
      <c r="D19199" s="3" t="s">
        <v>9</v>
      </c>
      <c r="E19199" s="3">
        <v>0</v>
      </c>
      <c r="F19199" s="3">
        <v>0</v>
      </c>
      <c r="G19199" s="3">
        <v>1</v>
      </c>
      <c r="H19199" s="3">
        <v>0</v>
      </c>
      <c r="I19199" s="3">
        <v>0</v>
      </c>
      <c r="J19199" s="3">
        <v>1</v>
      </c>
      <c r="K19199" s="3">
        <v>0</v>
      </c>
      <c r="L19199" s="3">
        <v>0</v>
      </c>
      <c r="M19199" s="3">
        <v>0</v>
      </c>
      <c r="N19199" s="3">
        <v>0</v>
      </c>
      <c r="O19199" s="3" t="s">
        <v>10</v>
      </c>
      <c r="P19199" s="3" t="s">
        <v>9</v>
      </c>
      <c r="Q19199" s="3"/>
    </row>
    <row r="19200" spans="1:17" ht="15" x14ac:dyDescent="0.25">
      <c r="A19200" s="3">
        <f>19193</f>
        <v>19193</v>
      </c>
      <c r="B19200" s="3" t="s">
        <v>19202</v>
      </c>
      <c r="C19200" s="3" t="s">
        <v>10</v>
      </c>
      <c r="D19200" s="3" t="s">
        <v>9</v>
      </c>
      <c r="E19200" s="3">
        <v>0</v>
      </c>
      <c r="F19200" s="3">
        <v>0</v>
      </c>
      <c r="G19200" s="3">
        <v>1</v>
      </c>
      <c r="H19200" s="3">
        <v>0</v>
      </c>
      <c r="I19200" s="3">
        <v>0</v>
      </c>
      <c r="J19200" s="3">
        <v>1</v>
      </c>
      <c r="K19200" s="3">
        <v>0</v>
      </c>
      <c r="L19200" s="3">
        <v>0</v>
      </c>
      <c r="M19200" s="3">
        <v>0</v>
      </c>
      <c r="N19200" s="3">
        <v>0</v>
      </c>
      <c r="O19200" s="3" t="s">
        <v>10</v>
      </c>
      <c r="P19200" s="3" t="s">
        <v>9</v>
      </c>
      <c r="Q19200" s="3"/>
    </row>
    <row r="19201" spans="1:17" ht="15" x14ac:dyDescent="0.25">
      <c r="A19201" s="3">
        <f>19194</f>
        <v>19194</v>
      </c>
      <c r="B19201" s="3" t="s">
        <v>19203</v>
      </c>
      <c r="C19201" s="3" t="s">
        <v>10</v>
      </c>
      <c r="D19201" s="3" t="s">
        <v>9</v>
      </c>
      <c r="E19201" s="3">
        <v>0</v>
      </c>
      <c r="F19201" s="3">
        <v>0</v>
      </c>
      <c r="G19201" s="3">
        <v>1</v>
      </c>
      <c r="H19201" s="3">
        <v>0</v>
      </c>
      <c r="I19201" s="3">
        <v>0</v>
      </c>
      <c r="J19201" s="3">
        <v>1</v>
      </c>
      <c r="K19201" s="3">
        <v>0</v>
      </c>
      <c r="L19201" s="3">
        <v>0</v>
      </c>
      <c r="M19201" s="3">
        <v>0</v>
      </c>
      <c r="N19201" s="3">
        <v>0</v>
      </c>
      <c r="O19201" s="3" t="s">
        <v>10</v>
      </c>
      <c r="P19201" s="3" t="s">
        <v>9</v>
      </c>
      <c r="Q19201" s="3"/>
    </row>
    <row r="19202" spans="1:17" ht="15" x14ac:dyDescent="0.25">
      <c r="A19202" s="3">
        <f>19195</f>
        <v>19195</v>
      </c>
      <c r="B19202" s="3" t="s">
        <v>19204</v>
      </c>
      <c r="C19202" s="3" t="s">
        <v>10</v>
      </c>
      <c r="D19202" s="3" t="s">
        <v>9</v>
      </c>
      <c r="E19202" s="3">
        <v>0</v>
      </c>
      <c r="F19202" s="3">
        <v>0</v>
      </c>
      <c r="G19202" s="3">
        <v>1</v>
      </c>
      <c r="H19202" s="3">
        <v>0</v>
      </c>
      <c r="I19202" s="3">
        <v>0</v>
      </c>
      <c r="J19202" s="3">
        <v>1</v>
      </c>
      <c r="K19202" s="3">
        <v>0</v>
      </c>
      <c r="L19202" s="3">
        <v>0</v>
      </c>
      <c r="M19202" s="3">
        <v>0</v>
      </c>
      <c r="N19202" s="3">
        <v>0</v>
      </c>
      <c r="O19202" s="3" t="s">
        <v>10</v>
      </c>
      <c r="P19202" s="3" t="s">
        <v>9</v>
      </c>
      <c r="Q19202" s="3"/>
    </row>
    <row r="19203" spans="1:17" ht="15" x14ac:dyDescent="0.25">
      <c r="A19203" s="3">
        <f>19196</f>
        <v>19196</v>
      </c>
      <c r="B19203" s="3" t="s">
        <v>19205</v>
      </c>
      <c r="C19203" s="3" t="s">
        <v>10</v>
      </c>
      <c r="D19203" s="3" t="s">
        <v>9</v>
      </c>
      <c r="E19203" s="3">
        <v>0</v>
      </c>
      <c r="F19203" s="3">
        <v>0</v>
      </c>
      <c r="G19203" s="3">
        <v>1</v>
      </c>
      <c r="H19203" s="3">
        <v>0</v>
      </c>
      <c r="I19203" s="3">
        <v>0</v>
      </c>
      <c r="J19203" s="3">
        <v>1</v>
      </c>
      <c r="K19203" s="3">
        <v>0</v>
      </c>
      <c r="L19203" s="3">
        <v>0</v>
      </c>
      <c r="M19203" s="3">
        <v>0</v>
      </c>
      <c r="N19203" s="3">
        <v>0</v>
      </c>
      <c r="O19203" s="3" t="s">
        <v>10</v>
      </c>
      <c r="P19203" s="3" t="s">
        <v>9</v>
      </c>
      <c r="Q19203" s="3"/>
    </row>
    <row r="19204" spans="1:17" ht="15" x14ac:dyDescent="0.25">
      <c r="A19204" s="3">
        <f>19197</f>
        <v>19197</v>
      </c>
      <c r="B19204" s="3" t="s">
        <v>19206</v>
      </c>
      <c r="C19204" s="3" t="s">
        <v>10</v>
      </c>
      <c r="D19204" s="3" t="s">
        <v>9</v>
      </c>
      <c r="E19204" s="3">
        <v>0</v>
      </c>
      <c r="F19204" s="3">
        <v>0</v>
      </c>
      <c r="G19204" s="3">
        <v>1</v>
      </c>
      <c r="H19204" s="3">
        <v>0</v>
      </c>
      <c r="I19204" s="3">
        <v>0</v>
      </c>
      <c r="J19204" s="3">
        <v>1</v>
      </c>
      <c r="K19204" s="3">
        <v>0</v>
      </c>
      <c r="L19204" s="3">
        <v>0</v>
      </c>
      <c r="M19204" s="3">
        <v>0</v>
      </c>
      <c r="N19204" s="3">
        <v>0</v>
      </c>
      <c r="O19204" s="3" t="s">
        <v>10</v>
      </c>
      <c r="P19204" s="3" t="s">
        <v>9</v>
      </c>
      <c r="Q19204" s="3"/>
    </row>
    <row r="19205" spans="1:17" ht="15" x14ac:dyDescent="0.25">
      <c r="A19205" s="3">
        <f>19198</f>
        <v>19198</v>
      </c>
      <c r="B19205" s="3" t="s">
        <v>19207</v>
      </c>
      <c r="C19205" s="3" t="s">
        <v>10</v>
      </c>
      <c r="D19205" s="3" t="s">
        <v>9</v>
      </c>
      <c r="E19205" s="3">
        <v>0</v>
      </c>
      <c r="F19205" s="3">
        <v>0</v>
      </c>
      <c r="G19205" s="3">
        <v>1</v>
      </c>
      <c r="H19205" s="3">
        <v>0</v>
      </c>
      <c r="I19205" s="3">
        <v>0</v>
      </c>
      <c r="J19205" s="3">
        <v>1</v>
      </c>
      <c r="K19205" s="3">
        <v>0</v>
      </c>
      <c r="L19205" s="3">
        <v>0</v>
      </c>
      <c r="M19205" s="3">
        <v>0</v>
      </c>
      <c r="N19205" s="3">
        <v>0</v>
      </c>
      <c r="O19205" s="3" t="s">
        <v>10</v>
      </c>
      <c r="P19205" s="3" t="s">
        <v>9</v>
      </c>
      <c r="Q19205" s="3"/>
    </row>
    <row r="19206" spans="1:17" ht="15" x14ac:dyDescent="0.25">
      <c r="A19206" s="3">
        <f>19199</f>
        <v>19199</v>
      </c>
      <c r="B19206" s="3" t="s">
        <v>19208</v>
      </c>
      <c r="C19206" s="3" t="s">
        <v>10</v>
      </c>
      <c r="D19206" s="3" t="s">
        <v>9</v>
      </c>
      <c r="E19206" s="3">
        <v>0</v>
      </c>
      <c r="F19206" s="3">
        <v>0</v>
      </c>
      <c r="G19206" s="3">
        <v>1</v>
      </c>
      <c r="H19206" s="3">
        <v>0</v>
      </c>
      <c r="I19206" s="3">
        <v>0</v>
      </c>
      <c r="J19206" s="3">
        <v>1</v>
      </c>
      <c r="K19206" s="3">
        <v>0</v>
      </c>
      <c r="L19206" s="3">
        <v>0</v>
      </c>
      <c r="M19206" s="3">
        <v>0</v>
      </c>
      <c r="N19206" s="3">
        <v>0</v>
      </c>
      <c r="O19206" s="3" t="s">
        <v>10</v>
      </c>
      <c r="P19206" s="3" t="s">
        <v>9</v>
      </c>
      <c r="Q19206" s="3"/>
    </row>
    <row r="19207" spans="1:17" ht="15" x14ac:dyDescent="0.25">
      <c r="A19207" s="3">
        <f>19200</f>
        <v>19200</v>
      </c>
      <c r="B19207" s="3" t="s">
        <v>19209</v>
      </c>
      <c r="C19207" s="3" t="s">
        <v>10</v>
      </c>
      <c r="D19207" s="3" t="s">
        <v>9</v>
      </c>
      <c r="E19207" s="3">
        <v>0</v>
      </c>
      <c r="F19207" s="3">
        <v>0</v>
      </c>
      <c r="G19207" s="3">
        <v>1</v>
      </c>
      <c r="H19207" s="3">
        <v>0</v>
      </c>
      <c r="I19207" s="3">
        <v>0</v>
      </c>
      <c r="J19207" s="3">
        <v>1</v>
      </c>
      <c r="K19207" s="3">
        <v>0</v>
      </c>
      <c r="L19207" s="3">
        <v>0</v>
      </c>
      <c r="M19207" s="3">
        <v>0</v>
      </c>
      <c r="N19207" s="3">
        <v>0</v>
      </c>
      <c r="O19207" s="3" t="s">
        <v>10</v>
      </c>
      <c r="P19207" s="3" t="s">
        <v>9</v>
      </c>
      <c r="Q19207" s="3"/>
    </row>
    <row r="19208" spans="1:17" ht="15" x14ac:dyDescent="0.25">
      <c r="A19208" s="3">
        <f>19201</f>
        <v>19201</v>
      </c>
      <c r="B19208" s="3" t="s">
        <v>19210</v>
      </c>
      <c r="C19208" s="3" t="s">
        <v>10</v>
      </c>
      <c r="D19208" s="3" t="s">
        <v>9</v>
      </c>
      <c r="E19208" s="3">
        <v>0</v>
      </c>
      <c r="F19208" s="3">
        <v>0</v>
      </c>
      <c r="G19208" s="3">
        <v>1</v>
      </c>
      <c r="H19208" s="3">
        <v>0</v>
      </c>
      <c r="I19208" s="3">
        <v>0</v>
      </c>
      <c r="J19208" s="3">
        <v>1</v>
      </c>
      <c r="K19208" s="3">
        <v>0</v>
      </c>
      <c r="L19208" s="3">
        <v>0</v>
      </c>
      <c r="M19208" s="3">
        <v>0</v>
      </c>
      <c r="N19208" s="3">
        <v>0</v>
      </c>
      <c r="O19208" s="3" t="s">
        <v>10</v>
      </c>
      <c r="P19208" s="3" t="s">
        <v>9</v>
      </c>
      <c r="Q19208" s="3"/>
    </row>
    <row r="19209" spans="1:17" ht="15" x14ac:dyDescent="0.25">
      <c r="A19209" s="3">
        <f>19202</f>
        <v>19202</v>
      </c>
      <c r="B19209" s="3" t="s">
        <v>19211</v>
      </c>
      <c r="C19209" s="3" t="s">
        <v>10</v>
      </c>
      <c r="D19209" s="3" t="s">
        <v>9</v>
      </c>
      <c r="E19209" s="3">
        <v>0</v>
      </c>
      <c r="F19209" s="3">
        <v>0</v>
      </c>
      <c r="G19209" s="3">
        <v>1</v>
      </c>
      <c r="H19209" s="3">
        <v>0</v>
      </c>
      <c r="I19209" s="3">
        <v>0</v>
      </c>
      <c r="J19209" s="3">
        <v>1</v>
      </c>
      <c r="K19209" s="3">
        <v>0</v>
      </c>
      <c r="L19209" s="3">
        <v>0</v>
      </c>
      <c r="M19209" s="3">
        <v>0</v>
      </c>
      <c r="N19209" s="3">
        <v>0</v>
      </c>
      <c r="O19209" s="3" t="s">
        <v>10</v>
      </c>
      <c r="P19209" s="3" t="s">
        <v>9</v>
      </c>
      <c r="Q19209" s="3"/>
    </row>
    <row r="19210" spans="1:17" ht="15" x14ac:dyDescent="0.25">
      <c r="A19210" s="3">
        <f>19203</f>
        <v>19203</v>
      </c>
      <c r="B19210" s="3" t="s">
        <v>19212</v>
      </c>
      <c r="C19210" s="3" t="s">
        <v>10</v>
      </c>
      <c r="D19210" s="3" t="s">
        <v>9</v>
      </c>
      <c r="E19210" s="3">
        <v>0</v>
      </c>
      <c r="F19210" s="3">
        <v>0</v>
      </c>
      <c r="G19210" s="3">
        <v>1</v>
      </c>
      <c r="H19210" s="3">
        <v>0</v>
      </c>
      <c r="I19210" s="3">
        <v>0</v>
      </c>
      <c r="J19210" s="3">
        <v>1</v>
      </c>
      <c r="K19210" s="3">
        <v>0</v>
      </c>
      <c r="L19210" s="3">
        <v>0</v>
      </c>
      <c r="M19210" s="3">
        <v>0</v>
      </c>
      <c r="N19210" s="3">
        <v>0</v>
      </c>
      <c r="O19210" s="3" t="s">
        <v>10</v>
      </c>
      <c r="P19210" s="3" t="s">
        <v>9</v>
      </c>
      <c r="Q19210" s="3"/>
    </row>
    <row r="19211" spans="1:17" ht="15" x14ac:dyDescent="0.25">
      <c r="A19211" s="3">
        <f>19204</f>
        <v>19204</v>
      </c>
      <c r="B19211" s="3" t="s">
        <v>19213</v>
      </c>
      <c r="C19211" s="3" t="s">
        <v>10</v>
      </c>
      <c r="D19211" s="3" t="s">
        <v>9</v>
      </c>
      <c r="E19211" s="3">
        <v>0</v>
      </c>
      <c r="F19211" s="3">
        <v>0</v>
      </c>
      <c r="G19211" s="3">
        <v>1</v>
      </c>
      <c r="H19211" s="3">
        <v>0</v>
      </c>
      <c r="I19211" s="3">
        <v>0</v>
      </c>
      <c r="J19211" s="3">
        <v>1</v>
      </c>
      <c r="K19211" s="3">
        <v>0</v>
      </c>
      <c r="L19211" s="3">
        <v>0</v>
      </c>
      <c r="M19211" s="3">
        <v>0</v>
      </c>
      <c r="N19211" s="3">
        <v>0</v>
      </c>
      <c r="O19211" s="3" t="s">
        <v>10</v>
      </c>
      <c r="P19211" s="3" t="s">
        <v>9</v>
      </c>
      <c r="Q19211" s="3"/>
    </row>
    <row r="19212" spans="1:17" ht="15" x14ac:dyDescent="0.25">
      <c r="A19212" s="3">
        <f>19205</f>
        <v>19205</v>
      </c>
      <c r="B19212" s="3" t="s">
        <v>19214</v>
      </c>
      <c r="C19212" s="3" t="s">
        <v>10</v>
      </c>
      <c r="D19212" s="3" t="s">
        <v>9</v>
      </c>
      <c r="E19212" s="3">
        <v>0</v>
      </c>
      <c r="F19212" s="3">
        <v>0</v>
      </c>
      <c r="G19212" s="3">
        <v>1</v>
      </c>
      <c r="H19212" s="3">
        <v>0</v>
      </c>
      <c r="I19212" s="3">
        <v>0</v>
      </c>
      <c r="J19212" s="3">
        <v>1</v>
      </c>
      <c r="K19212" s="3">
        <v>0</v>
      </c>
      <c r="L19212" s="3">
        <v>0</v>
      </c>
      <c r="M19212" s="3">
        <v>0</v>
      </c>
      <c r="N19212" s="3">
        <v>0</v>
      </c>
      <c r="O19212" s="3" t="s">
        <v>10</v>
      </c>
      <c r="P19212" s="3" t="s">
        <v>9</v>
      </c>
      <c r="Q19212" s="3"/>
    </row>
    <row r="19213" spans="1:17" ht="15" x14ac:dyDescent="0.25">
      <c r="A19213" s="3">
        <f>19206</f>
        <v>19206</v>
      </c>
      <c r="B19213" s="3" t="s">
        <v>19215</v>
      </c>
      <c r="C19213" s="3" t="s">
        <v>10</v>
      </c>
      <c r="D19213" s="3" t="s">
        <v>9</v>
      </c>
      <c r="E19213" s="3">
        <v>0</v>
      </c>
      <c r="F19213" s="3">
        <v>0</v>
      </c>
      <c r="G19213" s="3">
        <v>1</v>
      </c>
      <c r="H19213" s="3">
        <v>0</v>
      </c>
      <c r="I19213" s="3">
        <v>0</v>
      </c>
      <c r="J19213" s="3">
        <v>1</v>
      </c>
      <c r="K19213" s="3">
        <v>0</v>
      </c>
      <c r="L19213" s="3">
        <v>0</v>
      </c>
      <c r="M19213" s="3">
        <v>0</v>
      </c>
      <c r="N19213" s="3">
        <v>0</v>
      </c>
      <c r="O19213" s="3" t="s">
        <v>10</v>
      </c>
      <c r="P19213" s="3" t="s">
        <v>9</v>
      </c>
      <c r="Q19213" s="3"/>
    </row>
    <row r="19214" spans="1:17" ht="15" x14ac:dyDescent="0.25">
      <c r="A19214" s="3">
        <f>19207</f>
        <v>19207</v>
      </c>
      <c r="B19214" s="3" t="s">
        <v>19216</v>
      </c>
      <c r="C19214" s="3" t="s">
        <v>10</v>
      </c>
      <c r="D19214" s="3" t="s">
        <v>9</v>
      </c>
      <c r="E19214" s="3">
        <v>0</v>
      </c>
      <c r="F19214" s="3">
        <v>0</v>
      </c>
      <c r="G19214" s="3">
        <v>1</v>
      </c>
      <c r="H19214" s="3">
        <v>0</v>
      </c>
      <c r="I19214" s="3">
        <v>0</v>
      </c>
      <c r="J19214" s="3">
        <v>1</v>
      </c>
      <c r="K19214" s="3">
        <v>0</v>
      </c>
      <c r="L19214" s="3">
        <v>0</v>
      </c>
      <c r="M19214" s="3">
        <v>0</v>
      </c>
      <c r="N19214" s="3">
        <v>0</v>
      </c>
      <c r="O19214" s="3" t="s">
        <v>10</v>
      </c>
      <c r="P19214" s="3" t="s">
        <v>9</v>
      </c>
      <c r="Q19214" s="3"/>
    </row>
    <row r="19215" spans="1:17" ht="15" x14ac:dyDescent="0.25">
      <c r="A19215" s="3">
        <f>19208</f>
        <v>19208</v>
      </c>
      <c r="B19215" s="3" t="s">
        <v>19217</v>
      </c>
      <c r="C19215" s="3" t="s">
        <v>10</v>
      </c>
      <c r="D19215" s="3" t="s">
        <v>9</v>
      </c>
      <c r="E19215" s="3">
        <v>0</v>
      </c>
      <c r="F19215" s="3">
        <v>0</v>
      </c>
      <c r="G19215" s="3">
        <v>1</v>
      </c>
      <c r="H19215" s="3">
        <v>0</v>
      </c>
      <c r="I19215" s="3">
        <v>0</v>
      </c>
      <c r="J19215" s="3">
        <v>1</v>
      </c>
      <c r="K19215" s="3">
        <v>0</v>
      </c>
      <c r="L19215" s="3">
        <v>0</v>
      </c>
      <c r="M19215" s="3">
        <v>0</v>
      </c>
      <c r="N19215" s="3">
        <v>0</v>
      </c>
      <c r="O19215" s="3" t="s">
        <v>10</v>
      </c>
      <c r="P19215" s="3" t="s">
        <v>9</v>
      </c>
      <c r="Q19215" s="3"/>
    </row>
    <row r="19216" spans="1:17" ht="15" x14ac:dyDescent="0.25">
      <c r="A19216" s="3">
        <f>19209</f>
        <v>19209</v>
      </c>
      <c r="B19216" s="3" t="s">
        <v>19218</v>
      </c>
      <c r="C19216" s="3" t="s">
        <v>10</v>
      </c>
      <c r="D19216" s="3" t="s">
        <v>9</v>
      </c>
      <c r="E19216" s="3">
        <v>0</v>
      </c>
      <c r="F19216" s="3">
        <v>0</v>
      </c>
      <c r="G19216" s="3">
        <v>1</v>
      </c>
      <c r="H19216" s="3">
        <v>0</v>
      </c>
      <c r="I19216" s="3">
        <v>0</v>
      </c>
      <c r="J19216" s="3">
        <v>1</v>
      </c>
      <c r="K19216" s="3">
        <v>0</v>
      </c>
      <c r="L19216" s="3">
        <v>0</v>
      </c>
      <c r="M19216" s="3">
        <v>0</v>
      </c>
      <c r="N19216" s="3">
        <v>0</v>
      </c>
      <c r="O19216" s="3" t="s">
        <v>10</v>
      </c>
      <c r="P19216" s="3" t="s">
        <v>9</v>
      </c>
      <c r="Q19216" s="3"/>
    </row>
    <row r="19217" spans="1:17" ht="15" x14ac:dyDescent="0.25">
      <c r="A19217" s="3">
        <f>19210</f>
        <v>19210</v>
      </c>
      <c r="B19217" s="3" t="s">
        <v>19219</v>
      </c>
      <c r="C19217" s="3" t="s">
        <v>10</v>
      </c>
      <c r="D19217" s="3" t="s">
        <v>9</v>
      </c>
      <c r="E19217" s="3">
        <v>0</v>
      </c>
      <c r="F19217" s="3">
        <v>0</v>
      </c>
      <c r="G19217" s="3">
        <v>1</v>
      </c>
      <c r="H19217" s="3">
        <v>0</v>
      </c>
      <c r="I19217" s="3">
        <v>0</v>
      </c>
      <c r="J19217" s="3">
        <v>1</v>
      </c>
      <c r="K19217" s="3">
        <v>0</v>
      </c>
      <c r="L19217" s="3">
        <v>0</v>
      </c>
      <c r="M19217" s="3">
        <v>0</v>
      </c>
      <c r="N19217" s="3">
        <v>0</v>
      </c>
      <c r="O19217" s="3" t="s">
        <v>10</v>
      </c>
      <c r="P19217" s="3" t="s">
        <v>9</v>
      </c>
      <c r="Q19217" s="3"/>
    </row>
    <row r="19218" spans="1:17" ht="15" x14ac:dyDescent="0.25">
      <c r="A19218" s="3">
        <f>19211</f>
        <v>19211</v>
      </c>
      <c r="B19218" s="3" t="s">
        <v>19220</v>
      </c>
      <c r="C19218" s="3" t="s">
        <v>10</v>
      </c>
      <c r="D19218" s="3" t="s">
        <v>9</v>
      </c>
      <c r="E19218" s="3">
        <v>0</v>
      </c>
      <c r="F19218" s="3">
        <v>0</v>
      </c>
      <c r="G19218" s="3">
        <v>1</v>
      </c>
      <c r="H19218" s="3">
        <v>0</v>
      </c>
      <c r="I19218" s="3">
        <v>0</v>
      </c>
      <c r="J19218" s="3">
        <v>1</v>
      </c>
      <c r="K19218" s="3">
        <v>0</v>
      </c>
      <c r="L19218" s="3">
        <v>0</v>
      </c>
      <c r="M19218" s="3">
        <v>0</v>
      </c>
      <c r="N19218" s="3">
        <v>0</v>
      </c>
      <c r="O19218" s="3" t="s">
        <v>10</v>
      </c>
      <c r="P19218" s="3" t="s">
        <v>9</v>
      </c>
      <c r="Q19218" s="3"/>
    </row>
    <row r="19219" spans="1:17" ht="15" x14ac:dyDescent="0.25">
      <c r="A19219" s="3">
        <f>19212</f>
        <v>19212</v>
      </c>
      <c r="B19219" s="3" t="s">
        <v>19221</v>
      </c>
      <c r="C19219" s="3" t="s">
        <v>10</v>
      </c>
      <c r="D19219" s="3" t="s">
        <v>9</v>
      </c>
      <c r="E19219" s="3">
        <v>0</v>
      </c>
      <c r="F19219" s="3">
        <v>0</v>
      </c>
      <c r="G19219" s="3">
        <v>1</v>
      </c>
      <c r="H19219" s="3">
        <v>0</v>
      </c>
      <c r="I19219" s="3">
        <v>0</v>
      </c>
      <c r="J19219" s="3">
        <v>1</v>
      </c>
      <c r="K19219" s="3">
        <v>0</v>
      </c>
      <c r="L19219" s="3">
        <v>0</v>
      </c>
      <c r="M19219" s="3">
        <v>0</v>
      </c>
      <c r="N19219" s="3">
        <v>0</v>
      </c>
      <c r="O19219" s="3" t="s">
        <v>10</v>
      </c>
      <c r="P19219" s="3" t="s">
        <v>9</v>
      </c>
      <c r="Q19219" s="3"/>
    </row>
    <row r="19220" spans="1:17" ht="15" x14ac:dyDescent="0.25">
      <c r="A19220" s="3">
        <f>19213</f>
        <v>19213</v>
      </c>
      <c r="B19220" s="3" t="s">
        <v>19222</v>
      </c>
      <c r="C19220" s="3" t="s">
        <v>10</v>
      </c>
      <c r="D19220" s="3" t="s">
        <v>9</v>
      </c>
      <c r="E19220" s="3">
        <v>0</v>
      </c>
      <c r="F19220" s="3">
        <v>0</v>
      </c>
      <c r="G19220" s="3">
        <v>1</v>
      </c>
      <c r="H19220" s="3">
        <v>0</v>
      </c>
      <c r="I19220" s="3">
        <v>0</v>
      </c>
      <c r="J19220" s="3">
        <v>1</v>
      </c>
      <c r="K19220" s="3">
        <v>0</v>
      </c>
      <c r="L19220" s="3">
        <v>0</v>
      </c>
      <c r="M19220" s="3">
        <v>0</v>
      </c>
      <c r="N19220" s="3">
        <v>0</v>
      </c>
      <c r="O19220" s="3" t="s">
        <v>10</v>
      </c>
      <c r="P19220" s="3" t="s">
        <v>9</v>
      </c>
      <c r="Q19220" s="3"/>
    </row>
    <row r="19221" spans="1:17" ht="15" x14ac:dyDescent="0.25">
      <c r="A19221" s="3">
        <f>19214</f>
        <v>19214</v>
      </c>
      <c r="B19221" s="3" t="s">
        <v>19223</v>
      </c>
      <c r="C19221" s="3" t="s">
        <v>10</v>
      </c>
      <c r="D19221" s="3" t="s">
        <v>9</v>
      </c>
      <c r="E19221" s="3">
        <v>0</v>
      </c>
      <c r="F19221" s="3">
        <v>0</v>
      </c>
      <c r="G19221" s="3">
        <v>1</v>
      </c>
      <c r="H19221" s="3">
        <v>0</v>
      </c>
      <c r="I19221" s="3">
        <v>0</v>
      </c>
      <c r="J19221" s="3">
        <v>1</v>
      </c>
      <c r="K19221" s="3">
        <v>0</v>
      </c>
      <c r="L19221" s="3">
        <v>0</v>
      </c>
      <c r="M19221" s="3">
        <v>0</v>
      </c>
      <c r="N19221" s="3">
        <v>0</v>
      </c>
      <c r="O19221" s="3" t="s">
        <v>10</v>
      </c>
      <c r="P19221" s="3" t="s">
        <v>9</v>
      </c>
      <c r="Q19221" s="3"/>
    </row>
    <row r="19222" spans="1:17" ht="15" x14ac:dyDescent="0.25">
      <c r="A19222" s="3">
        <f>19215</f>
        <v>19215</v>
      </c>
      <c r="B19222" s="3" t="s">
        <v>19224</v>
      </c>
      <c r="C19222" s="3" t="s">
        <v>10</v>
      </c>
      <c r="D19222" s="3" t="s">
        <v>9</v>
      </c>
      <c r="E19222" s="3">
        <v>0</v>
      </c>
      <c r="F19222" s="3">
        <v>0</v>
      </c>
      <c r="G19222" s="3">
        <v>1</v>
      </c>
      <c r="H19222" s="3">
        <v>0</v>
      </c>
      <c r="I19222" s="3">
        <v>0</v>
      </c>
      <c r="J19222" s="3">
        <v>1</v>
      </c>
      <c r="K19222" s="3">
        <v>0</v>
      </c>
      <c r="L19222" s="3">
        <v>0</v>
      </c>
      <c r="M19222" s="3">
        <v>0</v>
      </c>
      <c r="N19222" s="3">
        <v>0</v>
      </c>
      <c r="O19222" s="3" t="s">
        <v>10</v>
      </c>
      <c r="P19222" s="3" t="s">
        <v>9</v>
      </c>
      <c r="Q19222" s="3"/>
    </row>
    <row r="19223" spans="1:17" ht="15" x14ac:dyDescent="0.25">
      <c r="A19223" s="3">
        <f>19216</f>
        <v>19216</v>
      </c>
      <c r="B19223" s="3" t="s">
        <v>19225</v>
      </c>
      <c r="C19223" s="3" t="s">
        <v>10</v>
      </c>
      <c r="D19223" s="3" t="s">
        <v>9</v>
      </c>
      <c r="E19223" s="3">
        <v>0</v>
      </c>
      <c r="F19223" s="3">
        <v>0</v>
      </c>
      <c r="G19223" s="3">
        <v>1</v>
      </c>
      <c r="H19223" s="3">
        <v>0</v>
      </c>
      <c r="I19223" s="3">
        <v>0</v>
      </c>
      <c r="J19223" s="3">
        <v>1</v>
      </c>
      <c r="K19223" s="3">
        <v>0</v>
      </c>
      <c r="L19223" s="3">
        <v>0</v>
      </c>
      <c r="M19223" s="3">
        <v>0</v>
      </c>
      <c r="N19223" s="3">
        <v>0</v>
      </c>
      <c r="O19223" s="3" t="s">
        <v>10</v>
      </c>
      <c r="P19223" s="3" t="s">
        <v>9</v>
      </c>
      <c r="Q19223" s="3"/>
    </row>
    <row r="19224" spans="1:17" ht="15" x14ac:dyDescent="0.25">
      <c r="A19224" s="3">
        <f>19217</f>
        <v>19217</v>
      </c>
      <c r="B19224" s="3" t="s">
        <v>19226</v>
      </c>
      <c r="C19224" s="3" t="s">
        <v>10</v>
      </c>
      <c r="D19224" s="3" t="s">
        <v>9</v>
      </c>
      <c r="E19224" s="3">
        <v>0</v>
      </c>
      <c r="F19224" s="3">
        <v>0</v>
      </c>
      <c r="G19224" s="3">
        <v>1</v>
      </c>
      <c r="H19224" s="3">
        <v>0</v>
      </c>
      <c r="I19224" s="3">
        <v>0</v>
      </c>
      <c r="J19224" s="3">
        <v>1</v>
      </c>
      <c r="K19224" s="3">
        <v>0</v>
      </c>
      <c r="L19224" s="3">
        <v>0</v>
      </c>
      <c r="M19224" s="3">
        <v>0</v>
      </c>
      <c r="N19224" s="3">
        <v>0</v>
      </c>
      <c r="O19224" s="3" t="s">
        <v>10</v>
      </c>
      <c r="P19224" s="3" t="s">
        <v>9</v>
      </c>
      <c r="Q19224" s="3"/>
    </row>
    <row r="19225" spans="1:17" ht="15" x14ac:dyDescent="0.25">
      <c r="A19225" s="3">
        <f>19218</f>
        <v>19218</v>
      </c>
      <c r="B19225" s="3" t="s">
        <v>19227</v>
      </c>
      <c r="C19225" s="3" t="s">
        <v>10</v>
      </c>
      <c r="D19225" s="3" t="s">
        <v>9</v>
      </c>
      <c r="E19225" s="3">
        <v>0</v>
      </c>
      <c r="F19225" s="3">
        <v>0</v>
      </c>
      <c r="G19225" s="3">
        <v>1</v>
      </c>
      <c r="H19225" s="3">
        <v>0</v>
      </c>
      <c r="I19225" s="3">
        <v>0</v>
      </c>
      <c r="J19225" s="3">
        <v>1</v>
      </c>
      <c r="K19225" s="3">
        <v>0</v>
      </c>
      <c r="L19225" s="3">
        <v>0</v>
      </c>
      <c r="M19225" s="3">
        <v>0</v>
      </c>
      <c r="N19225" s="3">
        <v>0</v>
      </c>
      <c r="O19225" s="3" t="s">
        <v>10</v>
      </c>
      <c r="P19225" s="3" t="s">
        <v>9</v>
      </c>
      <c r="Q19225" s="3"/>
    </row>
    <row r="19226" spans="1:17" ht="15" x14ac:dyDescent="0.25">
      <c r="A19226" s="3">
        <f>19219</f>
        <v>19219</v>
      </c>
      <c r="B19226" s="3" t="s">
        <v>19228</v>
      </c>
      <c r="C19226" s="3" t="s">
        <v>10</v>
      </c>
      <c r="D19226" s="3" t="s">
        <v>9</v>
      </c>
      <c r="E19226" s="3">
        <v>0</v>
      </c>
      <c r="F19226" s="3">
        <v>0</v>
      </c>
      <c r="G19226" s="3">
        <v>1</v>
      </c>
      <c r="H19226" s="3">
        <v>0</v>
      </c>
      <c r="I19226" s="3">
        <v>0</v>
      </c>
      <c r="J19226" s="3">
        <v>1</v>
      </c>
      <c r="K19226" s="3">
        <v>0</v>
      </c>
      <c r="L19226" s="3">
        <v>0</v>
      </c>
      <c r="M19226" s="3">
        <v>0</v>
      </c>
      <c r="N19226" s="3">
        <v>0</v>
      </c>
      <c r="O19226" s="3" t="s">
        <v>10</v>
      </c>
      <c r="P19226" s="3" t="s">
        <v>9</v>
      </c>
      <c r="Q19226" s="3"/>
    </row>
    <row r="19227" spans="1:17" ht="15" x14ac:dyDescent="0.25">
      <c r="A19227" s="3">
        <f>19220</f>
        <v>19220</v>
      </c>
      <c r="B19227" s="3" t="s">
        <v>19229</v>
      </c>
      <c r="C19227" s="3" t="s">
        <v>10</v>
      </c>
      <c r="D19227" s="3" t="s">
        <v>9</v>
      </c>
      <c r="E19227" s="3">
        <v>0</v>
      </c>
      <c r="F19227" s="3">
        <v>0</v>
      </c>
      <c r="G19227" s="3">
        <v>1</v>
      </c>
      <c r="H19227" s="3">
        <v>0</v>
      </c>
      <c r="I19227" s="3">
        <v>0</v>
      </c>
      <c r="J19227" s="3">
        <v>1</v>
      </c>
      <c r="K19227" s="3">
        <v>0</v>
      </c>
      <c r="L19227" s="3">
        <v>0</v>
      </c>
      <c r="M19227" s="3">
        <v>0</v>
      </c>
      <c r="N19227" s="3">
        <v>0</v>
      </c>
      <c r="O19227" s="3" t="s">
        <v>10</v>
      </c>
      <c r="P19227" s="3" t="s">
        <v>9</v>
      </c>
      <c r="Q19227" s="3"/>
    </row>
    <row r="19228" spans="1:17" ht="15" x14ac:dyDescent="0.25">
      <c r="A19228" s="3">
        <f>19221</f>
        <v>19221</v>
      </c>
      <c r="B19228" s="3" t="s">
        <v>19230</v>
      </c>
      <c r="C19228" s="3" t="s">
        <v>10</v>
      </c>
      <c r="D19228" s="3" t="s">
        <v>9</v>
      </c>
      <c r="E19228" s="3">
        <v>0</v>
      </c>
      <c r="F19228" s="3">
        <v>0</v>
      </c>
      <c r="G19228" s="3">
        <v>1</v>
      </c>
      <c r="H19228" s="3">
        <v>0</v>
      </c>
      <c r="I19228" s="3">
        <v>0</v>
      </c>
      <c r="J19228" s="3">
        <v>1</v>
      </c>
      <c r="K19228" s="3">
        <v>0</v>
      </c>
      <c r="L19228" s="3">
        <v>0</v>
      </c>
      <c r="M19228" s="3">
        <v>0</v>
      </c>
      <c r="N19228" s="3">
        <v>0</v>
      </c>
      <c r="O19228" s="3" t="s">
        <v>10</v>
      </c>
      <c r="P19228" s="3" t="s">
        <v>9</v>
      </c>
      <c r="Q19228" s="3"/>
    </row>
    <row r="19229" spans="1:17" ht="15" x14ac:dyDescent="0.25">
      <c r="A19229" s="3">
        <f>19222</f>
        <v>19222</v>
      </c>
      <c r="B19229" s="3" t="s">
        <v>19231</v>
      </c>
      <c r="C19229" s="3" t="s">
        <v>10</v>
      </c>
      <c r="D19229" s="3" t="s">
        <v>9</v>
      </c>
      <c r="E19229" s="3">
        <v>0</v>
      </c>
      <c r="F19229" s="3">
        <v>0</v>
      </c>
      <c r="G19229" s="3">
        <v>1</v>
      </c>
      <c r="H19229" s="3">
        <v>0</v>
      </c>
      <c r="I19229" s="3">
        <v>0</v>
      </c>
      <c r="J19229" s="3">
        <v>1</v>
      </c>
      <c r="K19229" s="3">
        <v>0</v>
      </c>
      <c r="L19229" s="3">
        <v>0</v>
      </c>
      <c r="M19229" s="3">
        <v>0</v>
      </c>
      <c r="N19229" s="3">
        <v>0</v>
      </c>
      <c r="O19229" s="3" t="s">
        <v>10</v>
      </c>
      <c r="P19229" s="3" t="s">
        <v>9</v>
      </c>
      <c r="Q19229" s="3"/>
    </row>
    <row r="19230" spans="1:17" ht="15" x14ac:dyDescent="0.25">
      <c r="A19230" s="3">
        <f>19223</f>
        <v>19223</v>
      </c>
      <c r="B19230" s="3" t="s">
        <v>19232</v>
      </c>
      <c r="C19230" s="3" t="s">
        <v>10</v>
      </c>
      <c r="D19230" s="3" t="s">
        <v>9</v>
      </c>
      <c r="E19230" s="3">
        <v>0</v>
      </c>
      <c r="F19230" s="3">
        <v>0</v>
      </c>
      <c r="G19230" s="3">
        <v>1</v>
      </c>
      <c r="H19230" s="3">
        <v>0</v>
      </c>
      <c r="I19230" s="3">
        <v>0</v>
      </c>
      <c r="J19230" s="3">
        <v>1</v>
      </c>
      <c r="K19230" s="3">
        <v>0</v>
      </c>
      <c r="L19230" s="3">
        <v>0</v>
      </c>
      <c r="M19230" s="3">
        <v>0</v>
      </c>
      <c r="N19230" s="3">
        <v>0</v>
      </c>
      <c r="O19230" s="3" t="s">
        <v>10</v>
      </c>
      <c r="P19230" s="3" t="s">
        <v>9</v>
      </c>
      <c r="Q19230" s="3"/>
    </row>
    <row r="19231" spans="1:17" ht="15" x14ac:dyDescent="0.25">
      <c r="A19231" s="3">
        <f>19224</f>
        <v>19224</v>
      </c>
      <c r="B19231" s="3" t="s">
        <v>19233</v>
      </c>
      <c r="C19231" s="3" t="s">
        <v>10</v>
      </c>
      <c r="D19231" s="3" t="s">
        <v>9</v>
      </c>
      <c r="E19231" s="3">
        <v>0</v>
      </c>
      <c r="F19231" s="3">
        <v>0</v>
      </c>
      <c r="G19231" s="3">
        <v>1</v>
      </c>
      <c r="H19231" s="3">
        <v>0</v>
      </c>
      <c r="I19231" s="3">
        <v>0</v>
      </c>
      <c r="J19231" s="3">
        <v>1</v>
      </c>
      <c r="K19231" s="3">
        <v>0</v>
      </c>
      <c r="L19231" s="3">
        <v>0</v>
      </c>
      <c r="M19231" s="3">
        <v>0</v>
      </c>
      <c r="N19231" s="3">
        <v>0</v>
      </c>
      <c r="O19231" s="3" t="s">
        <v>10</v>
      </c>
      <c r="P19231" s="3" t="s">
        <v>9</v>
      </c>
      <c r="Q19231" s="3"/>
    </row>
    <row r="19232" spans="1:17" ht="15" x14ac:dyDescent="0.25">
      <c r="A19232" s="3">
        <f>19225</f>
        <v>19225</v>
      </c>
      <c r="B19232" s="3" t="s">
        <v>19234</v>
      </c>
      <c r="C19232" s="3" t="s">
        <v>10</v>
      </c>
      <c r="D19232" s="3" t="s">
        <v>9</v>
      </c>
      <c r="E19232" s="3">
        <v>0</v>
      </c>
      <c r="F19232" s="3">
        <v>0</v>
      </c>
      <c r="G19232" s="3">
        <v>1</v>
      </c>
      <c r="H19232" s="3">
        <v>0</v>
      </c>
      <c r="I19232" s="3">
        <v>0</v>
      </c>
      <c r="J19232" s="3">
        <v>1</v>
      </c>
      <c r="K19232" s="3">
        <v>0</v>
      </c>
      <c r="L19232" s="3">
        <v>0</v>
      </c>
      <c r="M19232" s="3">
        <v>0</v>
      </c>
      <c r="N19232" s="3">
        <v>0</v>
      </c>
      <c r="O19232" s="3" t="s">
        <v>10</v>
      </c>
      <c r="P19232" s="3" t="s">
        <v>9</v>
      </c>
      <c r="Q19232" s="3"/>
    </row>
    <row r="19233" spans="1:17" ht="15" x14ac:dyDescent="0.25">
      <c r="A19233" s="3">
        <f>19226</f>
        <v>19226</v>
      </c>
      <c r="B19233" s="3" t="s">
        <v>19235</v>
      </c>
      <c r="C19233" s="3" t="s">
        <v>10</v>
      </c>
      <c r="D19233" s="3" t="s">
        <v>9</v>
      </c>
      <c r="E19233" s="3">
        <v>0</v>
      </c>
      <c r="F19233" s="3">
        <v>0</v>
      </c>
      <c r="G19233" s="3">
        <v>1</v>
      </c>
      <c r="H19233" s="3">
        <v>0</v>
      </c>
      <c r="I19233" s="3">
        <v>0</v>
      </c>
      <c r="J19233" s="3">
        <v>1</v>
      </c>
      <c r="K19233" s="3">
        <v>0</v>
      </c>
      <c r="L19233" s="3">
        <v>0</v>
      </c>
      <c r="M19233" s="3">
        <v>0</v>
      </c>
      <c r="N19233" s="3">
        <v>0</v>
      </c>
      <c r="O19233" s="3" t="s">
        <v>10</v>
      </c>
      <c r="P19233" s="3" t="s">
        <v>9</v>
      </c>
      <c r="Q19233" s="3"/>
    </row>
    <row r="19234" spans="1:17" ht="15" x14ac:dyDescent="0.25">
      <c r="A19234" s="3">
        <f>19227</f>
        <v>19227</v>
      </c>
      <c r="B19234" s="3" t="s">
        <v>19236</v>
      </c>
      <c r="C19234" s="3" t="s">
        <v>10</v>
      </c>
      <c r="D19234" s="3" t="s">
        <v>9</v>
      </c>
      <c r="E19234" s="3">
        <v>0</v>
      </c>
      <c r="F19234" s="3">
        <v>0</v>
      </c>
      <c r="G19234" s="3">
        <v>1</v>
      </c>
      <c r="H19234" s="3">
        <v>0</v>
      </c>
      <c r="I19234" s="3">
        <v>0</v>
      </c>
      <c r="J19234" s="3">
        <v>1</v>
      </c>
      <c r="K19234" s="3">
        <v>0</v>
      </c>
      <c r="L19234" s="3">
        <v>0</v>
      </c>
      <c r="M19234" s="3">
        <v>0</v>
      </c>
      <c r="N19234" s="3">
        <v>0</v>
      </c>
      <c r="O19234" s="3" t="s">
        <v>10</v>
      </c>
      <c r="P19234" s="3" t="s">
        <v>9</v>
      </c>
      <c r="Q19234" s="3"/>
    </row>
    <row r="19235" spans="1:17" ht="15" x14ac:dyDescent="0.25">
      <c r="A19235" s="3">
        <f>19228</f>
        <v>19228</v>
      </c>
      <c r="B19235" s="3" t="s">
        <v>19237</v>
      </c>
      <c r="C19235" s="3" t="s">
        <v>10</v>
      </c>
      <c r="D19235" s="3" t="s">
        <v>9</v>
      </c>
      <c r="E19235" s="3">
        <v>0</v>
      </c>
      <c r="F19235" s="3">
        <v>0</v>
      </c>
      <c r="G19235" s="3">
        <v>1</v>
      </c>
      <c r="H19235" s="3">
        <v>0</v>
      </c>
      <c r="I19235" s="3">
        <v>0</v>
      </c>
      <c r="J19235" s="3">
        <v>1</v>
      </c>
      <c r="K19235" s="3">
        <v>0</v>
      </c>
      <c r="L19235" s="3">
        <v>0</v>
      </c>
      <c r="M19235" s="3">
        <v>0</v>
      </c>
      <c r="N19235" s="3">
        <v>0</v>
      </c>
      <c r="O19235" s="3" t="s">
        <v>10</v>
      </c>
      <c r="P19235" s="3" t="s">
        <v>9</v>
      </c>
      <c r="Q19235" s="3"/>
    </row>
    <row r="19236" spans="1:17" ht="15" x14ac:dyDescent="0.25">
      <c r="A19236" s="3">
        <f>19229</f>
        <v>19229</v>
      </c>
      <c r="B19236" s="3" t="s">
        <v>19238</v>
      </c>
      <c r="C19236" s="3" t="s">
        <v>10</v>
      </c>
      <c r="D19236" s="3" t="s">
        <v>9</v>
      </c>
      <c r="E19236" s="3">
        <v>0</v>
      </c>
      <c r="F19236" s="3">
        <v>0</v>
      </c>
      <c r="G19236" s="3">
        <v>1</v>
      </c>
      <c r="H19236" s="3">
        <v>0</v>
      </c>
      <c r="I19236" s="3">
        <v>0</v>
      </c>
      <c r="J19236" s="3">
        <v>1</v>
      </c>
      <c r="K19236" s="3">
        <v>0</v>
      </c>
      <c r="L19236" s="3">
        <v>0</v>
      </c>
      <c r="M19236" s="3">
        <v>0</v>
      </c>
      <c r="N19236" s="3">
        <v>0</v>
      </c>
      <c r="O19236" s="3" t="s">
        <v>10</v>
      </c>
      <c r="P19236" s="3" t="s">
        <v>9</v>
      </c>
      <c r="Q19236" s="3"/>
    </row>
    <row r="19237" spans="1:17" ht="15" x14ac:dyDescent="0.25">
      <c r="A19237" s="3">
        <f>19230</f>
        <v>19230</v>
      </c>
      <c r="B19237" s="3" t="s">
        <v>19239</v>
      </c>
      <c r="C19237" s="3" t="s">
        <v>10</v>
      </c>
      <c r="D19237" s="3" t="s">
        <v>9</v>
      </c>
      <c r="E19237" s="3">
        <v>0</v>
      </c>
      <c r="F19237" s="3">
        <v>0</v>
      </c>
      <c r="G19237" s="3">
        <v>1</v>
      </c>
      <c r="H19237" s="3">
        <v>0</v>
      </c>
      <c r="I19237" s="3">
        <v>0</v>
      </c>
      <c r="J19237" s="3">
        <v>1</v>
      </c>
      <c r="K19237" s="3">
        <v>0</v>
      </c>
      <c r="L19237" s="3">
        <v>0</v>
      </c>
      <c r="M19237" s="3">
        <v>0</v>
      </c>
      <c r="N19237" s="3">
        <v>0</v>
      </c>
      <c r="O19237" s="3" t="s">
        <v>10</v>
      </c>
      <c r="P19237" s="3" t="s">
        <v>9</v>
      </c>
      <c r="Q19237" s="3"/>
    </row>
    <row r="19238" spans="1:17" ht="15" x14ac:dyDescent="0.25">
      <c r="A19238" s="3">
        <f>19231</f>
        <v>19231</v>
      </c>
      <c r="B19238" s="3" t="s">
        <v>19240</v>
      </c>
      <c r="C19238" s="3" t="s">
        <v>10</v>
      </c>
      <c r="D19238" s="3" t="s">
        <v>9</v>
      </c>
      <c r="E19238" s="3">
        <v>0</v>
      </c>
      <c r="F19238" s="3">
        <v>0</v>
      </c>
      <c r="G19238" s="3">
        <v>1</v>
      </c>
      <c r="H19238" s="3">
        <v>0</v>
      </c>
      <c r="I19238" s="3">
        <v>0</v>
      </c>
      <c r="J19238" s="3">
        <v>1</v>
      </c>
      <c r="K19238" s="3">
        <v>0</v>
      </c>
      <c r="L19238" s="3">
        <v>0</v>
      </c>
      <c r="M19238" s="3">
        <v>0</v>
      </c>
      <c r="N19238" s="3">
        <v>0</v>
      </c>
      <c r="O19238" s="3" t="s">
        <v>10</v>
      </c>
      <c r="P19238" s="3" t="s">
        <v>9</v>
      </c>
      <c r="Q19238" s="3"/>
    </row>
    <row r="19239" spans="1:17" ht="15" x14ac:dyDescent="0.25">
      <c r="A19239" s="3">
        <f>19232</f>
        <v>19232</v>
      </c>
      <c r="B19239" s="3" t="s">
        <v>19241</v>
      </c>
      <c r="C19239" s="3" t="s">
        <v>10</v>
      </c>
      <c r="D19239" s="3" t="s">
        <v>9</v>
      </c>
      <c r="E19239" s="3">
        <v>0</v>
      </c>
      <c r="F19239" s="3">
        <v>0</v>
      </c>
      <c r="G19239" s="3">
        <v>1</v>
      </c>
      <c r="H19239" s="3">
        <v>0</v>
      </c>
      <c r="I19239" s="3">
        <v>0</v>
      </c>
      <c r="J19239" s="3">
        <v>1</v>
      </c>
      <c r="K19239" s="3">
        <v>0</v>
      </c>
      <c r="L19239" s="3">
        <v>0</v>
      </c>
      <c r="M19239" s="3">
        <v>0</v>
      </c>
      <c r="N19239" s="3">
        <v>0</v>
      </c>
      <c r="O19239" s="3" t="s">
        <v>10</v>
      </c>
      <c r="P19239" s="3" t="s">
        <v>9</v>
      </c>
      <c r="Q19239" s="3"/>
    </row>
    <row r="19240" spans="1:17" ht="15" x14ac:dyDescent="0.25">
      <c r="A19240" s="3">
        <f>19233</f>
        <v>19233</v>
      </c>
      <c r="B19240" s="3" t="s">
        <v>19242</v>
      </c>
      <c r="C19240" s="3" t="s">
        <v>10</v>
      </c>
      <c r="D19240" s="3" t="s">
        <v>9</v>
      </c>
      <c r="E19240" s="3">
        <v>0</v>
      </c>
      <c r="F19240" s="3">
        <v>0</v>
      </c>
      <c r="G19240" s="3">
        <v>1</v>
      </c>
      <c r="H19240" s="3">
        <v>0</v>
      </c>
      <c r="I19240" s="3">
        <v>0</v>
      </c>
      <c r="J19240" s="3">
        <v>1</v>
      </c>
      <c r="K19240" s="3">
        <v>0</v>
      </c>
      <c r="L19240" s="3">
        <v>0</v>
      </c>
      <c r="M19240" s="3">
        <v>0</v>
      </c>
      <c r="N19240" s="3">
        <v>0</v>
      </c>
      <c r="O19240" s="3" t="s">
        <v>10</v>
      </c>
      <c r="P19240" s="3" t="s">
        <v>9</v>
      </c>
      <c r="Q19240" s="3"/>
    </row>
    <row r="19241" spans="1:17" ht="15" x14ac:dyDescent="0.25">
      <c r="A19241" s="3">
        <f>19234</f>
        <v>19234</v>
      </c>
      <c r="B19241" s="3" t="s">
        <v>19243</v>
      </c>
      <c r="C19241" s="3" t="s">
        <v>10</v>
      </c>
      <c r="D19241" s="3" t="s">
        <v>9</v>
      </c>
      <c r="E19241" s="3">
        <v>0</v>
      </c>
      <c r="F19241" s="3">
        <v>0</v>
      </c>
      <c r="G19241" s="3">
        <v>1</v>
      </c>
      <c r="H19241" s="3">
        <v>0</v>
      </c>
      <c r="I19241" s="3">
        <v>0</v>
      </c>
      <c r="J19241" s="3">
        <v>1</v>
      </c>
      <c r="K19241" s="3">
        <v>0</v>
      </c>
      <c r="L19241" s="3">
        <v>0</v>
      </c>
      <c r="M19241" s="3">
        <v>0</v>
      </c>
      <c r="N19241" s="3">
        <v>0</v>
      </c>
      <c r="O19241" s="3" t="s">
        <v>10</v>
      </c>
      <c r="P19241" s="3" t="s">
        <v>9</v>
      </c>
      <c r="Q19241" s="3"/>
    </row>
    <row r="19242" spans="1:17" ht="15" x14ac:dyDescent="0.25">
      <c r="A19242" s="3">
        <f>19235</f>
        <v>19235</v>
      </c>
      <c r="B19242" s="3" t="s">
        <v>19244</v>
      </c>
      <c r="C19242" s="3" t="s">
        <v>10</v>
      </c>
      <c r="D19242" s="3" t="s">
        <v>9</v>
      </c>
      <c r="E19242" s="3">
        <v>0</v>
      </c>
      <c r="F19242" s="3">
        <v>0</v>
      </c>
      <c r="G19242" s="3">
        <v>1</v>
      </c>
      <c r="H19242" s="3">
        <v>0</v>
      </c>
      <c r="I19242" s="3">
        <v>0</v>
      </c>
      <c r="J19242" s="3">
        <v>1</v>
      </c>
      <c r="K19242" s="3">
        <v>0</v>
      </c>
      <c r="L19242" s="3">
        <v>0</v>
      </c>
      <c r="M19242" s="3">
        <v>0</v>
      </c>
      <c r="N19242" s="3">
        <v>0</v>
      </c>
      <c r="O19242" s="3" t="s">
        <v>10</v>
      </c>
      <c r="P19242" s="3" t="s">
        <v>9</v>
      </c>
      <c r="Q19242" s="3"/>
    </row>
    <row r="19243" spans="1:17" ht="15" x14ac:dyDescent="0.25">
      <c r="A19243" s="3">
        <f>19236</f>
        <v>19236</v>
      </c>
      <c r="B19243" s="3" t="s">
        <v>19245</v>
      </c>
      <c r="C19243" s="3" t="s">
        <v>10</v>
      </c>
      <c r="D19243" s="3" t="s">
        <v>9</v>
      </c>
      <c r="E19243" s="3">
        <v>0</v>
      </c>
      <c r="F19243" s="3">
        <v>0</v>
      </c>
      <c r="G19243" s="3">
        <v>1</v>
      </c>
      <c r="H19243" s="3">
        <v>0</v>
      </c>
      <c r="I19243" s="3">
        <v>0</v>
      </c>
      <c r="J19243" s="3">
        <v>1</v>
      </c>
      <c r="K19243" s="3">
        <v>0</v>
      </c>
      <c r="L19243" s="3">
        <v>0</v>
      </c>
      <c r="M19243" s="3">
        <v>0</v>
      </c>
      <c r="N19243" s="3">
        <v>0</v>
      </c>
      <c r="O19243" s="3" t="s">
        <v>10</v>
      </c>
      <c r="P19243" s="3" t="s">
        <v>9</v>
      </c>
      <c r="Q19243" s="3"/>
    </row>
    <row r="19244" spans="1:17" ht="15" x14ac:dyDescent="0.25">
      <c r="A19244" s="3">
        <f>19237</f>
        <v>19237</v>
      </c>
      <c r="B19244" s="3" t="s">
        <v>19246</v>
      </c>
      <c r="C19244" s="3" t="s">
        <v>10</v>
      </c>
      <c r="D19244" s="3" t="s">
        <v>9</v>
      </c>
      <c r="E19244" s="3">
        <v>0</v>
      </c>
      <c r="F19244" s="3">
        <v>0</v>
      </c>
      <c r="G19244" s="3">
        <v>1</v>
      </c>
      <c r="H19244" s="3">
        <v>0</v>
      </c>
      <c r="I19244" s="3">
        <v>0</v>
      </c>
      <c r="J19244" s="3">
        <v>1</v>
      </c>
      <c r="K19244" s="3">
        <v>0</v>
      </c>
      <c r="L19244" s="3">
        <v>0</v>
      </c>
      <c r="M19244" s="3">
        <v>0</v>
      </c>
      <c r="N19244" s="3">
        <v>0</v>
      </c>
      <c r="O19244" s="3" t="s">
        <v>10</v>
      </c>
      <c r="P19244" s="3" t="s">
        <v>9</v>
      </c>
      <c r="Q19244" s="3"/>
    </row>
    <row r="19245" spans="1:17" ht="15" x14ac:dyDescent="0.25">
      <c r="A19245" s="3">
        <f>19238</f>
        <v>19238</v>
      </c>
      <c r="B19245" s="3" t="s">
        <v>19247</v>
      </c>
      <c r="C19245" s="3" t="s">
        <v>10</v>
      </c>
      <c r="D19245" s="3" t="s">
        <v>9</v>
      </c>
      <c r="E19245" s="3">
        <v>0</v>
      </c>
      <c r="F19245" s="3">
        <v>0</v>
      </c>
      <c r="G19245" s="3">
        <v>1</v>
      </c>
      <c r="H19245" s="3">
        <v>0</v>
      </c>
      <c r="I19245" s="3">
        <v>0</v>
      </c>
      <c r="J19245" s="3">
        <v>1</v>
      </c>
      <c r="K19245" s="3">
        <v>0</v>
      </c>
      <c r="L19245" s="3">
        <v>0</v>
      </c>
      <c r="M19245" s="3">
        <v>0</v>
      </c>
      <c r="N19245" s="3">
        <v>0</v>
      </c>
      <c r="O19245" s="3" t="s">
        <v>10</v>
      </c>
      <c r="P19245" s="3" t="s">
        <v>9</v>
      </c>
      <c r="Q19245" s="3"/>
    </row>
    <row r="19246" spans="1:17" ht="15" x14ac:dyDescent="0.25">
      <c r="A19246" s="3">
        <f>19239</f>
        <v>19239</v>
      </c>
      <c r="B19246" s="3" t="s">
        <v>19248</v>
      </c>
      <c r="C19246" s="3" t="s">
        <v>10</v>
      </c>
      <c r="D19246" s="3" t="s">
        <v>9</v>
      </c>
      <c r="E19246" s="3">
        <v>0</v>
      </c>
      <c r="F19246" s="3">
        <v>0</v>
      </c>
      <c r="G19246" s="3">
        <v>1</v>
      </c>
      <c r="H19246" s="3">
        <v>0</v>
      </c>
      <c r="I19246" s="3">
        <v>0</v>
      </c>
      <c r="J19246" s="3">
        <v>1</v>
      </c>
      <c r="K19246" s="3">
        <v>0</v>
      </c>
      <c r="L19246" s="3">
        <v>0</v>
      </c>
      <c r="M19246" s="3">
        <v>0</v>
      </c>
      <c r="N19246" s="3">
        <v>0</v>
      </c>
      <c r="O19246" s="3" t="s">
        <v>10</v>
      </c>
      <c r="P19246" s="3" t="s">
        <v>9</v>
      </c>
      <c r="Q19246" s="3"/>
    </row>
    <row r="19247" spans="1:17" ht="15" x14ac:dyDescent="0.25">
      <c r="A19247" s="3">
        <f>19240</f>
        <v>19240</v>
      </c>
      <c r="B19247" s="3" t="s">
        <v>19249</v>
      </c>
      <c r="C19247" s="3" t="s">
        <v>10</v>
      </c>
      <c r="D19247" s="3" t="s">
        <v>9</v>
      </c>
      <c r="E19247" s="3">
        <v>0</v>
      </c>
      <c r="F19247" s="3">
        <v>0</v>
      </c>
      <c r="G19247" s="3">
        <v>1</v>
      </c>
      <c r="H19247" s="3">
        <v>0</v>
      </c>
      <c r="I19247" s="3">
        <v>0</v>
      </c>
      <c r="J19247" s="3">
        <v>1</v>
      </c>
      <c r="K19247" s="3">
        <v>0</v>
      </c>
      <c r="L19247" s="3">
        <v>0</v>
      </c>
      <c r="M19247" s="3">
        <v>0</v>
      </c>
      <c r="N19247" s="3">
        <v>0</v>
      </c>
      <c r="O19247" s="3" t="s">
        <v>10</v>
      </c>
      <c r="P19247" s="3" t="s">
        <v>9</v>
      </c>
      <c r="Q19247" s="3"/>
    </row>
    <row r="19248" spans="1:17" ht="15" x14ac:dyDescent="0.25">
      <c r="A19248" s="3">
        <f>19241</f>
        <v>19241</v>
      </c>
      <c r="B19248" s="3" t="s">
        <v>19250</v>
      </c>
      <c r="C19248" s="3" t="s">
        <v>10</v>
      </c>
      <c r="D19248" s="3" t="s">
        <v>9</v>
      </c>
      <c r="E19248" s="3">
        <v>0</v>
      </c>
      <c r="F19248" s="3">
        <v>0</v>
      </c>
      <c r="G19248" s="3">
        <v>1</v>
      </c>
      <c r="H19248" s="3">
        <v>0</v>
      </c>
      <c r="I19248" s="3">
        <v>0</v>
      </c>
      <c r="J19248" s="3">
        <v>1</v>
      </c>
      <c r="K19248" s="3">
        <v>0</v>
      </c>
      <c r="L19248" s="3">
        <v>0</v>
      </c>
      <c r="M19248" s="3">
        <v>0</v>
      </c>
      <c r="N19248" s="3">
        <v>0</v>
      </c>
      <c r="O19248" s="3" t="s">
        <v>10</v>
      </c>
      <c r="P19248" s="3" t="s">
        <v>9</v>
      </c>
      <c r="Q19248" s="3"/>
    </row>
    <row r="19249" spans="1:17" ht="15" x14ac:dyDescent="0.25">
      <c r="A19249" s="3">
        <f>19242</f>
        <v>19242</v>
      </c>
      <c r="B19249" s="3" t="s">
        <v>19251</v>
      </c>
      <c r="C19249" s="3" t="s">
        <v>10</v>
      </c>
      <c r="D19249" s="3" t="s">
        <v>9</v>
      </c>
      <c r="E19249" s="3">
        <v>0</v>
      </c>
      <c r="F19249" s="3">
        <v>0</v>
      </c>
      <c r="G19249" s="3">
        <v>1</v>
      </c>
      <c r="H19249" s="3">
        <v>0</v>
      </c>
      <c r="I19249" s="3">
        <v>0</v>
      </c>
      <c r="J19249" s="3">
        <v>1</v>
      </c>
      <c r="K19249" s="3">
        <v>0</v>
      </c>
      <c r="L19249" s="3">
        <v>0</v>
      </c>
      <c r="M19249" s="3">
        <v>0</v>
      </c>
      <c r="N19249" s="3">
        <v>0</v>
      </c>
      <c r="O19249" s="3" t="s">
        <v>10</v>
      </c>
      <c r="P19249" s="3" t="s">
        <v>9</v>
      </c>
      <c r="Q19249" s="3"/>
    </row>
    <row r="19250" spans="1:17" ht="15" x14ac:dyDescent="0.25">
      <c r="A19250" s="3">
        <f>19243</f>
        <v>19243</v>
      </c>
      <c r="B19250" s="3" t="s">
        <v>19252</v>
      </c>
      <c r="C19250" s="3" t="s">
        <v>10</v>
      </c>
      <c r="D19250" s="3" t="s">
        <v>9</v>
      </c>
      <c r="E19250" s="3">
        <v>0</v>
      </c>
      <c r="F19250" s="3">
        <v>0</v>
      </c>
      <c r="G19250" s="3">
        <v>1</v>
      </c>
      <c r="H19250" s="3">
        <v>0</v>
      </c>
      <c r="I19250" s="3">
        <v>0</v>
      </c>
      <c r="J19250" s="3">
        <v>1</v>
      </c>
      <c r="K19250" s="3">
        <v>0</v>
      </c>
      <c r="L19250" s="3">
        <v>0</v>
      </c>
      <c r="M19250" s="3">
        <v>0</v>
      </c>
      <c r="N19250" s="3">
        <v>0</v>
      </c>
      <c r="O19250" s="3" t="s">
        <v>10</v>
      </c>
      <c r="P19250" s="3" t="s">
        <v>9</v>
      </c>
      <c r="Q19250" s="3"/>
    </row>
    <row r="19251" spans="1:17" ht="15" x14ac:dyDescent="0.25">
      <c r="A19251" s="3">
        <f>19244</f>
        <v>19244</v>
      </c>
      <c r="B19251" s="3" t="s">
        <v>19253</v>
      </c>
      <c r="C19251" s="3" t="s">
        <v>10</v>
      </c>
      <c r="D19251" s="3" t="s">
        <v>9</v>
      </c>
      <c r="E19251" s="3">
        <v>0</v>
      </c>
      <c r="F19251" s="3">
        <v>0</v>
      </c>
      <c r="G19251" s="3">
        <v>1</v>
      </c>
      <c r="H19251" s="3">
        <v>0</v>
      </c>
      <c r="I19251" s="3">
        <v>0</v>
      </c>
      <c r="J19251" s="3">
        <v>1</v>
      </c>
      <c r="K19251" s="3">
        <v>0</v>
      </c>
      <c r="L19251" s="3">
        <v>0</v>
      </c>
      <c r="M19251" s="3">
        <v>0</v>
      </c>
      <c r="N19251" s="3">
        <v>0</v>
      </c>
      <c r="O19251" s="3" t="s">
        <v>10</v>
      </c>
      <c r="P19251" s="3" t="s">
        <v>9</v>
      </c>
      <c r="Q19251" s="3"/>
    </row>
    <row r="19252" spans="1:17" ht="15" x14ac:dyDescent="0.25">
      <c r="A19252" s="3">
        <f>19245</f>
        <v>19245</v>
      </c>
      <c r="B19252" s="3" t="s">
        <v>19254</v>
      </c>
      <c r="C19252" s="3" t="s">
        <v>10</v>
      </c>
      <c r="D19252" s="3" t="s">
        <v>9</v>
      </c>
      <c r="E19252" s="3">
        <v>0</v>
      </c>
      <c r="F19252" s="3">
        <v>0</v>
      </c>
      <c r="G19252" s="3">
        <v>1</v>
      </c>
      <c r="H19252" s="3">
        <v>0</v>
      </c>
      <c r="I19252" s="3">
        <v>0</v>
      </c>
      <c r="J19252" s="3">
        <v>1</v>
      </c>
      <c r="K19252" s="3">
        <v>0</v>
      </c>
      <c r="L19252" s="3">
        <v>0</v>
      </c>
      <c r="M19252" s="3">
        <v>0</v>
      </c>
      <c r="N19252" s="3">
        <v>0</v>
      </c>
      <c r="O19252" s="3" t="s">
        <v>10</v>
      </c>
      <c r="P19252" s="3" t="s">
        <v>9</v>
      </c>
      <c r="Q19252" s="3"/>
    </row>
    <row r="19253" spans="1:17" ht="15" x14ac:dyDescent="0.25">
      <c r="A19253" s="3">
        <f>19246</f>
        <v>19246</v>
      </c>
      <c r="B19253" s="3" t="s">
        <v>19255</v>
      </c>
      <c r="C19253" s="3" t="s">
        <v>10</v>
      </c>
      <c r="D19253" s="3" t="s">
        <v>9</v>
      </c>
      <c r="E19253" s="3">
        <v>0</v>
      </c>
      <c r="F19253" s="3">
        <v>0</v>
      </c>
      <c r="G19253" s="3">
        <v>1</v>
      </c>
      <c r="H19253" s="3">
        <v>0</v>
      </c>
      <c r="I19253" s="3">
        <v>0</v>
      </c>
      <c r="J19253" s="3">
        <v>1</v>
      </c>
      <c r="K19253" s="3">
        <v>0</v>
      </c>
      <c r="L19253" s="3">
        <v>0</v>
      </c>
      <c r="M19253" s="3">
        <v>0</v>
      </c>
      <c r="N19253" s="3">
        <v>0</v>
      </c>
      <c r="O19253" s="3" t="s">
        <v>10</v>
      </c>
      <c r="P19253" s="3" t="s">
        <v>9</v>
      </c>
      <c r="Q19253" s="3"/>
    </row>
    <row r="19254" spans="1:17" ht="15" x14ac:dyDescent="0.25">
      <c r="A19254" s="3">
        <f>19247</f>
        <v>19247</v>
      </c>
      <c r="B19254" s="3" t="s">
        <v>19256</v>
      </c>
      <c r="C19254" s="3" t="s">
        <v>10</v>
      </c>
      <c r="D19254" s="3" t="s">
        <v>9</v>
      </c>
      <c r="E19254" s="3">
        <v>0</v>
      </c>
      <c r="F19254" s="3">
        <v>0</v>
      </c>
      <c r="G19254" s="3">
        <v>1</v>
      </c>
      <c r="H19254" s="3">
        <v>0</v>
      </c>
      <c r="I19254" s="3">
        <v>0</v>
      </c>
      <c r="J19254" s="3">
        <v>1</v>
      </c>
      <c r="K19254" s="3">
        <v>0</v>
      </c>
      <c r="L19254" s="3">
        <v>0</v>
      </c>
      <c r="M19254" s="3">
        <v>0</v>
      </c>
      <c r="N19254" s="3">
        <v>0</v>
      </c>
      <c r="O19254" s="3" t="s">
        <v>10</v>
      </c>
      <c r="P19254" s="3" t="s">
        <v>9</v>
      </c>
      <c r="Q19254" s="3"/>
    </row>
    <row r="19255" spans="1:17" ht="15" x14ac:dyDescent="0.25">
      <c r="A19255" s="3">
        <f>19248</f>
        <v>19248</v>
      </c>
      <c r="B19255" s="3" t="s">
        <v>19257</v>
      </c>
      <c r="C19255" s="3" t="s">
        <v>10</v>
      </c>
      <c r="D19255" s="3" t="s">
        <v>9</v>
      </c>
      <c r="E19255" s="3">
        <v>0</v>
      </c>
      <c r="F19255" s="3">
        <v>0</v>
      </c>
      <c r="G19255" s="3">
        <v>1</v>
      </c>
      <c r="H19255" s="3">
        <v>0</v>
      </c>
      <c r="I19255" s="3">
        <v>0</v>
      </c>
      <c r="J19255" s="3">
        <v>1</v>
      </c>
      <c r="K19255" s="3">
        <v>0</v>
      </c>
      <c r="L19255" s="3">
        <v>0</v>
      </c>
      <c r="M19255" s="3">
        <v>0</v>
      </c>
      <c r="N19255" s="3">
        <v>0</v>
      </c>
      <c r="O19255" s="3" t="s">
        <v>10</v>
      </c>
      <c r="P19255" s="3" t="s">
        <v>9</v>
      </c>
      <c r="Q19255" s="3"/>
    </row>
    <row r="19256" spans="1:17" ht="15" x14ac:dyDescent="0.25">
      <c r="A19256" s="3">
        <f>19249</f>
        <v>19249</v>
      </c>
      <c r="B19256" s="3" t="s">
        <v>19258</v>
      </c>
      <c r="C19256" s="3" t="s">
        <v>10</v>
      </c>
      <c r="D19256" s="3" t="s">
        <v>9</v>
      </c>
      <c r="E19256" s="3">
        <v>0</v>
      </c>
      <c r="F19256" s="3">
        <v>0</v>
      </c>
      <c r="G19256" s="3">
        <v>1</v>
      </c>
      <c r="H19256" s="3">
        <v>0</v>
      </c>
      <c r="I19256" s="3">
        <v>0</v>
      </c>
      <c r="J19256" s="3">
        <v>1</v>
      </c>
      <c r="K19256" s="3">
        <v>0</v>
      </c>
      <c r="L19256" s="3">
        <v>0</v>
      </c>
      <c r="M19256" s="3">
        <v>0</v>
      </c>
      <c r="N19256" s="3">
        <v>0</v>
      </c>
      <c r="O19256" s="3" t="s">
        <v>10</v>
      </c>
      <c r="P19256" s="3" t="s">
        <v>9</v>
      </c>
      <c r="Q19256" s="3"/>
    </row>
    <row r="19257" spans="1:17" ht="15" x14ac:dyDescent="0.25">
      <c r="A19257" s="3">
        <f>19250</f>
        <v>19250</v>
      </c>
      <c r="B19257" s="3" t="s">
        <v>19259</v>
      </c>
      <c r="C19257" s="3" t="s">
        <v>10</v>
      </c>
      <c r="D19257" s="3" t="s">
        <v>9</v>
      </c>
      <c r="E19257" s="3">
        <v>0</v>
      </c>
      <c r="F19257" s="3">
        <v>0</v>
      </c>
      <c r="G19257" s="3">
        <v>1</v>
      </c>
      <c r="H19257" s="3">
        <v>0</v>
      </c>
      <c r="I19257" s="3">
        <v>0</v>
      </c>
      <c r="J19257" s="3">
        <v>1</v>
      </c>
      <c r="K19257" s="3">
        <v>0</v>
      </c>
      <c r="L19257" s="3">
        <v>0</v>
      </c>
      <c r="M19257" s="3">
        <v>0</v>
      </c>
      <c r="N19257" s="3">
        <v>0</v>
      </c>
      <c r="O19257" s="3" t="s">
        <v>10</v>
      </c>
      <c r="P19257" s="3" t="s">
        <v>9</v>
      </c>
      <c r="Q19257" s="3"/>
    </row>
    <row r="19258" spans="1:17" ht="15" x14ac:dyDescent="0.25">
      <c r="A19258" s="3">
        <f>19251</f>
        <v>19251</v>
      </c>
      <c r="B19258" s="3" t="s">
        <v>19260</v>
      </c>
      <c r="C19258" s="3" t="s">
        <v>10</v>
      </c>
      <c r="D19258" s="3" t="s">
        <v>9</v>
      </c>
      <c r="E19258" s="3">
        <v>0</v>
      </c>
      <c r="F19258" s="3">
        <v>0</v>
      </c>
      <c r="G19258" s="3">
        <v>1</v>
      </c>
      <c r="H19258" s="3">
        <v>0</v>
      </c>
      <c r="I19258" s="3">
        <v>0</v>
      </c>
      <c r="J19258" s="3">
        <v>1</v>
      </c>
      <c r="K19258" s="3">
        <v>0</v>
      </c>
      <c r="L19258" s="3">
        <v>0</v>
      </c>
      <c r="M19258" s="3">
        <v>0</v>
      </c>
      <c r="N19258" s="3">
        <v>0</v>
      </c>
      <c r="O19258" s="3" t="s">
        <v>10</v>
      </c>
      <c r="P19258" s="3" t="s">
        <v>9</v>
      </c>
      <c r="Q19258" s="3"/>
    </row>
    <row r="19259" spans="1:17" ht="15" x14ac:dyDescent="0.25">
      <c r="A19259" s="3">
        <f>19252</f>
        <v>19252</v>
      </c>
      <c r="B19259" s="3" t="s">
        <v>19261</v>
      </c>
      <c r="C19259" s="3" t="s">
        <v>10</v>
      </c>
      <c r="D19259" s="3" t="s">
        <v>9</v>
      </c>
      <c r="E19259" s="3">
        <v>0</v>
      </c>
      <c r="F19259" s="3">
        <v>0</v>
      </c>
      <c r="G19259" s="3">
        <v>1</v>
      </c>
      <c r="H19259" s="3">
        <v>0</v>
      </c>
      <c r="I19259" s="3">
        <v>0</v>
      </c>
      <c r="J19259" s="3">
        <v>1</v>
      </c>
      <c r="K19259" s="3">
        <v>0</v>
      </c>
      <c r="L19259" s="3">
        <v>0</v>
      </c>
      <c r="M19259" s="3">
        <v>0</v>
      </c>
      <c r="N19259" s="3">
        <v>0</v>
      </c>
      <c r="O19259" s="3" t="s">
        <v>10</v>
      </c>
      <c r="P19259" s="3" t="s">
        <v>9</v>
      </c>
      <c r="Q19259" s="3"/>
    </row>
    <row r="19260" spans="1:17" ht="15" x14ac:dyDescent="0.25">
      <c r="A19260" s="3">
        <f>19253</f>
        <v>19253</v>
      </c>
      <c r="B19260" s="3" t="s">
        <v>19262</v>
      </c>
      <c r="C19260" s="3" t="s">
        <v>10</v>
      </c>
      <c r="D19260" s="3" t="s">
        <v>9</v>
      </c>
      <c r="E19260" s="3">
        <v>0</v>
      </c>
      <c r="F19260" s="3">
        <v>0</v>
      </c>
      <c r="G19260" s="3">
        <v>1</v>
      </c>
      <c r="H19260" s="3">
        <v>0</v>
      </c>
      <c r="I19260" s="3">
        <v>0</v>
      </c>
      <c r="J19260" s="3">
        <v>1</v>
      </c>
      <c r="K19260" s="3">
        <v>0</v>
      </c>
      <c r="L19260" s="3">
        <v>0</v>
      </c>
      <c r="M19260" s="3">
        <v>0</v>
      </c>
      <c r="N19260" s="3">
        <v>0</v>
      </c>
      <c r="O19260" s="3" t="s">
        <v>10</v>
      </c>
      <c r="P19260" s="3" t="s">
        <v>9</v>
      </c>
      <c r="Q19260" s="3"/>
    </row>
    <row r="19261" spans="1:17" ht="15" x14ac:dyDescent="0.25">
      <c r="A19261" s="3">
        <f>19254</f>
        <v>19254</v>
      </c>
      <c r="B19261" s="3" t="s">
        <v>19263</v>
      </c>
      <c r="C19261" s="3" t="s">
        <v>10</v>
      </c>
      <c r="D19261" s="3" t="s">
        <v>9</v>
      </c>
      <c r="E19261" s="3">
        <v>0</v>
      </c>
      <c r="F19261" s="3">
        <v>0</v>
      </c>
      <c r="G19261" s="3">
        <v>1</v>
      </c>
      <c r="H19261" s="3">
        <v>0</v>
      </c>
      <c r="I19261" s="3">
        <v>0</v>
      </c>
      <c r="J19261" s="3">
        <v>1</v>
      </c>
      <c r="K19261" s="3">
        <v>0</v>
      </c>
      <c r="L19261" s="3">
        <v>0</v>
      </c>
      <c r="M19261" s="3">
        <v>0</v>
      </c>
      <c r="N19261" s="3">
        <v>0</v>
      </c>
      <c r="O19261" s="3" t="s">
        <v>10</v>
      </c>
      <c r="P19261" s="3" t="s">
        <v>9</v>
      </c>
      <c r="Q19261" s="3"/>
    </row>
    <row r="19262" spans="1:17" ht="15" x14ac:dyDescent="0.25">
      <c r="A19262" s="3">
        <f>19255</f>
        <v>19255</v>
      </c>
      <c r="B19262" s="3" t="s">
        <v>19264</v>
      </c>
      <c r="C19262" s="3" t="s">
        <v>10</v>
      </c>
      <c r="D19262" s="3" t="s">
        <v>9</v>
      </c>
      <c r="E19262" s="3">
        <v>0</v>
      </c>
      <c r="F19262" s="3">
        <v>0</v>
      </c>
      <c r="G19262" s="3">
        <v>1</v>
      </c>
      <c r="H19262" s="3">
        <v>0</v>
      </c>
      <c r="I19262" s="3">
        <v>0</v>
      </c>
      <c r="J19262" s="3">
        <v>1</v>
      </c>
      <c r="K19262" s="3">
        <v>0</v>
      </c>
      <c r="L19262" s="3">
        <v>0</v>
      </c>
      <c r="M19262" s="3">
        <v>0</v>
      </c>
      <c r="N19262" s="3">
        <v>0</v>
      </c>
      <c r="O19262" s="3" t="s">
        <v>10</v>
      </c>
      <c r="P19262" s="3" t="s">
        <v>9</v>
      </c>
      <c r="Q19262" s="3"/>
    </row>
    <row r="19263" spans="1:17" ht="15" x14ac:dyDescent="0.25">
      <c r="A19263" s="3">
        <f>19256</f>
        <v>19256</v>
      </c>
      <c r="B19263" s="3" t="s">
        <v>19265</v>
      </c>
      <c r="C19263" s="3" t="s">
        <v>10</v>
      </c>
      <c r="D19263" s="3" t="s">
        <v>9</v>
      </c>
      <c r="E19263" s="3">
        <v>0</v>
      </c>
      <c r="F19263" s="3">
        <v>0</v>
      </c>
      <c r="G19263" s="3">
        <v>1</v>
      </c>
      <c r="H19263" s="3">
        <v>0</v>
      </c>
      <c r="I19263" s="3">
        <v>0</v>
      </c>
      <c r="J19263" s="3">
        <v>1</v>
      </c>
      <c r="K19263" s="3">
        <v>0</v>
      </c>
      <c r="L19263" s="3">
        <v>0</v>
      </c>
      <c r="M19263" s="3">
        <v>0</v>
      </c>
      <c r="N19263" s="3">
        <v>0</v>
      </c>
      <c r="O19263" s="3" t="s">
        <v>10</v>
      </c>
      <c r="P19263" s="3" t="s">
        <v>9</v>
      </c>
      <c r="Q19263" s="3"/>
    </row>
    <row r="19264" spans="1:17" ht="15" x14ac:dyDescent="0.25">
      <c r="A19264" s="3">
        <f>19257</f>
        <v>19257</v>
      </c>
      <c r="B19264" s="3" t="s">
        <v>19266</v>
      </c>
      <c r="C19264" s="3" t="s">
        <v>10</v>
      </c>
      <c r="D19264" s="3" t="s">
        <v>9</v>
      </c>
      <c r="E19264" s="3">
        <v>0</v>
      </c>
      <c r="F19264" s="3">
        <v>0</v>
      </c>
      <c r="G19264" s="3">
        <v>1</v>
      </c>
      <c r="H19264" s="3">
        <v>0</v>
      </c>
      <c r="I19264" s="3">
        <v>0</v>
      </c>
      <c r="J19264" s="3">
        <v>1</v>
      </c>
      <c r="K19264" s="3">
        <v>0</v>
      </c>
      <c r="L19264" s="3">
        <v>0</v>
      </c>
      <c r="M19264" s="3">
        <v>0</v>
      </c>
      <c r="N19264" s="3">
        <v>0</v>
      </c>
      <c r="O19264" s="3" t="s">
        <v>10</v>
      </c>
      <c r="P19264" s="3" t="s">
        <v>9</v>
      </c>
      <c r="Q19264" s="3"/>
    </row>
    <row r="19265" spans="1:17" ht="15" x14ac:dyDescent="0.25">
      <c r="A19265" s="3">
        <f>19258</f>
        <v>19258</v>
      </c>
      <c r="B19265" s="3" t="s">
        <v>19267</v>
      </c>
      <c r="C19265" s="3" t="s">
        <v>10</v>
      </c>
      <c r="D19265" s="3" t="s">
        <v>9</v>
      </c>
      <c r="E19265" s="3">
        <v>0</v>
      </c>
      <c r="F19265" s="3">
        <v>0</v>
      </c>
      <c r="G19265" s="3">
        <v>1</v>
      </c>
      <c r="H19265" s="3">
        <v>0</v>
      </c>
      <c r="I19265" s="3">
        <v>0</v>
      </c>
      <c r="J19265" s="3">
        <v>1</v>
      </c>
      <c r="K19265" s="3">
        <v>0</v>
      </c>
      <c r="L19265" s="3">
        <v>0</v>
      </c>
      <c r="M19265" s="3">
        <v>0</v>
      </c>
      <c r="N19265" s="3">
        <v>0</v>
      </c>
      <c r="O19265" s="3" t="s">
        <v>10</v>
      </c>
      <c r="P19265" s="3" t="s">
        <v>9</v>
      </c>
      <c r="Q19265" s="3"/>
    </row>
    <row r="19266" spans="1:17" ht="15" x14ac:dyDescent="0.25">
      <c r="A19266" s="3">
        <f>19259</f>
        <v>19259</v>
      </c>
      <c r="B19266" s="3" t="s">
        <v>19268</v>
      </c>
      <c r="C19266" s="3" t="s">
        <v>10</v>
      </c>
      <c r="D19266" s="3" t="s">
        <v>9</v>
      </c>
      <c r="E19266" s="3">
        <v>0</v>
      </c>
      <c r="F19266" s="3">
        <v>0</v>
      </c>
      <c r="G19266" s="3">
        <v>1</v>
      </c>
      <c r="H19266" s="3">
        <v>0</v>
      </c>
      <c r="I19266" s="3">
        <v>0</v>
      </c>
      <c r="J19266" s="3">
        <v>1</v>
      </c>
      <c r="K19266" s="3">
        <v>0</v>
      </c>
      <c r="L19266" s="3">
        <v>0</v>
      </c>
      <c r="M19266" s="3">
        <v>0</v>
      </c>
      <c r="N19266" s="3">
        <v>0</v>
      </c>
      <c r="O19266" s="3" t="s">
        <v>10</v>
      </c>
      <c r="P19266" s="3" t="s">
        <v>9</v>
      </c>
      <c r="Q19266" s="3"/>
    </row>
    <row r="19267" spans="1:17" ht="15" x14ac:dyDescent="0.25">
      <c r="A19267" s="3">
        <f>19260</f>
        <v>19260</v>
      </c>
      <c r="B19267" s="3" t="s">
        <v>19269</v>
      </c>
      <c r="C19267" s="3" t="s">
        <v>10</v>
      </c>
      <c r="D19267" s="3" t="s">
        <v>9</v>
      </c>
      <c r="E19267" s="3">
        <v>0</v>
      </c>
      <c r="F19267" s="3">
        <v>0</v>
      </c>
      <c r="G19267" s="3">
        <v>1</v>
      </c>
      <c r="H19267" s="3">
        <v>0</v>
      </c>
      <c r="I19267" s="3">
        <v>0</v>
      </c>
      <c r="J19267" s="3">
        <v>1</v>
      </c>
      <c r="K19267" s="3">
        <v>0</v>
      </c>
      <c r="L19267" s="3">
        <v>0</v>
      </c>
      <c r="M19267" s="3">
        <v>0</v>
      </c>
      <c r="N19267" s="3">
        <v>0</v>
      </c>
      <c r="O19267" s="3" t="s">
        <v>10</v>
      </c>
      <c r="P19267" s="3" t="s">
        <v>9</v>
      </c>
      <c r="Q19267" s="3"/>
    </row>
    <row r="19268" spans="1:17" ht="15" x14ac:dyDescent="0.25">
      <c r="A19268" s="3">
        <f>19261</f>
        <v>19261</v>
      </c>
      <c r="B19268" s="3" t="s">
        <v>19270</v>
      </c>
      <c r="C19268" s="3" t="s">
        <v>10</v>
      </c>
      <c r="D19268" s="3" t="s">
        <v>9</v>
      </c>
      <c r="E19268" s="3">
        <v>0</v>
      </c>
      <c r="F19268" s="3">
        <v>0</v>
      </c>
      <c r="G19268" s="3">
        <v>1</v>
      </c>
      <c r="H19268" s="3">
        <v>0</v>
      </c>
      <c r="I19268" s="3">
        <v>0</v>
      </c>
      <c r="J19268" s="3">
        <v>1</v>
      </c>
      <c r="K19268" s="3">
        <v>0</v>
      </c>
      <c r="L19268" s="3">
        <v>0</v>
      </c>
      <c r="M19268" s="3">
        <v>0</v>
      </c>
      <c r="N19268" s="3">
        <v>0</v>
      </c>
      <c r="O19268" s="3" t="s">
        <v>10</v>
      </c>
      <c r="P19268" s="3" t="s">
        <v>9</v>
      </c>
      <c r="Q19268" s="3"/>
    </row>
    <row r="19269" spans="1:17" ht="15" x14ac:dyDescent="0.25">
      <c r="A19269" s="3">
        <f>19262</f>
        <v>19262</v>
      </c>
      <c r="B19269" s="3" t="s">
        <v>19271</v>
      </c>
      <c r="C19269" s="3" t="s">
        <v>10</v>
      </c>
      <c r="D19269" s="3" t="s">
        <v>9</v>
      </c>
      <c r="E19269" s="3">
        <v>0</v>
      </c>
      <c r="F19269" s="3">
        <v>0</v>
      </c>
      <c r="G19269" s="3">
        <v>1</v>
      </c>
      <c r="H19269" s="3">
        <v>0</v>
      </c>
      <c r="I19269" s="3">
        <v>0</v>
      </c>
      <c r="J19269" s="3">
        <v>1</v>
      </c>
      <c r="K19269" s="3">
        <v>0</v>
      </c>
      <c r="L19269" s="3">
        <v>0</v>
      </c>
      <c r="M19269" s="3">
        <v>0</v>
      </c>
      <c r="N19269" s="3">
        <v>0</v>
      </c>
      <c r="O19269" s="3" t="s">
        <v>10</v>
      </c>
      <c r="P19269" s="3" t="s">
        <v>9</v>
      </c>
      <c r="Q19269" s="3"/>
    </row>
    <row r="19270" spans="1:17" ht="15" x14ac:dyDescent="0.25">
      <c r="A19270" s="3">
        <f>19263</f>
        <v>19263</v>
      </c>
      <c r="B19270" s="3" t="s">
        <v>19272</v>
      </c>
      <c r="C19270" s="3" t="s">
        <v>10</v>
      </c>
      <c r="D19270" s="3" t="s">
        <v>9</v>
      </c>
      <c r="E19270" s="3">
        <v>0</v>
      </c>
      <c r="F19270" s="3">
        <v>0</v>
      </c>
      <c r="G19270" s="3">
        <v>1</v>
      </c>
      <c r="H19270" s="3">
        <v>0</v>
      </c>
      <c r="I19270" s="3">
        <v>0</v>
      </c>
      <c r="J19270" s="3">
        <v>1</v>
      </c>
      <c r="K19270" s="3">
        <v>0</v>
      </c>
      <c r="L19270" s="3">
        <v>0</v>
      </c>
      <c r="M19270" s="3">
        <v>0</v>
      </c>
      <c r="N19270" s="3">
        <v>0</v>
      </c>
      <c r="O19270" s="3" t="s">
        <v>10</v>
      </c>
      <c r="P19270" s="3" t="s">
        <v>9</v>
      </c>
      <c r="Q19270" s="3"/>
    </row>
    <row r="19271" spans="1:17" ht="15" x14ac:dyDescent="0.25">
      <c r="A19271" s="3">
        <f>19264</f>
        <v>19264</v>
      </c>
      <c r="B19271" s="3" t="s">
        <v>19273</v>
      </c>
      <c r="C19271" s="3" t="s">
        <v>10</v>
      </c>
      <c r="D19271" s="3" t="s">
        <v>9</v>
      </c>
      <c r="E19271" s="3">
        <v>0</v>
      </c>
      <c r="F19271" s="3">
        <v>0</v>
      </c>
      <c r="G19271" s="3">
        <v>1</v>
      </c>
      <c r="H19271" s="3">
        <v>0</v>
      </c>
      <c r="I19271" s="3">
        <v>0</v>
      </c>
      <c r="J19271" s="3">
        <v>1</v>
      </c>
      <c r="K19271" s="3">
        <v>0</v>
      </c>
      <c r="L19271" s="3">
        <v>0</v>
      </c>
      <c r="M19271" s="3">
        <v>0</v>
      </c>
      <c r="N19271" s="3">
        <v>0</v>
      </c>
      <c r="O19271" s="3" t="s">
        <v>10</v>
      </c>
      <c r="P19271" s="3" t="s">
        <v>9</v>
      </c>
      <c r="Q19271" s="3"/>
    </row>
    <row r="19272" spans="1:17" ht="15" x14ac:dyDescent="0.25">
      <c r="A19272" s="3">
        <f>19265</f>
        <v>19265</v>
      </c>
      <c r="B19272" s="3" t="s">
        <v>19274</v>
      </c>
      <c r="C19272" s="3" t="s">
        <v>10</v>
      </c>
      <c r="D19272" s="3" t="s">
        <v>9</v>
      </c>
      <c r="E19272" s="3">
        <v>0</v>
      </c>
      <c r="F19272" s="3">
        <v>0</v>
      </c>
      <c r="G19272" s="3">
        <v>1</v>
      </c>
      <c r="H19272" s="3">
        <v>0</v>
      </c>
      <c r="I19272" s="3">
        <v>0</v>
      </c>
      <c r="J19272" s="3">
        <v>1</v>
      </c>
      <c r="K19272" s="3">
        <v>0</v>
      </c>
      <c r="L19272" s="3">
        <v>0</v>
      </c>
      <c r="M19272" s="3">
        <v>0</v>
      </c>
      <c r="N19272" s="3">
        <v>0</v>
      </c>
      <c r="O19272" s="3" t="s">
        <v>10</v>
      </c>
      <c r="P19272" s="3" t="s">
        <v>9</v>
      </c>
      <c r="Q19272" s="3"/>
    </row>
    <row r="19273" spans="1:17" ht="15" x14ac:dyDescent="0.25">
      <c r="A19273" s="3">
        <f>19266</f>
        <v>19266</v>
      </c>
      <c r="B19273" s="3" t="s">
        <v>19275</v>
      </c>
      <c r="C19273" s="3" t="s">
        <v>10</v>
      </c>
      <c r="D19273" s="3" t="s">
        <v>9</v>
      </c>
      <c r="E19273" s="3">
        <v>0</v>
      </c>
      <c r="F19273" s="3">
        <v>0</v>
      </c>
      <c r="G19273" s="3">
        <v>1</v>
      </c>
      <c r="H19273" s="3">
        <v>0</v>
      </c>
      <c r="I19273" s="3">
        <v>0</v>
      </c>
      <c r="J19273" s="3">
        <v>1</v>
      </c>
      <c r="K19273" s="3">
        <v>0</v>
      </c>
      <c r="L19273" s="3">
        <v>0</v>
      </c>
      <c r="M19273" s="3">
        <v>0</v>
      </c>
      <c r="N19273" s="3">
        <v>0</v>
      </c>
      <c r="O19273" s="3" t="s">
        <v>10</v>
      </c>
      <c r="P19273" s="3" t="s">
        <v>9</v>
      </c>
      <c r="Q19273" s="3"/>
    </row>
    <row r="19274" spans="1:17" ht="15" x14ac:dyDescent="0.25">
      <c r="A19274" s="3">
        <f>19267</f>
        <v>19267</v>
      </c>
      <c r="B19274" s="3" t="s">
        <v>19276</v>
      </c>
      <c r="C19274" s="3" t="s">
        <v>10</v>
      </c>
      <c r="D19274" s="3" t="s">
        <v>9</v>
      </c>
      <c r="E19274" s="3">
        <v>0</v>
      </c>
      <c r="F19274" s="3">
        <v>0</v>
      </c>
      <c r="G19274" s="3">
        <v>1</v>
      </c>
      <c r="H19274" s="3">
        <v>0</v>
      </c>
      <c r="I19274" s="3">
        <v>0</v>
      </c>
      <c r="J19274" s="3">
        <v>1</v>
      </c>
      <c r="K19274" s="3">
        <v>0</v>
      </c>
      <c r="L19274" s="3">
        <v>0</v>
      </c>
      <c r="M19274" s="3">
        <v>0</v>
      </c>
      <c r="N19274" s="3">
        <v>0</v>
      </c>
      <c r="O19274" s="3" t="s">
        <v>10</v>
      </c>
      <c r="P19274" s="3" t="s">
        <v>9</v>
      </c>
      <c r="Q19274" s="3"/>
    </row>
    <row r="19275" spans="1:17" ht="15" x14ac:dyDescent="0.25">
      <c r="A19275" s="3">
        <f>19268</f>
        <v>19268</v>
      </c>
      <c r="B19275" s="3" t="s">
        <v>19277</v>
      </c>
      <c r="C19275" s="3" t="s">
        <v>10</v>
      </c>
      <c r="D19275" s="3" t="s">
        <v>9</v>
      </c>
      <c r="E19275" s="3">
        <v>0</v>
      </c>
      <c r="F19275" s="3">
        <v>0</v>
      </c>
      <c r="G19275" s="3">
        <v>1</v>
      </c>
      <c r="H19275" s="3">
        <v>0</v>
      </c>
      <c r="I19275" s="3">
        <v>0</v>
      </c>
      <c r="J19275" s="3">
        <v>1</v>
      </c>
      <c r="K19275" s="3">
        <v>0</v>
      </c>
      <c r="L19275" s="3">
        <v>0</v>
      </c>
      <c r="M19275" s="3">
        <v>0</v>
      </c>
      <c r="N19275" s="3">
        <v>0</v>
      </c>
      <c r="O19275" s="3" t="s">
        <v>10</v>
      </c>
      <c r="P19275" s="3" t="s">
        <v>9</v>
      </c>
      <c r="Q19275" s="3"/>
    </row>
    <row r="19276" spans="1:17" ht="15" x14ac:dyDescent="0.25">
      <c r="A19276" s="3">
        <f>19269</f>
        <v>19269</v>
      </c>
      <c r="B19276" s="3" t="s">
        <v>19278</v>
      </c>
      <c r="C19276" s="3" t="s">
        <v>10</v>
      </c>
      <c r="D19276" s="3" t="s">
        <v>9</v>
      </c>
      <c r="E19276" s="3">
        <v>0</v>
      </c>
      <c r="F19276" s="3">
        <v>0</v>
      </c>
      <c r="G19276" s="3">
        <v>1</v>
      </c>
      <c r="H19276" s="3">
        <v>0</v>
      </c>
      <c r="I19276" s="3">
        <v>0</v>
      </c>
      <c r="J19276" s="3">
        <v>1</v>
      </c>
      <c r="K19276" s="3">
        <v>0</v>
      </c>
      <c r="L19276" s="3">
        <v>0</v>
      </c>
      <c r="M19276" s="3">
        <v>0</v>
      </c>
      <c r="N19276" s="3">
        <v>0</v>
      </c>
      <c r="O19276" s="3" t="s">
        <v>10</v>
      </c>
      <c r="P19276" s="3" t="s">
        <v>9</v>
      </c>
      <c r="Q19276" s="3"/>
    </row>
    <row r="19277" spans="1:17" ht="15" x14ac:dyDescent="0.25">
      <c r="A19277" s="3">
        <f>19270</f>
        <v>19270</v>
      </c>
      <c r="B19277" s="3" t="s">
        <v>19279</v>
      </c>
      <c r="C19277" s="3" t="s">
        <v>10</v>
      </c>
      <c r="D19277" s="3" t="s">
        <v>9</v>
      </c>
      <c r="E19277" s="3">
        <v>0</v>
      </c>
      <c r="F19277" s="3">
        <v>0</v>
      </c>
      <c r="G19277" s="3">
        <v>1</v>
      </c>
      <c r="H19277" s="3">
        <v>0</v>
      </c>
      <c r="I19277" s="3">
        <v>0</v>
      </c>
      <c r="J19277" s="3">
        <v>1</v>
      </c>
      <c r="K19277" s="3">
        <v>0</v>
      </c>
      <c r="L19277" s="3">
        <v>0</v>
      </c>
      <c r="M19277" s="3">
        <v>0</v>
      </c>
      <c r="N19277" s="3">
        <v>0</v>
      </c>
      <c r="O19277" s="3" t="s">
        <v>10</v>
      </c>
      <c r="P19277" s="3" t="s">
        <v>9</v>
      </c>
      <c r="Q19277" s="3"/>
    </row>
    <row r="19278" spans="1:17" ht="15" x14ac:dyDescent="0.25">
      <c r="A19278" s="3">
        <f>19271</f>
        <v>19271</v>
      </c>
      <c r="B19278" s="3" t="s">
        <v>19280</v>
      </c>
      <c r="C19278" s="3" t="s">
        <v>10</v>
      </c>
      <c r="D19278" s="3" t="s">
        <v>9</v>
      </c>
      <c r="E19278" s="3">
        <v>0</v>
      </c>
      <c r="F19278" s="3">
        <v>0</v>
      </c>
      <c r="G19278" s="3">
        <v>1</v>
      </c>
      <c r="H19278" s="3">
        <v>0</v>
      </c>
      <c r="I19278" s="3">
        <v>0</v>
      </c>
      <c r="J19278" s="3">
        <v>1</v>
      </c>
      <c r="K19278" s="3">
        <v>0</v>
      </c>
      <c r="L19278" s="3">
        <v>0</v>
      </c>
      <c r="M19278" s="3">
        <v>0</v>
      </c>
      <c r="N19278" s="3">
        <v>0</v>
      </c>
      <c r="O19278" s="3" t="s">
        <v>10</v>
      </c>
      <c r="P19278" s="3" t="s">
        <v>9</v>
      </c>
      <c r="Q19278" s="3"/>
    </row>
    <row r="19279" spans="1:17" ht="15" x14ac:dyDescent="0.25">
      <c r="A19279" s="3">
        <f>19272</f>
        <v>19272</v>
      </c>
      <c r="B19279" s="3" t="s">
        <v>19281</v>
      </c>
      <c r="C19279" s="3" t="s">
        <v>10</v>
      </c>
      <c r="D19279" s="3" t="s">
        <v>9</v>
      </c>
      <c r="E19279" s="3">
        <v>0</v>
      </c>
      <c r="F19279" s="3">
        <v>0</v>
      </c>
      <c r="G19279" s="3">
        <v>1</v>
      </c>
      <c r="H19279" s="3">
        <v>0</v>
      </c>
      <c r="I19279" s="3">
        <v>0</v>
      </c>
      <c r="J19279" s="3">
        <v>1</v>
      </c>
      <c r="K19279" s="3">
        <v>0</v>
      </c>
      <c r="L19279" s="3">
        <v>0</v>
      </c>
      <c r="M19279" s="3">
        <v>0</v>
      </c>
      <c r="N19279" s="3">
        <v>0</v>
      </c>
      <c r="O19279" s="3" t="s">
        <v>10</v>
      </c>
      <c r="P19279" s="3" t="s">
        <v>9</v>
      </c>
      <c r="Q19279" s="3"/>
    </row>
    <row r="19280" spans="1:17" ht="15" x14ac:dyDescent="0.25">
      <c r="A19280" s="3">
        <f>19273</f>
        <v>19273</v>
      </c>
      <c r="B19280" s="3" t="s">
        <v>19282</v>
      </c>
      <c r="C19280" s="3" t="s">
        <v>10</v>
      </c>
      <c r="D19280" s="3" t="s">
        <v>9</v>
      </c>
      <c r="E19280" s="3">
        <v>0</v>
      </c>
      <c r="F19280" s="3">
        <v>0</v>
      </c>
      <c r="G19280" s="3">
        <v>1</v>
      </c>
      <c r="H19280" s="3">
        <v>0</v>
      </c>
      <c r="I19280" s="3">
        <v>0</v>
      </c>
      <c r="J19280" s="3">
        <v>1</v>
      </c>
      <c r="K19280" s="3">
        <v>0</v>
      </c>
      <c r="L19280" s="3">
        <v>0</v>
      </c>
      <c r="M19280" s="3">
        <v>0</v>
      </c>
      <c r="N19280" s="3">
        <v>0</v>
      </c>
      <c r="O19280" s="3" t="s">
        <v>10</v>
      </c>
      <c r="P19280" s="3" t="s">
        <v>9</v>
      </c>
      <c r="Q19280" s="3"/>
    </row>
    <row r="19281" spans="1:17" ht="15" x14ac:dyDescent="0.25">
      <c r="A19281" s="3">
        <f>19274</f>
        <v>19274</v>
      </c>
      <c r="B19281" s="3" t="s">
        <v>19283</v>
      </c>
      <c r="C19281" s="3" t="s">
        <v>10</v>
      </c>
      <c r="D19281" s="3" t="s">
        <v>9</v>
      </c>
      <c r="E19281" s="3">
        <v>0</v>
      </c>
      <c r="F19281" s="3">
        <v>0</v>
      </c>
      <c r="G19281" s="3">
        <v>1</v>
      </c>
      <c r="H19281" s="3">
        <v>0</v>
      </c>
      <c r="I19281" s="3">
        <v>0</v>
      </c>
      <c r="J19281" s="3">
        <v>1</v>
      </c>
      <c r="K19281" s="3">
        <v>0</v>
      </c>
      <c r="L19281" s="3">
        <v>0</v>
      </c>
      <c r="M19281" s="3">
        <v>0</v>
      </c>
      <c r="N19281" s="3">
        <v>0</v>
      </c>
      <c r="O19281" s="3" t="s">
        <v>10</v>
      </c>
      <c r="P19281" s="3" t="s">
        <v>9</v>
      </c>
      <c r="Q19281" s="3"/>
    </row>
    <row r="19282" spans="1:17" ht="15" x14ac:dyDescent="0.25">
      <c r="A19282" s="3">
        <f>19275</f>
        <v>19275</v>
      </c>
      <c r="B19282" s="3" t="s">
        <v>19284</v>
      </c>
      <c r="C19282" s="3" t="s">
        <v>10</v>
      </c>
      <c r="D19282" s="3" t="s">
        <v>9</v>
      </c>
      <c r="E19282" s="3">
        <v>0</v>
      </c>
      <c r="F19282" s="3">
        <v>0</v>
      </c>
      <c r="G19282" s="3">
        <v>1</v>
      </c>
      <c r="H19282" s="3">
        <v>0</v>
      </c>
      <c r="I19282" s="3">
        <v>0</v>
      </c>
      <c r="J19282" s="3">
        <v>1</v>
      </c>
      <c r="K19282" s="3">
        <v>0</v>
      </c>
      <c r="L19282" s="3">
        <v>0</v>
      </c>
      <c r="M19282" s="3">
        <v>0</v>
      </c>
      <c r="N19282" s="3">
        <v>0</v>
      </c>
      <c r="O19282" s="3" t="s">
        <v>10</v>
      </c>
      <c r="P19282" s="3" t="s">
        <v>9</v>
      </c>
      <c r="Q19282" s="3"/>
    </row>
    <row r="19283" spans="1:17" ht="15" x14ac:dyDescent="0.25">
      <c r="A19283" s="3">
        <f>19276</f>
        <v>19276</v>
      </c>
      <c r="B19283" s="3" t="s">
        <v>19285</v>
      </c>
      <c r="C19283" s="3" t="s">
        <v>10</v>
      </c>
      <c r="D19283" s="3" t="s">
        <v>9</v>
      </c>
      <c r="E19283" s="3">
        <v>0</v>
      </c>
      <c r="F19283" s="3">
        <v>0</v>
      </c>
      <c r="G19283" s="3">
        <v>1</v>
      </c>
      <c r="H19283" s="3">
        <v>0</v>
      </c>
      <c r="I19283" s="3">
        <v>0</v>
      </c>
      <c r="J19283" s="3">
        <v>1</v>
      </c>
      <c r="K19283" s="3">
        <v>0</v>
      </c>
      <c r="L19283" s="3">
        <v>0</v>
      </c>
      <c r="M19283" s="3">
        <v>0</v>
      </c>
      <c r="N19283" s="3">
        <v>0</v>
      </c>
      <c r="O19283" s="3" t="s">
        <v>10</v>
      </c>
      <c r="P19283" s="3" t="s">
        <v>9</v>
      </c>
      <c r="Q19283" s="3"/>
    </row>
    <row r="19284" spans="1:17" ht="15" x14ac:dyDescent="0.25">
      <c r="A19284" s="3">
        <f>19277</f>
        <v>19277</v>
      </c>
      <c r="B19284" s="3" t="s">
        <v>19286</v>
      </c>
      <c r="C19284" s="3" t="s">
        <v>10</v>
      </c>
      <c r="D19284" s="3" t="s">
        <v>9</v>
      </c>
      <c r="E19284" s="3">
        <v>0</v>
      </c>
      <c r="F19284" s="3">
        <v>0</v>
      </c>
      <c r="G19284" s="3">
        <v>1</v>
      </c>
      <c r="H19284" s="3">
        <v>0</v>
      </c>
      <c r="I19284" s="3">
        <v>0</v>
      </c>
      <c r="J19284" s="3">
        <v>1</v>
      </c>
      <c r="K19284" s="3">
        <v>0</v>
      </c>
      <c r="L19284" s="3">
        <v>0</v>
      </c>
      <c r="M19284" s="3">
        <v>0</v>
      </c>
      <c r="N19284" s="3">
        <v>0</v>
      </c>
      <c r="O19284" s="3" t="s">
        <v>10</v>
      </c>
      <c r="P19284" s="3" t="s">
        <v>9</v>
      </c>
      <c r="Q19284" s="3"/>
    </row>
    <row r="19285" spans="1:17" ht="15" x14ac:dyDescent="0.25">
      <c r="A19285" s="3">
        <f>19278</f>
        <v>19278</v>
      </c>
      <c r="B19285" s="3" t="s">
        <v>19287</v>
      </c>
      <c r="C19285" s="3" t="s">
        <v>10</v>
      </c>
      <c r="D19285" s="3" t="s">
        <v>9</v>
      </c>
      <c r="E19285" s="3">
        <v>0</v>
      </c>
      <c r="F19285" s="3">
        <v>0</v>
      </c>
      <c r="G19285" s="3">
        <v>1</v>
      </c>
      <c r="H19285" s="3">
        <v>0</v>
      </c>
      <c r="I19285" s="3">
        <v>0</v>
      </c>
      <c r="J19285" s="3">
        <v>1</v>
      </c>
      <c r="K19285" s="3">
        <v>0</v>
      </c>
      <c r="L19285" s="3">
        <v>0</v>
      </c>
      <c r="M19285" s="3">
        <v>0</v>
      </c>
      <c r="N19285" s="3">
        <v>0</v>
      </c>
      <c r="O19285" s="3" t="s">
        <v>10</v>
      </c>
      <c r="P19285" s="3" t="s">
        <v>9</v>
      </c>
      <c r="Q19285" s="3"/>
    </row>
    <row r="19286" spans="1:17" ht="15" x14ac:dyDescent="0.25">
      <c r="A19286" s="3">
        <f>19279</f>
        <v>19279</v>
      </c>
      <c r="B19286" s="3" t="s">
        <v>19288</v>
      </c>
      <c r="C19286" s="3" t="s">
        <v>10</v>
      </c>
      <c r="D19286" s="3" t="s">
        <v>9</v>
      </c>
      <c r="E19286" s="3">
        <v>0</v>
      </c>
      <c r="F19286" s="3">
        <v>0</v>
      </c>
      <c r="G19286" s="3">
        <v>1</v>
      </c>
      <c r="H19286" s="3">
        <v>0</v>
      </c>
      <c r="I19286" s="3">
        <v>0</v>
      </c>
      <c r="J19286" s="3">
        <v>1</v>
      </c>
      <c r="K19286" s="3">
        <v>0</v>
      </c>
      <c r="L19286" s="3">
        <v>0</v>
      </c>
      <c r="M19286" s="3">
        <v>0</v>
      </c>
      <c r="N19286" s="3">
        <v>0</v>
      </c>
      <c r="O19286" s="3" t="s">
        <v>10</v>
      </c>
      <c r="P19286" s="3" t="s">
        <v>9</v>
      </c>
      <c r="Q19286" s="3"/>
    </row>
    <row r="19287" spans="1:17" ht="15" x14ac:dyDescent="0.25">
      <c r="A19287" s="3">
        <f>19280</f>
        <v>19280</v>
      </c>
      <c r="B19287" s="3" t="s">
        <v>19289</v>
      </c>
      <c r="C19287" s="3" t="s">
        <v>10</v>
      </c>
      <c r="D19287" s="3" t="s">
        <v>9</v>
      </c>
      <c r="E19287" s="3">
        <v>0</v>
      </c>
      <c r="F19287" s="3">
        <v>0</v>
      </c>
      <c r="G19287" s="3">
        <v>1</v>
      </c>
      <c r="H19287" s="3">
        <v>0</v>
      </c>
      <c r="I19287" s="3">
        <v>0</v>
      </c>
      <c r="J19287" s="3">
        <v>1</v>
      </c>
      <c r="K19287" s="3">
        <v>0</v>
      </c>
      <c r="L19287" s="3">
        <v>0</v>
      </c>
      <c r="M19287" s="3">
        <v>0</v>
      </c>
      <c r="N19287" s="3">
        <v>0</v>
      </c>
      <c r="O19287" s="3" t="s">
        <v>10</v>
      </c>
      <c r="P19287" s="3" t="s">
        <v>9</v>
      </c>
      <c r="Q19287" s="3"/>
    </row>
    <row r="19288" spans="1:17" ht="15" x14ac:dyDescent="0.25">
      <c r="A19288" s="3">
        <f>19281</f>
        <v>19281</v>
      </c>
      <c r="B19288" s="3" t="s">
        <v>19290</v>
      </c>
      <c r="C19288" s="3" t="s">
        <v>10</v>
      </c>
      <c r="D19288" s="3" t="s">
        <v>9</v>
      </c>
      <c r="E19288" s="3">
        <v>0</v>
      </c>
      <c r="F19288" s="3">
        <v>0</v>
      </c>
      <c r="G19288" s="3">
        <v>1</v>
      </c>
      <c r="H19288" s="3">
        <v>0</v>
      </c>
      <c r="I19288" s="3">
        <v>0</v>
      </c>
      <c r="J19288" s="3">
        <v>1</v>
      </c>
      <c r="K19288" s="3">
        <v>0</v>
      </c>
      <c r="L19288" s="3">
        <v>0</v>
      </c>
      <c r="M19288" s="3">
        <v>0</v>
      </c>
      <c r="N19288" s="3">
        <v>0</v>
      </c>
      <c r="O19288" s="3" t="s">
        <v>10</v>
      </c>
      <c r="P19288" s="3" t="s">
        <v>9</v>
      </c>
      <c r="Q19288" s="3"/>
    </row>
    <row r="19289" spans="1:17" ht="15" x14ac:dyDescent="0.25">
      <c r="A19289" s="3">
        <f>19282</f>
        <v>19282</v>
      </c>
      <c r="B19289" s="3" t="s">
        <v>19291</v>
      </c>
      <c r="C19289" s="3" t="s">
        <v>10</v>
      </c>
      <c r="D19289" s="3" t="s">
        <v>9</v>
      </c>
      <c r="E19289" s="3">
        <v>0</v>
      </c>
      <c r="F19289" s="3">
        <v>0</v>
      </c>
      <c r="G19289" s="3">
        <v>1</v>
      </c>
      <c r="H19289" s="3">
        <v>0</v>
      </c>
      <c r="I19289" s="3">
        <v>0</v>
      </c>
      <c r="J19289" s="3">
        <v>1</v>
      </c>
      <c r="K19289" s="3">
        <v>0</v>
      </c>
      <c r="L19289" s="3">
        <v>0</v>
      </c>
      <c r="M19289" s="3">
        <v>0</v>
      </c>
      <c r="N19289" s="3">
        <v>0</v>
      </c>
      <c r="O19289" s="3" t="s">
        <v>10</v>
      </c>
      <c r="P19289" s="3" t="s">
        <v>9</v>
      </c>
      <c r="Q19289" s="3"/>
    </row>
    <row r="19290" spans="1:17" ht="15" x14ac:dyDescent="0.25">
      <c r="A19290" s="3">
        <f>19283</f>
        <v>19283</v>
      </c>
      <c r="B19290" s="3" t="s">
        <v>19292</v>
      </c>
      <c r="C19290" s="3" t="s">
        <v>10</v>
      </c>
      <c r="D19290" s="3" t="s">
        <v>9</v>
      </c>
      <c r="E19290" s="3">
        <v>0</v>
      </c>
      <c r="F19290" s="3">
        <v>0</v>
      </c>
      <c r="G19290" s="3">
        <v>1</v>
      </c>
      <c r="H19290" s="3">
        <v>0</v>
      </c>
      <c r="I19290" s="3">
        <v>0</v>
      </c>
      <c r="J19290" s="3">
        <v>1</v>
      </c>
      <c r="K19290" s="3">
        <v>0</v>
      </c>
      <c r="L19290" s="3">
        <v>0</v>
      </c>
      <c r="M19290" s="3">
        <v>0</v>
      </c>
      <c r="N19290" s="3">
        <v>0</v>
      </c>
      <c r="O19290" s="3" t="s">
        <v>10</v>
      </c>
      <c r="P19290" s="3" t="s">
        <v>9</v>
      </c>
      <c r="Q19290" s="3"/>
    </row>
    <row r="19291" spans="1:17" ht="15" x14ac:dyDescent="0.25">
      <c r="A19291" s="3">
        <f>19284</f>
        <v>19284</v>
      </c>
      <c r="B19291" s="3" t="s">
        <v>19293</v>
      </c>
      <c r="C19291" s="3" t="s">
        <v>10</v>
      </c>
      <c r="D19291" s="3" t="s">
        <v>9</v>
      </c>
      <c r="E19291" s="3">
        <v>0</v>
      </c>
      <c r="F19291" s="3">
        <v>0</v>
      </c>
      <c r="G19291" s="3">
        <v>1</v>
      </c>
      <c r="H19291" s="3">
        <v>0</v>
      </c>
      <c r="I19291" s="3">
        <v>0</v>
      </c>
      <c r="J19291" s="3">
        <v>1</v>
      </c>
      <c r="K19291" s="3">
        <v>0</v>
      </c>
      <c r="L19291" s="3">
        <v>0</v>
      </c>
      <c r="M19291" s="3">
        <v>0</v>
      </c>
      <c r="N19291" s="3">
        <v>0</v>
      </c>
      <c r="O19291" s="3" t="s">
        <v>10</v>
      </c>
      <c r="P19291" s="3" t="s">
        <v>9</v>
      </c>
      <c r="Q19291" s="3"/>
    </row>
    <row r="19292" spans="1:17" ht="15" x14ac:dyDescent="0.25">
      <c r="A19292" s="3">
        <f>19285</f>
        <v>19285</v>
      </c>
      <c r="B19292" s="3" t="s">
        <v>19294</v>
      </c>
      <c r="C19292" s="3" t="s">
        <v>10</v>
      </c>
      <c r="D19292" s="3" t="s">
        <v>9</v>
      </c>
      <c r="E19292" s="3">
        <v>0</v>
      </c>
      <c r="F19292" s="3">
        <v>0</v>
      </c>
      <c r="G19292" s="3">
        <v>1</v>
      </c>
      <c r="H19292" s="3">
        <v>0</v>
      </c>
      <c r="I19292" s="3">
        <v>0</v>
      </c>
      <c r="J19292" s="3">
        <v>1</v>
      </c>
      <c r="K19292" s="3">
        <v>0</v>
      </c>
      <c r="L19292" s="3">
        <v>0</v>
      </c>
      <c r="M19292" s="3">
        <v>0</v>
      </c>
      <c r="N19292" s="3">
        <v>0</v>
      </c>
      <c r="O19292" s="3" t="s">
        <v>10</v>
      </c>
      <c r="P19292" s="3" t="s">
        <v>9</v>
      </c>
      <c r="Q19292" s="3"/>
    </row>
    <row r="19293" spans="1:17" ht="15" x14ac:dyDescent="0.25">
      <c r="A19293" s="3">
        <f>19286</f>
        <v>19286</v>
      </c>
      <c r="B19293" s="3" t="s">
        <v>19295</v>
      </c>
      <c r="C19293" s="3" t="s">
        <v>10</v>
      </c>
      <c r="D19293" s="3" t="s">
        <v>9</v>
      </c>
      <c r="E19293" s="3">
        <v>0</v>
      </c>
      <c r="F19293" s="3">
        <v>0</v>
      </c>
      <c r="G19293" s="3">
        <v>1</v>
      </c>
      <c r="H19293" s="3">
        <v>0</v>
      </c>
      <c r="I19293" s="3">
        <v>0</v>
      </c>
      <c r="J19293" s="3">
        <v>1</v>
      </c>
      <c r="K19293" s="3">
        <v>0</v>
      </c>
      <c r="L19293" s="3">
        <v>0</v>
      </c>
      <c r="M19293" s="3">
        <v>0</v>
      </c>
      <c r="N19293" s="3">
        <v>0</v>
      </c>
      <c r="O19293" s="3" t="s">
        <v>10</v>
      </c>
      <c r="P19293" s="3" t="s">
        <v>9</v>
      </c>
      <c r="Q19293" s="3"/>
    </row>
    <row r="19294" spans="1:17" ht="15" x14ac:dyDescent="0.25">
      <c r="A19294" s="3">
        <f>19287</f>
        <v>19287</v>
      </c>
      <c r="B19294" s="3" t="s">
        <v>19296</v>
      </c>
      <c r="C19294" s="3" t="s">
        <v>10</v>
      </c>
      <c r="D19294" s="3" t="s">
        <v>9</v>
      </c>
      <c r="E19294" s="3">
        <v>0</v>
      </c>
      <c r="F19294" s="3">
        <v>0</v>
      </c>
      <c r="G19294" s="3">
        <v>1</v>
      </c>
      <c r="H19294" s="3">
        <v>0</v>
      </c>
      <c r="I19294" s="3">
        <v>0</v>
      </c>
      <c r="J19294" s="3">
        <v>1</v>
      </c>
      <c r="K19294" s="3">
        <v>0</v>
      </c>
      <c r="L19294" s="3">
        <v>0</v>
      </c>
      <c r="M19294" s="3">
        <v>0</v>
      </c>
      <c r="N19294" s="3">
        <v>0</v>
      </c>
      <c r="O19294" s="3" t="s">
        <v>10</v>
      </c>
      <c r="P19294" s="3" t="s">
        <v>9</v>
      </c>
      <c r="Q19294" s="3"/>
    </row>
    <row r="19295" spans="1:17" ht="15" x14ac:dyDescent="0.25">
      <c r="A19295" s="3">
        <f>19288</f>
        <v>19288</v>
      </c>
      <c r="B19295" s="3" t="s">
        <v>19297</v>
      </c>
      <c r="C19295" s="3" t="s">
        <v>10</v>
      </c>
      <c r="D19295" s="3" t="s">
        <v>9</v>
      </c>
      <c r="E19295" s="3">
        <v>0</v>
      </c>
      <c r="F19295" s="3">
        <v>0</v>
      </c>
      <c r="G19295" s="3">
        <v>1</v>
      </c>
      <c r="H19295" s="3">
        <v>0</v>
      </c>
      <c r="I19295" s="3">
        <v>0</v>
      </c>
      <c r="J19295" s="3">
        <v>1</v>
      </c>
      <c r="K19295" s="3">
        <v>0</v>
      </c>
      <c r="L19295" s="3">
        <v>0</v>
      </c>
      <c r="M19295" s="3">
        <v>0</v>
      </c>
      <c r="N19295" s="3">
        <v>0</v>
      </c>
      <c r="O19295" s="3" t="s">
        <v>10</v>
      </c>
      <c r="P19295" s="3" t="s">
        <v>9</v>
      </c>
      <c r="Q19295" s="3"/>
    </row>
    <row r="19296" spans="1:17" ht="15" x14ac:dyDescent="0.25">
      <c r="A19296" s="3">
        <f>19289</f>
        <v>19289</v>
      </c>
      <c r="B19296" s="3" t="s">
        <v>19298</v>
      </c>
      <c r="C19296" s="3" t="s">
        <v>10</v>
      </c>
      <c r="D19296" s="3" t="s">
        <v>9</v>
      </c>
      <c r="E19296" s="3">
        <v>0</v>
      </c>
      <c r="F19296" s="3">
        <v>0</v>
      </c>
      <c r="G19296" s="3">
        <v>1</v>
      </c>
      <c r="H19296" s="3">
        <v>0</v>
      </c>
      <c r="I19296" s="3">
        <v>0</v>
      </c>
      <c r="J19296" s="3">
        <v>1</v>
      </c>
      <c r="K19296" s="3">
        <v>0</v>
      </c>
      <c r="L19296" s="3">
        <v>0</v>
      </c>
      <c r="M19296" s="3">
        <v>0</v>
      </c>
      <c r="N19296" s="3">
        <v>0</v>
      </c>
      <c r="O19296" s="3" t="s">
        <v>10</v>
      </c>
      <c r="P19296" s="3" t="s">
        <v>9</v>
      </c>
      <c r="Q19296" s="3"/>
    </row>
    <row r="19297" spans="1:17" ht="15" x14ac:dyDescent="0.25">
      <c r="A19297" s="3">
        <f>19290</f>
        <v>19290</v>
      </c>
      <c r="B19297" s="3" t="s">
        <v>19299</v>
      </c>
      <c r="C19297" s="3" t="s">
        <v>10</v>
      </c>
      <c r="D19297" s="3" t="s">
        <v>9</v>
      </c>
      <c r="E19297" s="3">
        <v>0</v>
      </c>
      <c r="F19297" s="3">
        <v>0</v>
      </c>
      <c r="G19297" s="3">
        <v>1</v>
      </c>
      <c r="H19297" s="3">
        <v>0</v>
      </c>
      <c r="I19297" s="3">
        <v>0</v>
      </c>
      <c r="J19297" s="3">
        <v>1</v>
      </c>
      <c r="K19297" s="3">
        <v>0</v>
      </c>
      <c r="L19297" s="3">
        <v>0</v>
      </c>
      <c r="M19297" s="3">
        <v>0</v>
      </c>
      <c r="N19297" s="3">
        <v>0</v>
      </c>
      <c r="O19297" s="3" t="s">
        <v>10</v>
      </c>
      <c r="P19297" s="3" t="s">
        <v>9</v>
      </c>
      <c r="Q19297" s="3"/>
    </row>
    <row r="19298" spans="1:17" ht="15" x14ac:dyDescent="0.25">
      <c r="A19298" s="3">
        <f>19291</f>
        <v>19291</v>
      </c>
      <c r="B19298" s="3" t="s">
        <v>19300</v>
      </c>
      <c r="C19298" s="3" t="s">
        <v>10</v>
      </c>
      <c r="D19298" s="3" t="s">
        <v>9</v>
      </c>
      <c r="E19298" s="3">
        <v>0</v>
      </c>
      <c r="F19298" s="3">
        <v>0</v>
      </c>
      <c r="G19298" s="3">
        <v>1</v>
      </c>
      <c r="H19298" s="3">
        <v>0</v>
      </c>
      <c r="I19298" s="3">
        <v>0</v>
      </c>
      <c r="J19298" s="3">
        <v>1</v>
      </c>
      <c r="K19298" s="3">
        <v>0</v>
      </c>
      <c r="L19298" s="3">
        <v>0</v>
      </c>
      <c r="M19298" s="3">
        <v>0</v>
      </c>
      <c r="N19298" s="3">
        <v>0</v>
      </c>
      <c r="O19298" s="3" t="s">
        <v>10</v>
      </c>
      <c r="P19298" s="3" t="s">
        <v>9</v>
      </c>
      <c r="Q19298" s="3"/>
    </row>
    <row r="19299" spans="1:17" ht="15" x14ac:dyDescent="0.25">
      <c r="A19299" s="3">
        <f>19292</f>
        <v>19292</v>
      </c>
      <c r="B19299" s="3" t="s">
        <v>19301</v>
      </c>
      <c r="C19299" s="3" t="s">
        <v>10</v>
      </c>
      <c r="D19299" s="3" t="s">
        <v>9</v>
      </c>
      <c r="E19299" s="3">
        <v>0</v>
      </c>
      <c r="F19299" s="3">
        <v>0</v>
      </c>
      <c r="G19299" s="3">
        <v>1</v>
      </c>
      <c r="H19299" s="3">
        <v>0</v>
      </c>
      <c r="I19299" s="3">
        <v>0</v>
      </c>
      <c r="J19299" s="3">
        <v>1</v>
      </c>
      <c r="K19299" s="3">
        <v>0</v>
      </c>
      <c r="L19299" s="3">
        <v>0</v>
      </c>
      <c r="M19299" s="3">
        <v>0</v>
      </c>
      <c r="N19299" s="3">
        <v>0</v>
      </c>
      <c r="O19299" s="3" t="s">
        <v>10</v>
      </c>
      <c r="P19299" s="3" t="s">
        <v>9</v>
      </c>
      <c r="Q19299" s="3"/>
    </row>
    <row r="19300" spans="1:17" ht="15" x14ac:dyDescent="0.25">
      <c r="A19300" s="3">
        <f>19293</f>
        <v>19293</v>
      </c>
      <c r="B19300" s="3" t="s">
        <v>19302</v>
      </c>
      <c r="C19300" s="3" t="s">
        <v>10</v>
      </c>
      <c r="D19300" s="3" t="s">
        <v>9</v>
      </c>
      <c r="E19300" s="3">
        <v>0</v>
      </c>
      <c r="F19300" s="3">
        <v>0</v>
      </c>
      <c r="G19300" s="3">
        <v>1</v>
      </c>
      <c r="H19300" s="3">
        <v>0</v>
      </c>
      <c r="I19300" s="3">
        <v>0</v>
      </c>
      <c r="J19300" s="3">
        <v>1</v>
      </c>
      <c r="K19300" s="3">
        <v>0</v>
      </c>
      <c r="L19300" s="3">
        <v>0</v>
      </c>
      <c r="M19300" s="3">
        <v>0</v>
      </c>
      <c r="N19300" s="3">
        <v>0</v>
      </c>
      <c r="O19300" s="3" t="s">
        <v>10</v>
      </c>
      <c r="P19300" s="3" t="s">
        <v>9</v>
      </c>
      <c r="Q19300" s="3"/>
    </row>
    <row r="19301" spans="1:17" ht="15" x14ac:dyDescent="0.25">
      <c r="A19301" s="3">
        <f>19294</f>
        <v>19294</v>
      </c>
      <c r="B19301" s="3" t="s">
        <v>19303</v>
      </c>
      <c r="C19301" s="3" t="s">
        <v>10</v>
      </c>
      <c r="D19301" s="3" t="s">
        <v>9</v>
      </c>
      <c r="E19301" s="3">
        <v>0</v>
      </c>
      <c r="F19301" s="3">
        <v>0</v>
      </c>
      <c r="G19301" s="3">
        <v>1</v>
      </c>
      <c r="H19301" s="3">
        <v>0</v>
      </c>
      <c r="I19301" s="3">
        <v>0</v>
      </c>
      <c r="J19301" s="3">
        <v>1</v>
      </c>
      <c r="K19301" s="3">
        <v>0</v>
      </c>
      <c r="L19301" s="3">
        <v>0</v>
      </c>
      <c r="M19301" s="3">
        <v>0</v>
      </c>
      <c r="N19301" s="3">
        <v>0</v>
      </c>
      <c r="O19301" s="3" t="s">
        <v>10</v>
      </c>
      <c r="P19301" s="3" t="s">
        <v>9</v>
      </c>
      <c r="Q19301" s="3"/>
    </row>
    <row r="19302" spans="1:17" ht="15" x14ac:dyDescent="0.25">
      <c r="A19302" s="3">
        <f>19295</f>
        <v>19295</v>
      </c>
      <c r="B19302" s="3" t="s">
        <v>19304</v>
      </c>
      <c r="C19302" s="3" t="s">
        <v>10</v>
      </c>
      <c r="D19302" s="3" t="s">
        <v>9</v>
      </c>
      <c r="E19302" s="3">
        <v>0</v>
      </c>
      <c r="F19302" s="3">
        <v>0</v>
      </c>
      <c r="G19302" s="3">
        <v>1</v>
      </c>
      <c r="H19302" s="3">
        <v>0</v>
      </c>
      <c r="I19302" s="3">
        <v>0</v>
      </c>
      <c r="J19302" s="3">
        <v>1</v>
      </c>
      <c r="K19302" s="3">
        <v>0</v>
      </c>
      <c r="L19302" s="3">
        <v>0</v>
      </c>
      <c r="M19302" s="3">
        <v>0</v>
      </c>
      <c r="N19302" s="3">
        <v>0</v>
      </c>
      <c r="O19302" s="3" t="s">
        <v>10</v>
      </c>
      <c r="P19302" s="3" t="s">
        <v>9</v>
      </c>
      <c r="Q19302" s="3"/>
    </row>
    <row r="19303" spans="1:17" ht="15" x14ac:dyDescent="0.25">
      <c r="A19303" s="3">
        <f>19296</f>
        <v>19296</v>
      </c>
      <c r="B19303" s="3" t="s">
        <v>19305</v>
      </c>
      <c r="C19303" s="3" t="s">
        <v>10</v>
      </c>
      <c r="D19303" s="3" t="s">
        <v>9</v>
      </c>
      <c r="E19303" s="3">
        <v>0</v>
      </c>
      <c r="F19303" s="3">
        <v>0</v>
      </c>
      <c r="G19303" s="3">
        <v>1</v>
      </c>
      <c r="H19303" s="3">
        <v>0</v>
      </c>
      <c r="I19303" s="3">
        <v>0</v>
      </c>
      <c r="J19303" s="3">
        <v>1</v>
      </c>
      <c r="K19303" s="3">
        <v>0</v>
      </c>
      <c r="L19303" s="3">
        <v>0</v>
      </c>
      <c r="M19303" s="3">
        <v>0</v>
      </c>
      <c r="N19303" s="3">
        <v>0</v>
      </c>
      <c r="O19303" s="3" t="s">
        <v>10</v>
      </c>
      <c r="P19303" s="3" t="s">
        <v>9</v>
      </c>
      <c r="Q19303" s="3"/>
    </row>
    <row r="19304" spans="1:17" ht="15" x14ac:dyDescent="0.25">
      <c r="A19304" s="3">
        <f>19297</f>
        <v>19297</v>
      </c>
      <c r="B19304" s="3" t="s">
        <v>19306</v>
      </c>
      <c r="C19304" s="3" t="s">
        <v>10</v>
      </c>
      <c r="D19304" s="3" t="s">
        <v>9</v>
      </c>
      <c r="E19304" s="3">
        <v>0</v>
      </c>
      <c r="F19304" s="3">
        <v>0</v>
      </c>
      <c r="G19304" s="3">
        <v>1</v>
      </c>
      <c r="H19304" s="3">
        <v>0</v>
      </c>
      <c r="I19304" s="3">
        <v>0</v>
      </c>
      <c r="J19304" s="3">
        <v>1</v>
      </c>
      <c r="K19304" s="3">
        <v>0</v>
      </c>
      <c r="L19304" s="3">
        <v>0</v>
      </c>
      <c r="M19304" s="3">
        <v>0</v>
      </c>
      <c r="N19304" s="3">
        <v>0</v>
      </c>
      <c r="O19304" s="3" t="s">
        <v>10</v>
      </c>
      <c r="P19304" s="3" t="s">
        <v>9</v>
      </c>
      <c r="Q19304" s="3"/>
    </row>
    <row r="19305" spans="1:17" ht="15" x14ac:dyDescent="0.25">
      <c r="A19305" s="3">
        <f>19298</f>
        <v>19298</v>
      </c>
      <c r="B19305" s="3" t="s">
        <v>19307</v>
      </c>
      <c r="C19305" s="3" t="s">
        <v>10</v>
      </c>
      <c r="D19305" s="3" t="s">
        <v>9</v>
      </c>
      <c r="E19305" s="3">
        <v>0</v>
      </c>
      <c r="F19305" s="3">
        <v>0</v>
      </c>
      <c r="G19305" s="3">
        <v>1</v>
      </c>
      <c r="H19305" s="3">
        <v>0</v>
      </c>
      <c r="I19305" s="3">
        <v>0</v>
      </c>
      <c r="J19305" s="3">
        <v>1</v>
      </c>
      <c r="K19305" s="3">
        <v>0</v>
      </c>
      <c r="L19305" s="3">
        <v>0</v>
      </c>
      <c r="M19305" s="3">
        <v>0</v>
      </c>
      <c r="N19305" s="3">
        <v>0</v>
      </c>
      <c r="O19305" s="3" t="s">
        <v>10</v>
      </c>
      <c r="P19305" s="3" t="s">
        <v>9</v>
      </c>
      <c r="Q19305" s="3"/>
    </row>
    <row r="19306" spans="1:17" ht="15" x14ac:dyDescent="0.25">
      <c r="A19306" s="3">
        <f>19299</f>
        <v>19299</v>
      </c>
      <c r="B19306" s="3" t="s">
        <v>19308</v>
      </c>
      <c r="C19306" s="3" t="s">
        <v>10</v>
      </c>
      <c r="D19306" s="3" t="s">
        <v>9</v>
      </c>
      <c r="E19306" s="3">
        <v>0</v>
      </c>
      <c r="F19306" s="3">
        <v>0</v>
      </c>
      <c r="G19306" s="3">
        <v>1</v>
      </c>
      <c r="H19306" s="3">
        <v>0</v>
      </c>
      <c r="I19306" s="3">
        <v>0</v>
      </c>
      <c r="J19306" s="3">
        <v>1</v>
      </c>
      <c r="K19306" s="3">
        <v>0</v>
      </c>
      <c r="L19306" s="3">
        <v>0</v>
      </c>
      <c r="M19306" s="3">
        <v>0</v>
      </c>
      <c r="N19306" s="3">
        <v>0</v>
      </c>
      <c r="O19306" s="3" t="s">
        <v>10</v>
      </c>
      <c r="P19306" s="3" t="s">
        <v>9</v>
      </c>
      <c r="Q19306" s="3"/>
    </row>
    <row r="19307" spans="1:17" ht="15" x14ac:dyDescent="0.25">
      <c r="A19307" s="3">
        <f>19300</f>
        <v>19300</v>
      </c>
      <c r="B19307" s="3" t="s">
        <v>19309</v>
      </c>
      <c r="C19307" s="3" t="s">
        <v>10</v>
      </c>
      <c r="D19307" s="3" t="s">
        <v>9</v>
      </c>
      <c r="E19307" s="3">
        <v>0</v>
      </c>
      <c r="F19307" s="3">
        <v>0</v>
      </c>
      <c r="G19307" s="3">
        <v>1</v>
      </c>
      <c r="H19307" s="3">
        <v>0</v>
      </c>
      <c r="I19307" s="3">
        <v>0</v>
      </c>
      <c r="J19307" s="3">
        <v>1</v>
      </c>
      <c r="K19307" s="3">
        <v>0</v>
      </c>
      <c r="L19307" s="3">
        <v>0</v>
      </c>
      <c r="M19307" s="3">
        <v>0</v>
      </c>
      <c r="N19307" s="3">
        <v>0</v>
      </c>
      <c r="O19307" s="3" t="s">
        <v>10</v>
      </c>
      <c r="P19307" s="3" t="s">
        <v>9</v>
      </c>
      <c r="Q19307" s="3"/>
    </row>
    <row r="19308" spans="1:17" ht="15" x14ac:dyDescent="0.25">
      <c r="A19308" s="3">
        <f>19301</f>
        <v>19301</v>
      </c>
      <c r="B19308" s="3" t="s">
        <v>19310</v>
      </c>
      <c r="C19308" s="3" t="s">
        <v>10</v>
      </c>
      <c r="D19308" s="3" t="s">
        <v>9</v>
      </c>
      <c r="E19308" s="3">
        <v>0</v>
      </c>
      <c r="F19308" s="3">
        <v>0</v>
      </c>
      <c r="G19308" s="3">
        <v>1</v>
      </c>
      <c r="H19308" s="3">
        <v>0</v>
      </c>
      <c r="I19308" s="3">
        <v>0</v>
      </c>
      <c r="J19308" s="3">
        <v>1</v>
      </c>
      <c r="K19308" s="3">
        <v>0</v>
      </c>
      <c r="L19308" s="3">
        <v>0</v>
      </c>
      <c r="M19308" s="3">
        <v>0</v>
      </c>
      <c r="N19308" s="3">
        <v>0</v>
      </c>
      <c r="O19308" s="3" t="s">
        <v>10</v>
      </c>
      <c r="P19308" s="3" t="s">
        <v>9</v>
      </c>
      <c r="Q19308" s="3"/>
    </row>
    <row r="19309" spans="1:17" ht="15" x14ac:dyDescent="0.25">
      <c r="A19309" s="3">
        <f>19302</f>
        <v>19302</v>
      </c>
      <c r="B19309" s="3" t="s">
        <v>19311</v>
      </c>
      <c r="C19309" s="3" t="s">
        <v>10</v>
      </c>
      <c r="D19309" s="3" t="s">
        <v>9</v>
      </c>
      <c r="E19309" s="3">
        <v>0</v>
      </c>
      <c r="F19309" s="3">
        <v>0</v>
      </c>
      <c r="G19309" s="3">
        <v>1</v>
      </c>
      <c r="H19309" s="3">
        <v>0</v>
      </c>
      <c r="I19309" s="3">
        <v>0</v>
      </c>
      <c r="J19309" s="3">
        <v>1</v>
      </c>
      <c r="K19309" s="3">
        <v>0</v>
      </c>
      <c r="L19309" s="3">
        <v>0</v>
      </c>
      <c r="M19309" s="3">
        <v>0</v>
      </c>
      <c r="N19309" s="3">
        <v>0</v>
      </c>
      <c r="O19309" s="3" t="s">
        <v>10</v>
      </c>
      <c r="P19309" s="3" t="s">
        <v>9</v>
      </c>
      <c r="Q19309" s="3"/>
    </row>
    <row r="19310" spans="1:17" ht="15" x14ac:dyDescent="0.25">
      <c r="A19310" s="3">
        <f>19303</f>
        <v>19303</v>
      </c>
      <c r="B19310" s="3" t="s">
        <v>19312</v>
      </c>
      <c r="C19310" s="3" t="s">
        <v>10</v>
      </c>
      <c r="D19310" s="3" t="s">
        <v>9</v>
      </c>
      <c r="E19310" s="3">
        <v>0</v>
      </c>
      <c r="F19310" s="3">
        <v>0</v>
      </c>
      <c r="G19310" s="3">
        <v>1</v>
      </c>
      <c r="H19310" s="3">
        <v>0</v>
      </c>
      <c r="I19310" s="3">
        <v>0</v>
      </c>
      <c r="J19310" s="3">
        <v>1</v>
      </c>
      <c r="K19310" s="3">
        <v>0</v>
      </c>
      <c r="L19310" s="3">
        <v>0</v>
      </c>
      <c r="M19310" s="3">
        <v>0</v>
      </c>
      <c r="N19310" s="3">
        <v>0</v>
      </c>
      <c r="O19310" s="3" t="s">
        <v>10</v>
      </c>
      <c r="P19310" s="3" t="s">
        <v>9</v>
      </c>
      <c r="Q19310" s="3"/>
    </row>
    <row r="19311" spans="1:17" ht="15" x14ac:dyDescent="0.25">
      <c r="A19311" s="3">
        <f>19304</f>
        <v>19304</v>
      </c>
      <c r="B19311" s="3" t="s">
        <v>19313</v>
      </c>
      <c r="C19311" s="3" t="s">
        <v>10</v>
      </c>
      <c r="D19311" s="3" t="s">
        <v>9</v>
      </c>
      <c r="E19311" s="3">
        <v>0</v>
      </c>
      <c r="F19311" s="3">
        <v>0</v>
      </c>
      <c r="G19311" s="3">
        <v>1</v>
      </c>
      <c r="H19311" s="3">
        <v>0</v>
      </c>
      <c r="I19311" s="3">
        <v>0</v>
      </c>
      <c r="J19311" s="3">
        <v>1</v>
      </c>
      <c r="K19311" s="3">
        <v>0</v>
      </c>
      <c r="L19311" s="3">
        <v>0</v>
      </c>
      <c r="M19311" s="3">
        <v>0</v>
      </c>
      <c r="N19311" s="3">
        <v>0</v>
      </c>
      <c r="O19311" s="3" t="s">
        <v>10</v>
      </c>
      <c r="P19311" s="3" t="s">
        <v>9</v>
      </c>
      <c r="Q19311" s="3"/>
    </row>
    <row r="19312" spans="1:17" ht="15" x14ac:dyDescent="0.25">
      <c r="A19312" s="3">
        <f>19305</f>
        <v>19305</v>
      </c>
      <c r="B19312" s="3" t="s">
        <v>19314</v>
      </c>
      <c r="C19312" s="3" t="s">
        <v>10</v>
      </c>
      <c r="D19312" s="3" t="s">
        <v>9</v>
      </c>
      <c r="E19312" s="3">
        <v>0</v>
      </c>
      <c r="F19312" s="3">
        <v>0</v>
      </c>
      <c r="G19312" s="3">
        <v>1</v>
      </c>
      <c r="H19312" s="3">
        <v>0</v>
      </c>
      <c r="I19312" s="3">
        <v>0</v>
      </c>
      <c r="J19312" s="3">
        <v>1</v>
      </c>
      <c r="K19312" s="3">
        <v>0</v>
      </c>
      <c r="L19312" s="3">
        <v>0</v>
      </c>
      <c r="M19312" s="3">
        <v>0</v>
      </c>
      <c r="N19312" s="3">
        <v>0</v>
      </c>
      <c r="O19312" s="3" t="s">
        <v>10</v>
      </c>
      <c r="P19312" s="3" t="s">
        <v>9</v>
      </c>
      <c r="Q19312" s="3"/>
    </row>
    <row r="19313" spans="1:17" ht="15" x14ac:dyDescent="0.25">
      <c r="A19313" s="3">
        <f>19306</f>
        <v>19306</v>
      </c>
      <c r="B19313" s="3" t="s">
        <v>19315</v>
      </c>
      <c r="C19313" s="3" t="s">
        <v>10</v>
      </c>
      <c r="D19313" s="3" t="s">
        <v>9</v>
      </c>
      <c r="E19313" s="3">
        <v>0</v>
      </c>
      <c r="F19313" s="3">
        <v>0</v>
      </c>
      <c r="G19313" s="3">
        <v>1</v>
      </c>
      <c r="H19313" s="3">
        <v>0</v>
      </c>
      <c r="I19313" s="3">
        <v>0</v>
      </c>
      <c r="J19313" s="3">
        <v>1</v>
      </c>
      <c r="K19313" s="3">
        <v>0</v>
      </c>
      <c r="L19313" s="3">
        <v>0</v>
      </c>
      <c r="M19313" s="3">
        <v>0</v>
      </c>
      <c r="N19313" s="3">
        <v>0</v>
      </c>
      <c r="O19313" s="3" t="s">
        <v>10</v>
      </c>
      <c r="P19313" s="3" t="s">
        <v>9</v>
      </c>
      <c r="Q19313" s="3"/>
    </row>
    <row r="19314" spans="1:17" ht="15" x14ac:dyDescent="0.25">
      <c r="A19314" s="3">
        <f>19307</f>
        <v>19307</v>
      </c>
      <c r="B19314" s="3" t="s">
        <v>19316</v>
      </c>
      <c r="C19314" s="3" t="s">
        <v>10</v>
      </c>
      <c r="D19314" s="3" t="s">
        <v>9</v>
      </c>
      <c r="E19314" s="3">
        <v>0</v>
      </c>
      <c r="F19314" s="3">
        <v>0</v>
      </c>
      <c r="G19314" s="3">
        <v>1</v>
      </c>
      <c r="H19314" s="3">
        <v>0</v>
      </c>
      <c r="I19314" s="3">
        <v>0</v>
      </c>
      <c r="J19314" s="3">
        <v>1</v>
      </c>
      <c r="K19314" s="3">
        <v>0</v>
      </c>
      <c r="L19314" s="3">
        <v>0</v>
      </c>
      <c r="M19314" s="3">
        <v>0</v>
      </c>
      <c r="N19314" s="3">
        <v>0</v>
      </c>
      <c r="O19314" s="3" t="s">
        <v>10</v>
      </c>
      <c r="P19314" s="3" t="s">
        <v>9</v>
      </c>
      <c r="Q19314" s="3"/>
    </row>
    <row r="19315" spans="1:17" ht="15" x14ac:dyDescent="0.25">
      <c r="A19315" s="3">
        <f>19308</f>
        <v>19308</v>
      </c>
      <c r="B19315" s="3" t="s">
        <v>19317</v>
      </c>
      <c r="C19315" s="3" t="s">
        <v>10</v>
      </c>
      <c r="D19315" s="3" t="s">
        <v>9</v>
      </c>
      <c r="E19315" s="3">
        <v>0</v>
      </c>
      <c r="F19315" s="3">
        <v>0</v>
      </c>
      <c r="G19315" s="3">
        <v>1</v>
      </c>
      <c r="H19315" s="3">
        <v>0</v>
      </c>
      <c r="I19315" s="3">
        <v>0</v>
      </c>
      <c r="J19315" s="3">
        <v>1</v>
      </c>
      <c r="K19315" s="3">
        <v>0</v>
      </c>
      <c r="L19315" s="3">
        <v>0</v>
      </c>
      <c r="M19315" s="3">
        <v>0</v>
      </c>
      <c r="N19315" s="3">
        <v>0</v>
      </c>
      <c r="O19315" s="3" t="s">
        <v>10</v>
      </c>
      <c r="P19315" s="3" t="s">
        <v>9</v>
      </c>
      <c r="Q19315" s="3"/>
    </row>
    <row r="19316" spans="1:17" ht="15" x14ac:dyDescent="0.25">
      <c r="A19316" s="3">
        <f>19309</f>
        <v>19309</v>
      </c>
      <c r="B19316" s="3" t="s">
        <v>19318</v>
      </c>
      <c r="C19316" s="3" t="s">
        <v>10</v>
      </c>
      <c r="D19316" s="3" t="s">
        <v>9</v>
      </c>
      <c r="E19316" s="3">
        <v>0</v>
      </c>
      <c r="F19316" s="3">
        <v>0</v>
      </c>
      <c r="G19316" s="3">
        <v>1</v>
      </c>
      <c r="H19316" s="3">
        <v>0</v>
      </c>
      <c r="I19316" s="3">
        <v>0</v>
      </c>
      <c r="J19316" s="3">
        <v>1</v>
      </c>
      <c r="K19316" s="3">
        <v>0</v>
      </c>
      <c r="L19316" s="3">
        <v>0</v>
      </c>
      <c r="M19316" s="3">
        <v>0</v>
      </c>
      <c r="N19316" s="3">
        <v>0</v>
      </c>
      <c r="O19316" s="3" t="s">
        <v>10</v>
      </c>
      <c r="P19316" s="3" t="s">
        <v>9</v>
      </c>
      <c r="Q19316" s="3"/>
    </row>
    <row r="19317" spans="1:17" ht="15" x14ac:dyDescent="0.25">
      <c r="A19317" s="3">
        <f>19310</f>
        <v>19310</v>
      </c>
      <c r="B19317" s="3" t="s">
        <v>19319</v>
      </c>
      <c r="C19317" s="3" t="s">
        <v>10</v>
      </c>
      <c r="D19317" s="3" t="s">
        <v>9</v>
      </c>
      <c r="E19317" s="3">
        <v>0</v>
      </c>
      <c r="F19317" s="3">
        <v>0</v>
      </c>
      <c r="G19317" s="3">
        <v>1</v>
      </c>
      <c r="H19317" s="3">
        <v>0</v>
      </c>
      <c r="I19317" s="3">
        <v>0</v>
      </c>
      <c r="J19317" s="3">
        <v>1</v>
      </c>
      <c r="K19317" s="3">
        <v>0</v>
      </c>
      <c r="L19317" s="3">
        <v>0</v>
      </c>
      <c r="M19317" s="3">
        <v>0</v>
      </c>
      <c r="N19317" s="3">
        <v>0</v>
      </c>
      <c r="O19317" s="3" t="s">
        <v>10</v>
      </c>
      <c r="P19317" s="3" t="s">
        <v>9</v>
      </c>
      <c r="Q19317" s="3"/>
    </row>
    <row r="19318" spans="1:17" ht="15" x14ac:dyDescent="0.25">
      <c r="A19318" s="3">
        <f>19311</f>
        <v>19311</v>
      </c>
      <c r="B19318" s="3" t="s">
        <v>19320</v>
      </c>
      <c r="C19318" s="3" t="s">
        <v>10</v>
      </c>
      <c r="D19318" s="3" t="s">
        <v>9</v>
      </c>
      <c r="E19318" s="3">
        <v>0</v>
      </c>
      <c r="F19318" s="3">
        <v>0</v>
      </c>
      <c r="G19318" s="3">
        <v>1</v>
      </c>
      <c r="H19318" s="3">
        <v>0</v>
      </c>
      <c r="I19318" s="3">
        <v>0</v>
      </c>
      <c r="J19318" s="3">
        <v>1</v>
      </c>
      <c r="K19318" s="3">
        <v>0</v>
      </c>
      <c r="L19318" s="3">
        <v>0</v>
      </c>
      <c r="M19318" s="3">
        <v>0</v>
      </c>
      <c r="N19318" s="3">
        <v>0</v>
      </c>
      <c r="O19318" s="3" t="s">
        <v>10</v>
      </c>
      <c r="P19318" s="3" t="s">
        <v>9</v>
      </c>
      <c r="Q19318" s="3"/>
    </row>
    <row r="19319" spans="1:17" ht="15" x14ac:dyDescent="0.25">
      <c r="A19319" s="3">
        <f>19312</f>
        <v>19312</v>
      </c>
      <c r="B19319" s="3" t="s">
        <v>19321</v>
      </c>
      <c r="C19319" s="3" t="s">
        <v>10</v>
      </c>
      <c r="D19319" s="3" t="s">
        <v>9</v>
      </c>
      <c r="E19319" s="3">
        <v>0</v>
      </c>
      <c r="F19319" s="3">
        <v>0</v>
      </c>
      <c r="G19319" s="3">
        <v>1</v>
      </c>
      <c r="H19319" s="3">
        <v>0</v>
      </c>
      <c r="I19319" s="3">
        <v>0</v>
      </c>
      <c r="J19319" s="3">
        <v>1</v>
      </c>
      <c r="K19319" s="3">
        <v>0</v>
      </c>
      <c r="L19319" s="3">
        <v>0</v>
      </c>
      <c r="M19319" s="3">
        <v>0</v>
      </c>
      <c r="N19319" s="3">
        <v>0</v>
      </c>
      <c r="O19319" s="3" t="s">
        <v>10</v>
      </c>
      <c r="P19319" s="3" t="s">
        <v>9</v>
      </c>
      <c r="Q19319" s="3"/>
    </row>
    <row r="19320" spans="1:17" ht="15" x14ac:dyDescent="0.25">
      <c r="A19320" s="3">
        <f>19313</f>
        <v>19313</v>
      </c>
      <c r="B19320" s="3" t="s">
        <v>19322</v>
      </c>
      <c r="C19320" s="3" t="s">
        <v>10</v>
      </c>
      <c r="D19320" s="3" t="s">
        <v>9</v>
      </c>
      <c r="E19320" s="3">
        <v>0</v>
      </c>
      <c r="F19320" s="3">
        <v>0</v>
      </c>
      <c r="G19320" s="3">
        <v>1</v>
      </c>
      <c r="H19320" s="3">
        <v>0</v>
      </c>
      <c r="I19320" s="3">
        <v>0</v>
      </c>
      <c r="J19320" s="3">
        <v>1</v>
      </c>
      <c r="K19320" s="3">
        <v>0</v>
      </c>
      <c r="L19320" s="3">
        <v>0</v>
      </c>
      <c r="M19320" s="3">
        <v>0</v>
      </c>
      <c r="N19320" s="3">
        <v>0</v>
      </c>
      <c r="O19320" s="3" t="s">
        <v>10</v>
      </c>
      <c r="P19320" s="3" t="s">
        <v>9</v>
      </c>
      <c r="Q19320" s="3"/>
    </row>
    <row r="19321" spans="1:17" ht="15" x14ac:dyDescent="0.25">
      <c r="A19321" s="3">
        <f>19314</f>
        <v>19314</v>
      </c>
      <c r="B19321" s="3" t="s">
        <v>19323</v>
      </c>
      <c r="C19321" s="3" t="s">
        <v>10</v>
      </c>
      <c r="D19321" s="3" t="s">
        <v>9</v>
      </c>
      <c r="E19321" s="3">
        <v>0</v>
      </c>
      <c r="F19321" s="3">
        <v>0</v>
      </c>
      <c r="G19321" s="3">
        <v>1</v>
      </c>
      <c r="H19321" s="3">
        <v>0</v>
      </c>
      <c r="I19321" s="3">
        <v>0</v>
      </c>
      <c r="J19321" s="3">
        <v>1</v>
      </c>
      <c r="K19321" s="3">
        <v>0</v>
      </c>
      <c r="L19321" s="3">
        <v>0</v>
      </c>
      <c r="M19321" s="3">
        <v>0</v>
      </c>
      <c r="N19321" s="3">
        <v>0</v>
      </c>
      <c r="O19321" s="3" t="s">
        <v>10</v>
      </c>
      <c r="P19321" s="3" t="s">
        <v>9</v>
      </c>
      <c r="Q19321" s="3"/>
    </row>
    <row r="19322" spans="1:17" ht="15" x14ac:dyDescent="0.25">
      <c r="A19322" s="3">
        <f>19315</f>
        <v>19315</v>
      </c>
      <c r="B19322" s="3" t="s">
        <v>19324</v>
      </c>
      <c r="C19322" s="3" t="s">
        <v>10</v>
      </c>
      <c r="D19322" s="3" t="s">
        <v>9</v>
      </c>
      <c r="E19322" s="3">
        <v>0</v>
      </c>
      <c r="F19322" s="3">
        <v>0</v>
      </c>
      <c r="G19322" s="3">
        <v>1</v>
      </c>
      <c r="H19322" s="3">
        <v>0</v>
      </c>
      <c r="I19322" s="3">
        <v>0</v>
      </c>
      <c r="J19322" s="3">
        <v>1</v>
      </c>
      <c r="K19322" s="3">
        <v>0</v>
      </c>
      <c r="L19322" s="3">
        <v>0</v>
      </c>
      <c r="M19322" s="3">
        <v>0</v>
      </c>
      <c r="N19322" s="3">
        <v>0</v>
      </c>
      <c r="O19322" s="3" t="s">
        <v>10</v>
      </c>
      <c r="P19322" s="3" t="s">
        <v>9</v>
      </c>
      <c r="Q19322" s="3"/>
    </row>
    <row r="19323" spans="1:17" ht="15" x14ac:dyDescent="0.25">
      <c r="A19323" s="3">
        <f>19316</f>
        <v>19316</v>
      </c>
      <c r="B19323" s="3" t="s">
        <v>19325</v>
      </c>
      <c r="C19323" s="3" t="s">
        <v>10</v>
      </c>
      <c r="D19323" s="3" t="s">
        <v>9</v>
      </c>
      <c r="E19323" s="3">
        <v>0</v>
      </c>
      <c r="F19323" s="3">
        <v>0</v>
      </c>
      <c r="G19323" s="3">
        <v>1</v>
      </c>
      <c r="H19323" s="3">
        <v>0</v>
      </c>
      <c r="I19323" s="3">
        <v>0</v>
      </c>
      <c r="J19323" s="3">
        <v>1</v>
      </c>
      <c r="K19323" s="3">
        <v>0</v>
      </c>
      <c r="L19323" s="3">
        <v>0</v>
      </c>
      <c r="M19323" s="3">
        <v>0</v>
      </c>
      <c r="N19323" s="3">
        <v>0</v>
      </c>
      <c r="O19323" s="3" t="s">
        <v>10</v>
      </c>
      <c r="P19323" s="3" t="s">
        <v>9</v>
      </c>
      <c r="Q19323" s="3"/>
    </row>
    <row r="19324" spans="1:17" ht="15" x14ac:dyDescent="0.25">
      <c r="A19324" s="3">
        <f>19317</f>
        <v>19317</v>
      </c>
      <c r="B19324" s="3" t="s">
        <v>19326</v>
      </c>
      <c r="C19324" s="3" t="s">
        <v>10</v>
      </c>
      <c r="D19324" s="3" t="s">
        <v>9</v>
      </c>
      <c r="E19324" s="3">
        <v>0</v>
      </c>
      <c r="F19324" s="3">
        <v>0</v>
      </c>
      <c r="G19324" s="3">
        <v>1</v>
      </c>
      <c r="H19324" s="3">
        <v>0</v>
      </c>
      <c r="I19324" s="3">
        <v>0</v>
      </c>
      <c r="J19324" s="3">
        <v>1</v>
      </c>
      <c r="K19324" s="3">
        <v>0</v>
      </c>
      <c r="L19324" s="3">
        <v>0</v>
      </c>
      <c r="M19324" s="3">
        <v>0</v>
      </c>
      <c r="N19324" s="3">
        <v>0</v>
      </c>
      <c r="O19324" s="3" t="s">
        <v>10</v>
      </c>
      <c r="P19324" s="3" t="s">
        <v>9</v>
      </c>
      <c r="Q19324" s="3"/>
    </row>
    <row r="19325" spans="1:17" ht="15" x14ac:dyDescent="0.25">
      <c r="A19325" s="3">
        <f>19318</f>
        <v>19318</v>
      </c>
      <c r="B19325" s="3" t="s">
        <v>19327</v>
      </c>
      <c r="C19325" s="3" t="s">
        <v>10</v>
      </c>
      <c r="D19325" s="3" t="s">
        <v>9</v>
      </c>
      <c r="E19325" s="3">
        <v>0</v>
      </c>
      <c r="F19325" s="3">
        <v>0</v>
      </c>
      <c r="G19325" s="3">
        <v>1</v>
      </c>
      <c r="H19325" s="3">
        <v>0</v>
      </c>
      <c r="I19325" s="3">
        <v>0</v>
      </c>
      <c r="J19325" s="3">
        <v>1</v>
      </c>
      <c r="K19325" s="3">
        <v>0</v>
      </c>
      <c r="L19325" s="3">
        <v>0</v>
      </c>
      <c r="M19325" s="3">
        <v>0</v>
      </c>
      <c r="N19325" s="3">
        <v>0</v>
      </c>
      <c r="O19325" s="3" t="s">
        <v>10</v>
      </c>
      <c r="P19325" s="3" t="s">
        <v>9</v>
      </c>
      <c r="Q19325" s="3"/>
    </row>
    <row r="19326" spans="1:17" ht="15" x14ac:dyDescent="0.25">
      <c r="A19326" s="3">
        <f>19319</f>
        <v>19319</v>
      </c>
      <c r="B19326" s="3" t="s">
        <v>19328</v>
      </c>
      <c r="C19326" s="3" t="s">
        <v>10</v>
      </c>
      <c r="D19326" s="3" t="s">
        <v>9</v>
      </c>
      <c r="E19326" s="3">
        <v>0</v>
      </c>
      <c r="F19326" s="3">
        <v>0</v>
      </c>
      <c r="G19326" s="3">
        <v>1</v>
      </c>
      <c r="H19326" s="3">
        <v>0</v>
      </c>
      <c r="I19326" s="3">
        <v>0</v>
      </c>
      <c r="J19326" s="3">
        <v>1</v>
      </c>
      <c r="K19326" s="3">
        <v>0</v>
      </c>
      <c r="L19326" s="3">
        <v>0</v>
      </c>
      <c r="M19326" s="3">
        <v>0</v>
      </c>
      <c r="N19326" s="3">
        <v>0</v>
      </c>
      <c r="O19326" s="3" t="s">
        <v>10</v>
      </c>
      <c r="P19326" s="3" t="s">
        <v>9</v>
      </c>
      <c r="Q19326" s="3"/>
    </row>
    <row r="19327" spans="1:17" ht="15" x14ac:dyDescent="0.25">
      <c r="A19327" s="3">
        <f>19320</f>
        <v>19320</v>
      </c>
      <c r="B19327" s="3" t="s">
        <v>19329</v>
      </c>
      <c r="C19327" s="3" t="s">
        <v>10</v>
      </c>
      <c r="D19327" s="3" t="s">
        <v>9</v>
      </c>
      <c r="E19327" s="3">
        <v>0</v>
      </c>
      <c r="F19327" s="3">
        <v>0</v>
      </c>
      <c r="G19327" s="3">
        <v>1</v>
      </c>
      <c r="H19327" s="3">
        <v>0</v>
      </c>
      <c r="I19327" s="3">
        <v>0</v>
      </c>
      <c r="J19327" s="3">
        <v>1</v>
      </c>
      <c r="K19327" s="3">
        <v>0</v>
      </c>
      <c r="L19327" s="3">
        <v>0</v>
      </c>
      <c r="M19327" s="3">
        <v>0</v>
      </c>
      <c r="N19327" s="3">
        <v>0</v>
      </c>
      <c r="O19327" s="3" t="s">
        <v>10</v>
      </c>
      <c r="P19327" s="3" t="s">
        <v>9</v>
      </c>
      <c r="Q19327" s="3"/>
    </row>
    <row r="19328" spans="1:17" ht="15" x14ac:dyDescent="0.25">
      <c r="A19328" s="3">
        <f>19321</f>
        <v>19321</v>
      </c>
      <c r="B19328" s="3" t="s">
        <v>19330</v>
      </c>
      <c r="C19328" s="3" t="s">
        <v>10</v>
      </c>
      <c r="D19328" s="3" t="s">
        <v>9</v>
      </c>
      <c r="E19328" s="3">
        <v>0</v>
      </c>
      <c r="F19328" s="3">
        <v>0</v>
      </c>
      <c r="G19328" s="3">
        <v>1</v>
      </c>
      <c r="H19328" s="3">
        <v>0</v>
      </c>
      <c r="I19328" s="3">
        <v>0</v>
      </c>
      <c r="J19328" s="3">
        <v>1</v>
      </c>
      <c r="K19328" s="3">
        <v>0</v>
      </c>
      <c r="L19328" s="3">
        <v>0</v>
      </c>
      <c r="M19328" s="3">
        <v>0</v>
      </c>
      <c r="N19328" s="3">
        <v>0</v>
      </c>
      <c r="O19328" s="3" t="s">
        <v>10</v>
      </c>
      <c r="P19328" s="3" t="s">
        <v>9</v>
      </c>
      <c r="Q19328" s="3"/>
    </row>
    <row r="19329" spans="1:17" ht="15" x14ac:dyDescent="0.25">
      <c r="A19329" s="3">
        <f>19322</f>
        <v>19322</v>
      </c>
      <c r="B19329" s="3" t="s">
        <v>19331</v>
      </c>
      <c r="C19329" s="3" t="s">
        <v>10</v>
      </c>
      <c r="D19329" s="3" t="s">
        <v>9</v>
      </c>
      <c r="E19329" s="3">
        <v>0</v>
      </c>
      <c r="F19329" s="3">
        <v>0</v>
      </c>
      <c r="G19329" s="3">
        <v>1</v>
      </c>
      <c r="H19329" s="3">
        <v>0</v>
      </c>
      <c r="I19329" s="3">
        <v>0</v>
      </c>
      <c r="J19329" s="3">
        <v>1</v>
      </c>
      <c r="K19329" s="3">
        <v>0</v>
      </c>
      <c r="L19329" s="3">
        <v>0</v>
      </c>
      <c r="M19329" s="3">
        <v>0</v>
      </c>
      <c r="N19329" s="3">
        <v>0</v>
      </c>
      <c r="O19329" s="3" t="s">
        <v>10</v>
      </c>
      <c r="P19329" s="3" t="s">
        <v>9</v>
      </c>
      <c r="Q19329" s="3"/>
    </row>
    <row r="19330" spans="1:17" ht="15" x14ac:dyDescent="0.25">
      <c r="A19330" s="3">
        <f>19323</f>
        <v>19323</v>
      </c>
      <c r="B19330" s="3" t="s">
        <v>19332</v>
      </c>
      <c r="C19330" s="3" t="s">
        <v>10</v>
      </c>
      <c r="D19330" s="3" t="s">
        <v>9</v>
      </c>
      <c r="E19330" s="3">
        <v>0</v>
      </c>
      <c r="F19330" s="3">
        <v>0</v>
      </c>
      <c r="G19330" s="3">
        <v>1</v>
      </c>
      <c r="H19330" s="3">
        <v>0</v>
      </c>
      <c r="I19330" s="3">
        <v>0</v>
      </c>
      <c r="J19330" s="3">
        <v>1</v>
      </c>
      <c r="K19330" s="3">
        <v>0</v>
      </c>
      <c r="L19330" s="3">
        <v>0</v>
      </c>
      <c r="M19330" s="3">
        <v>0</v>
      </c>
      <c r="N19330" s="3">
        <v>0</v>
      </c>
      <c r="O19330" s="3" t="s">
        <v>10</v>
      </c>
      <c r="P19330" s="3" t="s">
        <v>9</v>
      </c>
      <c r="Q19330" s="3"/>
    </row>
    <row r="19331" spans="1:17" ht="15" x14ac:dyDescent="0.25">
      <c r="A19331" s="3">
        <f>19324</f>
        <v>19324</v>
      </c>
      <c r="B19331" s="3" t="s">
        <v>19333</v>
      </c>
      <c r="C19331" s="3" t="s">
        <v>10</v>
      </c>
      <c r="D19331" s="3" t="s">
        <v>9</v>
      </c>
      <c r="E19331" s="3">
        <v>0</v>
      </c>
      <c r="F19331" s="3">
        <v>0</v>
      </c>
      <c r="G19331" s="3">
        <v>1</v>
      </c>
      <c r="H19331" s="3">
        <v>0</v>
      </c>
      <c r="I19331" s="3">
        <v>0</v>
      </c>
      <c r="J19331" s="3">
        <v>1</v>
      </c>
      <c r="K19331" s="3">
        <v>0</v>
      </c>
      <c r="L19331" s="3">
        <v>0</v>
      </c>
      <c r="M19331" s="3">
        <v>0</v>
      </c>
      <c r="N19331" s="3">
        <v>0</v>
      </c>
      <c r="O19331" s="3" t="s">
        <v>10</v>
      </c>
      <c r="P19331" s="3" t="s">
        <v>9</v>
      </c>
      <c r="Q19331" s="3"/>
    </row>
    <row r="19332" spans="1:17" ht="15" x14ac:dyDescent="0.25">
      <c r="A19332" s="3">
        <f>19325</f>
        <v>19325</v>
      </c>
      <c r="B19332" s="3" t="s">
        <v>19334</v>
      </c>
      <c r="C19332" s="3" t="s">
        <v>10</v>
      </c>
      <c r="D19332" s="3" t="s">
        <v>9</v>
      </c>
      <c r="E19332" s="3">
        <v>0</v>
      </c>
      <c r="F19332" s="3">
        <v>0</v>
      </c>
      <c r="G19332" s="3">
        <v>1</v>
      </c>
      <c r="H19332" s="3">
        <v>0</v>
      </c>
      <c r="I19332" s="3">
        <v>0</v>
      </c>
      <c r="J19332" s="3">
        <v>1</v>
      </c>
      <c r="K19332" s="3">
        <v>0</v>
      </c>
      <c r="L19332" s="3">
        <v>0</v>
      </c>
      <c r="M19332" s="3">
        <v>0</v>
      </c>
      <c r="N19332" s="3">
        <v>0</v>
      </c>
      <c r="O19332" s="3" t="s">
        <v>10</v>
      </c>
      <c r="P19332" s="3" t="s">
        <v>9</v>
      </c>
      <c r="Q19332" s="3"/>
    </row>
    <row r="19333" spans="1:17" ht="15" x14ac:dyDescent="0.25">
      <c r="A19333" s="3">
        <f>19326</f>
        <v>19326</v>
      </c>
      <c r="B19333" s="3" t="s">
        <v>19335</v>
      </c>
      <c r="C19333" s="3" t="s">
        <v>10</v>
      </c>
      <c r="D19333" s="3" t="s">
        <v>9</v>
      </c>
      <c r="E19333" s="3">
        <v>0</v>
      </c>
      <c r="F19333" s="3">
        <v>0</v>
      </c>
      <c r="G19333" s="3">
        <v>1</v>
      </c>
      <c r="H19333" s="3">
        <v>0</v>
      </c>
      <c r="I19333" s="3">
        <v>0</v>
      </c>
      <c r="J19333" s="3">
        <v>1</v>
      </c>
      <c r="K19333" s="3">
        <v>0</v>
      </c>
      <c r="L19333" s="3">
        <v>0</v>
      </c>
      <c r="M19333" s="3">
        <v>0</v>
      </c>
      <c r="N19333" s="3">
        <v>0</v>
      </c>
      <c r="O19333" s="3" t="s">
        <v>10</v>
      </c>
      <c r="P19333" s="3" t="s">
        <v>9</v>
      </c>
      <c r="Q19333" s="3"/>
    </row>
    <row r="19334" spans="1:17" ht="15" x14ac:dyDescent="0.25">
      <c r="A19334" s="3">
        <f>19327</f>
        <v>19327</v>
      </c>
      <c r="B19334" s="3" t="s">
        <v>19336</v>
      </c>
      <c r="C19334" s="3" t="s">
        <v>10</v>
      </c>
      <c r="D19334" s="3" t="s">
        <v>9</v>
      </c>
      <c r="E19334" s="3">
        <v>0</v>
      </c>
      <c r="F19334" s="3">
        <v>0</v>
      </c>
      <c r="G19334" s="3">
        <v>1</v>
      </c>
      <c r="H19334" s="3">
        <v>0</v>
      </c>
      <c r="I19334" s="3">
        <v>0</v>
      </c>
      <c r="J19334" s="3">
        <v>1</v>
      </c>
      <c r="K19334" s="3">
        <v>0</v>
      </c>
      <c r="L19334" s="3">
        <v>0</v>
      </c>
      <c r="M19334" s="3">
        <v>0</v>
      </c>
      <c r="N19334" s="3">
        <v>0</v>
      </c>
      <c r="O19334" s="3" t="s">
        <v>10</v>
      </c>
      <c r="P19334" s="3" t="s">
        <v>9</v>
      </c>
      <c r="Q19334" s="3"/>
    </row>
    <row r="19335" spans="1:17" ht="15" x14ac:dyDescent="0.25">
      <c r="A19335" s="3">
        <f>19328</f>
        <v>19328</v>
      </c>
      <c r="B19335" s="3" t="s">
        <v>19337</v>
      </c>
      <c r="C19335" s="3" t="s">
        <v>10</v>
      </c>
      <c r="D19335" s="3" t="s">
        <v>9</v>
      </c>
      <c r="E19335" s="3">
        <v>0</v>
      </c>
      <c r="F19335" s="3">
        <v>0</v>
      </c>
      <c r="G19335" s="3">
        <v>1</v>
      </c>
      <c r="H19335" s="3">
        <v>0</v>
      </c>
      <c r="I19335" s="3">
        <v>0</v>
      </c>
      <c r="J19335" s="3">
        <v>1</v>
      </c>
      <c r="K19335" s="3">
        <v>0</v>
      </c>
      <c r="L19335" s="3">
        <v>0</v>
      </c>
      <c r="M19335" s="3">
        <v>0</v>
      </c>
      <c r="N19335" s="3">
        <v>0</v>
      </c>
      <c r="O19335" s="3" t="s">
        <v>10</v>
      </c>
      <c r="P19335" s="3" t="s">
        <v>9</v>
      </c>
      <c r="Q19335" s="3"/>
    </row>
    <row r="19336" spans="1:17" ht="15" x14ac:dyDescent="0.25">
      <c r="A19336" s="3">
        <f>19329</f>
        <v>19329</v>
      </c>
      <c r="B19336" s="3" t="s">
        <v>19338</v>
      </c>
      <c r="C19336" s="3" t="s">
        <v>10</v>
      </c>
      <c r="D19336" s="3" t="s">
        <v>9</v>
      </c>
      <c r="E19336" s="3">
        <v>0</v>
      </c>
      <c r="F19336" s="3">
        <v>0</v>
      </c>
      <c r="G19336" s="3">
        <v>1</v>
      </c>
      <c r="H19336" s="3">
        <v>0</v>
      </c>
      <c r="I19336" s="3">
        <v>0</v>
      </c>
      <c r="J19336" s="3">
        <v>1</v>
      </c>
      <c r="K19336" s="3">
        <v>0</v>
      </c>
      <c r="L19336" s="3">
        <v>0</v>
      </c>
      <c r="M19336" s="3">
        <v>0</v>
      </c>
      <c r="N19336" s="3">
        <v>0</v>
      </c>
      <c r="O19336" s="3" t="s">
        <v>10</v>
      </c>
      <c r="P19336" s="3" t="s">
        <v>9</v>
      </c>
      <c r="Q19336" s="3"/>
    </row>
    <row r="19337" spans="1:17" ht="15" x14ac:dyDescent="0.25">
      <c r="A19337" s="3">
        <f>19330</f>
        <v>19330</v>
      </c>
      <c r="B19337" s="3" t="s">
        <v>19339</v>
      </c>
      <c r="C19337" s="3" t="s">
        <v>10</v>
      </c>
      <c r="D19337" s="3" t="s">
        <v>9</v>
      </c>
      <c r="E19337" s="3">
        <v>0</v>
      </c>
      <c r="F19337" s="3">
        <v>0</v>
      </c>
      <c r="G19337" s="3">
        <v>1</v>
      </c>
      <c r="H19337" s="3">
        <v>0</v>
      </c>
      <c r="I19337" s="3">
        <v>0</v>
      </c>
      <c r="J19337" s="3">
        <v>1</v>
      </c>
      <c r="K19337" s="3">
        <v>0</v>
      </c>
      <c r="L19337" s="3">
        <v>0</v>
      </c>
      <c r="M19337" s="3">
        <v>0</v>
      </c>
      <c r="N19337" s="3">
        <v>0</v>
      </c>
      <c r="O19337" s="3" t="s">
        <v>10</v>
      </c>
      <c r="P19337" s="3" t="s">
        <v>9</v>
      </c>
      <c r="Q19337" s="3"/>
    </row>
    <row r="19338" spans="1:17" ht="15" x14ac:dyDescent="0.25">
      <c r="A19338" s="3">
        <f>19331</f>
        <v>19331</v>
      </c>
      <c r="B19338" s="3" t="s">
        <v>19340</v>
      </c>
      <c r="C19338" s="3" t="s">
        <v>10</v>
      </c>
      <c r="D19338" s="3" t="s">
        <v>9</v>
      </c>
      <c r="E19338" s="3">
        <v>0</v>
      </c>
      <c r="F19338" s="3">
        <v>0</v>
      </c>
      <c r="G19338" s="3">
        <v>1</v>
      </c>
      <c r="H19338" s="3">
        <v>0</v>
      </c>
      <c r="I19338" s="3">
        <v>0</v>
      </c>
      <c r="J19338" s="3">
        <v>1</v>
      </c>
      <c r="K19338" s="3">
        <v>0</v>
      </c>
      <c r="L19338" s="3">
        <v>0</v>
      </c>
      <c r="M19338" s="3">
        <v>0</v>
      </c>
      <c r="N19338" s="3">
        <v>0</v>
      </c>
      <c r="O19338" s="3" t="s">
        <v>10</v>
      </c>
      <c r="P19338" s="3" t="s">
        <v>9</v>
      </c>
      <c r="Q19338" s="3"/>
    </row>
    <row r="19339" spans="1:17" ht="15" x14ac:dyDescent="0.25">
      <c r="A19339" s="3">
        <f>19332</f>
        <v>19332</v>
      </c>
      <c r="B19339" s="3" t="s">
        <v>19341</v>
      </c>
      <c r="C19339" s="3" t="s">
        <v>10</v>
      </c>
      <c r="D19339" s="3" t="s">
        <v>9</v>
      </c>
      <c r="E19339" s="3">
        <v>0</v>
      </c>
      <c r="F19339" s="3">
        <v>0</v>
      </c>
      <c r="G19339" s="3">
        <v>1</v>
      </c>
      <c r="H19339" s="3">
        <v>0</v>
      </c>
      <c r="I19339" s="3">
        <v>0</v>
      </c>
      <c r="J19339" s="3">
        <v>1</v>
      </c>
      <c r="K19339" s="3">
        <v>0</v>
      </c>
      <c r="L19339" s="3">
        <v>0</v>
      </c>
      <c r="M19339" s="3">
        <v>0</v>
      </c>
      <c r="N19339" s="3">
        <v>0</v>
      </c>
      <c r="O19339" s="3" t="s">
        <v>10</v>
      </c>
      <c r="P19339" s="3" t="s">
        <v>9</v>
      </c>
      <c r="Q19339" s="3"/>
    </row>
    <row r="19340" spans="1:17" ht="15" x14ac:dyDescent="0.25">
      <c r="A19340" s="3">
        <f>19333</f>
        <v>19333</v>
      </c>
      <c r="B19340" s="3" t="s">
        <v>19342</v>
      </c>
      <c r="C19340" s="3" t="s">
        <v>10</v>
      </c>
      <c r="D19340" s="3" t="s">
        <v>9</v>
      </c>
      <c r="E19340" s="3">
        <v>0</v>
      </c>
      <c r="F19340" s="3">
        <v>0</v>
      </c>
      <c r="G19340" s="3">
        <v>1</v>
      </c>
      <c r="H19340" s="3">
        <v>0</v>
      </c>
      <c r="I19340" s="3">
        <v>0</v>
      </c>
      <c r="J19340" s="3">
        <v>1</v>
      </c>
      <c r="K19340" s="3">
        <v>0</v>
      </c>
      <c r="L19340" s="3">
        <v>0</v>
      </c>
      <c r="M19340" s="3">
        <v>0</v>
      </c>
      <c r="N19340" s="3">
        <v>0</v>
      </c>
      <c r="O19340" s="3" t="s">
        <v>10</v>
      </c>
      <c r="P19340" s="3" t="s">
        <v>9</v>
      </c>
      <c r="Q19340" s="3"/>
    </row>
    <row r="19341" spans="1:17" ht="15" x14ac:dyDescent="0.25">
      <c r="A19341" s="3">
        <f>19334</f>
        <v>19334</v>
      </c>
      <c r="B19341" s="3" t="s">
        <v>19343</v>
      </c>
      <c r="C19341" s="3" t="s">
        <v>10</v>
      </c>
      <c r="D19341" s="3" t="s">
        <v>9</v>
      </c>
      <c r="E19341" s="3">
        <v>0</v>
      </c>
      <c r="F19341" s="3">
        <v>0</v>
      </c>
      <c r="G19341" s="3">
        <v>1</v>
      </c>
      <c r="H19341" s="3">
        <v>0</v>
      </c>
      <c r="I19341" s="3">
        <v>0</v>
      </c>
      <c r="J19341" s="3">
        <v>1</v>
      </c>
      <c r="K19341" s="3">
        <v>0</v>
      </c>
      <c r="L19341" s="3">
        <v>0</v>
      </c>
      <c r="M19341" s="3">
        <v>0</v>
      </c>
      <c r="N19341" s="3">
        <v>0</v>
      </c>
      <c r="O19341" s="3" t="s">
        <v>10</v>
      </c>
      <c r="P19341" s="3" t="s">
        <v>9</v>
      </c>
      <c r="Q19341" s="3"/>
    </row>
    <row r="19342" spans="1:17" ht="15" x14ac:dyDescent="0.25">
      <c r="A19342" s="3">
        <f>19335</f>
        <v>19335</v>
      </c>
      <c r="B19342" s="3" t="s">
        <v>19344</v>
      </c>
      <c r="C19342" s="3" t="s">
        <v>10</v>
      </c>
      <c r="D19342" s="3" t="s">
        <v>9</v>
      </c>
      <c r="E19342" s="3">
        <v>0</v>
      </c>
      <c r="F19342" s="3">
        <v>0</v>
      </c>
      <c r="G19342" s="3">
        <v>1</v>
      </c>
      <c r="H19342" s="3">
        <v>0</v>
      </c>
      <c r="I19342" s="3">
        <v>0</v>
      </c>
      <c r="J19342" s="3">
        <v>1</v>
      </c>
      <c r="K19342" s="3">
        <v>0</v>
      </c>
      <c r="L19342" s="3">
        <v>0</v>
      </c>
      <c r="M19342" s="3">
        <v>0</v>
      </c>
      <c r="N19342" s="3">
        <v>0</v>
      </c>
      <c r="O19342" s="3" t="s">
        <v>10</v>
      </c>
      <c r="P19342" s="3" t="s">
        <v>9</v>
      </c>
      <c r="Q19342" s="3"/>
    </row>
    <row r="19343" spans="1:17" ht="15" x14ac:dyDescent="0.25">
      <c r="A19343" s="3">
        <f>19336</f>
        <v>19336</v>
      </c>
      <c r="B19343" s="3" t="s">
        <v>19345</v>
      </c>
      <c r="C19343" s="3" t="s">
        <v>10</v>
      </c>
      <c r="D19343" s="3" t="s">
        <v>9</v>
      </c>
      <c r="E19343" s="3">
        <v>0</v>
      </c>
      <c r="F19343" s="3">
        <v>0</v>
      </c>
      <c r="G19343" s="3">
        <v>1</v>
      </c>
      <c r="H19343" s="3">
        <v>0</v>
      </c>
      <c r="I19343" s="3">
        <v>0</v>
      </c>
      <c r="J19343" s="3">
        <v>1</v>
      </c>
      <c r="K19343" s="3">
        <v>0</v>
      </c>
      <c r="L19343" s="3">
        <v>0</v>
      </c>
      <c r="M19343" s="3">
        <v>0</v>
      </c>
      <c r="N19343" s="3">
        <v>0</v>
      </c>
      <c r="O19343" s="3" t="s">
        <v>10</v>
      </c>
      <c r="P19343" s="3" t="s">
        <v>9</v>
      </c>
      <c r="Q19343" s="3"/>
    </row>
    <row r="19344" spans="1:17" ht="15" x14ac:dyDescent="0.25">
      <c r="A19344" s="3">
        <f>19337</f>
        <v>19337</v>
      </c>
      <c r="B19344" s="3" t="s">
        <v>19346</v>
      </c>
      <c r="C19344" s="3" t="s">
        <v>10</v>
      </c>
      <c r="D19344" s="3" t="s">
        <v>9</v>
      </c>
      <c r="E19344" s="3">
        <v>0</v>
      </c>
      <c r="F19344" s="3">
        <v>0</v>
      </c>
      <c r="G19344" s="3">
        <v>1</v>
      </c>
      <c r="H19344" s="3">
        <v>0</v>
      </c>
      <c r="I19344" s="3">
        <v>0</v>
      </c>
      <c r="J19344" s="3">
        <v>1</v>
      </c>
      <c r="K19344" s="3">
        <v>0</v>
      </c>
      <c r="L19344" s="3">
        <v>0</v>
      </c>
      <c r="M19344" s="3">
        <v>0</v>
      </c>
      <c r="N19344" s="3">
        <v>0</v>
      </c>
      <c r="O19344" s="3" t="s">
        <v>10</v>
      </c>
      <c r="P19344" s="3" t="s">
        <v>9</v>
      </c>
      <c r="Q19344" s="3"/>
    </row>
    <row r="19345" spans="1:17" ht="15" x14ac:dyDescent="0.25">
      <c r="A19345" s="3">
        <f>19338</f>
        <v>19338</v>
      </c>
      <c r="B19345" s="3" t="s">
        <v>19347</v>
      </c>
      <c r="C19345" s="3" t="s">
        <v>10</v>
      </c>
      <c r="D19345" s="3" t="s">
        <v>9</v>
      </c>
      <c r="E19345" s="3">
        <v>0</v>
      </c>
      <c r="F19345" s="3">
        <v>0</v>
      </c>
      <c r="G19345" s="3">
        <v>1</v>
      </c>
      <c r="H19345" s="3">
        <v>0</v>
      </c>
      <c r="I19345" s="3">
        <v>0</v>
      </c>
      <c r="J19345" s="3">
        <v>1</v>
      </c>
      <c r="K19345" s="3">
        <v>0</v>
      </c>
      <c r="L19345" s="3">
        <v>0</v>
      </c>
      <c r="M19345" s="3">
        <v>0</v>
      </c>
      <c r="N19345" s="3">
        <v>0</v>
      </c>
      <c r="O19345" s="3" t="s">
        <v>10</v>
      </c>
      <c r="P19345" s="3" t="s">
        <v>9</v>
      </c>
      <c r="Q19345" s="3"/>
    </row>
    <row r="19346" spans="1:17" ht="15" x14ac:dyDescent="0.25">
      <c r="A19346" s="3">
        <f>19339</f>
        <v>19339</v>
      </c>
      <c r="B19346" s="3" t="s">
        <v>19348</v>
      </c>
      <c r="C19346" s="3" t="s">
        <v>10</v>
      </c>
      <c r="D19346" s="3" t="s">
        <v>9</v>
      </c>
      <c r="E19346" s="3">
        <v>0</v>
      </c>
      <c r="F19346" s="3">
        <v>0</v>
      </c>
      <c r="G19346" s="3">
        <v>1</v>
      </c>
      <c r="H19346" s="3">
        <v>0</v>
      </c>
      <c r="I19346" s="3">
        <v>0</v>
      </c>
      <c r="J19346" s="3">
        <v>1</v>
      </c>
      <c r="K19346" s="3">
        <v>0</v>
      </c>
      <c r="L19346" s="3">
        <v>0</v>
      </c>
      <c r="M19346" s="3">
        <v>0</v>
      </c>
      <c r="N19346" s="3">
        <v>0</v>
      </c>
      <c r="O19346" s="3" t="s">
        <v>10</v>
      </c>
      <c r="P19346" s="3" t="s">
        <v>9</v>
      </c>
      <c r="Q19346" s="3"/>
    </row>
    <row r="19347" spans="1:17" ht="15" x14ac:dyDescent="0.25">
      <c r="A19347" s="3">
        <f>19340</f>
        <v>19340</v>
      </c>
      <c r="B19347" s="3" t="s">
        <v>19349</v>
      </c>
      <c r="C19347" s="3" t="s">
        <v>10</v>
      </c>
      <c r="D19347" s="3" t="s">
        <v>9</v>
      </c>
      <c r="E19347" s="3">
        <v>0</v>
      </c>
      <c r="F19347" s="3">
        <v>0</v>
      </c>
      <c r="G19347" s="3">
        <v>1</v>
      </c>
      <c r="H19347" s="3">
        <v>0</v>
      </c>
      <c r="I19347" s="3">
        <v>0</v>
      </c>
      <c r="J19347" s="3">
        <v>1</v>
      </c>
      <c r="K19347" s="3">
        <v>0</v>
      </c>
      <c r="L19347" s="3">
        <v>0</v>
      </c>
      <c r="M19347" s="3">
        <v>0</v>
      </c>
      <c r="N19347" s="3">
        <v>0</v>
      </c>
      <c r="O19347" s="3" t="s">
        <v>10</v>
      </c>
      <c r="P19347" s="3" t="s">
        <v>9</v>
      </c>
      <c r="Q19347" s="3"/>
    </row>
    <row r="19348" spans="1:17" ht="15" x14ac:dyDescent="0.25">
      <c r="A19348" s="3">
        <f>19341</f>
        <v>19341</v>
      </c>
      <c r="B19348" s="3" t="s">
        <v>19350</v>
      </c>
      <c r="C19348" s="3" t="s">
        <v>10</v>
      </c>
      <c r="D19348" s="3" t="s">
        <v>9</v>
      </c>
      <c r="E19348" s="3">
        <v>0</v>
      </c>
      <c r="F19348" s="3">
        <v>0</v>
      </c>
      <c r="G19348" s="3">
        <v>1</v>
      </c>
      <c r="H19348" s="3">
        <v>0</v>
      </c>
      <c r="I19348" s="3">
        <v>0</v>
      </c>
      <c r="J19348" s="3">
        <v>1</v>
      </c>
      <c r="K19348" s="3">
        <v>0</v>
      </c>
      <c r="L19348" s="3">
        <v>0</v>
      </c>
      <c r="M19348" s="3">
        <v>0</v>
      </c>
      <c r="N19348" s="3">
        <v>0</v>
      </c>
      <c r="O19348" s="3" t="s">
        <v>10</v>
      </c>
      <c r="P19348" s="3" t="s">
        <v>9</v>
      </c>
      <c r="Q19348" s="3"/>
    </row>
    <row r="19349" spans="1:17" ht="15" x14ac:dyDescent="0.25">
      <c r="A19349" s="3">
        <f>19342</f>
        <v>19342</v>
      </c>
      <c r="B19349" s="3" t="s">
        <v>19351</v>
      </c>
      <c r="C19349" s="3" t="s">
        <v>10</v>
      </c>
      <c r="D19349" s="3" t="s">
        <v>9</v>
      </c>
      <c r="E19349" s="3">
        <v>0</v>
      </c>
      <c r="F19349" s="3">
        <v>0</v>
      </c>
      <c r="G19349" s="3">
        <v>1</v>
      </c>
      <c r="H19349" s="3">
        <v>0</v>
      </c>
      <c r="I19349" s="3">
        <v>0</v>
      </c>
      <c r="J19349" s="3">
        <v>1</v>
      </c>
      <c r="K19349" s="3">
        <v>0</v>
      </c>
      <c r="L19349" s="3">
        <v>0</v>
      </c>
      <c r="M19349" s="3">
        <v>0</v>
      </c>
      <c r="N19349" s="3">
        <v>0</v>
      </c>
      <c r="O19349" s="3" t="s">
        <v>10</v>
      </c>
      <c r="P19349" s="3" t="s">
        <v>9</v>
      </c>
      <c r="Q19349" s="3"/>
    </row>
    <row r="19350" spans="1:17" ht="15" x14ac:dyDescent="0.25">
      <c r="A19350" s="3">
        <f>19343</f>
        <v>19343</v>
      </c>
      <c r="B19350" s="3" t="s">
        <v>19352</v>
      </c>
      <c r="C19350" s="3" t="s">
        <v>10</v>
      </c>
      <c r="D19350" s="3" t="s">
        <v>9</v>
      </c>
      <c r="E19350" s="3">
        <v>0</v>
      </c>
      <c r="F19350" s="3">
        <v>0</v>
      </c>
      <c r="G19350" s="3">
        <v>1</v>
      </c>
      <c r="H19350" s="3">
        <v>0</v>
      </c>
      <c r="I19350" s="3">
        <v>0</v>
      </c>
      <c r="J19350" s="3">
        <v>1</v>
      </c>
      <c r="K19350" s="3">
        <v>0</v>
      </c>
      <c r="L19350" s="3">
        <v>0</v>
      </c>
      <c r="M19350" s="3">
        <v>0</v>
      </c>
      <c r="N19350" s="3">
        <v>0</v>
      </c>
      <c r="O19350" s="3" t="s">
        <v>10</v>
      </c>
      <c r="P19350" s="3" t="s">
        <v>9</v>
      </c>
      <c r="Q19350" s="3"/>
    </row>
    <row r="19351" spans="1:17" ht="15" x14ac:dyDescent="0.25">
      <c r="A19351" s="3">
        <f>19344</f>
        <v>19344</v>
      </c>
      <c r="B19351" s="3" t="s">
        <v>19353</v>
      </c>
      <c r="C19351" s="3" t="s">
        <v>10</v>
      </c>
      <c r="D19351" s="3" t="s">
        <v>9</v>
      </c>
      <c r="E19351" s="3">
        <v>0</v>
      </c>
      <c r="F19351" s="3">
        <v>0</v>
      </c>
      <c r="G19351" s="3">
        <v>1</v>
      </c>
      <c r="H19351" s="3">
        <v>0</v>
      </c>
      <c r="I19351" s="3">
        <v>0</v>
      </c>
      <c r="J19351" s="3">
        <v>1</v>
      </c>
      <c r="K19351" s="3">
        <v>0</v>
      </c>
      <c r="L19351" s="3">
        <v>0</v>
      </c>
      <c r="M19351" s="3">
        <v>0</v>
      </c>
      <c r="N19351" s="3">
        <v>0</v>
      </c>
      <c r="O19351" s="3" t="s">
        <v>10</v>
      </c>
      <c r="P19351" s="3" t="s">
        <v>9</v>
      </c>
      <c r="Q19351" s="3"/>
    </row>
    <row r="19352" spans="1:17" ht="15" x14ac:dyDescent="0.25">
      <c r="A19352" s="3">
        <f>19345</f>
        <v>19345</v>
      </c>
      <c r="B19352" s="3" t="s">
        <v>19354</v>
      </c>
      <c r="C19352" s="3" t="s">
        <v>10</v>
      </c>
      <c r="D19352" s="3" t="s">
        <v>9</v>
      </c>
      <c r="E19352" s="3">
        <v>0</v>
      </c>
      <c r="F19352" s="3">
        <v>0</v>
      </c>
      <c r="G19352" s="3">
        <v>1</v>
      </c>
      <c r="H19352" s="3">
        <v>0</v>
      </c>
      <c r="I19352" s="3">
        <v>0</v>
      </c>
      <c r="J19352" s="3">
        <v>1</v>
      </c>
      <c r="K19352" s="3">
        <v>0</v>
      </c>
      <c r="L19352" s="3">
        <v>0</v>
      </c>
      <c r="M19352" s="3">
        <v>0</v>
      </c>
      <c r="N19352" s="3">
        <v>0</v>
      </c>
      <c r="O19352" s="3" t="s">
        <v>10</v>
      </c>
      <c r="P19352" s="3" t="s">
        <v>9</v>
      </c>
      <c r="Q19352" s="3"/>
    </row>
    <row r="19353" spans="1:17" ht="15" x14ac:dyDescent="0.25">
      <c r="A19353" s="3">
        <f>19346</f>
        <v>19346</v>
      </c>
      <c r="B19353" s="3" t="s">
        <v>19355</v>
      </c>
      <c r="C19353" s="3" t="s">
        <v>10</v>
      </c>
      <c r="D19353" s="3" t="s">
        <v>9</v>
      </c>
      <c r="E19353" s="3">
        <v>0</v>
      </c>
      <c r="F19353" s="3">
        <v>0</v>
      </c>
      <c r="G19353" s="3">
        <v>1</v>
      </c>
      <c r="H19353" s="3">
        <v>0</v>
      </c>
      <c r="I19353" s="3">
        <v>0</v>
      </c>
      <c r="J19353" s="3">
        <v>1</v>
      </c>
      <c r="K19353" s="3">
        <v>0</v>
      </c>
      <c r="L19353" s="3">
        <v>0</v>
      </c>
      <c r="M19353" s="3">
        <v>0</v>
      </c>
      <c r="N19353" s="3">
        <v>0</v>
      </c>
      <c r="O19353" s="3" t="s">
        <v>10</v>
      </c>
      <c r="P19353" s="3" t="s">
        <v>9</v>
      </c>
      <c r="Q19353" s="3"/>
    </row>
    <row r="19354" spans="1:17" ht="15" x14ac:dyDescent="0.25">
      <c r="A19354" s="3">
        <f>19347</f>
        <v>19347</v>
      </c>
      <c r="B19354" s="3" t="s">
        <v>19356</v>
      </c>
      <c r="C19354" s="3" t="s">
        <v>10</v>
      </c>
      <c r="D19354" s="3" t="s">
        <v>9</v>
      </c>
      <c r="E19354" s="3">
        <v>0</v>
      </c>
      <c r="F19354" s="3">
        <v>0</v>
      </c>
      <c r="G19354" s="3">
        <v>1</v>
      </c>
      <c r="H19354" s="3">
        <v>0</v>
      </c>
      <c r="I19354" s="3">
        <v>0</v>
      </c>
      <c r="J19354" s="3">
        <v>1</v>
      </c>
      <c r="K19354" s="3">
        <v>0</v>
      </c>
      <c r="L19354" s="3">
        <v>0</v>
      </c>
      <c r="M19354" s="3">
        <v>0</v>
      </c>
      <c r="N19354" s="3">
        <v>0</v>
      </c>
      <c r="O19354" s="3" t="s">
        <v>10</v>
      </c>
      <c r="P19354" s="3" t="s">
        <v>9</v>
      </c>
      <c r="Q19354" s="3"/>
    </row>
    <row r="19355" spans="1:17" ht="15" x14ac:dyDescent="0.25">
      <c r="A19355" s="3">
        <f>19348</f>
        <v>19348</v>
      </c>
      <c r="B19355" s="3" t="s">
        <v>19357</v>
      </c>
      <c r="C19355" s="3" t="s">
        <v>10</v>
      </c>
      <c r="D19355" s="3" t="s">
        <v>9</v>
      </c>
      <c r="E19355" s="3">
        <v>0</v>
      </c>
      <c r="F19355" s="3">
        <v>0</v>
      </c>
      <c r="G19355" s="3">
        <v>1</v>
      </c>
      <c r="H19355" s="3">
        <v>0</v>
      </c>
      <c r="I19355" s="3">
        <v>0</v>
      </c>
      <c r="J19355" s="3">
        <v>1</v>
      </c>
      <c r="K19355" s="3">
        <v>0</v>
      </c>
      <c r="L19355" s="3">
        <v>0</v>
      </c>
      <c r="M19355" s="3">
        <v>0</v>
      </c>
      <c r="N19355" s="3">
        <v>0</v>
      </c>
      <c r="O19355" s="3" t="s">
        <v>10</v>
      </c>
      <c r="P19355" s="3" t="s">
        <v>9</v>
      </c>
      <c r="Q19355" s="3"/>
    </row>
    <row r="19356" spans="1:17" ht="15" x14ac:dyDescent="0.25">
      <c r="A19356" s="3">
        <f>19349</f>
        <v>19349</v>
      </c>
      <c r="B19356" s="3" t="s">
        <v>19358</v>
      </c>
      <c r="C19356" s="3" t="s">
        <v>10</v>
      </c>
      <c r="D19356" s="3" t="s">
        <v>9</v>
      </c>
      <c r="E19356" s="3">
        <v>0</v>
      </c>
      <c r="F19356" s="3">
        <v>0</v>
      </c>
      <c r="G19356" s="3">
        <v>1</v>
      </c>
      <c r="H19356" s="3">
        <v>0</v>
      </c>
      <c r="I19356" s="3">
        <v>0</v>
      </c>
      <c r="J19356" s="3">
        <v>1</v>
      </c>
      <c r="K19356" s="3">
        <v>0</v>
      </c>
      <c r="L19356" s="3">
        <v>0</v>
      </c>
      <c r="M19356" s="3">
        <v>0</v>
      </c>
      <c r="N19356" s="3">
        <v>0</v>
      </c>
      <c r="O19356" s="3" t="s">
        <v>10</v>
      </c>
      <c r="P19356" s="3" t="s">
        <v>9</v>
      </c>
      <c r="Q19356" s="3"/>
    </row>
    <row r="19357" spans="1:17" ht="15" x14ac:dyDescent="0.25">
      <c r="A19357" s="3">
        <f>19350</f>
        <v>19350</v>
      </c>
      <c r="B19357" s="3" t="s">
        <v>19359</v>
      </c>
      <c r="C19357" s="3" t="s">
        <v>10</v>
      </c>
      <c r="D19357" s="3" t="s">
        <v>9</v>
      </c>
      <c r="E19357" s="3">
        <v>0</v>
      </c>
      <c r="F19357" s="3">
        <v>0</v>
      </c>
      <c r="G19357" s="3">
        <v>1</v>
      </c>
      <c r="H19357" s="3">
        <v>0</v>
      </c>
      <c r="I19357" s="3">
        <v>0</v>
      </c>
      <c r="J19357" s="3">
        <v>1</v>
      </c>
      <c r="K19357" s="3">
        <v>0</v>
      </c>
      <c r="L19357" s="3">
        <v>0</v>
      </c>
      <c r="M19357" s="3">
        <v>0</v>
      </c>
      <c r="N19357" s="3">
        <v>0</v>
      </c>
      <c r="O19357" s="3" t="s">
        <v>10</v>
      </c>
      <c r="P19357" s="3" t="s">
        <v>9</v>
      </c>
      <c r="Q19357" s="3"/>
    </row>
    <row r="19358" spans="1:17" ht="15" x14ac:dyDescent="0.25">
      <c r="A19358" s="3">
        <f>19351</f>
        <v>19351</v>
      </c>
      <c r="B19358" s="3" t="s">
        <v>19360</v>
      </c>
      <c r="C19358" s="3" t="s">
        <v>10</v>
      </c>
      <c r="D19358" s="3" t="s">
        <v>9</v>
      </c>
      <c r="E19358" s="3">
        <v>0</v>
      </c>
      <c r="F19358" s="3">
        <v>0</v>
      </c>
      <c r="G19358" s="3">
        <v>1</v>
      </c>
      <c r="H19358" s="3">
        <v>0</v>
      </c>
      <c r="I19358" s="3">
        <v>0</v>
      </c>
      <c r="J19358" s="3">
        <v>1</v>
      </c>
      <c r="K19358" s="3">
        <v>0</v>
      </c>
      <c r="L19358" s="3">
        <v>0</v>
      </c>
      <c r="M19358" s="3">
        <v>0</v>
      </c>
      <c r="N19358" s="3">
        <v>0</v>
      </c>
      <c r="O19358" s="3" t="s">
        <v>10</v>
      </c>
      <c r="P19358" s="3" t="s">
        <v>9</v>
      </c>
      <c r="Q19358" s="3"/>
    </row>
    <row r="19359" spans="1:17" ht="15" x14ac:dyDescent="0.25">
      <c r="A19359" s="3">
        <f>19352</f>
        <v>19352</v>
      </c>
      <c r="B19359" s="3" t="s">
        <v>19361</v>
      </c>
      <c r="C19359" s="3" t="s">
        <v>10</v>
      </c>
      <c r="D19359" s="3" t="s">
        <v>9</v>
      </c>
      <c r="E19359" s="3">
        <v>0</v>
      </c>
      <c r="F19359" s="3">
        <v>0</v>
      </c>
      <c r="G19359" s="3">
        <v>1</v>
      </c>
      <c r="H19359" s="3">
        <v>0</v>
      </c>
      <c r="I19359" s="3">
        <v>0</v>
      </c>
      <c r="J19359" s="3">
        <v>1</v>
      </c>
      <c r="K19359" s="3">
        <v>0</v>
      </c>
      <c r="L19359" s="3">
        <v>0</v>
      </c>
      <c r="M19359" s="3">
        <v>0</v>
      </c>
      <c r="N19359" s="3">
        <v>0</v>
      </c>
      <c r="O19359" s="3" t="s">
        <v>10</v>
      </c>
      <c r="P19359" s="3" t="s">
        <v>9</v>
      </c>
      <c r="Q19359" s="3"/>
    </row>
    <row r="19360" spans="1:17" ht="15" x14ac:dyDescent="0.25">
      <c r="A19360" s="3">
        <f>19353</f>
        <v>19353</v>
      </c>
      <c r="B19360" s="3" t="s">
        <v>19362</v>
      </c>
      <c r="C19360" s="3" t="s">
        <v>10</v>
      </c>
      <c r="D19360" s="3" t="s">
        <v>9</v>
      </c>
      <c r="E19360" s="3">
        <v>0</v>
      </c>
      <c r="F19360" s="3">
        <v>0</v>
      </c>
      <c r="G19360" s="3">
        <v>1</v>
      </c>
      <c r="H19360" s="3">
        <v>0</v>
      </c>
      <c r="I19360" s="3">
        <v>0</v>
      </c>
      <c r="J19360" s="3">
        <v>1</v>
      </c>
      <c r="K19360" s="3">
        <v>0</v>
      </c>
      <c r="L19360" s="3">
        <v>0</v>
      </c>
      <c r="M19360" s="3">
        <v>0</v>
      </c>
      <c r="N19360" s="3">
        <v>0</v>
      </c>
      <c r="O19360" s="3" t="s">
        <v>10</v>
      </c>
      <c r="P19360" s="3" t="s">
        <v>9</v>
      </c>
      <c r="Q19360" s="3"/>
    </row>
    <row r="19361" spans="1:17" ht="15" x14ac:dyDescent="0.25">
      <c r="A19361" s="3">
        <f>19354</f>
        <v>19354</v>
      </c>
      <c r="B19361" s="3" t="s">
        <v>19363</v>
      </c>
      <c r="C19361" s="3" t="s">
        <v>10</v>
      </c>
      <c r="D19361" s="3" t="s">
        <v>9</v>
      </c>
      <c r="E19361" s="3">
        <v>0</v>
      </c>
      <c r="F19361" s="3">
        <v>0</v>
      </c>
      <c r="G19361" s="3">
        <v>1</v>
      </c>
      <c r="H19361" s="3">
        <v>0</v>
      </c>
      <c r="I19361" s="3">
        <v>0</v>
      </c>
      <c r="J19361" s="3">
        <v>1</v>
      </c>
      <c r="K19361" s="3">
        <v>0</v>
      </c>
      <c r="L19361" s="3">
        <v>0</v>
      </c>
      <c r="M19361" s="3">
        <v>0</v>
      </c>
      <c r="N19361" s="3">
        <v>0</v>
      </c>
      <c r="O19361" s="3" t="s">
        <v>10</v>
      </c>
      <c r="P19361" s="3" t="s">
        <v>9</v>
      </c>
      <c r="Q19361" s="3"/>
    </row>
    <row r="19362" spans="1:17" ht="15" x14ac:dyDescent="0.25">
      <c r="A19362" s="3">
        <f>19355</f>
        <v>19355</v>
      </c>
      <c r="B19362" s="3" t="s">
        <v>19364</v>
      </c>
      <c r="C19362" s="3" t="s">
        <v>10</v>
      </c>
      <c r="D19362" s="3" t="s">
        <v>9</v>
      </c>
      <c r="E19362" s="3">
        <v>0</v>
      </c>
      <c r="F19362" s="3">
        <v>0</v>
      </c>
      <c r="G19362" s="3">
        <v>1</v>
      </c>
      <c r="H19362" s="3">
        <v>0</v>
      </c>
      <c r="I19362" s="3">
        <v>0</v>
      </c>
      <c r="J19362" s="3">
        <v>1</v>
      </c>
      <c r="K19362" s="3">
        <v>0</v>
      </c>
      <c r="L19362" s="3">
        <v>0</v>
      </c>
      <c r="M19362" s="3">
        <v>0</v>
      </c>
      <c r="N19362" s="3">
        <v>0</v>
      </c>
      <c r="O19362" s="3" t="s">
        <v>10</v>
      </c>
      <c r="P19362" s="3" t="s">
        <v>9</v>
      </c>
      <c r="Q19362" s="3"/>
    </row>
    <row r="19363" spans="1:17" ht="15" x14ac:dyDescent="0.25">
      <c r="A19363" s="3">
        <f>19356</f>
        <v>19356</v>
      </c>
      <c r="B19363" s="3" t="s">
        <v>19365</v>
      </c>
      <c r="C19363" s="3" t="s">
        <v>10</v>
      </c>
      <c r="D19363" s="3" t="s">
        <v>9</v>
      </c>
      <c r="E19363" s="3">
        <v>0</v>
      </c>
      <c r="F19363" s="3">
        <v>0</v>
      </c>
      <c r="G19363" s="3">
        <v>1</v>
      </c>
      <c r="H19363" s="3">
        <v>0</v>
      </c>
      <c r="I19363" s="3">
        <v>0</v>
      </c>
      <c r="J19363" s="3">
        <v>1</v>
      </c>
      <c r="K19363" s="3">
        <v>0</v>
      </c>
      <c r="L19363" s="3">
        <v>0</v>
      </c>
      <c r="M19363" s="3">
        <v>0</v>
      </c>
      <c r="N19363" s="3">
        <v>0</v>
      </c>
      <c r="O19363" s="3" t="s">
        <v>10</v>
      </c>
      <c r="P19363" s="3" t="s">
        <v>9</v>
      </c>
      <c r="Q19363" s="3"/>
    </row>
    <row r="19364" spans="1:17" ht="15" x14ac:dyDescent="0.25">
      <c r="A19364" s="3">
        <f>19357</f>
        <v>19357</v>
      </c>
      <c r="B19364" s="3" t="s">
        <v>19366</v>
      </c>
      <c r="C19364" s="3" t="s">
        <v>10</v>
      </c>
      <c r="D19364" s="3" t="s">
        <v>9</v>
      </c>
      <c r="E19364" s="3">
        <v>0</v>
      </c>
      <c r="F19364" s="3">
        <v>0</v>
      </c>
      <c r="G19364" s="3">
        <v>1</v>
      </c>
      <c r="H19364" s="3">
        <v>0</v>
      </c>
      <c r="I19364" s="3">
        <v>0</v>
      </c>
      <c r="J19364" s="3">
        <v>1</v>
      </c>
      <c r="K19364" s="3">
        <v>0</v>
      </c>
      <c r="L19364" s="3">
        <v>0</v>
      </c>
      <c r="M19364" s="3">
        <v>0</v>
      </c>
      <c r="N19364" s="3">
        <v>0</v>
      </c>
      <c r="O19364" s="3" t="s">
        <v>10</v>
      </c>
      <c r="P19364" s="3" t="s">
        <v>9</v>
      </c>
      <c r="Q19364" s="3"/>
    </row>
    <row r="19365" spans="1:17" ht="15" x14ac:dyDescent="0.25">
      <c r="A19365" s="3">
        <f>19358</f>
        <v>19358</v>
      </c>
      <c r="B19365" s="3" t="s">
        <v>19367</v>
      </c>
      <c r="C19365" s="3" t="s">
        <v>10</v>
      </c>
      <c r="D19365" s="3" t="s">
        <v>9</v>
      </c>
      <c r="E19365" s="3">
        <v>0</v>
      </c>
      <c r="F19365" s="3">
        <v>0</v>
      </c>
      <c r="G19365" s="3">
        <v>1</v>
      </c>
      <c r="H19365" s="3">
        <v>0</v>
      </c>
      <c r="I19365" s="3">
        <v>0</v>
      </c>
      <c r="J19365" s="3">
        <v>1</v>
      </c>
      <c r="K19365" s="3">
        <v>0</v>
      </c>
      <c r="L19365" s="3">
        <v>0</v>
      </c>
      <c r="M19365" s="3">
        <v>0</v>
      </c>
      <c r="N19365" s="3">
        <v>0</v>
      </c>
      <c r="O19365" s="3" t="s">
        <v>10</v>
      </c>
      <c r="P19365" s="3" t="s">
        <v>9</v>
      </c>
      <c r="Q19365" s="3"/>
    </row>
    <row r="19366" spans="1:17" ht="15" x14ac:dyDescent="0.25">
      <c r="A19366" s="3">
        <f>19359</f>
        <v>19359</v>
      </c>
      <c r="B19366" s="3" t="s">
        <v>19368</v>
      </c>
      <c r="C19366" s="3" t="s">
        <v>10</v>
      </c>
      <c r="D19366" s="3" t="s">
        <v>9</v>
      </c>
      <c r="E19366" s="3">
        <v>0</v>
      </c>
      <c r="F19366" s="3">
        <v>0</v>
      </c>
      <c r="G19366" s="3">
        <v>1</v>
      </c>
      <c r="H19366" s="3">
        <v>0</v>
      </c>
      <c r="I19366" s="3">
        <v>0</v>
      </c>
      <c r="J19366" s="3">
        <v>1</v>
      </c>
      <c r="K19366" s="3">
        <v>0</v>
      </c>
      <c r="L19366" s="3">
        <v>0</v>
      </c>
      <c r="M19366" s="3">
        <v>0</v>
      </c>
      <c r="N19366" s="3">
        <v>0</v>
      </c>
      <c r="O19366" s="3" t="s">
        <v>10</v>
      </c>
      <c r="P19366" s="3" t="s">
        <v>9</v>
      </c>
      <c r="Q19366" s="3"/>
    </row>
    <row r="19367" spans="1:17" ht="15" x14ac:dyDescent="0.25">
      <c r="A19367" s="3">
        <f>19360</f>
        <v>19360</v>
      </c>
      <c r="B19367" s="3" t="s">
        <v>19369</v>
      </c>
      <c r="C19367" s="3" t="s">
        <v>10</v>
      </c>
      <c r="D19367" s="3" t="s">
        <v>9</v>
      </c>
      <c r="E19367" s="3">
        <v>0</v>
      </c>
      <c r="F19367" s="3">
        <v>0</v>
      </c>
      <c r="G19367" s="3">
        <v>1</v>
      </c>
      <c r="H19367" s="3">
        <v>0</v>
      </c>
      <c r="I19367" s="3">
        <v>0</v>
      </c>
      <c r="J19367" s="3">
        <v>1</v>
      </c>
      <c r="K19367" s="3">
        <v>0</v>
      </c>
      <c r="L19367" s="3">
        <v>0</v>
      </c>
      <c r="M19367" s="3">
        <v>0</v>
      </c>
      <c r="N19367" s="3">
        <v>0</v>
      </c>
      <c r="O19367" s="3" t="s">
        <v>10</v>
      </c>
      <c r="P19367" s="3" t="s">
        <v>9</v>
      </c>
      <c r="Q19367" s="3"/>
    </row>
    <row r="19368" spans="1:17" ht="15" x14ac:dyDescent="0.25">
      <c r="A19368" s="3">
        <f>19361</f>
        <v>19361</v>
      </c>
      <c r="B19368" s="3" t="s">
        <v>19370</v>
      </c>
      <c r="C19368" s="3" t="s">
        <v>10</v>
      </c>
      <c r="D19368" s="3" t="s">
        <v>9</v>
      </c>
      <c r="E19368" s="3">
        <v>0</v>
      </c>
      <c r="F19368" s="3">
        <v>0</v>
      </c>
      <c r="G19368" s="3">
        <v>1</v>
      </c>
      <c r="H19368" s="3">
        <v>0</v>
      </c>
      <c r="I19368" s="3">
        <v>0</v>
      </c>
      <c r="J19368" s="3">
        <v>1</v>
      </c>
      <c r="K19368" s="3">
        <v>0</v>
      </c>
      <c r="L19368" s="3">
        <v>0</v>
      </c>
      <c r="M19368" s="3">
        <v>0</v>
      </c>
      <c r="N19368" s="3">
        <v>0</v>
      </c>
      <c r="O19368" s="3" t="s">
        <v>10</v>
      </c>
      <c r="P19368" s="3" t="s">
        <v>9</v>
      </c>
      <c r="Q19368" s="3"/>
    </row>
    <row r="19369" spans="1:17" ht="15" x14ac:dyDescent="0.25">
      <c r="A19369" s="3">
        <f>19362</f>
        <v>19362</v>
      </c>
      <c r="B19369" s="3" t="s">
        <v>19371</v>
      </c>
      <c r="C19369" s="3" t="s">
        <v>10</v>
      </c>
      <c r="D19369" s="3" t="s">
        <v>9</v>
      </c>
      <c r="E19369" s="3">
        <v>0</v>
      </c>
      <c r="F19369" s="3">
        <v>0</v>
      </c>
      <c r="G19369" s="3">
        <v>1</v>
      </c>
      <c r="H19369" s="3">
        <v>0</v>
      </c>
      <c r="I19369" s="3">
        <v>0</v>
      </c>
      <c r="J19369" s="3">
        <v>1</v>
      </c>
      <c r="K19369" s="3">
        <v>0</v>
      </c>
      <c r="L19369" s="3">
        <v>0</v>
      </c>
      <c r="M19369" s="3">
        <v>0</v>
      </c>
      <c r="N19369" s="3">
        <v>0</v>
      </c>
      <c r="O19369" s="3" t="s">
        <v>10</v>
      </c>
      <c r="P19369" s="3" t="s">
        <v>9</v>
      </c>
      <c r="Q19369" s="3"/>
    </row>
    <row r="19370" spans="1:17" ht="15" x14ac:dyDescent="0.25">
      <c r="A19370" s="3">
        <f>19363</f>
        <v>19363</v>
      </c>
      <c r="B19370" s="3" t="s">
        <v>19372</v>
      </c>
      <c r="C19370" s="3" t="s">
        <v>10</v>
      </c>
      <c r="D19370" s="3" t="s">
        <v>9</v>
      </c>
      <c r="E19370" s="3">
        <v>0</v>
      </c>
      <c r="F19370" s="3">
        <v>0</v>
      </c>
      <c r="G19370" s="3">
        <v>1</v>
      </c>
      <c r="H19370" s="3">
        <v>0</v>
      </c>
      <c r="I19370" s="3">
        <v>0</v>
      </c>
      <c r="J19370" s="3">
        <v>1</v>
      </c>
      <c r="K19370" s="3">
        <v>0</v>
      </c>
      <c r="L19370" s="3">
        <v>0</v>
      </c>
      <c r="M19370" s="3">
        <v>0</v>
      </c>
      <c r="N19370" s="3">
        <v>0</v>
      </c>
      <c r="O19370" s="3" t="s">
        <v>10</v>
      </c>
      <c r="P19370" s="3" t="s">
        <v>9</v>
      </c>
      <c r="Q19370" s="3"/>
    </row>
    <row r="19371" spans="1:17" ht="15" x14ac:dyDescent="0.25">
      <c r="A19371" s="3">
        <f>19364</f>
        <v>19364</v>
      </c>
      <c r="B19371" s="3" t="s">
        <v>19373</v>
      </c>
      <c r="C19371" s="3" t="s">
        <v>10</v>
      </c>
      <c r="D19371" s="3" t="s">
        <v>9</v>
      </c>
      <c r="E19371" s="3">
        <v>0</v>
      </c>
      <c r="F19371" s="3">
        <v>0</v>
      </c>
      <c r="G19371" s="3">
        <v>1</v>
      </c>
      <c r="H19371" s="3">
        <v>0</v>
      </c>
      <c r="I19371" s="3">
        <v>0</v>
      </c>
      <c r="J19371" s="3">
        <v>1</v>
      </c>
      <c r="K19371" s="3">
        <v>0</v>
      </c>
      <c r="L19371" s="3">
        <v>0</v>
      </c>
      <c r="M19371" s="3">
        <v>0</v>
      </c>
      <c r="N19371" s="3">
        <v>0</v>
      </c>
      <c r="O19371" s="3" t="s">
        <v>10</v>
      </c>
      <c r="P19371" s="3" t="s">
        <v>9</v>
      </c>
      <c r="Q19371" s="3"/>
    </row>
    <row r="19372" spans="1:17" ht="15" x14ac:dyDescent="0.25">
      <c r="A19372" s="3">
        <f>19365</f>
        <v>19365</v>
      </c>
      <c r="B19372" s="3" t="s">
        <v>19374</v>
      </c>
      <c r="C19372" s="3" t="s">
        <v>10</v>
      </c>
      <c r="D19372" s="3" t="s">
        <v>9</v>
      </c>
      <c r="E19372" s="3">
        <v>0</v>
      </c>
      <c r="F19372" s="3">
        <v>0</v>
      </c>
      <c r="G19372" s="3">
        <v>1</v>
      </c>
      <c r="H19372" s="3">
        <v>0</v>
      </c>
      <c r="I19372" s="3">
        <v>0</v>
      </c>
      <c r="J19372" s="3">
        <v>1</v>
      </c>
      <c r="K19372" s="3">
        <v>0</v>
      </c>
      <c r="L19372" s="3">
        <v>0</v>
      </c>
      <c r="M19372" s="3">
        <v>0</v>
      </c>
      <c r="N19372" s="3">
        <v>0</v>
      </c>
      <c r="O19372" s="3" t="s">
        <v>10</v>
      </c>
      <c r="P19372" s="3" t="s">
        <v>9</v>
      </c>
      <c r="Q19372" s="3"/>
    </row>
    <row r="19373" spans="1:17" ht="15" x14ac:dyDescent="0.25">
      <c r="A19373" s="3">
        <f>19366</f>
        <v>19366</v>
      </c>
      <c r="B19373" s="3" t="s">
        <v>19375</v>
      </c>
      <c r="C19373" s="3" t="s">
        <v>10</v>
      </c>
      <c r="D19373" s="3" t="s">
        <v>9</v>
      </c>
      <c r="E19373" s="3">
        <v>0</v>
      </c>
      <c r="F19373" s="3">
        <v>0</v>
      </c>
      <c r="G19373" s="3">
        <v>1</v>
      </c>
      <c r="H19373" s="3">
        <v>0</v>
      </c>
      <c r="I19373" s="3">
        <v>0</v>
      </c>
      <c r="J19373" s="3">
        <v>1</v>
      </c>
      <c r="K19373" s="3">
        <v>0</v>
      </c>
      <c r="L19373" s="3">
        <v>0</v>
      </c>
      <c r="M19373" s="3">
        <v>0</v>
      </c>
      <c r="N19373" s="3">
        <v>0</v>
      </c>
      <c r="O19373" s="3" t="s">
        <v>10</v>
      </c>
      <c r="P19373" s="3" t="s">
        <v>9</v>
      </c>
      <c r="Q19373" s="3"/>
    </row>
    <row r="19374" spans="1:17" ht="15" x14ac:dyDescent="0.25">
      <c r="A19374" s="3">
        <f>19367</f>
        <v>19367</v>
      </c>
      <c r="B19374" s="3" t="s">
        <v>19376</v>
      </c>
      <c r="C19374" s="3" t="s">
        <v>10</v>
      </c>
      <c r="D19374" s="3" t="s">
        <v>9</v>
      </c>
      <c r="E19374" s="3">
        <v>0</v>
      </c>
      <c r="F19374" s="3">
        <v>0</v>
      </c>
      <c r="G19374" s="3">
        <v>1</v>
      </c>
      <c r="H19374" s="3">
        <v>0</v>
      </c>
      <c r="I19374" s="3">
        <v>0</v>
      </c>
      <c r="J19374" s="3">
        <v>1</v>
      </c>
      <c r="K19374" s="3">
        <v>0</v>
      </c>
      <c r="L19374" s="3">
        <v>0</v>
      </c>
      <c r="M19374" s="3">
        <v>0</v>
      </c>
      <c r="N19374" s="3">
        <v>0</v>
      </c>
      <c r="O19374" s="3" t="s">
        <v>10</v>
      </c>
      <c r="P19374" s="3" t="s">
        <v>9</v>
      </c>
      <c r="Q19374" s="3"/>
    </row>
    <row r="19375" spans="1:17" ht="15" x14ac:dyDescent="0.25">
      <c r="A19375" s="3">
        <f>19368</f>
        <v>19368</v>
      </c>
      <c r="B19375" s="3" t="s">
        <v>19377</v>
      </c>
      <c r="C19375" s="3" t="s">
        <v>10</v>
      </c>
      <c r="D19375" s="3" t="s">
        <v>9</v>
      </c>
      <c r="E19375" s="3">
        <v>0</v>
      </c>
      <c r="F19375" s="3">
        <v>0</v>
      </c>
      <c r="G19375" s="3">
        <v>1</v>
      </c>
      <c r="H19375" s="3">
        <v>0</v>
      </c>
      <c r="I19375" s="3">
        <v>0</v>
      </c>
      <c r="J19375" s="3">
        <v>1</v>
      </c>
      <c r="K19375" s="3">
        <v>0</v>
      </c>
      <c r="L19375" s="3">
        <v>0</v>
      </c>
      <c r="M19375" s="3">
        <v>0</v>
      </c>
      <c r="N19375" s="3">
        <v>0</v>
      </c>
      <c r="O19375" s="3" t="s">
        <v>10</v>
      </c>
      <c r="P19375" s="3" t="s">
        <v>9</v>
      </c>
      <c r="Q19375" s="3"/>
    </row>
    <row r="19376" spans="1:17" ht="15" x14ac:dyDescent="0.25">
      <c r="A19376" s="3">
        <f>19369</f>
        <v>19369</v>
      </c>
      <c r="B19376" s="3" t="s">
        <v>19378</v>
      </c>
      <c r="C19376" s="3" t="s">
        <v>10</v>
      </c>
      <c r="D19376" s="3" t="s">
        <v>9</v>
      </c>
      <c r="E19376" s="3">
        <v>0</v>
      </c>
      <c r="F19376" s="3">
        <v>0</v>
      </c>
      <c r="G19376" s="3">
        <v>1</v>
      </c>
      <c r="H19376" s="3">
        <v>0</v>
      </c>
      <c r="I19376" s="3">
        <v>0</v>
      </c>
      <c r="J19376" s="3">
        <v>1</v>
      </c>
      <c r="K19376" s="3">
        <v>0</v>
      </c>
      <c r="L19376" s="3">
        <v>0</v>
      </c>
      <c r="M19376" s="3">
        <v>0</v>
      </c>
      <c r="N19376" s="3">
        <v>0</v>
      </c>
      <c r="O19376" s="3" t="s">
        <v>10</v>
      </c>
      <c r="P19376" s="3" t="s">
        <v>9</v>
      </c>
      <c r="Q19376" s="3"/>
    </row>
    <row r="19377" spans="1:17" ht="15" x14ac:dyDescent="0.25">
      <c r="A19377" s="3">
        <f>19370</f>
        <v>19370</v>
      </c>
      <c r="B19377" s="3" t="s">
        <v>19379</v>
      </c>
      <c r="C19377" s="3" t="s">
        <v>10</v>
      </c>
      <c r="D19377" s="3" t="s">
        <v>9</v>
      </c>
      <c r="E19377" s="3">
        <v>0</v>
      </c>
      <c r="F19377" s="3">
        <v>0</v>
      </c>
      <c r="G19377" s="3">
        <v>1</v>
      </c>
      <c r="H19377" s="3">
        <v>0</v>
      </c>
      <c r="I19377" s="3">
        <v>0</v>
      </c>
      <c r="J19377" s="3">
        <v>1</v>
      </c>
      <c r="K19377" s="3">
        <v>0</v>
      </c>
      <c r="L19377" s="3">
        <v>0</v>
      </c>
      <c r="M19377" s="3">
        <v>0</v>
      </c>
      <c r="N19377" s="3">
        <v>0</v>
      </c>
      <c r="O19377" s="3" t="s">
        <v>10</v>
      </c>
      <c r="P19377" s="3" t="s">
        <v>9</v>
      </c>
      <c r="Q19377" s="3"/>
    </row>
    <row r="19378" spans="1:17" ht="15" x14ac:dyDescent="0.25">
      <c r="A19378" s="3">
        <f>19371</f>
        <v>19371</v>
      </c>
      <c r="B19378" s="3" t="s">
        <v>19380</v>
      </c>
      <c r="C19378" s="3" t="s">
        <v>10</v>
      </c>
      <c r="D19378" s="3" t="s">
        <v>9</v>
      </c>
      <c r="E19378" s="3">
        <v>0</v>
      </c>
      <c r="F19378" s="3">
        <v>0</v>
      </c>
      <c r="G19378" s="3">
        <v>1</v>
      </c>
      <c r="H19378" s="3">
        <v>0</v>
      </c>
      <c r="I19378" s="3">
        <v>0</v>
      </c>
      <c r="J19378" s="3">
        <v>1</v>
      </c>
      <c r="K19378" s="3">
        <v>0</v>
      </c>
      <c r="L19378" s="3">
        <v>0</v>
      </c>
      <c r="M19378" s="3">
        <v>0</v>
      </c>
      <c r="N19378" s="3">
        <v>0</v>
      </c>
      <c r="O19378" s="3" t="s">
        <v>10</v>
      </c>
      <c r="P19378" s="3" t="s">
        <v>9</v>
      </c>
      <c r="Q19378" s="3"/>
    </row>
    <row r="19379" spans="1:17" ht="15" x14ac:dyDescent="0.25">
      <c r="A19379" s="3">
        <f>19372</f>
        <v>19372</v>
      </c>
      <c r="B19379" s="3" t="s">
        <v>19381</v>
      </c>
      <c r="C19379" s="3" t="s">
        <v>10</v>
      </c>
      <c r="D19379" s="3" t="s">
        <v>9</v>
      </c>
      <c r="E19379" s="3">
        <v>0</v>
      </c>
      <c r="F19379" s="3">
        <v>0</v>
      </c>
      <c r="G19379" s="3">
        <v>1</v>
      </c>
      <c r="H19379" s="3">
        <v>0</v>
      </c>
      <c r="I19379" s="3">
        <v>0</v>
      </c>
      <c r="J19379" s="3">
        <v>1</v>
      </c>
      <c r="K19379" s="3">
        <v>0</v>
      </c>
      <c r="L19379" s="3">
        <v>0</v>
      </c>
      <c r="M19379" s="3">
        <v>0</v>
      </c>
      <c r="N19379" s="3">
        <v>0</v>
      </c>
      <c r="O19379" s="3" t="s">
        <v>10</v>
      </c>
      <c r="P19379" s="3" t="s">
        <v>9</v>
      </c>
      <c r="Q19379" s="3"/>
    </row>
    <row r="19380" spans="1:17" ht="15" x14ac:dyDescent="0.25">
      <c r="A19380" s="3">
        <f>19373</f>
        <v>19373</v>
      </c>
      <c r="B19380" s="3" t="s">
        <v>19382</v>
      </c>
      <c r="C19380" s="3" t="s">
        <v>10</v>
      </c>
      <c r="D19380" s="3" t="s">
        <v>9</v>
      </c>
      <c r="E19380" s="3">
        <v>0</v>
      </c>
      <c r="F19380" s="3">
        <v>0</v>
      </c>
      <c r="G19380" s="3">
        <v>1</v>
      </c>
      <c r="H19380" s="3">
        <v>0</v>
      </c>
      <c r="I19380" s="3">
        <v>0</v>
      </c>
      <c r="J19380" s="3">
        <v>1</v>
      </c>
      <c r="K19380" s="3">
        <v>0</v>
      </c>
      <c r="L19380" s="3">
        <v>0</v>
      </c>
      <c r="M19380" s="3">
        <v>0</v>
      </c>
      <c r="N19380" s="3">
        <v>0</v>
      </c>
      <c r="O19380" s="3" t="s">
        <v>10</v>
      </c>
      <c r="P19380" s="3" t="s">
        <v>9</v>
      </c>
      <c r="Q19380" s="3"/>
    </row>
    <row r="19381" spans="1:17" ht="15" x14ac:dyDescent="0.25">
      <c r="A19381" s="3">
        <f>19374</f>
        <v>19374</v>
      </c>
      <c r="B19381" s="3" t="s">
        <v>19383</v>
      </c>
      <c r="C19381" s="3" t="s">
        <v>10</v>
      </c>
      <c r="D19381" s="3" t="s">
        <v>9</v>
      </c>
      <c r="E19381" s="3">
        <v>0</v>
      </c>
      <c r="F19381" s="3">
        <v>0</v>
      </c>
      <c r="G19381" s="3">
        <v>1</v>
      </c>
      <c r="H19381" s="3">
        <v>0</v>
      </c>
      <c r="I19381" s="3">
        <v>0</v>
      </c>
      <c r="J19381" s="3">
        <v>1</v>
      </c>
      <c r="K19381" s="3">
        <v>0</v>
      </c>
      <c r="L19381" s="3">
        <v>0</v>
      </c>
      <c r="M19381" s="3">
        <v>0</v>
      </c>
      <c r="N19381" s="3">
        <v>0</v>
      </c>
      <c r="O19381" s="3" t="s">
        <v>10</v>
      </c>
      <c r="P19381" s="3" t="s">
        <v>9</v>
      </c>
      <c r="Q19381" s="3"/>
    </row>
    <row r="19382" spans="1:17" ht="15" x14ac:dyDescent="0.25">
      <c r="A19382" s="3">
        <f>19375</f>
        <v>19375</v>
      </c>
      <c r="B19382" s="3" t="s">
        <v>19384</v>
      </c>
      <c r="C19382" s="3" t="s">
        <v>10</v>
      </c>
      <c r="D19382" s="3" t="s">
        <v>9</v>
      </c>
      <c r="E19382" s="3">
        <v>0</v>
      </c>
      <c r="F19382" s="3">
        <v>0</v>
      </c>
      <c r="G19382" s="3">
        <v>1</v>
      </c>
      <c r="H19382" s="3">
        <v>0</v>
      </c>
      <c r="I19382" s="3">
        <v>0</v>
      </c>
      <c r="J19382" s="3">
        <v>1</v>
      </c>
      <c r="K19382" s="3">
        <v>0</v>
      </c>
      <c r="L19382" s="3">
        <v>0</v>
      </c>
      <c r="M19382" s="3">
        <v>0</v>
      </c>
      <c r="N19382" s="3">
        <v>0</v>
      </c>
      <c r="O19382" s="3" t="s">
        <v>10</v>
      </c>
      <c r="P19382" s="3" t="s">
        <v>9</v>
      </c>
      <c r="Q19382" s="3"/>
    </row>
    <row r="19383" spans="1:17" ht="15" x14ac:dyDescent="0.25">
      <c r="A19383" s="3">
        <f>19376</f>
        <v>19376</v>
      </c>
      <c r="B19383" s="3" t="s">
        <v>19385</v>
      </c>
      <c r="C19383" s="3" t="s">
        <v>10</v>
      </c>
      <c r="D19383" s="3" t="s">
        <v>9</v>
      </c>
      <c r="E19383" s="3">
        <v>0</v>
      </c>
      <c r="F19383" s="3">
        <v>0</v>
      </c>
      <c r="G19383" s="3">
        <v>1</v>
      </c>
      <c r="H19383" s="3">
        <v>0</v>
      </c>
      <c r="I19383" s="3">
        <v>0</v>
      </c>
      <c r="J19383" s="3">
        <v>1</v>
      </c>
      <c r="K19383" s="3">
        <v>0</v>
      </c>
      <c r="L19383" s="3">
        <v>0</v>
      </c>
      <c r="M19383" s="3">
        <v>0</v>
      </c>
      <c r="N19383" s="3">
        <v>0</v>
      </c>
      <c r="O19383" s="3" t="s">
        <v>10</v>
      </c>
      <c r="P19383" s="3" t="s">
        <v>9</v>
      </c>
      <c r="Q19383" s="3"/>
    </row>
    <row r="19384" spans="1:17" ht="15" x14ac:dyDescent="0.25">
      <c r="A19384" s="3">
        <f>19377</f>
        <v>19377</v>
      </c>
      <c r="B19384" s="3" t="s">
        <v>19386</v>
      </c>
      <c r="C19384" s="3" t="s">
        <v>10</v>
      </c>
      <c r="D19384" s="3" t="s">
        <v>9</v>
      </c>
      <c r="E19384" s="3">
        <v>0</v>
      </c>
      <c r="F19384" s="3">
        <v>0</v>
      </c>
      <c r="G19384" s="3">
        <v>1</v>
      </c>
      <c r="H19384" s="3">
        <v>0</v>
      </c>
      <c r="I19384" s="3">
        <v>0</v>
      </c>
      <c r="J19384" s="3">
        <v>1</v>
      </c>
      <c r="K19384" s="3">
        <v>0</v>
      </c>
      <c r="L19384" s="3">
        <v>0</v>
      </c>
      <c r="M19384" s="3">
        <v>0</v>
      </c>
      <c r="N19384" s="3">
        <v>0</v>
      </c>
      <c r="O19384" s="3" t="s">
        <v>10</v>
      </c>
      <c r="P19384" s="3" t="s">
        <v>9</v>
      </c>
      <c r="Q19384" s="3"/>
    </row>
    <row r="19385" spans="1:17" ht="15" x14ac:dyDescent="0.25">
      <c r="A19385" s="3">
        <f>19378</f>
        <v>19378</v>
      </c>
      <c r="B19385" s="3" t="s">
        <v>19387</v>
      </c>
      <c r="C19385" s="3" t="s">
        <v>10</v>
      </c>
      <c r="D19385" s="3" t="s">
        <v>9</v>
      </c>
      <c r="E19385" s="3">
        <v>0</v>
      </c>
      <c r="F19385" s="3">
        <v>0</v>
      </c>
      <c r="G19385" s="3">
        <v>1</v>
      </c>
      <c r="H19385" s="3">
        <v>0</v>
      </c>
      <c r="I19385" s="3">
        <v>0</v>
      </c>
      <c r="J19385" s="3">
        <v>1</v>
      </c>
      <c r="K19385" s="3">
        <v>0</v>
      </c>
      <c r="L19385" s="3">
        <v>0</v>
      </c>
      <c r="M19385" s="3">
        <v>0</v>
      </c>
      <c r="N19385" s="3">
        <v>0</v>
      </c>
      <c r="O19385" s="3" t="s">
        <v>10</v>
      </c>
      <c r="P19385" s="3" t="s">
        <v>9</v>
      </c>
      <c r="Q19385" s="3"/>
    </row>
    <row r="19386" spans="1:17" ht="15" x14ac:dyDescent="0.25">
      <c r="A19386" s="3">
        <f>19379</f>
        <v>19379</v>
      </c>
      <c r="B19386" s="3" t="s">
        <v>19388</v>
      </c>
      <c r="C19386" s="3" t="s">
        <v>10</v>
      </c>
      <c r="D19386" s="3" t="s">
        <v>9</v>
      </c>
      <c r="E19386" s="3">
        <v>0</v>
      </c>
      <c r="F19386" s="3">
        <v>0</v>
      </c>
      <c r="G19386" s="3">
        <v>1</v>
      </c>
      <c r="H19386" s="3">
        <v>0</v>
      </c>
      <c r="I19386" s="3">
        <v>0</v>
      </c>
      <c r="J19386" s="3">
        <v>1</v>
      </c>
      <c r="K19386" s="3">
        <v>0</v>
      </c>
      <c r="L19386" s="3">
        <v>0</v>
      </c>
      <c r="M19386" s="3">
        <v>0</v>
      </c>
      <c r="N19386" s="3">
        <v>0</v>
      </c>
      <c r="O19386" s="3" t="s">
        <v>10</v>
      </c>
      <c r="P19386" s="3" t="s">
        <v>9</v>
      </c>
      <c r="Q19386" s="3"/>
    </row>
    <row r="19387" spans="1:17" ht="15" x14ac:dyDescent="0.25">
      <c r="A19387" s="3">
        <f>19380</f>
        <v>19380</v>
      </c>
      <c r="B19387" s="3" t="s">
        <v>19389</v>
      </c>
      <c r="C19387" s="3" t="s">
        <v>10</v>
      </c>
      <c r="D19387" s="3" t="s">
        <v>9</v>
      </c>
      <c r="E19387" s="3">
        <v>0</v>
      </c>
      <c r="F19387" s="3">
        <v>0</v>
      </c>
      <c r="G19387" s="3">
        <v>1</v>
      </c>
      <c r="H19387" s="3">
        <v>0</v>
      </c>
      <c r="I19387" s="3">
        <v>0</v>
      </c>
      <c r="J19387" s="3">
        <v>1</v>
      </c>
      <c r="K19387" s="3">
        <v>0</v>
      </c>
      <c r="L19387" s="3">
        <v>0</v>
      </c>
      <c r="M19387" s="3">
        <v>0</v>
      </c>
      <c r="N19387" s="3">
        <v>0</v>
      </c>
      <c r="O19387" s="3" t="s">
        <v>10</v>
      </c>
      <c r="P19387" s="3" t="s">
        <v>9</v>
      </c>
      <c r="Q19387" s="3"/>
    </row>
    <row r="19388" spans="1:17" ht="15" x14ac:dyDescent="0.25">
      <c r="A19388" s="3">
        <f>19381</f>
        <v>19381</v>
      </c>
      <c r="B19388" s="3" t="s">
        <v>19390</v>
      </c>
      <c r="C19388" s="3" t="s">
        <v>10</v>
      </c>
      <c r="D19388" s="3" t="s">
        <v>9</v>
      </c>
      <c r="E19388" s="3">
        <v>0</v>
      </c>
      <c r="F19388" s="3">
        <v>0</v>
      </c>
      <c r="G19388" s="3">
        <v>1</v>
      </c>
      <c r="H19388" s="3">
        <v>0</v>
      </c>
      <c r="I19388" s="3">
        <v>0</v>
      </c>
      <c r="J19388" s="3">
        <v>1</v>
      </c>
      <c r="K19388" s="3">
        <v>0</v>
      </c>
      <c r="L19388" s="3">
        <v>0</v>
      </c>
      <c r="M19388" s="3">
        <v>0</v>
      </c>
      <c r="N19388" s="3">
        <v>0</v>
      </c>
      <c r="O19388" s="3" t="s">
        <v>10</v>
      </c>
      <c r="P19388" s="3" t="s">
        <v>9</v>
      </c>
      <c r="Q19388" s="3"/>
    </row>
    <row r="19389" spans="1:17" ht="15" x14ac:dyDescent="0.25">
      <c r="A19389" s="3">
        <f>19382</f>
        <v>19382</v>
      </c>
      <c r="B19389" s="3" t="s">
        <v>19391</v>
      </c>
      <c r="C19389" s="3" t="s">
        <v>10</v>
      </c>
      <c r="D19389" s="3" t="s">
        <v>9</v>
      </c>
      <c r="E19389" s="3">
        <v>0</v>
      </c>
      <c r="F19389" s="3">
        <v>0</v>
      </c>
      <c r="G19389" s="3">
        <v>1</v>
      </c>
      <c r="H19389" s="3">
        <v>0</v>
      </c>
      <c r="I19389" s="3">
        <v>0</v>
      </c>
      <c r="J19389" s="3">
        <v>1</v>
      </c>
      <c r="K19389" s="3">
        <v>0</v>
      </c>
      <c r="L19389" s="3">
        <v>0</v>
      </c>
      <c r="M19389" s="3">
        <v>0</v>
      </c>
      <c r="N19389" s="3">
        <v>0</v>
      </c>
      <c r="O19389" s="3" t="s">
        <v>10</v>
      </c>
      <c r="P19389" s="3" t="s">
        <v>9</v>
      </c>
      <c r="Q19389" s="3"/>
    </row>
    <row r="19390" spans="1:17" ht="15" x14ac:dyDescent="0.25">
      <c r="A19390" s="3">
        <f>19383</f>
        <v>19383</v>
      </c>
      <c r="B19390" s="3" t="s">
        <v>19392</v>
      </c>
      <c r="C19390" s="3" t="s">
        <v>10</v>
      </c>
      <c r="D19390" s="3" t="s">
        <v>9</v>
      </c>
      <c r="E19390" s="3">
        <v>0</v>
      </c>
      <c r="F19390" s="3">
        <v>0</v>
      </c>
      <c r="G19390" s="3">
        <v>1</v>
      </c>
      <c r="H19390" s="3">
        <v>0</v>
      </c>
      <c r="I19390" s="3">
        <v>0</v>
      </c>
      <c r="J19390" s="3">
        <v>1</v>
      </c>
      <c r="K19390" s="3">
        <v>0</v>
      </c>
      <c r="L19390" s="3">
        <v>0</v>
      </c>
      <c r="M19390" s="3">
        <v>0</v>
      </c>
      <c r="N19390" s="3">
        <v>0</v>
      </c>
      <c r="O19390" s="3" t="s">
        <v>10</v>
      </c>
      <c r="P19390" s="3" t="s">
        <v>9</v>
      </c>
      <c r="Q19390" s="3"/>
    </row>
    <row r="19391" spans="1:17" ht="15" x14ac:dyDescent="0.25">
      <c r="A19391" s="3">
        <f>19384</f>
        <v>19384</v>
      </c>
      <c r="B19391" s="3" t="s">
        <v>19393</v>
      </c>
      <c r="C19391" s="3" t="s">
        <v>10</v>
      </c>
      <c r="D19391" s="3" t="s">
        <v>9</v>
      </c>
      <c r="E19391" s="3">
        <v>0</v>
      </c>
      <c r="F19391" s="3">
        <v>0</v>
      </c>
      <c r="G19391" s="3">
        <v>1</v>
      </c>
      <c r="H19391" s="3">
        <v>0</v>
      </c>
      <c r="I19391" s="3">
        <v>0</v>
      </c>
      <c r="J19391" s="3">
        <v>1</v>
      </c>
      <c r="K19391" s="3">
        <v>0</v>
      </c>
      <c r="L19391" s="3">
        <v>0</v>
      </c>
      <c r="M19391" s="3">
        <v>0</v>
      </c>
      <c r="N19391" s="3">
        <v>0</v>
      </c>
      <c r="O19391" s="3" t="s">
        <v>10</v>
      </c>
      <c r="P19391" s="3" t="s">
        <v>9</v>
      </c>
      <c r="Q19391" s="3"/>
    </row>
    <row r="19392" spans="1:17" ht="15" x14ac:dyDescent="0.25">
      <c r="A19392" s="3">
        <f>19385</f>
        <v>19385</v>
      </c>
      <c r="B19392" s="3" t="s">
        <v>19394</v>
      </c>
      <c r="C19392" s="3" t="s">
        <v>10</v>
      </c>
      <c r="D19392" s="3" t="s">
        <v>9</v>
      </c>
      <c r="E19392" s="3">
        <v>0</v>
      </c>
      <c r="F19392" s="3">
        <v>0</v>
      </c>
      <c r="G19392" s="3">
        <v>1</v>
      </c>
      <c r="H19392" s="3">
        <v>0</v>
      </c>
      <c r="I19392" s="3">
        <v>0</v>
      </c>
      <c r="J19392" s="3">
        <v>1</v>
      </c>
      <c r="K19392" s="3">
        <v>0</v>
      </c>
      <c r="L19392" s="3">
        <v>0</v>
      </c>
      <c r="M19392" s="3">
        <v>0</v>
      </c>
      <c r="N19392" s="3">
        <v>0</v>
      </c>
      <c r="O19392" s="3" t="s">
        <v>10</v>
      </c>
      <c r="P19392" s="3" t="s">
        <v>9</v>
      </c>
      <c r="Q19392" s="3"/>
    </row>
    <row r="19393" spans="1:17" ht="15" x14ac:dyDescent="0.25">
      <c r="A19393" s="3">
        <f>19386</f>
        <v>19386</v>
      </c>
      <c r="B19393" s="3" t="s">
        <v>19395</v>
      </c>
      <c r="C19393" s="3" t="s">
        <v>10</v>
      </c>
      <c r="D19393" s="3" t="s">
        <v>9</v>
      </c>
      <c r="E19393" s="3">
        <v>0</v>
      </c>
      <c r="F19393" s="3">
        <v>0</v>
      </c>
      <c r="G19393" s="3">
        <v>1</v>
      </c>
      <c r="H19393" s="3">
        <v>0</v>
      </c>
      <c r="I19393" s="3">
        <v>0</v>
      </c>
      <c r="J19393" s="3">
        <v>1</v>
      </c>
      <c r="K19393" s="3">
        <v>0</v>
      </c>
      <c r="L19393" s="3">
        <v>0</v>
      </c>
      <c r="M19393" s="3">
        <v>0</v>
      </c>
      <c r="N19393" s="3">
        <v>0</v>
      </c>
      <c r="O19393" s="3" t="s">
        <v>10</v>
      </c>
      <c r="P19393" s="3" t="s">
        <v>9</v>
      </c>
      <c r="Q19393" s="3"/>
    </row>
    <row r="19394" spans="1:17" ht="15" x14ac:dyDescent="0.25">
      <c r="A19394" s="3">
        <f>19387</f>
        <v>19387</v>
      </c>
      <c r="B19394" s="3" t="s">
        <v>19396</v>
      </c>
      <c r="C19394" s="3" t="s">
        <v>10</v>
      </c>
      <c r="D19394" s="3" t="s">
        <v>9</v>
      </c>
      <c r="E19394" s="3">
        <v>0</v>
      </c>
      <c r="F19394" s="3">
        <v>0</v>
      </c>
      <c r="G19394" s="3">
        <v>1</v>
      </c>
      <c r="H19394" s="3">
        <v>0</v>
      </c>
      <c r="I19394" s="3">
        <v>0</v>
      </c>
      <c r="J19394" s="3">
        <v>1</v>
      </c>
      <c r="K19394" s="3">
        <v>0</v>
      </c>
      <c r="L19394" s="3">
        <v>0</v>
      </c>
      <c r="M19394" s="3">
        <v>0</v>
      </c>
      <c r="N19394" s="3">
        <v>0</v>
      </c>
      <c r="O19394" s="3" t="s">
        <v>10</v>
      </c>
      <c r="P19394" s="3" t="s">
        <v>9</v>
      </c>
      <c r="Q19394" s="3"/>
    </row>
    <row r="19395" spans="1:17" ht="15" x14ac:dyDescent="0.25">
      <c r="A19395" s="3">
        <f>19388</f>
        <v>19388</v>
      </c>
      <c r="B19395" s="3" t="s">
        <v>19397</v>
      </c>
      <c r="C19395" s="3" t="s">
        <v>10</v>
      </c>
      <c r="D19395" s="3" t="s">
        <v>9</v>
      </c>
      <c r="E19395" s="3">
        <v>0</v>
      </c>
      <c r="F19395" s="3">
        <v>0</v>
      </c>
      <c r="G19395" s="3">
        <v>1</v>
      </c>
      <c r="H19395" s="3">
        <v>0</v>
      </c>
      <c r="I19395" s="3">
        <v>0</v>
      </c>
      <c r="J19395" s="3">
        <v>1</v>
      </c>
      <c r="K19395" s="3">
        <v>0</v>
      </c>
      <c r="L19395" s="3">
        <v>0</v>
      </c>
      <c r="M19395" s="3">
        <v>0</v>
      </c>
      <c r="N19395" s="3">
        <v>0</v>
      </c>
      <c r="O19395" s="3" t="s">
        <v>10</v>
      </c>
      <c r="P19395" s="3" t="s">
        <v>9</v>
      </c>
      <c r="Q19395" s="3"/>
    </row>
    <row r="19396" spans="1:17" ht="15" x14ac:dyDescent="0.25">
      <c r="A19396" s="3">
        <f>19389</f>
        <v>19389</v>
      </c>
      <c r="B19396" s="3" t="s">
        <v>19398</v>
      </c>
      <c r="C19396" s="3" t="s">
        <v>10</v>
      </c>
      <c r="D19396" s="3" t="s">
        <v>9</v>
      </c>
      <c r="E19396" s="3">
        <v>0</v>
      </c>
      <c r="F19396" s="3">
        <v>0</v>
      </c>
      <c r="G19396" s="3">
        <v>1</v>
      </c>
      <c r="H19396" s="3">
        <v>0</v>
      </c>
      <c r="I19396" s="3">
        <v>0</v>
      </c>
      <c r="J19396" s="3">
        <v>1</v>
      </c>
      <c r="K19396" s="3">
        <v>0</v>
      </c>
      <c r="L19396" s="3">
        <v>0</v>
      </c>
      <c r="M19396" s="3">
        <v>0</v>
      </c>
      <c r="N19396" s="3">
        <v>0</v>
      </c>
      <c r="O19396" s="3" t="s">
        <v>10</v>
      </c>
      <c r="P19396" s="3" t="s">
        <v>9</v>
      </c>
      <c r="Q19396" s="3"/>
    </row>
    <row r="19397" spans="1:17" ht="15" x14ac:dyDescent="0.25">
      <c r="A19397" s="3">
        <f>19390</f>
        <v>19390</v>
      </c>
      <c r="B19397" s="3" t="s">
        <v>19399</v>
      </c>
      <c r="C19397" s="3" t="s">
        <v>10</v>
      </c>
      <c r="D19397" s="3" t="s">
        <v>9</v>
      </c>
      <c r="E19397" s="3">
        <v>0</v>
      </c>
      <c r="F19397" s="3">
        <v>0</v>
      </c>
      <c r="G19397" s="3">
        <v>1</v>
      </c>
      <c r="H19397" s="3">
        <v>0</v>
      </c>
      <c r="I19397" s="3">
        <v>0</v>
      </c>
      <c r="J19397" s="3">
        <v>1</v>
      </c>
      <c r="K19397" s="3">
        <v>0</v>
      </c>
      <c r="L19397" s="3">
        <v>0</v>
      </c>
      <c r="M19397" s="3">
        <v>0</v>
      </c>
      <c r="N19397" s="3">
        <v>0</v>
      </c>
      <c r="O19397" s="3" t="s">
        <v>10</v>
      </c>
      <c r="P19397" s="3" t="s">
        <v>9</v>
      </c>
      <c r="Q19397" s="3"/>
    </row>
    <row r="19398" spans="1:17" ht="15" x14ac:dyDescent="0.25">
      <c r="A19398" s="3">
        <f>19391</f>
        <v>19391</v>
      </c>
      <c r="B19398" s="3" t="s">
        <v>19400</v>
      </c>
      <c r="C19398" s="3" t="s">
        <v>10</v>
      </c>
      <c r="D19398" s="3" t="s">
        <v>9</v>
      </c>
      <c r="E19398" s="3">
        <v>0</v>
      </c>
      <c r="F19398" s="3">
        <v>0</v>
      </c>
      <c r="G19398" s="3">
        <v>1</v>
      </c>
      <c r="H19398" s="3">
        <v>0</v>
      </c>
      <c r="I19398" s="3">
        <v>0</v>
      </c>
      <c r="J19398" s="3">
        <v>1</v>
      </c>
      <c r="K19398" s="3">
        <v>0</v>
      </c>
      <c r="L19398" s="3">
        <v>0</v>
      </c>
      <c r="M19398" s="3">
        <v>0</v>
      </c>
      <c r="N19398" s="3">
        <v>0</v>
      </c>
      <c r="O19398" s="3" t="s">
        <v>10</v>
      </c>
      <c r="P19398" s="3" t="s">
        <v>9</v>
      </c>
      <c r="Q19398" s="3"/>
    </row>
    <row r="19399" spans="1:17" ht="15" x14ac:dyDescent="0.25">
      <c r="A19399" s="3">
        <f>19392</f>
        <v>19392</v>
      </c>
      <c r="B19399" s="3" t="s">
        <v>19401</v>
      </c>
      <c r="C19399" s="3" t="s">
        <v>10</v>
      </c>
      <c r="D19399" s="3" t="s">
        <v>9</v>
      </c>
      <c r="E19399" s="3">
        <v>0</v>
      </c>
      <c r="F19399" s="3">
        <v>0</v>
      </c>
      <c r="G19399" s="3">
        <v>1</v>
      </c>
      <c r="H19399" s="3">
        <v>0</v>
      </c>
      <c r="I19399" s="3">
        <v>0</v>
      </c>
      <c r="J19399" s="3">
        <v>1</v>
      </c>
      <c r="K19399" s="3">
        <v>0</v>
      </c>
      <c r="L19399" s="3">
        <v>0</v>
      </c>
      <c r="M19399" s="3">
        <v>0</v>
      </c>
      <c r="N19399" s="3">
        <v>0</v>
      </c>
      <c r="O19399" s="3" t="s">
        <v>10</v>
      </c>
      <c r="P19399" s="3" t="s">
        <v>9</v>
      </c>
      <c r="Q19399" s="3"/>
    </row>
    <row r="19400" spans="1:17" ht="15" x14ac:dyDescent="0.25">
      <c r="A19400" s="3">
        <f>19393</f>
        <v>19393</v>
      </c>
      <c r="B19400" s="3" t="s">
        <v>19402</v>
      </c>
      <c r="C19400" s="3" t="s">
        <v>10</v>
      </c>
      <c r="D19400" s="3" t="s">
        <v>9</v>
      </c>
      <c r="E19400" s="3">
        <v>0</v>
      </c>
      <c r="F19400" s="3">
        <v>0</v>
      </c>
      <c r="G19400" s="3">
        <v>1</v>
      </c>
      <c r="H19400" s="3">
        <v>0</v>
      </c>
      <c r="I19400" s="3">
        <v>0</v>
      </c>
      <c r="J19400" s="3">
        <v>1</v>
      </c>
      <c r="K19400" s="3">
        <v>0</v>
      </c>
      <c r="L19400" s="3">
        <v>0</v>
      </c>
      <c r="M19400" s="3">
        <v>0</v>
      </c>
      <c r="N19400" s="3">
        <v>0</v>
      </c>
      <c r="O19400" s="3" t="s">
        <v>10</v>
      </c>
      <c r="P19400" s="3" t="s">
        <v>9</v>
      </c>
      <c r="Q19400" s="3"/>
    </row>
    <row r="19401" spans="1:17" ht="15" x14ac:dyDescent="0.25">
      <c r="A19401" s="3">
        <f>19394</f>
        <v>19394</v>
      </c>
      <c r="B19401" s="3" t="s">
        <v>19403</v>
      </c>
      <c r="C19401" s="3" t="s">
        <v>10</v>
      </c>
      <c r="D19401" s="3" t="s">
        <v>9</v>
      </c>
      <c r="E19401" s="3">
        <v>0</v>
      </c>
      <c r="F19401" s="3">
        <v>0</v>
      </c>
      <c r="G19401" s="3">
        <v>1</v>
      </c>
      <c r="H19401" s="3">
        <v>0</v>
      </c>
      <c r="I19401" s="3">
        <v>0</v>
      </c>
      <c r="J19401" s="3">
        <v>1</v>
      </c>
      <c r="K19401" s="3">
        <v>0</v>
      </c>
      <c r="L19401" s="3">
        <v>0</v>
      </c>
      <c r="M19401" s="3">
        <v>0</v>
      </c>
      <c r="N19401" s="3">
        <v>0</v>
      </c>
      <c r="O19401" s="3" t="s">
        <v>10</v>
      </c>
      <c r="P19401" s="3" t="s">
        <v>9</v>
      </c>
      <c r="Q19401" s="3"/>
    </row>
    <row r="19402" spans="1:17" ht="15" x14ac:dyDescent="0.25">
      <c r="A19402" s="3">
        <f>19395</f>
        <v>19395</v>
      </c>
      <c r="B19402" s="3" t="s">
        <v>19404</v>
      </c>
      <c r="C19402" s="3" t="s">
        <v>10</v>
      </c>
      <c r="D19402" s="3" t="s">
        <v>9</v>
      </c>
      <c r="E19402" s="3">
        <v>0</v>
      </c>
      <c r="F19402" s="3">
        <v>0</v>
      </c>
      <c r="G19402" s="3">
        <v>1</v>
      </c>
      <c r="H19402" s="3">
        <v>0</v>
      </c>
      <c r="I19402" s="3">
        <v>0</v>
      </c>
      <c r="J19402" s="3">
        <v>1</v>
      </c>
      <c r="K19402" s="3">
        <v>0</v>
      </c>
      <c r="L19402" s="3">
        <v>0</v>
      </c>
      <c r="M19402" s="3">
        <v>0</v>
      </c>
      <c r="N19402" s="3">
        <v>0</v>
      </c>
      <c r="O19402" s="3" t="s">
        <v>10</v>
      </c>
      <c r="P19402" s="3" t="s">
        <v>9</v>
      </c>
      <c r="Q19402" s="3"/>
    </row>
    <row r="19403" spans="1:17" ht="15" x14ac:dyDescent="0.25">
      <c r="A19403" s="3">
        <f>19396</f>
        <v>19396</v>
      </c>
      <c r="B19403" s="3" t="s">
        <v>19405</v>
      </c>
      <c r="C19403" s="3" t="s">
        <v>10</v>
      </c>
      <c r="D19403" s="3" t="s">
        <v>9</v>
      </c>
      <c r="E19403" s="3">
        <v>0</v>
      </c>
      <c r="F19403" s="3">
        <v>0</v>
      </c>
      <c r="G19403" s="3">
        <v>1</v>
      </c>
      <c r="H19403" s="3">
        <v>0</v>
      </c>
      <c r="I19403" s="3">
        <v>0</v>
      </c>
      <c r="J19403" s="3">
        <v>1</v>
      </c>
      <c r="K19403" s="3">
        <v>0</v>
      </c>
      <c r="L19403" s="3">
        <v>0</v>
      </c>
      <c r="M19403" s="3">
        <v>0</v>
      </c>
      <c r="N19403" s="3">
        <v>0</v>
      </c>
      <c r="O19403" s="3" t="s">
        <v>10</v>
      </c>
      <c r="P19403" s="3" t="s">
        <v>9</v>
      </c>
      <c r="Q19403" s="3"/>
    </row>
    <row r="19404" spans="1:17" ht="15" x14ac:dyDescent="0.25">
      <c r="A19404" s="3">
        <f>19397</f>
        <v>19397</v>
      </c>
      <c r="B19404" s="3" t="s">
        <v>19406</v>
      </c>
      <c r="C19404" s="3" t="s">
        <v>10</v>
      </c>
      <c r="D19404" s="3" t="s">
        <v>9</v>
      </c>
      <c r="E19404" s="3">
        <v>0</v>
      </c>
      <c r="F19404" s="3">
        <v>0</v>
      </c>
      <c r="G19404" s="3">
        <v>1</v>
      </c>
      <c r="H19404" s="3">
        <v>0</v>
      </c>
      <c r="I19404" s="3">
        <v>0</v>
      </c>
      <c r="J19404" s="3">
        <v>1</v>
      </c>
      <c r="K19404" s="3">
        <v>0</v>
      </c>
      <c r="L19404" s="3">
        <v>0</v>
      </c>
      <c r="M19404" s="3">
        <v>0</v>
      </c>
      <c r="N19404" s="3">
        <v>0</v>
      </c>
      <c r="O19404" s="3" t="s">
        <v>10</v>
      </c>
      <c r="P19404" s="3" t="s">
        <v>9</v>
      </c>
      <c r="Q19404" s="3"/>
    </row>
    <row r="19405" spans="1:17" ht="15" x14ac:dyDescent="0.25">
      <c r="A19405" s="3">
        <f>19398</f>
        <v>19398</v>
      </c>
      <c r="B19405" s="3" t="s">
        <v>19407</v>
      </c>
      <c r="C19405" s="3" t="s">
        <v>10</v>
      </c>
      <c r="D19405" s="3" t="s">
        <v>9</v>
      </c>
      <c r="E19405" s="3">
        <v>0</v>
      </c>
      <c r="F19405" s="3">
        <v>0</v>
      </c>
      <c r="G19405" s="3">
        <v>1</v>
      </c>
      <c r="H19405" s="3">
        <v>0</v>
      </c>
      <c r="I19405" s="3">
        <v>0</v>
      </c>
      <c r="J19405" s="3">
        <v>1</v>
      </c>
      <c r="K19405" s="3">
        <v>0</v>
      </c>
      <c r="L19405" s="3">
        <v>0</v>
      </c>
      <c r="M19405" s="3">
        <v>0</v>
      </c>
      <c r="N19405" s="3">
        <v>0</v>
      </c>
      <c r="O19405" s="3" t="s">
        <v>10</v>
      </c>
      <c r="P19405" s="3" t="s">
        <v>9</v>
      </c>
      <c r="Q19405" s="3"/>
    </row>
    <row r="19406" spans="1:17" ht="15" x14ac:dyDescent="0.25">
      <c r="A19406" s="3">
        <f>19399</f>
        <v>19399</v>
      </c>
      <c r="B19406" s="3" t="s">
        <v>19408</v>
      </c>
      <c r="C19406" s="3" t="s">
        <v>10</v>
      </c>
      <c r="D19406" s="3" t="s">
        <v>9</v>
      </c>
      <c r="E19406" s="3">
        <v>0</v>
      </c>
      <c r="F19406" s="3">
        <v>0</v>
      </c>
      <c r="G19406" s="3">
        <v>1</v>
      </c>
      <c r="H19406" s="3">
        <v>0</v>
      </c>
      <c r="I19406" s="3">
        <v>0</v>
      </c>
      <c r="J19406" s="3">
        <v>1</v>
      </c>
      <c r="K19406" s="3">
        <v>0</v>
      </c>
      <c r="L19406" s="3">
        <v>0</v>
      </c>
      <c r="M19406" s="3">
        <v>0</v>
      </c>
      <c r="N19406" s="3">
        <v>0</v>
      </c>
      <c r="O19406" s="3" t="s">
        <v>10</v>
      </c>
      <c r="P19406" s="3" t="s">
        <v>9</v>
      </c>
      <c r="Q19406" s="3"/>
    </row>
    <row r="19407" spans="1:17" ht="15" x14ac:dyDescent="0.25">
      <c r="A19407" s="3">
        <f>19400</f>
        <v>19400</v>
      </c>
      <c r="B19407" s="3" t="s">
        <v>19409</v>
      </c>
      <c r="C19407" s="3" t="s">
        <v>10</v>
      </c>
      <c r="D19407" s="3" t="s">
        <v>9</v>
      </c>
      <c r="E19407" s="3">
        <v>0</v>
      </c>
      <c r="F19407" s="3">
        <v>0</v>
      </c>
      <c r="G19407" s="3">
        <v>1</v>
      </c>
      <c r="H19407" s="3">
        <v>0</v>
      </c>
      <c r="I19407" s="3">
        <v>0</v>
      </c>
      <c r="J19407" s="3">
        <v>1</v>
      </c>
      <c r="K19407" s="3">
        <v>0</v>
      </c>
      <c r="L19407" s="3">
        <v>0</v>
      </c>
      <c r="M19407" s="3">
        <v>0</v>
      </c>
      <c r="N19407" s="3">
        <v>0</v>
      </c>
      <c r="O19407" s="3" t="s">
        <v>10</v>
      </c>
      <c r="P19407" s="3" t="s">
        <v>9</v>
      </c>
      <c r="Q19407" s="3"/>
    </row>
    <row r="19408" spans="1:17" ht="15" x14ac:dyDescent="0.25">
      <c r="A19408" s="3">
        <f>19401</f>
        <v>19401</v>
      </c>
      <c r="B19408" s="3" t="s">
        <v>19410</v>
      </c>
      <c r="C19408" s="3" t="s">
        <v>9</v>
      </c>
      <c r="D19408" s="3" t="s">
        <v>9</v>
      </c>
      <c r="E19408" s="3">
        <v>0</v>
      </c>
      <c r="F19408" s="3">
        <v>0</v>
      </c>
      <c r="G19408" s="3">
        <v>0</v>
      </c>
      <c r="H19408" s="3">
        <v>0</v>
      </c>
      <c r="I19408" s="3">
        <v>0</v>
      </c>
      <c r="J19408" s="3">
        <v>0</v>
      </c>
      <c r="K19408" s="3">
        <v>0</v>
      </c>
      <c r="L19408" s="3">
        <v>0</v>
      </c>
      <c r="M19408" s="3">
        <v>0</v>
      </c>
      <c r="N19408" s="3">
        <v>0</v>
      </c>
      <c r="O19408" s="3" t="s">
        <v>9</v>
      </c>
      <c r="P19408" s="3" t="s">
        <v>9</v>
      </c>
      <c r="Q19408" s="3"/>
    </row>
    <row r="19409" spans="1:17" ht="15" x14ac:dyDescent="0.25">
      <c r="A19409" s="3">
        <f>19402</f>
        <v>19402</v>
      </c>
      <c r="B19409" s="3" t="s">
        <v>19411</v>
      </c>
      <c r="C19409" s="3" t="s">
        <v>9</v>
      </c>
      <c r="D19409" s="3" t="s">
        <v>9</v>
      </c>
      <c r="E19409" s="3">
        <v>0</v>
      </c>
      <c r="F19409" s="3">
        <v>0</v>
      </c>
      <c r="G19409" s="3">
        <v>0</v>
      </c>
      <c r="H19409" s="3">
        <v>0</v>
      </c>
      <c r="I19409" s="3">
        <v>0</v>
      </c>
      <c r="J19409" s="3">
        <v>0</v>
      </c>
      <c r="K19409" s="3">
        <v>0</v>
      </c>
      <c r="L19409" s="3">
        <v>0</v>
      </c>
      <c r="M19409" s="3">
        <v>0</v>
      </c>
      <c r="N19409" s="3">
        <v>0</v>
      </c>
      <c r="O19409" s="3" t="s">
        <v>9</v>
      </c>
      <c r="P19409" s="3" t="s">
        <v>9</v>
      </c>
      <c r="Q19409" s="3"/>
    </row>
    <row r="19410" spans="1:17" ht="15" x14ac:dyDescent="0.25">
      <c r="A19410" s="3">
        <f>19403</f>
        <v>19403</v>
      </c>
      <c r="B19410" s="3" t="s">
        <v>19412</v>
      </c>
      <c r="C19410" s="3" t="s">
        <v>9</v>
      </c>
      <c r="D19410" s="3" t="s">
        <v>9</v>
      </c>
      <c r="E19410" s="3">
        <v>0</v>
      </c>
      <c r="F19410" s="3">
        <v>0</v>
      </c>
      <c r="G19410" s="3">
        <v>0</v>
      </c>
      <c r="H19410" s="3">
        <v>0</v>
      </c>
      <c r="I19410" s="3">
        <v>0</v>
      </c>
      <c r="J19410" s="3">
        <v>0</v>
      </c>
      <c r="K19410" s="3">
        <v>0</v>
      </c>
      <c r="L19410" s="3">
        <v>0</v>
      </c>
      <c r="M19410" s="3">
        <v>0</v>
      </c>
      <c r="N19410" s="3">
        <v>0</v>
      </c>
      <c r="O19410" s="3" t="s">
        <v>9</v>
      </c>
      <c r="P19410" s="3" t="s">
        <v>9</v>
      </c>
      <c r="Q19410" s="3"/>
    </row>
    <row r="19411" spans="1:17" ht="15" x14ac:dyDescent="0.25">
      <c r="A19411" s="3">
        <f>19404</f>
        <v>19404</v>
      </c>
      <c r="B19411" s="3" t="s">
        <v>19413</v>
      </c>
      <c r="C19411" s="3" t="s">
        <v>9</v>
      </c>
      <c r="D19411" s="3" t="s">
        <v>9</v>
      </c>
      <c r="E19411" s="3">
        <v>0</v>
      </c>
      <c r="F19411" s="3">
        <v>0</v>
      </c>
      <c r="G19411" s="3">
        <v>0</v>
      </c>
      <c r="H19411" s="3">
        <v>0</v>
      </c>
      <c r="I19411" s="3">
        <v>0</v>
      </c>
      <c r="J19411" s="3">
        <v>0</v>
      </c>
      <c r="K19411" s="3">
        <v>0</v>
      </c>
      <c r="L19411" s="3">
        <v>0</v>
      </c>
      <c r="M19411" s="3">
        <v>0</v>
      </c>
      <c r="N19411" s="3">
        <v>0</v>
      </c>
      <c r="O19411" s="3" t="s">
        <v>9</v>
      </c>
      <c r="P19411" s="3" t="s">
        <v>9</v>
      </c>
      <c r="Q19411" s="3"/>
    </row>
    <row r="19412" spans="1:17" ht="15" x14ac:dyDescent="0.25">
      <c r="A19412" s="3">
        <f>19405</f>
        <v>19405</v>
      </c>
      <c r="B19412" s="3" t="s">
        <v>19414</v>
      </c>
      <c r="C19412" s="3" t="s">
        <v>9</v>
      </c>
      <c r="D19412" s="3" t="s">
        <v>9</v>
      </c>
      <c r="E19412" s="3">
        <v>0</v>
      </c>
      <c r="F19412" s="3">
        <v>0</v>
      </c>
      <c r="G19412" s="3">
        <v>0</v>
      </c>
      <c r="H19412" s="3">
        <v>0</v>
      </c>
      <c r="I19412" s="3">
        <v>0</v>
      </c>
      <c r="J19412" s="3">
        <v>0</v>
      </c>
      <c r="K19412" s="3">
        <v>0</v>
      </c>
      <c r="L19412" s="3">
        <v>0</v>
      </c>
      <c r="M19412" s="3">
        <v>0</v>
      </c>
      <c r="N19412" s="3">
        <v>0</v>
      </c>
      <c r="O19412" s="3" t="s">
        <v>9</v>
      </c>
      <c r="P19412" s="3" t="s">
        <v>9</v>
      </c>
      <c r="Q19412" s="3"/>
    </row>
    <row r="19413" spans="1:17" ht="15" x14ac:dyDescent="0.25">
      <c r="A19413" s="3">
        <f>19406</f>
        <v>19406</v>
      </c>
      <c r="B19413" s="3" t="s">
        <v>19415</v>
      </c>
      <c r="C19413" s="3" t="s">
        <v>9</v>
      </c>
      <c r="D19413" s="3" t="s">
        <v>9</v>
      </c>
      <c r="E19413" s="3">
        <v>0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0</v>
      </c>
      <c r="L19413" s="3">
        <v>0</v>
      </c>
      <c r="M19413" s="3">
        <v>0</v>
      </c>
      <c r="N19413" s="3">
        <v>0</v>
      </c>
      <c r="O19413" s="3" t="s">
        <v>9</v>
      </c>
      <c r="P19413" s="3" t="s">
        <v>9</v>
      </c>
      <c r="Q19413" s="3"/>
    </row>
    <row r="19414" spans="1:17" ht="15" x14ac:dyDescent="0.25">
      <c r="A19414" s="3">
        <f>19407</f>
        <v>19407</v>
      </c>
      <c r="B19414" s="3" t="s">
        <v>19416</v>
      </c>
      <c r="C19414" s="3" t="s">
        <v>9</v>
      </c>
      <c r="D19414" s="3" t="s">
        <v>9</v>
      </c>
      <c r="E19414" s="3">
        <v>0</v>
      </c>
      <c r="F19414" s="3">
        <v>0</v>
      </c>
      <c r="G19414" s="3">
        <v>0</v>
      </c>
      <c r="H19414" s="3">
        <v>0</v>
      </c>
      <c r="I19414" s="3">
        <v>0</v>
      </c>
      <c r="J19414" s="3">
        <v>0</v>
      </c>
      <c r="K19414" s="3">
        <v>0</v>
      </c>
      <c r="L19414" s="3">
        <v>0</v>
      </c>
      <c r="M19414" s="3">
        <v>0</v>
      </c>
      <c r="N19414" s="3">
        <v>0</v>
      </c>
      <c r="O19414" s="3" t="s">
        <v>9</v>
      </c>
      <c r="P19414" s="3" t="s">
        <v>9</v>
      </c>
      <c r="Q19414" s="3"/>
    </row>
    <row r="19415" spans="1:17" ht="15" x14ac:dyDescent="0.25">
      <c r="A19415" s="3">
        <f>19408</f>
        <v>19408</v>
      </c>
      <c r="B19415" s="3" t="s">
        <v>19417</v>
      </c>
      <c r="C19415" s="3" t="s">
        <v>9</v>
      </c>
      <c r="D19415" s="3" t="s">
        <v>9</v>
      </c>
      <c r="E19415" s="3">
        <v>0</v>
      </c>
      <c r="F19415" s="3">
        <v>0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  <c r="L19415" s="3">
        <v>0</v>
      </c>
      <c r="M19415" s="3">
        <v>0</v>
      </c>
      <c r="N19415" s="3">
        <v>0</v>
      </c>
      <c r="O19415" s="3" t="s">
        <v>9</v>
      </c>
      <c r="P19415" s="3" t="s">
        <v>9</v>
      </c>
      <c r="Q19415" s="3"/>
    </row>
    <row r="19416" spans="1:17" ht="15" x14ac:dyDescent="0.25">
      <c r="A19416" s="3">
        <f>19409</f>
        <v>19409</v>
      </c>
      <c r="B19416" s="3" t="s">
        <v>19418</v>
      </c>
      <c r="C19416" s="3" t="s">
        <v>9</v>
      </c>
      <c r="D19416" s="3" t="s">
        <v>9</v>
      </c>
      <c r="E19416" s="3">
        <v>0</v>
      </c>
      <c r="F19416" s="3">
        <v>0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 s="3">
        <v>0</v>
      </c>
      <c r="M19416" s="3">
        <v>0</v>
      </c>
      <c r="N19416" s="3">
        <v>0</v>
      </c>
      <c r="O19416" s="3" t="s">
        <v>9</v>
      </c>
      <c r="P19416" s="3" t="s">
        <v>9</v>
      </c>
      <c r="Q19416" s="3"/>
    </row>
    <row r="19417" spans="1:17" ht="15" x14ac:dyDescent="0.25">
      <c r="A19417" s="3">
        <f>19410</f>
        <v>19410</v>
      </c>
      <c r="B19417" s="3" t="s">
        <v>19419</v>
      </c>
      <c r="C19417" s="3" t="s">
        <v>9</v>
      </c>
      <c r="D19417" s="3" t="s">
        <v>9</v>
      </c>
      <c r="E19417" s="3">
        <v>0</v>
      </c>
      <c r="F19417" s="3">
        <v>0</v>
      </c>
      <c r="G19417" s="3">
        <v>0</v>
      </c>
      <c r="H19417" s="3">
        <v>0</v>
      </c>
      <c r="I19417" s="3">
        <v>0</v>
      </c>
      <c r="J19417" s="3">
        <v>0</v>
      </c>
      <c r="K19417" s="3">
        <v>0</v>
      </c>
      <c r="L19417" s="3">
        <v>0</v>
      </c>
      <c r="M19417" s="3">
        <v>0</v>
      </c>
      <c r="N19417" s="3">
        <v>0</v>
      </c>
      <c r="O19417" s="3" t="s">
        <v>9</v>
      </c>
      <c r="P19417" s="3" t="s">
        <v>9</v>
      </c>
      <c r="Q19417" s="3"/>
    </row>
    <row r="19418" spans="1:17" ht="15" x14ac:dyDescent="0.25">
      <c r="A19418" s="3">
        <f>19411</f>
        <v>19411</v>
      </c>
      <c r="B19418" s="3" t="s">
        <v>19420</v>
      </c>
      <c r="C19418" s="3" t="s">
        <v>9</v>
      </c>
      <c r="D19418" s="3" t="s">
        <v>9</v>
      </c>
      <c r="E19418" s="3">
        <v>0</v>
      </c>
      <c r="F19418" s="3">
        <v>0</v>
      </c>
      <c r="G19418" s="3">
        <v>0</v>
      </c>
      <c r="H19418" s="3">
        <v>0</v>
      </c>
      <c r="I19418" s="3">
        <v>0</v>
      </c>
      <c r="J19418" s="3">
        <v>0</v>
      </c>
      <c r="K19418" s="3">
        <v>0</v>
      </c>
      <c r="L19418" s="3">
        <v>0</v>
      </c>
      <c r="M19418" s="3">
        <v>0</v>
      </c>
      <c r="N19418" s="3">
        <v>0</v>
      </c>
      <c r="O19418" s="3" t="s">
        <v>9</v>
      </c>
      <c r="P19418" s="3" t="s">
        <v>9</v>
      </c>
      <c r="Q19418" s="3"/>
    </row>
    <row r="19419" spans="1:17" ht="15" x14ac:dyDescent="0.25">
      <c r="A19419" s="3">
        <f>19412</f>
        <v>19412</v>
      </c>
      <c r="B19419" s="3" t="s">
        <v>19421</v>
      </c>
      <c r="C19419" s="3" t="s">
        <v>9</v>
      </c>
      <c r="D19419" s="3" t="s">
        <v>9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0</v>
      </c>
      <c r="O19419" s="3" t="s">
        <v>9</v>
      </c>
      <c r="P19419" s="3" t="s">
        <v>9</v>
      </c>
      <c r="Q19419" s="3"/>
    </row>
    <row r="19420" spans="1:17" ht="15" x14ac:dyDescent="0.25">
      <c r="A19420" s="3">
        <f>19413</f>
        <v>19413</v>
      </c>
      <c r="B19420" s="3" t="s">
        <v>19422</v>
      </c>
      <c r="C19420" s="3" t="s">
        <v>9</v>
      </c>
      <c r="D19420" s="3" t="s">
        <v>9</v>
      </c>
      <c r="E19420" s="3">
        <v>0</v>
      </c>
      <c r="F19420" s="3">
        <v>0</v>
      </c>
      <c r="G19420" s="3">
        <v>0</v>
      </c>
      <c r="H19420" s="3">
        <v>0</v>
      </c>
      <c r="I19420" s="3">
        <v>0</v>
      </c>
      <c r="J19420" s="3">
        <v>0</v>
      </c>
      <c r="K19420" s="3">
        <v>0</v>
      </c>
      <c r="L19420" s="3">
        <v>0</v>
      </c>
      <c r="M19420" s="3">
        <v>0</v>
      </c>
      <c r="N19420" s="3">
        <v>0</v>
      </c>
      <c r="O19420" s="3" t="s">
        <v>9</v>
      </c>
      <c r="P19420" s="3" t="s">
        <v>9</v>
      </c>
      <c r="Q19420" s="3"/>
    </row>
    <row r="19421" spans="1:17" ht="15" x14ac:dyDescent="0.25">
      <c r="A19421" s="3">
        <f>19414</f>
        <v>19414</v>
      </c>
      <c r="B19421" s="3" t="s">
        <v>19423</v>
      </c>
      <c r="C19421" s="3" t="s">
        <v>9</v>
      </c>
      <c r="D19421" s="3" t="s">
        <v>9</v>
      </c>
      <c r="E19421" s="3">
        <v>0</v>
      </c>
      <c r="F19421" s="3">
        <v>0</v>
      </c>
      <c r="G19421" s="3">
        <v>0</v>
      </c>
      <c r="H19421" s="3">
        <v>0</v>
      </c>
      <c r="I19421" s="3">
        <v>0</v>
      </c>
      <c r="J19421" s="3">
        <v>0</v>
      </c>
      <c r="K19421" s="3">
        <v>0</v>
      </c>
      <c r="L19421" s="3">
        <v>0</v>
      </c>
      <c r="M19421" s="3">
        <v>0</v>
      </c>
      <c r="N19421" s="3">
        <v>0</v>
      </c>
      <c r="O19421" s="3" t="s">
        <v>9</v>
      </c>
      <c r="P19421" s="3" t="s">
        <v>9</v>
      </c>
      <c r="Q19421" s="3"/>
    </row>
    <row r="19422" spans="1:17" ht="15" x14ac:dyDescent="0.25">
      <c r="A19422" s="3">
        <f>19415</f>
        <v>19415</v>
      </c>
      <c r="B19422" s="3" t="s">
        <v>19424</v>
      </c>
      <c r="C19422" s="3" t="s">
        <v>9</v>
      </c>
      <c r="D19422" s="3" t="s">
        <v>9</v>
      </c>
      <c r="E19422" s="3">
        <v>0</v>
      </c>
      <c r="F19422" s="3">
        <v>0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  <c r="L19422" s="3">
        <v>0</v>
      </c>
      <c r="M19422" s="3">
        <v>0</v>
      </c>
      <c r="N19422" s="3">
        <v>0</v>
      </c>
      <c r="O19422" s="3" t="s">
        <v>9</v>
      </c>
      <c r="P19422" s="3" t="s">
        <v>9</v>
      </c>
      <c r="Q19422" s="3"/>
    </row>
    <row r="19423" spans="1:17" ht="15" x14ac:dyDescent="0.25">
      <c r="A19423" s="3">
        <f>19416</f>
        <v>19416</v>
      </c>
      <c r="B19423" s="3" t="s">
        <v>19425</v>
      </c>
      <c r="C19423" s="3" t="s">
        <v>9</v>
      </c>
      <c r="D19423" s="3" t="s">
        <v>9</v>
      </c>
      <c r="E19423" s="3">
        <v>0</v>
      </c>
      <c r="F19423" s="3">
        <v>0</v>
      </c>
      <c r="G19423" s="3">
        <v>0</v>
      </c>
      <c r="H19423" s="3">
        <v>0</v>
      </c>
      <c r="I19423" s="3">
        <v>0</v>
      </c>
      <c r="J19423" s="3">
        <v>0</v>
      </c>
      <c r="K19423" s="3">
        <v>0</v>
      </c>
      <c r="L19423" s="3">
        <v>0</v>
      </c>
      <c r="M19423" s="3">
        <v>0</v>
      </c>
      <c r="N19423" s="3">
        <v>0</v>
      </c>
      <c r="O19423" s="3" t="s">
        <v>9</v>
      </c>
      <c r="P19423" s="3" t="s">
        <v>9</v>
      </c>
      <c r="Q19423" s="3"/>
    </row>
    <row r="19424" spans="1:17" ht="15" x14ac:dyDescent="0.25">
      <c r="A19424" s="3">
        <f>19417</f>
        <v>19417</v>
      </c>
      <c r="B19424" s="3" t="s">
        <v>19426</v>
      </c>
      <c r="C19424" s="3" t="s">
        <v>9</v>
      </c>
      <c r="D19424" s="3" t="s">
        <v>9</v>
      </c>
      <c r="E19424" s="3">
        <v>0</v>
      </c>
      <c r="F19424" s="3">
        <v>0</v>
      </c>
      <c r="G19424" s="3">
        <v>0</v>
      </c>
      <c r="H19424" s="3">
        <v>0</v>
      </c>
      <c r="I19424" s="3">
        <v>0</v>
      </c>
      <c r="J19424" s="3">
        <v>0</v>
      </c>
      <c r="K19424" s="3">
        <v>0</v>
      </c>
      <c r="L19424" s="3">
        <v>0</v>
      </c>
      <c r="M19424" s="3">
        <v>0</v>
      </c>
      <c r="N19424" s="3">
        <v>0</v>
      </c>
      <c r="O19424" s="3" t="s">
        <v>9</v>
      </c>
      <c r="P19424" s="3" t="s">
        <v>9</v>
      </c>
      <c r="Q19424" s="3"/>
    </row>
    <row r="19425" spans="1:17" ht="15" x14ac:dyDescent="0.25">
      <c r="A19425" s="3">
        <f>19418</f>
        <v>19418</v>
      </c>
      <c r="B19425" s="3" t="s">
        <v>19427</v>
      </c>
      <c r="C19425" s="3" t="s">
        <v>9</v>
      </c>
      <c r="D19425" s="3" t="s">
        <v>9</v>
      </c>
      <c r="E19425" s="3">
        <v>0</v>
      </c>
      <c r="F19425" s="3">
        <v>0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  <c r="L19425" s="3">
        <v>0</v>
      </c>
      <c r="M19425" s="3">
        <v>0</v>
      </c>
      <c r="N19425" s="3">
        <v>0</v>
      </c>
      <c r="O19425" s="3" t="s">
        <v>9</v>
      </c>
      <c r="P19425" s="3" t="s">
        <v>9</v>
      </c>
      <c r="Q19425" s="3"/>
    </row>
    <row r="19426" spans="1:17" ht="15" x14ac:dyDescent="0.25">
      <c r="A19426" s="3">
        <f>19419</f>
        <v>19419</v>
      </c>
      <c r="B19426" s="3" t="s">
        <v>19428</v>
      </c>
      <c r="C19426" s="3" t="s">
        <v>9</v>
      </c>
      <c r="D19426" s="3" t="s">
        <v>9</v>
      </c>
      <c r="E19426" s="3">
        <v>0</v>
      </c>
      <c r="F19426" s="3">
        <v>0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  <c r="L19426" s="3">
        <v>0</v>
      </c>
      <c r="M19426" s="3">
        <v>0</v>
      </c>
      <c r="N19426" s="3">
        <v>0</v>
      </c>
      <c r="O19426" s="3" t="s">
        <v>9</v>
      </c>
      <c r="P19426" s="3" t="s">
        <v>9</v>
      </c>
      <c r="Q19426" s="3"/>
    </row>
    <row r="19427" spans="1:17" ht="15" x14ac:dyDescent="0.25">
      <c r="A19427" s="3">
        <f>19420</f>
        <v>19420</v>
      </c>
      <c r="B19427" s="3" t="s">
        <v>19429</v>
      </c>
      <c r="C19427" s="3" t="s">
        <v>9</v>
      </c>
      <c r="D19427" s="3" t="s">
        <v>9</v>
      </c>
      <c r="E19427" s="3">
        <v>0</v>
      </c>
      <c r="F19427" s="3">
        <v>0</v>
      </c>
      <c r="G19427" s="3">
        <v>0</v>
      </c>
      <c r="H19427" s="3">
        <v>0</v>
      </c>
      <c r="I19427" s="3">
        <v>0</v>
      </c>
      <c r="J19427" s="3">
        <v>0</v>
      </c>
      <c r="K19427" s="3">
        <v>0</v>
      </c>
      <c r="L19427" s="3">
        <v>0</v>
      </c>
      <c r="M19427" s="3">
        <v>0</v>
      </c>
      <c r="N19427" s="3">
        <v>0</v>
      </c>
      <c r="O19427" s="3" t="s">
        <v>9</v>
      </c>
      <c r="P19427" s="3" t="s">
        <v>9</v>
      </c>
      <c r="Q19427" s="3"/>
    </row>
    <row r="19428" spans="1:17" ht="15" x14ac:dyDescent="0.25">
      <c r="A19428" s="3">
        <f>19421</f>
        <v>19421</v>
      </c>
      <c r="B19428" s="3" t="s">
        <v>19430</v>
      </c>
      <c r="C19428" s="3" t="s">
        <v>9</v>
      </c>
      <c r="D19428" s="3" t="s">
        <v>9</v>
      </c>
      <c r="E19428" s="3">
        <v>0</v>
      </c>
      <c r="F19428" s="3">
        <v>0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  <c r="L19428" s="3">
        <v>0</v>
      </c>
      <c r="M19428" s="3">
        <v>0</v>
      </c>
      <c r="N19428" s="3">
        <v>0</v>
      </c>
      <c r="O19428" s="3" t="s">
        <v>9</v>
      </c>
      <c r="P19428" s="3" t="s">
        <v>9</v>
      </c>
      <c r="Q19428" s="3"/>
    </row>
    <row r="19429" spans="1:17" ht="15" x14ac:dyDescent="0.25">
      <c r="A19429" s="3">
        <f>19422</f>
        <v>19422</v>
      </c>
      <c r="B19429" s="3" t="s">
        <v>19431</v>
      </c>
      <c r="C19429" s="3" t="s">
        <v>9</v>
      </c>
      <c r="D19429" s="3" t="s">
        <v>9</v>
      </c>
      <c r="E19429" s="3">
        <v>0</v>
      </c>
      <c r="F19429" s="3">
        <v>0</v>
      </c>
      <c r="G19429" s="3">
        <v>0</v>
      </c>
      <c r="H19429" s="3">
        <v>0</v>
      </c>
      <c r="I19429" s="3">
        <v>0</v>
      </c>
      <c r="J19429" s="3">
        <v>0</v>
      </c>
      <c r="K19429" s="3">
        <v>0</v>
      </c>
      <c r="L19429" s="3">
        <v>0</v>
      </c>
      <c r="M19429" s="3">
        <v>0</v>
      </c>
      <c r="N19429" s="3">
        <v>0</v>
      </c>
      <c r="O19429" s="3" t="s">
        <v>9</v>
      </c>
      <c r="P19429" s="3" t="s">
        <v>9</v>
      </c>
      <c r="Q19429" s="3"/>
    </row>
    <row r="19430" spans="1:17" ht="15" x14ac:dyDescent="0.25">
      <c r="A19430" s="3">
        <f>19423</f>
        <v>19423</v>
      </c>
      <c r="B19430" s="3" t="s">
        <v>19432</v>
      </c>
      <c r="C19430" s="3" t="s">
        <v>9</v>
      </c>
      <c r="D19430" s="3" t="s">
        <v>9</v>
      </c>
      <c r="E19430" s="3">
        <v>0</v>
      </c>
      <c r="F19430" s="3">
        <v>0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3">
        <v>0</v>
      </c>
      <c r="N19430" s="3">
        <v>0</v>
      </c>
      <c r="O19430" s="3" t="s">
        <v>9</v>
      </c>
      <c r="P19430" s="3" t="s">
        <v>9</v>
      </c>
      <c r="Q19430" s="3"/>
    </row>
    <row r="19431" spans="1:17" ht="15" x14ac:dyDescent="0.25">
      <c r="A19431" s="3">
        <f>19424</f>
        <v>19424</v>
      </c>
      <c r="B19431" s="3" t="s">
        <v>19433</v>
      </c>
      <c r="C19431" s="3" t="s">
        <v>9</v>
      </c>
      <c r="D19431" s="3" t="s">
        <v>9</v>
      </c>
      <c r="E19431" s="3">
        <v>0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  <c r="L19431" s="3">
        <v>0</v>
      </c>
      <c r="M19431" s="3">
        <v>0</v>
      </c>
      <c r="N19431" s="3">
        <v>0</v>
      </c>
      <c r="O19431" s="3" t="s">
        <v>9</v>
      </c>
      <c r="P19431" s="3" t="s">
        <v>9</v>
      </c>
      <c r="Q19431" s="3"/>
    </row>
    <row r="19432" spans="1:17" ht="15" x14ac:dyDescent="0.25">
      <c r="A19432" s="3">
        <f>19425</f>
        <v>19425</v>
      </c>
      <c r="B19432" s="3" t="s">
        <v>19434</v>
      </c>
      <c r="C19432" s="3" t="s">
        <v>9</v>
      </c>
      <c r="D19432" s="3" t="s">
        <v>9</v>
      </c>
      <c r="E19432" s="3">
        <v>0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3">
        <v>0</v>
      </c>
      <c r="N19432" s="3">
        <v>0</v>
      </c>
      <c r="O19432" s="3" t="s">
        <v>9</v>
      </c>
      <c r="P19432" s="3" t="s">
        <v>9</v>
      </c>
      <c r="Q19432" s="3"/>
    </row>
    <row r="19433" spans="1:17" ht="15" x14ac:dyDescent="0.25">
      <c r="A19433" s="3">
        <f>19426</f>
        <v>19426</v>
      </c>
      <c r="B19433" s="3" t="s">
        <v>19435</v>
      </c>
      <c r="C19433" s="3" t="s">
        <v>9</v>
      </c>
      <c r="D19433" s="3" t="s">
        <v>9</v>
      </c>
      <c r="E19433" s="3">
        <v>0</v>
      </c>
      <c r="F19433" s="3">
        <v>0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  <c r="L19433" s="3">
        <v>0</v>
      </c>
      <c r="M19433" s="3">
        <v>0</v>
      </c>
      <c r="N19433" s="3">
        <v>0</v>
      </c>
      <c r="O19433" s="3" t="s">
        <v>9</v>
      </c>
      <c r="P19433" s="3" t="s">
        <v>9</v>
      </c>
      <c r="Q19433" s="3"/>
    </row>
    <row r="19434" spans="1:17" ht="15" x14ac:dyDescent="0.25">
      <c r="A19434" s="3">
        <f>19427</f>
        <v>19427</v>
      </c>
      <c r="B19434" s="3" t="s">
        <v>19436</v>
      </c>
      <c r="C19434" s="3" t="s">
        <v>9</v>
      </c>
      <c r="D19434" s="3" t="s">
        <v>9</v>
      </c>
      <c r="E19434" s="3">
        <v>0</v>
      </c>
      <c r="F19434" s="3">
        <v>0</v>
      </c>
      <c r="G19434" s="3">
        <v>0</v>
      </c>
      <c r="H19434" s="3">
        <v>0</v>
      </c>
      <c r="I19434" s="3">
        <v>0</v>
      </c>
      <c r="J19434" s="3">
        <v>0</v>
      </c>
      <c r="K19434" s="3">
        <v>0</v>
      </c>
      <c r="L19434" s="3">
        <v>0</v>
      </c>
      <c r="M19434" s="3">
        <v>0</v>
      </c>
      <c r="N19434" s="3">
        <v>0</v>
      </c>
      <c r="O19434" s="3" t="s">
        <v>9</v>
      </c>
      <c r="P19434" s="3" t="s">
        <v>9</v>
      </c>
      <c r="Q19434" s="3"/>
    </row>
    <row r="19435" spans="1:17" ht="15" x14ac:dyDescent="0.25">
      <c r="A19435" s="3">
        <f>19428</f>
        <v>19428</v>
      </c>
      <c r="B19435" s="3" t="s">
        <v>19437</v>
      </c>
      <c r="C19435" s="3" t="s">
        <v>9</v>
      </c>
      <c r="D19435" s="3" t="s">
        <v>9</v>
      </c>
      <c r="E19435" s="3">
        <v>0</v>
      </c>
      <c r="F19435" s="3">
        <v>0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  <c r="L19435" s="3">
        <v>0</v>
      </c>
      <c r="M19435" s="3">
        <v>0</v>
      </c>
      <c r="N19435" s="3">
        <v>0</v>
      </c>
      <c r="O19435" s="3" t="s">
        <v>9</v>
      </c>
      <c r="P19435" s="3" t="s">
        <v>9</v>
      </c>
      <c r="Q19435" s="3"/>
    </row>
    <row r="19436" spans="1:17" ht="15" x14ac:dyDescent="0.25">
      <c r="A19436" s="3">
        <f>19429</f>
        <v>19429</v>
      </c>
      <c r="B19436" s="3" t="s">
        <v>19438</v>
      </c>
      <c r="C19436" s="3" t="s">
        <v>10</v>
      </c>
      <c r="D19436" s="3" t="s">
        <v>9</v>
      </c>
      <c r="E19436" s="3">
        <v>0</v>
      </c>
      <c r="F19436" s="3">
        <v>0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  <c r="L19436" s="3">
        <v>0</v>
      </c>
      <c r="M19436" s="3">
        <v>0</v>
      </c>
      <c r="N19436" s="3">
        <v>0</v>
      </c>
      <c r="O19436" s="3" t="s">
        <v>10</v>
      </c>
      <c r="P19436" s="3" t="s">
        <v>9</v>
      </c>
      <c r="Q19436" s="3"/>
    </row>
    <row r="19437" spans="1:17" ht="15" x14ac:dyDescent="0.25">
      <c r="A19437" s="3">
        <f>19430</f>
        <v>19430</v>
      </c>
      <c r="B19437" s="3" t="s">
        <v>19439</v>
      </c>
      <c r="C19437" s="3" t="s">
        <v>9</v>
      </c>
      <c r="D19437" s="3" t="s">
        <v>9</v>
      </c>
      <c r="E19437" s="3">
        <v>0</v>
      </c>
      <c r="F19437" s="3">
        <v>0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  <c r="L19437" s="3">
        <v>0</v>
      </c>
      <c r="M19437" s="3">
        <v>0</v>
      </c>
      <c r="N19437" s="3">
        <v>0</v>
      </c>
      <c r="O19437" s="3" t="s">
        <v>9</v>
      </c>
      <c r="P19437" s="3" t="s">
        <v>9</v>
      </c>
      <c r="Q19437" s="3"/>
    </row>
    <row r="19438" spans="1:17" ht="15" x14ac:dyDescent="0.25">
      <c r="A19438" s="3">
        <f>19431</f>
        <v>19431</v>
      </c>
      <c r="B19438" s="3" t="s">
        <v>19440</v>
      </c>
      <c r="C19438" s="3" t="s">
        <v>10</v>
      </c>
      <c r="D19438" s="3" t="s">
        <v>9</v>
      </c>
      <c r="E19438" s="3">
        <v>0</v>
      </c>
      <c r="F19438" s="3">
        <v>0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 s="3">
        <v>0</v>
      </c>
      <c r="M19438" s="3">
        <v>0</v>
      </c>
      <c r="N19438" s="3">
        <v>0</v>
      </c>
      <c r="O19438" s="3" t="s">
        <v>10</v>
      </c>
      <c r="P19438" s="3" t="s">
        <v>9</v>
      </c>
      <c r="Q19438" s="3"/>
    </row>
    <row r="19439" spans="1:17" ht="15" x14ac:dyDescent="0.25">
      <c r="A19439" s="3">
        <f>19432</f>
        <v>19432</v>
      </c>
      <c r="B19439" s="3" t="s">
        <v>19441</v>
      </c>
      <c r="C19439" s="3" t="s">
        <v>10</v>
      </c>
      <c r="D19439" s="3" t="s">
        <v>9</v>
      </c>
      <c r="E19439" s="3">
        <v>0</v>
      </c>
      <c r="F19439" s="3">
        <v>0</v>
      </c>
      <c r="G19439" s="3">
        <v>0</v>
      </c>
      <c r="H19439" s="3">
        <v>0</v>
      </c>
      <c r="I19439" s="3">
        <v>0</v>
      </c>
      <c r="J19439" s="3">
        <v>0</v>
      </c>
      <c r="K19439" s="3">
        <v>0</v>
      </c>
      <c r="L19439" s="3">
        <v>0</v>
      </c>
      <c r="M19439" s="3">
        <v>0</v>
      </c>
      <c r="N19439" s="3">
        <v>0</v>
      </c>
      <c r="O19439" s="3" t="s">
        <v>10</v>
      </c>
      <c r="P19439" s="3" t="s">
        <v>9</v>
      </c>
      <c r="Q19439" s="3"/>
    </row>
    <row r="19440" spans="1:17" ht="15" x14ac:dyDescent="0.25">
      <c r="A19440" s="3">
        <f>19433</f>
        <v>19433</v>
      </c>
      <c r="B19440" s="3" t="s">
        <v>19442</v>
      </c>
      <c r="C19440" s="3" t="s">
        <v>10</v>
      </c>
      <c r="D19440" s="3" t="s">
        <v>9</v>
      </c>
      <c r="E19440" s="3">
        <v>0</v>
      </c>
      <c r="F19440" s="3">
        <v>0</v>
      </c>
      <c r="G19440" s="3">
        <v>0</v>
      </c>
      <c r="H19440" s="3">
        <v>0</v>
      </c>
      <c r="I19440" s="3">
        <v>0</v>
      </c>
      <c r="J19440" s="3">
        <v>0</v>
      </c>
      <c r="K19440" s="3">
        <v>0</v>
      </c>
      <c r="L19440" s="3">
        <v>0</v>
      </c>
      <c r="M19440" s="3">
        <v>0</v>
      </c>
      <c r="N19440" s="3">
        <v>0</v>
      </c>
      <c r="O19440" s="3" t="s">
        <v>10</v>
      </c>
      <c r="P19440" s="3" t="s">
        <v>9</v>
      </c>
      <c r="Q19440" s="3"/>
    </row>
    <row r="19441" spans="1:17" ht="15" x14ac:dyDescent="0.25">
      <c r="A19441" s="3">
        <f>19434</f>
        <v>19434</v>
      </c>
      <c r="B19441" s="3" t="s">
        <v>19443</v>
      </c>
      <c r="C19441" s="3" t="s">
        <v>10</v>
      </c>
      <c r="D19441" s="3" t="s">
        <v>9</v>
      </c>
      <c r="E19441" s="3">
        <v>0</v>
      </c>
      <c r="F19441" s="3">
        <v>0</v>
      </c>
      <c r="G19441" s="3">
        <v>0</v>
      </c>
      <c r="H19441" s="3">
        <v>0</v>
      </c>
      <c r="I19441" s="3">
        <v>0</v>
      </c>
      <c r="J19441" s="3">
        <v>0</v>
      </c>
      <c r="K19441" s="3">
        <v>0</v>
      </c>
      <c r="L19441" s="3">
        <v>0</v>
      </c>
      <c r="M19441" s="3">
        <v>0</v>
      </c>
      <c r="N19441" s="3">
        <v>0</v>
      </c>
      <c r="O19441" s="3" t="s">
        <v>10</v>
      </c>
      <c r="P19441" s="3" t="s">
        <v>9</v>
      </c>
      <c r="Q19441" s="3"/>
    </row>
    <row r="19442" spans="1:17" ht="15" x14ac:dyDescent="0.25">
      <c r="A19442" s="3">
        <f>19435</f>
        <v>19435</v>
      </c>
      <c r="B19442" s="3" t="s">
        <v>19444</v>
      </c>
      <c r="C19442" s="3" t="s">
        <v>10</v>
      </c>
      <c r="D19442" s="3" t="s">
        <v>9</v>
      </c>
      <c r="E19442" s="3">
        <v>0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  <c r="L19442" s="3">
        <v>0</v>
      </c>
      <c r="M19442" s="3">
        <v>0</v>
      </c>
      <c r="N19442" s="3">
        <v>0</v>
      </c>
      <c r="O19442" s="3" t="s">
        <v>10</v>
      </c>
      <c r="P19442" s="3" t="s">
        <v>9</v>
      </c>
      <c r="Q19442" s="3"/>
    </row>
    <row r="19443" spans="1:17" ht="15" x14ac:dyDescent="0.25">
      <c r="A19443" s="3">
        <f>19436</f>
        <v>19436</v>
      </c>
      <c r="B19443" s="3" t="s">
        <v>19445</v>
      </c>
      <c r="C19443" s="3" t="s">
        <v>10</v>
      </c>
      <c r="D19443" s="3" t="s">
        <v>9</v>
      </c>
      <c r="E19443" s="3">
        <v>0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0</v>
      </c>
      <c r="L19443" s="3">
        <v>0</v>
      </c>
      <c r="M19443" s="3">
        <v>0</v>
      </c>
      <c r="N19443" s="3">
        <v>0</v>
      </c>
      <c r="O19443" s="3" t="s">
        <v>10</v>
      </c>
      <c r="P19443" s="3" t="s">
        <v>9</v>
      </c>
      <c r="Q19443" s="3"/>
    </row>
    <row r="19444" spans="1:17" ht="15" x14ac:dyDescent="0.25">
      <c r="A19444" s="3">
        <f>19437</f>
        <v>19437</v>
      </c>
      <c r="B19444" s="3" t="s">
        <v>19446</v>
      </c>
      <c r="C19444" s="3" t="s">
        <v>10</v>
      </c>
      <c r="D19444" s="3" t="s">
        <v>9</v>
      </c>
      <c r="E19444" s="3">
        <v>0</v>
      </c>
      <c r="F19444" s="3">
        <v>0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  <c r="L19444" s="3">
        <v>0</v>
      </c>
      <c r="M19444" s="3">
        <v>0</v>
      </c>
      <c r="N19444" s="3">
        <v>0</v>
      </c>
      <c r="O19444" s="3" t="s">
        <v>10</v>
      </c>
      <c r="P19444" s="3" t="s">
        <v>9</v>
      </c>
      <c r="Q19444" s="3"/>
    </row>
    <row r="19445" spans="1:17" ht="15" x14ac:dyDescent="0.25">
      <c r="A19445" s="3">
        <f>19438</f>
        <v>19438</v>
      </c>
      <c r="B19445" s="3" t="s">
        <v>19447</v>
      </c>
      <c r="C19445" s="3" t="s">
        <v>10</v>
      </c>
      <c r="D19445" s="3" t="s">
        <v>9</v>
      </c>
      <c r="E19445" s="3">
        <v>0</v>
      </c>
      <c r="F19445" s="3">
        <v>0</v>
      </c>
      <c r="G19445" s="3">
        <v>0</v>
      </c>
      <c r="H19445" s="3">
        <v>0</v>
      </c>
      <c r="I19445" s="3">
        <v>0</v>
      </c>
      <c r="J19445" s="3">
        <v>0</v>
      </c>
      <c r="K19445" s="3">
        <v>0</v>
      </c>
      <c r="L19445" s="3">
        <v>0</v>
      </c>
      <c r="M19445" s="3">
        <v>0</v>
      </c>
      <c r="N19445" s="3">
        <v>0</v>
      </c>
      <c r="O19445" s="3" t="s">
        <v>10</v>
      </c>
      <c r="P19445" s="3" t="s">
        <v>9</v>
      </c>
      <c r="Q19445" s="3"/>
    </row>
    <row r="19446" spans="1:17" ht="15" x14ac:dyDescent="0.25">
      <c r="A19446" s="3">
        <f>19439</f>
        <v>19439</v>
      </c>
      <c r="B19446" s="3" t="s">
        <v>19448</v>
      </c>
      <c r="C19446" s="3" t="s">
        <v>10</v>
      </c>
      <c r="D19446" s="3" t="s">
        <v>9</v>
      </c>
      <c r="E19446" s="3">
        <v>0</v>
      </c>
      <c r="F19446" s="3">
        <v>0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  <c r="L19446" s="3">
        <v>0</v>
      </c>
      <c r="M19446" s="3">
        <v>0</v>
      </c>
      <c r="N19446" s="3">
        <v>0</v>
      </c>
      <c r="O19446" s="3" t="s">
        <v>10</v>
      </c>
      <c r="P19446" s="3" t="s">
        <v>9</v>
      </c>
      <c r="Q19446" s="3"/>
    </row>
    <row r="19447" spans="1:17" ht="15" x14ac:dyDescent="0.25">
      <c r="A19447" s="3">
        <f>19440</f>
        <v>19440</v>
      </c>
      <c r="B19447" s="3" t="s">
        <v>19449</v>
      </c>
      <c r="C19447" s="3" t="s">
        <v>10</v>
      </c>
      <c r="D19447" s="3" t="s">
        <v>9</v>
      </c>
      <c r="E19447" s="3">
        <v>0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  <c r="L19447" s="3">
        <v>0</v>
      </c>
      <c r="M19447" s="3">
        <v>0</v>
      </c>
      <c r="N19447" s="3">
        <v>0</v>
      </c>
      <c r="O19447" s="3" t="s">
        <v>10</v>
      </c>
      <c r="P19447" s="3" t="s">
        <v>9</v>
      </c>
      <c r="Q19447" s="3"/>
    </row>
    <row r="19448" spans="1:17" ht="15" x14ac:dyDescent="0.25">
      <c r="A19448" s="3">
        <f>19441</f>
        <v>19441</v>
      </c>
      <c r="B19448" s="3" t="s">
        <v>19450</v>
      </c>
      <c r="C19448" s="3" t="s">
        <v>10</v>
      </c>
      <c r="D19448" s="3" t="s">
        <v>9</v>
      </c>
      <c r="E19448" s="3">
        <v>0</v>
      </c>
      <c r="F19448" s="3">
        <v>0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  <c r="L19448" s="3">
        <v>0</v>
      </c>
      <c r="M19448" s="3">
        <v>0</v>
      </c>
      <c r="N19448" s="3">
        <v>0</v>
      </c>
      <c r="O19448" s="3" t="s">
        <v>10</v>
      </c>
      <c r="P19448" s="3" t="s">
        <v>9</v>
      </c>
      <c r="Q19448" s="3"/>
    </row>
    <row r="19449" spans="1:17" ht="15" x14ac:dyDescent="0.25">
      <c r="A19449" s="3">
        <f>19442</f>
        <v>19442</v>
      </c>
      <c r="B19449" s="3" t="s">
        <v>19451</v>
      </c>
      <c r="C19449" s="3" t="s">
        <v>10</v>
      </c>
      <c r="D19449" s="3" t="s">
        <v>9</v>
      </c>
      <c r="E19449" s="3">
        <v>0</v>
      </c>
      <c r="F19449" s="3">
        <v>0</v>
      </c>
      <c r="G19449" s="3">
        <v>0</v>
      </c>
      <c r="H19449" s="3">
        <v>0</v>
      </c>
      <c r="I19449" s="3">
        <v>0</v>
      </c>
      <c r="J19449" s="3">
        <v>0</v>
      </c>
      <c r="K19449" s="3">
        <v>0</v>
      </c>
      <c r="L19449" s="3">
        <v>0</v>
      </c>
      <c r="M19449" s="3">
        <v>0</v>
      </c>
      <c r="N19449" s="3">
        <v>0</v>
      </c>
      <c r="O19449" s="3" t="s">
        <v>10</v>
      </c>
      <c r="P19449" s="3" t="s">
        <v>9</v>
      </c>
      <c r="Q19449" s="3"/>
    </row>
    <row r="19450" spans="1:17" ht="15" x14ac:dyDescent="0.25">
      <c r="A19450" s="3">
        <f>19443</f>
        <v>19443</v>
      </c>
      <c r="B19450" s="3" t="s">
        <v>19452</v>
      </c>
      <c r="C19450" s="3" t="s">
        <v>10</v>
      </c>
      <c r="D19450" s="3" t="s">
        <v>9</v>
      </c>
      <c r="E19450" s="3">
        <v>0</v>
      </c>
      <c r="F19450" s="3">
        <v>0</v>
      </c>
      <c r="G19450" s="3">
        <v>0</v>
      </c>
      <c r="H19450" s="3">
        <v>0</v>
      </c>
      <c r="I19450" s="3">
        <v>0</v>
      </c>
      <c r="J19450" s="3">
        <v>0</v>
      </c>
      <c r="K19450" s="3">
        <v>0</v>
      </c>
      <c r="L19450" s="3">
        <v>0</v>
      </c>
      <c r="M19450" s="3">
        <v>0</v>
      </c>
      <c r="N19450" s="3">
        <v>0</v>
      </c>
      <c r="O19450" s="3" t="s">
        <v>10</v>
      </c>
      <c r="P19450" s="3" t="s">
        <v>9</v>
      </c>
      <c r="Q19450" s="3"/>
    </row>
    <row r="19451" spans="1:17" ht="15" x14ac:dyDescent="0.25">
      <c r="A19451" s="3">
        <f>19444</f>
        <v>19444</v>
      </c>
      <c r="B19451" s="3" t="s">
        <v>19453</v>
      </c>
      <c r="C19451" s="3" t="s">
        <v>10</v>
      </c>
      <c r="D19451" s="3" t="s">
        <v>9</v>
      </c>
      <c r="E19451" s="3">
        <v>0</v>
      </c>
      <c r="F19451" s="3">
        <v>0</v>
      </c>
      <c r="G19451" s="3">
        <v>0</v>
      </c>
      <c r="H19451" s="3">
        <v>0</v>
      </c>
      <c r="I19451" s="3">
        <v>0</v>
      </c>
      <c r="J19451" s="3">
        <v>0</v>
      </c>
      <c r="K19451" s="3">
        <v>0</v>
      </c>
      <c r="L19451" s="3">
        <v>0</v>
      </c>
      <c r="M19451" s="3">
        <v>0</v>
      </c>
      <c r="N19451" s="3">
        <v>0</v>
      </c>
      <c r="O19451" s="3" t="s">
        <v>10</v>
      </c>
      <c r="P19451" s="3" t="s">
        <v>9</v>
      </c>
      <c r="Q19451" s="3"/>
    </row>
    <row r="19452" spans="1:17" ht="15" x14ac:dyDescent="0.25">
      <c r="A19452" s="3">
        <f>19445</f>
        <v>19445</v>
      </c>
      <c r="B19452" s="3" t="s">
        <v>19454</v>
      </c>
      <c r="C19452" s="3" t="s">
        <v>10</v>
      </c>
      <c r="D19452" s="3" t="s">
        <v>9</v>
      </c>
      <c r="E19452" s="3">
        <v>0</v>
      </c>
      <c r="F19452" s="3">
        <v>0</v>
      </c>
      <c r="G19452" s="3">
        <v>0</v>
      </c>
      <c r="H19452" s="3">
        <v>0</v>
      </c>
      <c r="I19452" s="3">
        <v>0</v>
      </c>
      <c r="J19452" s="3">
        <v>0</v>
      </c>
      <c r="K19452" s="3">
        <v>0</v>
      </c>
      <c r="L19452" s="3">
        <v>0</v>
      </c>
      <c r="M19452" s="3">
        <v>0</v>
      </c>
      <c r="N19452" s="3">
        <v>0</v>
      </c>
      <c r="O19452" s="3" t="s">
        <v>10</v>
      </c>
      <c r="P19452" s="3" t="s">
        <v>9</v>
      </c>
      <c r="Q19452" s="3"/>
    </row>
    <row r="19453" spans="1:17" ht="15" x14ac:dyDescent="0.25">
      <c r="A19453" s="3">
        <f>19446</f>
        <v>19446</v>
      </c>
      <c r="B19453" s="3" t="s">
        <v>19455</v>
      </c>
      <c r="C19453" s="3" t="s">
        <v>10</v>
      </c>
      <c r="D19453" s="3" t="s">
        <v>9</v>
      </c>
      <c r="E19453" s="3">
        <v>0</v>
      </c>
      <c r="F19453" s="3">
        <v>0</v>
      </c>
      <c r="G19453" s="3">
        <v>0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3">
        <v>0</v>
      </c>
      <c r="N19453" s="3">
        <v>0</v>
      </c>
      <c r="O19453" s="3" t="s">
        <v>10</v>
      </c>
      <c r="P19453" s="3" t="s">
        <v>9</v>
      </c>
      <c r="Q19453" s="3"/>
    </row>
    <row r="19454" spans="1:17" ht="15" x14ac:dyDescent="0.25">
      <c r="A19454" s="3">
        <f>19447</f>
        <v>19447</v>
      </c>
      <c r="B19454" s="3" t="s">
        <v>19456</v>
      </c>
      <c r="C19454" s="3" t="s">
        <v>10</v>
      </c>
      <c r="D19454" s="3" t="s">
        <v>9</v>
      </c>
      <c r="E19454" s="3">
        <v>0</v>
      </c>
      <c r="F19454" s="3">
        <v>0</v>
      </c>
      <c r="G19454" s="3">
        <v>0</v>
      </c>
      <c r="H19454" s="3">
        <v>0</v>
      </c>
      <c r="I19454" s="3">
        <v>0</v>
      </c>
      <c r="J19454" s="3">
        <v>0</v>
      </c>
      <c r="K19454" s="3">
        <v>0</v>
      </c>
      <c r="L19454" s="3">
        <v>0</v>
      </c>
      <c r="M19454" s="3">
        <v>0</v>
      </c>
      <c r="N19454" s="3">
        <v>0</v>
      </c>
      <c r="O19454" s="3" t="s">
        <v>10</v>
      </c>
      <c r="P19454" s="3" t="s">
        <v>9</v>
      </c>
      <c r="Q19454" s="3"/>
    </row>
    <row r="19455" spans="1:17" ht="15" x14ac:dyDescent="0.25">
      <c r="A19455" s="3">
        <f>19448</f>
        <v>19448</v>
      </c>
      <c r="B19455" s="3" t="s">
        <v>19457</v>
      </c>
      <c r="C19455" s="3" t="s">
        <v>10</v>
      </c>
      <c r="D19455" s="3" t="s">
        <v>9</v>
      </c>
      <c r="E19455" s="3">
        <v>0</v>
      </c>
      <c r="F19455" s="3">
        <v>0</v>
      </c>
      <c r="G19455" s="3">
        <v>0</v>
      </c>
      <c r="H19455" s="3">
        <v>0</v>
      </c>
      <c r="I19455" s="3">
        <v>0</v>
      </c>
      <c r="J19455" s="3">
        <v>0</v>
      </c>
      <c r="K19455" s="3">
        <v>0</v>
      </c>
      <c r="L19455" s="3">
        <v>0</v>
      </c>
      <c r="M19455" s="3">
        <v>0</v>
      </c>
      <c r="N19455" s="3">
        <v>0</v>
      </c>
      <c r="O19455" s="3" t="s">
        <v>10</v>
      </c>
      <c r="P19455" s="3" t="s">
        <v>9</v>
      </c>
      <c r="Q19455" s="3"/>
    </row>
    <row r="19456" spans="1:17" ht="15" x14ac:dyDescent="0.25">
      <c r="A19456" s="3">
        <f>19449</f>
        <v>19449</v>
      </c>
      <c r="B19456" s="3" t="s">
        <v>19458</v>
      </c>
      <c r="C19456" s="3" t="s">
        <v>10</v>
      </c>
      <c r="D19456" s="3" t="s">
        <v>9</v>
      </c>
      <c r="E19456" s="3">
        <v>0</v>
      </c>
      <c r="F19456" s="3">
        <v>0</v>
      </c>
      <c r="G19456" s="3">
        <v>0</v>
      </c>
      <c r="H19456" s="3">
        <v>0</v>
      </c>
      <c r="I19456" s="3">
        <v>0</v>
      </c>
      <c r="J19456" s="3">
        <v>0</v>
      </c>
      <c r="K19456" s="3">
        <v>0</v>
      </c>
      <c r="L19456" s="3">
        <v>0</v>
      </c>
      <c r="M19456" s="3">
        <v>0</v>
      </c>
      <c r="N19456" s="3">
        <v>0</v>
      </c>
      <c r="O19456" s="3" t="s">
        <v>10</v>
      </c>
      <c r="P19456" s="3" t="s">
        <v>9</v>
      </c>
      <c r="Q19456" s="3"/>
    </row>
    <row r="19457" spans="1:17" ht="15" x14ac:dyDescent="0.25">
      <c r="A19457" s="3">
        <f>19450</f>
        <v>19450</v>
      </c>
      <c r="B19457" s="3" t="s">
        <v>19459</v>
      </c>
      <c r="C19457" s="3" t="s">
        <v>10</v>
      </c>
      <c r="D19457" s="3" t="s">
        <v>9</v>
      </c>
      <c r="E19457" s="3">
        <v>0</v>
      </c>
      <c r="F19457" s="3">
        <v>0</v>
      </c>
      <c r="G19457" s="3">
        <v>0</v>
      </c>
      <c r="H19457" s="3">
        <v>0</v>
      </c>
      <c r="I19457" s="3">
        <v>0</v>
      </c>
      <c r="J19457" s="3">
        <v>0</v>
      </c>
      <c r="K19457" s="3">
        <v>0</v>
      </c>
      <c r="L19457" s="3">
        <v>0</v>
      </c>
      <c r="M19457" s="3">
        <v>0</v>
      </c>
      <c r="N19457" s="3">
        <v>0</v>
      </c>
      <c r="O19457" s="3" t="s">
        <v>10</v>
      </c>
      <c r="P19457" s="3" t="s">
        <v>9</v>
      </c>
      <c r="Q19457" s="3"/>
    </row>
    <row r="19458" spans="1:17" ht="15" x14ac:dyDescent="0.25">
      <c r="A19458" s="3">
        <f>19451</f>
        <v>19451</v>
      </c>
      <c r="B19458" s="3" t="s">
        <v>19460</v>
      </c>
      <c r="C19458" s="3" t="s">
        <v>10</v>
      </c>
      <c r="D19458" s="3" t="s">
        <v>9</v>
      </c>
      <c r="E19458" s="3">
        <v>0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  <c r="L19458" s="3">
        <v>0</v>
      </c>
      <c r="M19458" s="3">
        <v>0</v>
      </c>
      <c r="N19458" s="3">
        <v>0</v>
      </c>
      <c r="O19458" s="3" t="s">
        <v>10</v>
      </c>
      <c r="P19458" s="3" t="s">
        <v>9</v>
      </c>
      <c r="Q19458" s="3"/>
    </row>
    <row r="19459" spans="1:17" ht="15" x14ac:dyDescent="0.25">
      <c r="A19459" s="3">
        <f>19452</f>
        <v>19452</v>
      </c>
      <c r="B19459" s="3" t="s">
        <v>19461</v>
      </c>
      <c r="C19459" s="3" t="s">
        <v>10</v>
      </c>
      <c r="D19459" s="3" t="s">
        <v>9</v>
      </c>
      <c r="E19459" s="3">
        <v>0</v>
      </c>
      <c r="F19459" s="3">
        <v>0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  <c r="L19459" s="3">
        <v>0</v>
      </c>
      <c r="M19459" s="3">
        <v>0</v>
      </c>
      <c r="N19459" s="3">
        <v>0</v>
      </c>
      <c r="O19459" s="3" t="s">
        <v>10</v>
      </c>
      <c r="P19459" s="3" t="s">
        <v>9</v>
      </c>
      <c r="Q19459" s="3"/>
    </row>
    <row r="19460" spans="1:17" ht="15" x14ac:dyDescent="0.25">
      <c r="A19460" s="3">
        <f>19453</f>
        <v>19453</v>
      </c>
      <c r="B19460" s="3" t="s">
        <v>19462</v>
      </c>
      <c r="C19460" s="3" t="s">
        <v>10</v>
      </c>
      <c r="D19460" s="3" t="s">
        <v>9</v>
      </c>
      <c r="E19460" s="3">
        <v>0</v>
      </c>
      <c r="F19460" s="3">
        <v>0</v>
      </c>
      <c r="G19460" s="3">
        <v>0</v>
      </c>
      <c r="H19460" s="3">
        <v>0</v>
      </c>
      <c r="I19460" s="3">
        <v>0</v>
      </c>
      <c r="J19460" s="3">
        <v>0</v>
      </c>
      <c r="K19460" s="3">
        <v>0</v>
      </c>
      <c r="L19460" s="3">
        <v>0</v>
      </c>
      <c r="M19460" s="3">
        <v>0</v>
      </c>
      <c r="N19460" s="3">
        <v>0</v>
      </c>
      <c r="O19460" s="3" t="s">
        <v>10</v>
      </c>
      <c r="P19460" s="3" t="s">
        <v>9</v>
      </c>
      <c r="Q19460" s="3"/>
    </row>
    <row r="19461" spans="1:17" ht="15" x14ac:dyDescent="0.25">
      <c r="A19461" s="3">
        <f>19454</f>
        <v>19454</v>
      </c>
      <c r="B19461" s="3" t="s">
        <v>19463</v>
      </c>
      <c r="C19461" s="3" t="s">
        <v>10</v>
      </c>
      <c r="D19461" s="3" t="s">
        <v>9</v>
      </c>
      <c r="E19461" s="3">
        <v>0</v>
      </c>
      <c r="F19461" s="3">
        <v>0</v>
      </c>
      <c r="G19461" s="3">
        <v>0</v>
      </c>
      <c r="H19461" s="3">
        <v>0</v>
      </c>
      <c r="I19461" s="3">
        <v>0</v>
      </c>
      <c r="J19461" s="3">
        <v>0</v>
      </c>
      <c r="K19461" s="3">
        <v>0</v>
      </c>
      <c r="L19461" s="3">
        <v>0</v>
      </c>
      <c r="M19461" s="3">
        <v>0</v>
      </c>
      <c r="N19461" s="3">
        <v>0</v>
      </c>
      <c r="O19461" s="3" t="s">
        <v>10</v>
      </c>
      <c r="P19461" s="3" t="s">
        <v>9</v>
      </c>
      <c r="Q19461" s="3"/>
    </row>
    <row r="19462" spans="1:17" ht="15" x14ac:dyDescent="0.25">
      <c r="A19462" s="3">
        <f>19455</f>
        <v>19455</v>
      </c>
      <c r="B19462" s="3" t="s">
        <v>19464</v>
      </c>
      <c r="C19462" s="3" t="s">
        <v>10</v>
      </c>
      <c r="D19462" s="3" t="s">
        <v>9</v>
      </c>
      <c r="E19462" s="3">
        <v>0</v>
      </c>
      <c r="F19462" s="3">
        <v>0</v>
      </c>
      <c r="G19462" s="3">
        <v>0</v>
      </c>
      <c r="H19462" s="3">
        <v>0</v>
      </c>
      <c r="I19462" s="3">
        <v>0</v>
      </c>
      <c r="J19462" s="3">
        <v>0</v>
      </c>
      <c r="K19462" s="3">
        <v>0</v>
      </c>
      <c r="L19462" s="3">
        <v>0</v>
      </c>
      <c r="M19462" s="3">
        <v>0</v>
      </c>
      <c r="N19462" s="3">
        <v>0</v>
      </c>
      <c r="O19462" s="3" t="s">
        <v>10</v>
      </c>
      <c r="P19462" s="3" t="s">
        <v>9</v>
      </c>
      <c r="Q19462" s="3"/>
    </row>
    <row r="19463" spans="1:17" ht="15" x14ac:dyDescent="0.25">
      <c r="A19463" s="3">
        <f>19456</f>
        <v>19456</v>
      </c>
      <c r="B19463" s="3" t="s">
        <v>19465</v>
      </c>
      <c r="C19463" s="3" t="s">
        <v>10</v>
      </c>
      <c r="D19463" s="3" t="s">
        <v>9</v>
      </c>
      <c r="E19463" s="3">
        <v>0</v>
      </c>
      <c r="F19463" s="3">
        <v>0</v>
      </c>
      <c r="G19463" s="3">
        <v>0</v>
      </c>
      <c r="H19463" s="3">
        <v>0</v>
      </c>
      <c r="I19463" s="3">
        <v>0</v>
      </c>
      <c r="J19463" s="3">
        <v>0</v>
      </c>
      <c r="K19463" s="3">
        <v>0</v>
      </c>
      <c r="L19463" s="3">
        <v>0</v>
      </c>
      <c r="M19463" s="3">
        <v>0</v>
      </c>
      <c r="N19463" s="3">
        <v>0</v>
      </c>
      <c r="O19463" s="3" t="s">
        <v>10</v>
      </c>
      <c r="P19463" s="3" t="s">
        <v>9</v>
      </c>
      <c r="Q19463" s="3"/>
    </row>
    <row r="19464" spans="1:17" ht="15" x14ac:dyDescent="0.25">
      <c r="A19464" s="3">
        <f>19457</f>
        <v>19457</v>
      </c>
      <c r="B19464" s="3" t="s">
        <v>19466</v>
      </c>
      <c r="C19464" s="3" t="s">
        <v>10</v>
      </c>
      <c r="D19464" s="3" t="s">
        <v>9</v>
      </c>
      <c r="E19464" s="3">
        <v>0</v>
      </c>
      <c r="F19464" s="3">
        <v>0</v>
      </c>
      <c r="G19464" s="3">
        <v>0</v>
      </c>
      <c r="H19464" s="3">
        <v>0</v>
      </c>
      <c r="I19464" s="3">
        <v>0</v>
      </c>
      <c r="J19464" s="3">
        <v>0</v>
      </c>
      <c r="K19464" s="3">
        <v>0</v>
      </c>
      <c r="L19464" s="3">
        <v>0</v>
      </c>
      <c r="M19464" s="3">
        <v>0</v>
      </c>
      <c r="N19464" s="3">
        <v>0</v>
      </c>
      <c r="O19464" s="3" t="s">
        <v>10</v>
      </c>
      <c r="P19464" s="3" t="s">
        <v>9</v>
      </c>
      <c r="Q19464" s="3"/>
    </row>
    <row r="19465" spans="1:17" ht="15" x14ac:dyDescent="0.25">
      <c r="A19465" s="3">
        <f>19458</f>
        <v>19458</v>
      </c>
      <c r="B19465" s="3" t="s">
        <v>19467</v>
      </c>
      <c r="C19465" s="3" t="s">
        <v>10</v>
      </c>
      <c r="D19465" s="3" t="s">
        <v>9</v>
      </c>
      <c r="E19465" s="3">
        <v>0</v>
      </c>
      <c r="F19465" s="3">
        <v>0</v>
      </c>
      <c r="G19465" s="3">
        <v>0</v>
      </c>
      <c r="H19465" s="3">
        <v>0</v>
      </c>
      <c r="I19465" s="3">
        <v>0</v>
      </c>
      <c r="J19465" s="3">
        <v>0</v>
      </c>
      <c r="K19465" s="3">
        <v>0</v>
      </c>
      <c r="L19465" s="3">
        <v>0</v>
      </c>
      <c r="M19465" s="3">
        <v>0</v>
      </c>
      <c r="N19465" s="3">
        <v>0</v>
      </c>
      <c r="O19465" s="3" t="s">
        <v>10</v>
      </c>
      <c r="P19465" s="3" t="s">
        <v>9</v>
      </c>
      <c r="Q19465" s="3"/>
    </row>
    <row r="19466" spans="1:17" ht="15" x14ac:dyDescent="0.25">
      <c r="A19466" s="3">
        <f>19459</f>
        <v>19459</v>
      </c>
      <c r="B19466" s="3" t="s">
        <v>19468</v>
      </c>
      <c r="C19466" s="3" t="s">
        <v>10</v>
      </c>
      <c r="D19466" s="3" t="s">
        <v>9</v>
      </c>
      <c r="E19466" s="3">
        <v>0</v>
      </c>
      <c r="F19466" s="3">
        <v>0</v>
      </c>
      <c r="G19466" s="3">
        <v>0</v>
      </c>
      <c r="H19466" s="3">
        <v>0</v>
      </c>
      <c r="I19466" s="3">
        <v>0</v>
      </c>
      <c r="J19466" s="3">
        <v>0</v>
      </c>
      <c r="K19466" s="3">
        <v>0</v>
      </c>
      <c r="L19466" s="3">
        <v>0</v>
      </c>
      <c r="M19466" s="3">
        <v>0</v>
      </c>
      <c r="N19466" s="3">
        <v>0</v>
      </c>
      <c r="O19466" s="3" t="s">
        <v>10</v>
      </c>
      <c r="P19466" s="3" t="s">
        <v>9</v>
      </c>
      <c r="Q19466" s="3"/>
    </row>
    <row r="19467" spans="1:17" ht="15" x14ac:dyDescent="0.25">
      <c r="A19467" s="3">
        <f>19460</f>
        <v>19460</v>
      </c>
      <c r="B19467" s="3" t="s">
        <v>19469</v>
      </c>
      <c r="C19467" s="3" t="s">
        <v>10</v>
      </c>
      <c r="D19467" s="3" t="s">
        <v>9</v>
      </c>
      <c r="E19467" s="3">
        <v>0</v>
      </c>
      <c r="F19467" s="3">
        <v>0</v>
      </c>
      <c r="G19467" s="3">
        <v>0</v>
      </c>
      <c r="H19467" s="3">
        <v>0</v>
      </c>
      <c r="I19467" s="3">
        <v>0</v>
      </c>
      <c r="J19467" s="3">
        <v>0</v>
      </c>
      <c r="K19467" s="3">
        <v>0</v>
      </c>
      <c r="L19467" s="3">
        <v>0</v>
      </c>
      <c r="M19467" s="3">
        <v>0</v>
      </c>
      <c r="N19467" s="3">
        <v>0</v>
      </c>
      <c r="O19467" s="3" t="s">
        <v>10</v>
      </c>
      <c r="P19467" s="3" t="s">
        <v>9</v>
      </c>
      <c r="Q19467" s="3"/>
    </row>
    <row r="19468" spans="1:17" ht="15" x14ac:dyDescent="0.25">
      <c r="A19468" s="3">
        <f>19461</f>
        <v>19461</v>
      </c>
      <c r="B19468" s="3" t="s">
        <v>19470</v>
      </c>
      <c r="C19468" s="3" t="s">
        <v>10</v>
      </c>
      <c r="D19468" s="3" t="s">
        <v>9</v>
      </c>
      <c r="E19468" s="3">
        <v>0</v>
      </c>
      <c r="F19468" s="3">
        <v>0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  <c r="L19468" s="3">
        <v>0</v>
      </c>
      <c r="M19468" s="3">
        <v>0</v>
      </c>
      <c r="N19468" s="3">
        <v>0</v>
      </c>
      <c r="O19468" s="3" t="s">
        <v>10</v>
      </c>
      <c r="P19468" s="3" t="s">
        <v>9</v>
      </c>
      <c r="Q19468" s="3"/>
    </row>
    <row r="19469" spans="1:17" ht="15" x14ac:dyDescent="0.25">
      <c r="A19469" s="3">
        <f>19462</f>
        <v>19462</v>
      </c>
      <c r="B19469" s="3" t="s">
        <v>19471</v>
      </c>
      <c r="C19469" s="3" t="s">
        <v>10</v>
      </c>
      <c r="D19469" s="3" t="s">
        <v>9</v>
      </c>
      <c r="E19469" s="3">
        <v>0</v>
      </c>
      <c r="F19469" s="3">
        <v>0</v>
      </c>
      <c r="G19469" s="3">
        <v>0</v>
      </c>
      <c r="H19469" s="3">
        <v>0</v>
      </c>
      <c r="I19469" s="3">
        <v>0</v>
      </c>
      <c r="J19469" s="3">
        <v>0</v>
      </c>
      <c r="K19469" s="3">
        <v>0</v>
      </c>
      <c r="L19469" s="3">
        <v>0</v>
      </c>
      <c r="M19469" s="3">
        <v>0</v>
      </c>
      <c r="N19469" s="3">
        <v>0</v>
      </c>
      <c r="O19469" s="3" t="s">
        <v>10</v>
      </c>
      <c r="P19469" s="3" t="s">
        <v>9</v>
      </c>
      <c r="Q19469" s="3"/>
    </row>
    <row r="19470" spans="1:17" ht="15" x14ac:dyDescent="0.25">
      <c r="A19470" s="3">
        <f>19463</f>
        <v>19463</v>
      </c>
      <c r="B19470" s="3" t="s">
        <v>19472</v>
      </c>
      <c r="C19470" s="3" t="s">
        <v>10</v>
      </c>
      <c r="D19470" s="3" t="s">
        <v>9</v>
      </c>
      <c r="E19470" s="3">
        <v>0</v>
      </c>
      <c r="F19470" s="3">
        <v>0</v>
      </c>
      <c r="G19470" s="3">
        <v>0</v>
      </c>
      <c r="H19470" s="3">
        <v>0</v>
      </c>
      <c r="I19470" s="3">
        <v>0</v>
      </c>
      <c r="J19470" s="3">
        <v>0</v>
      </c>
      <c r="K19470" s="3">
        <v>0</v>
      </c>
      <c r="L19470" s="3">
        <v>0</v>
      </c>
      <c r="M19470" s="3">
        <v>0</v>
      </c>
      <c r="N19470" s="3">
        <v>0</v>
      </c>
      <c r="O19470" s="3" t="s">
        <v>10</v>
      </c>
      <c r="P19470" s="3" t="s">
        <v>9</v>
      </c>
      <c r="Q19470" s="3"/>
    </row>
    <row r="19471" spans="1:17" ht="15" x14ac:dyDescent="0.25">
      <c r="A19471" s="3">
        <f>19464</f>
        <v>19464</v>
      </c>
      <c r="B19471" s="3" t="s">
        <v>19473</v>
      </c>
      <c r="C19471" s="3" t="s">
        <v>10</v>
      </c>
      <c r="D19471" s="3" t="s">
        <v>9</v>
      </c>
      <c r="E19471" s="3">
        <v>0</v>
      </c>
      <c r="F19471" s="3">
        <v>0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 s="3">
        <v>0</v>
      </c>
      <c r="M19471" s="3">
        <v>0</v>
      </c>
      <c r="N19471" s="3">
        <v>0</v>
      </c>
      <c r="O19471" s="3" t="s">
        <v>10</v>
      </c>
      <c r="P19471" s="3" t="s">
        <v>9</v>
      </c>
      <c r="Q19471" s="3"/>
    </row>
    <row r="19472" spans="1:17" ht="15" x14ac:dyDescent="0.25">
      <c r="A19472" s="3">
        <f>19465</f>
        <v>19465</v>
      </c>
      <c r="B19472" s="3" t="s">
        <v>19474</v>
      </c>
      <c r="C19472" s="3" t="s">
        <v>10</v>
      </c>
      <c r="D19472" s="3" t="s">
        <v>9</v>
      </c>
      <c r="E19472" s="3">
        <v>0</v>
      </c>
      <c r="F19472" s="3">
        <v>0</v>
      </c>
      <c r="G19472" s="3">
        <v>0</v>
      </c>
      <c r="H19472" s="3">
        <v>0</v>
      </c>
      <c r="I19472" s="3">
        <v>0</v>
      </c>
      <c r="J19472" s="3">
        <v>0</v>
      </c>
      <c r="K19472" s="3">
        <v>0</v>
      </c>
      <c r="L19472" s="3">
        <v>0</v>
      </c>
      <c r="M19472" s="3">
        <v>0</v>
      </c>
      <c r="N19472" s="3">
        <v>0</v>
      </c>
      <c r="O19472" s="3" t="s">
        <v>10</v>
      </c>
      <c r="P19472" s="3" t="s">
        <v>9</v>
      </c>
      <c r="Q19472" s="3"/>
    </row>
    <row r="19473" spans="1:17" ht="15" x14ac:dyDescent="0.25">
      <c r="A19473" s="3">
        <f>19466</f>
        <v>19466</v>
      </c>
      <c r="B19473" s="3" t="s">
        <v>19475</v>
      </c>
      <c r="C19473" s="3" t="s">
        <v>10</v>
      </c>
      <c r="D19473" s="3" t="s">
        <v>9</v>
      </c>
      <c r="E19473" s="3">
        <v>0</v>
      </c>
      <c r="F19473" s="3">
        <v>0</v>
      </c>
      <c r="G19473" s="3">
        <v>0</v>
      </c>
      <c r="H19473" s="3">
        <v>0</v>
      </c>
      <c r="I19473" s="3">
        <v>0</v>
      </c>
      <c r="J19473" s="3">
        <v>0</v>
      </c>
      <c r="K19473" s="3">
        <v>0</v>
      </c>
      <c r="L19473" s="3">
        <v>0</v>
      </c>
      <c r="M19473" s="3">
        <v>0</v>
      </c>
      <c r="N19473" s="3">
        <v>0</v>
      </c>
      <c r="O19473" s="3" t="s">
        <v>10</v>
      </c>
      <c r="P19473" s="3" t="s">
        <v>9</v>
      </c>
      <c r="Q19473" s="3"/>
    </row>
    <row r="19474" spans="1:17" ht="15" x14ac:dyDescent="0.25">
      <c r="A19474" s="3">
        <f>19467</f>
        <v>19467</v>
      </c>
      <c r="B19474" s="3" t="s">
        <v>19476</v>
      </c>
      <c r="C19474" s="3" t="s">
        <v>10</v>
      </c>
      <c r="D19474" s="3" t="s">
        <v>9</v>
      </c>
      <c r="E19474" s="3">
        <v>0</v>
      </c>
      <c r="F19474" s="3">
        <v>0</v>
      </c>
      <c r="G19474" s="3">
        <v>0</v>
      </c>
      <c r="H19474" s="3">
        <v>0</v>
      </c>
      <c r="I19474" s="3">
        <v>0</v>
      </c>
      <c r="J19474" s="3">
        <v>0</v>
      </c>
      <c r="K19474" s="3">
        <v>0</v>
      </c>
      <c r="L19474" s="3">
        <v>0</v>
      </c>
      <c r="M19474" s="3">
        <v>0</v>
      </c>
      <c r="N19474" s="3">
        <v>0</v>
      </c>
      <c r="O19474" s="3" t="s">
        <v>10</v>
      </c>
      <c r="P19474" s="3" t="s">
        <v>9</v>
      </c>
      <c r="Q19474" s="3"/>
    </row>
    <row r="19475" spans="1:17" ht="15" x14ac:dyDescent="0.25">
      <c r="A19475" s="3">
        <f>19468</f>
        <v>19468</v>
      </c>
      <c r="B19475" s="3" t="s">
        <v>19477</v>
      </c>
      <c r="C19475" s="3" t="s">
        <v>10</v>
      </c>
      <c r="D19475" s="3" t="s">
        <v>9</v>
      </c>
      <c r="E19475" s="3">
        <v>0</v>
      </c>
      <c r="F19475" s="3">
        <v>0</v>
      </c>
      <c r="G19475" s="3">
        <v>0</v>
      </c>
      <c r="H19475" s="3">
        <v>0</v>
      </c>
      <c r="I19475" s="3">
        <v>0</v>
      </c>
      <c r="J19475" s="3">
        <v>0</v>
      </c>
      <c r="K19475" s="3">
        <v>0</v>
      </c>
      <c r="L19475" s="3">
        <v>0</v>
      </c>
      <c r="M19475" s="3">
        <v>0</v>
      </c>
      <c r="N19475" s="3">
        <v>0</v>
      </c>
      <c r="O19475" s="3" t="s">
        <v>10</v>
      </c>
      <c r="P19475" s="3" t="s">
        <v>9</v>
      </c>
      <c r="Q19475" s="3"/>
    </row>
    <row r="19476" spans="1:17" ht="15" x14ac:dyDescent="0.25">
      <c r="A19476" s="3">
        <f>19469</f>
        <v>19469</v>
      </c>
      <c r="B19476" s="3" t="s">
        <v>19478</v>
      </c>
      <c r="C19476" s="3" t="s">
        <v>10</v>
      </c>
      <c r="D19476" s="3" t="s">
        <v>9</v>
      </c>
      <c r="E19476" s="3">
        <v>0</v>
      </c>
      <c r="F19476" s="3">
        <v>0</v>
      </c>
      <c r="G19476" s="3">
        <v>0</v>
      </c>
      <c r="H19476" s="3">
        <v>0</v>
      </c>
      <c r="I19476" s="3">
        <v>0</v>
      </c>
      <c r="J19476" s="3">
        <v>0</v>
      </c>
      <c r="K19476" s="3">
        <v>0</v>
      </c>
      <c r="L19476" s="3">
        <v>0</v>
      </c>
      <c r="M19476" s="3">
        <v>0</v>
      </c>
      <c r="N19476" s="3">
        <v>0</v>
      </c>
      <c r="O19476" s="3" t="s">
        <v>10</v>
      </c>
      <c r="P19476" s="3" t="s">
        <v>9</v>
      </c>
      <c r="Q19476" s="3"/>
    </row>
    <row r="19477" spans="1:17" ht="15" x14ac:dyDescent="0.25">
      <c r="A19477" s="3">
        <f>19470</f>
        <v>19470</v>
      </c>
      <c r="B19477" s="3" t="s">
        <v>19479</v>
      </c>
      <c r="C19477" s="3" t="s">
        <v>10</v>
      </c>
      <c r="D19477" s="3" t="s">
        <v>9</v>
      </c>
      <c r="E19477" s="3">
        <v>0</v>
      </c>
      <c r="F19477" s="3">
        <v>0</v>
      </c>
      <c r="G19477" s="3">
        <v>0</v>
      </c>
      <c r="H19477" s="3">
        <v>0</v>
      </c>
      <c r="I19477" s="3">
        <v>0</v>
      </c>
      <c r="J19477" s="3">
        <v>0</v>
      </c>
      <c r="K19477" s="3">
        <v>0</v>
      </c>
      <c r="L19477" s="3">
        <v>0</v>
      </c>
      <c r="M19477" s="3">
        <v>0</v>
      </c>
      <c r="N19477" s="3">
        <v>0</v>
      </c>
      <c r="O19477" s="3" t="s">
        <v>10</v>
      </c>
      <c r="P19477" s="3" t="s">
        <v>9</v>
      </c>
      <c r="Q19477" s="3"/>
    </row>
    <row r="19478" spans="1:17" ht="15" x14ac:dyDescent="0.25">
      <c r="A19478" s="3">
        <f>19471</f>
        <v>19471</v>
      </c>
      <c r="B19478" s="3" t="s">
        <v>19480</v>
      </c>
      <c r="C19478" s="3" t="s">
        <v>10</v>
      </c>
      <c r="D19478" s="3" t="s">
        <v>9</v>
      </c>
      <c r="E19478" s="3">
        <v>0</v>
      </c>
      <c r="F19478" s="3">
        <v>0</v>
      </c>
      <c r="G19478" s="3">
        <v>0</v>
      </c>
      <c r="H19478" s="3">
        <v>0</v>
      </c>
      <c r="I19478" s="3">
        <v>0</v>
      </c>
      <c r="J19478" s="3">
        <v>0</v>
      </c>
      <c r="K19478" s="3">
        <v>0</v>
      </c>
      <c r="L19478" s="3">
        <v>0</v>
      </c>
      <c r="M19478" s="3">
        <v>0</v>
      </c>
      <c r="N19478" s="3">
        <v>0</v>
      </c>
      <c r="O19478" s="3" t="s">
        <v>10</v>
      </c>
      <c r="P19478" s="3" t="s">
        <v>9</v>
      </c>
      <c r="Q19478" s="3"/>
    </row>
    <row r="19479" spans="1:17" ht="15" x14ac:dyDescent="0.25">
      <c r="A19479" s="3">
        <f>19472</f>
        <v>19472</v>
      </c>
      <c r="B19479" s="3" t="s">
        <v>19481</v>
      </c>
      <c r="C19479" s="3" t="s">
        <v>10</v>
      </c>
      <c r="D19479" s="3" t="s">
        <v>9</v>
      </c>
      <c r="E19479" s="3">
        <v>0</v>
      </c>
      <c r="F19479" s="3">
        <v>0</v>
      </c>
      <c r="G19479" s="3">
        <v>0</v>
      </c>
      <c r="H19479" s="3">
        <v>0</v>
      </c>
      <c r="I19479" s="3">
        <v>0</v>
      </c>
      <c r="J19479" s="3">
        <v>0</v>
      </c>
      <c r="K19479" s="3">
        <v>0</v>
      </c>
      <c r="L19479" s="3">
        <v>0</v>
      </c>
      <c r="M19479" s="3">
        <v>0</v>
      </c>
      <c r="N19479" s="3">
        <v>0</v>
      </c>
      <c r="O19479" s="3" t="s">
        <v>10</v>
      </c>
      <c r="P19479" s="3" t="s">
        <v>9</v>
      </c>
      <c r="Q19479" s="3"/>
    </row>
    <row r="19480" spans="1:17" ht="15" x14ac:dyDescent="0.25">
      <c r="A19480" s="3">
        <f>19473</f>
        <v>19473</v>
      </c>
      <c r="B19480" s="3" t="s">
        <v>19482</v>
      </c>
      <c r="C19480" s="3" t="s">
        <v>10</v>
      </c>
      <c r="D19480" s="3" t="s">
        <v>9</v>
      </c>
      <c r="E19480" s="3">
        <v>0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0</v>
      </c>
      <c r="L19480" s="3">
        <v>0</v>
      </c>
      <c r="M19480" s="3">
        <v>0</v>
      </c>
      <c r="N19480" s="3">
        <v>0</v>
      </c>
      <c r="O19480" s="3" t="s">
        <v>10</v>
      </c>
      <c r="P19480" s="3" t="s">
        <v>9</v>
      </c>
      <c r="Q19480" s="3"/>
    </row>
    <row r="19481" spans="1:17" ht="15" x14ac:dyDescent="0.25">
      <c r="A19481" s="3">
        <f>19474</f>
        <v>19474</v>
      </c>
      <c r="B19481" s="3" t="s">
        <v>19483</v>
      </c>
      <c r="C19481" s="3" t="s">
        <v>10</v>
      </c>
      <c r="D19481" s="3" t="s">
        <v>9</v>
      </c>
      <c r="E19481" s="3">
        <v>0</v>
      </c>
      <c r="F19481" s="3">
        <v>0</v>
      </c>
      <c r="G19481" s="3">
        <v>0</v>
      </c>
      <c r="H19481" s="3">
        <v>0</v>
      </c>
      <c r="I19481" s="3">
        <v>0</v>
      </c>
      <c r="J19481" s="3">
        <v>0</v>
      </c>
      <c r="K19481" s="3">
        <v>0</v>
      </c>
      <c r="L19481" s="3">
        <v>0</v>
      </c>
      <c r="M19481" s="3">
        <v>0</v>
      </c>
      <c r="N19481" s="3">
        <v>0</v>
      </c>
      <c r="O19481" s="3" t="s">
        <v>10</v>
      </c>
      <c r="P19481" s="3" t="s">
        <v>9</v>
      </c>
      <c r="Q19481" s="3"/>
    </row>
    <row r="19482" spans="1:17" ht="15" x14ac:dyDescent="0.25">
      <c r="A19482" s="3">
        <f>19475</f>
        <v>19475</v>
      </c>
      <c r="B19482" s="3" t="s">
        <v>19484</v>
      </c>
      <c r="C19482" s="3" t="s">
        <v>10</v>
      </c>
      <c r="D19482" s="3" t="s">
        <v>9</v>
      </c>
      <c r="E19482" s="3">
        <v>0</v>
      </c>
      <c r="F19482" s="3">
        <v>0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 s="3">
        <v>0</v>
      </c>
      <c r="M19482" s="3">
        <v>0</v>
      </c>
      <c r="N19482" s="3">
        <v>0</v>
      </c>
      <c r="O19482" s="3" t="s">
        <v>10</v>
      </c>
      <c r="P19482" s="3" t="s">
        <v>9</v>
      </c>
      <c r="Q19482" s="3"/>
    </row>
    <row r="19483" spans="1:17" ht="15" x14ac:dyDescent="0.25">
      <c r="A19483" s="3">
        <f>19476</f>
        <v>19476</v>
      </c>
      <c r="B19483" s="3" t="s">
        <v>19485</v>
      </c>
      <c r="C19483" s="3" t="s">
        <v>10</v>
      </c>
      <c r="D19483" s="3" t="s">
        <v>9</v>
      </c>
      <c r="E19483" s="3">
        <v>0</v>
      </c>
      <c r="F19483" s="3">
        <v>0</v>
      </c>
      <c r="G19483" s="3">
        <v>0</v>
      </c>
      <c r="H19483" s="3">
        <v>0</v>
      </c>
      <c r="I19483" s="3">
        <v>0</v>
      </c>
      <c r="J19483" s="3">
        <v>0</v>
      </c>
      <c r="K19483" s="3">
        <v>0</v>
      </c>
      <c r="L19483" s="3">
        <v>0</v>
      </c>
      <c r="M19483" s="3">
        <v>0</v>
      </c>
      <c r="N19483" s="3">
        <v>0</v>
      </c>
      <c r="O19483" s="3" t="s">
        <v>10</v>
      </c>
      <c r="P19483" s="3" t="s">
        <v>9</v>
      </c>
      <c r="Q19483" s="3"/>
    </row>
    <row r="19484" spans="1:17" ht="15" x14ac:dyDescent="0.25">
      <c r="A19484" s="3">
        <f>19477</f>
        <v>19477</v>
      </c>
      <c r="B19484" s="3" t="s">
        <v>19486</v>
      </c>
      <c r="C19484" s="3" t="s">
        <v>10</v>
      </c>
      <c r="D19484" s="3" t="s">
        <v>9</v>
      </c>
      <c r="E19484" s="3">
        <v>0</v>
      </c>
      <c r="F19484" s="3">
        <v>0</v>
      </c>
      <c r="G19484" s="3">
        <v>0</v>
      </c>
      <c r="H19484" s="3">
        <v>0</v>
      </c>
      <c r="I19484" s="3">
        <v>0</v>
      </c>
      <c r="J19484" s="3">
        <v>0</v>
      </c>
      <c r="K19484" s="3">
        <v>0</v>
      </c>
      <c r="L19484" s="3">
        <v>0</v>
      </c>
      <c r="M19484" s="3">
        <v>0</v>
      </c>
      <c r="N19484" s="3">
        <v>0</v>
      </c>
      <c r="O19484" s="3" t="s">
        <v>10</v>
      </c>
      <c r="P19484" s="3" t="s">
        <v>9</v>
      </c>
      <c r="Q19484" s="3"/>
    </row>
    <row r="19485" spans="1:17" ht="15" x14ac:dyDescent="0.25">
      <c r="A19485" s="3">
        <f>19478</f>
        <v>19478</v>
      </c>
      <c r="B19485" s="3" t="s">
        <v>19487</v>
      </c>
      <c r="C19485" s="3" t="s">
        <v>10</v>
      </c>
      <c r="D19485" s="3" t="s">
        <v>9</v>
      </c>
      <c r="E19485" s="3">
        <v>0</v>
      </c>
      <c r="F19485" s="3">
        <v>0</v>
      </c>
      <c r="G19485" s="3">
        <v>0</v>
      </c>
      <c r="H19485" s="3">
        <v>0</v>
      </c>
      <c r="I19485" s="3">
        <v>0</v>
      </c>
      <c r="J19485" s="3">
        <v>0</v>
      </c>
      <c r="K19485" s="3">
        <v>0</v>
      </c>
      <c r="L19485" s="3">
        <v>0</v>
      </c>
      <c r="M19485" s="3">
        <v>0</v>
      </c>
      <c r="N19485" s="3">
        <v>0</v>
      </c>
      <c r="O19485" s="3" t="s">
        <v>10</v>
      </c>
      <c r="P19485" s="3" t="s">
        <v>9</v>
      </c>
      <c r="Q19485" s="3"/>
    </row>
    <row r="19486" spans="1:17" ht="15" x14ac:dyDescent="0.25">
      <c r="A19486" s="3">
        <f>19479</f>
        <v>19479</v>
      </c>
      <c r="B19486" s="3" t="s">
        <v>19488</v>
      </c>
      <c r="C19486" s="3" t="s">
        <v>10</v>
      </c>
      <c r="D19486" s="3" t="s">
        <v>9</v>
      </c>
      <c r="E19486" s="3">
        <v>0</v>
      </c>
      <c r="F19486" s="3">
        <v>0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3">
        <v>0</v>
      </c>
      <c r="N19486" s="3">
        <v>0</v>
      </c>
      <c r="O19486" s="3" t="s">
        <v>10</v>
      </c>
      <c r="P19486" s="3" t="s">
        <v>9</v>
      </c>
      <c r="Q19486" s="3"/>
    </row>
    <row r="19487" spans="1:17" ht="15" x14ac:dyDescent="0.25">
      <c r="A19487" s="3">
        <f>19480</f>
        <v>19480</v>
      </c>
      <c r="B19487" s="3" t="s">
        <v>19489</v>
      </c>
      <c r="C19487" s="3" t="s">
        <v>9</v>
      </c>
      <c r="D19487" s="3" t="s">
        <v>10</v>
      </c>
      <c r="E19487" s="3">
        <v>0</v>
      </c>
      <c r="F19487" s="3">
        <v>0</v>
      </c>
      <c r="G19487" s="3">
        <v>0</v>
      </c>
      <c r="H19487" s="3">
        <v>0</v>
      </c>
      <c r="I19487" s="3">
        <v>0</v>
      </c>
      <c r="J19487" s="3">
        <v>0</v>
      </c>
      <c r="K19487" s="3">
        <v>0</v>
      </c>
      <c r="L19487" s="3">
        <v>0</v>
      </c>
      <c r="M19487" s="3">
        <v>0</v>
      </c>
      <c r="N19487" s="3">
        <v>0</v>
      </c>
      <c r="O19487" s="3" t="s">
        <v>10</v>
      </c>
      <c r="P19487" s="3" t="s">
        <v>9</v>
      </c>
      <c r="Q19487" s="3"/>
    </row>
    <row r="19488" spans="1:17" ht="15" x14ac:dyDescent="0.25">
      <c r="A19488" s="3">
        <f>19481</f>
        <v>19481</v>
      </c>
      <c r="B19488" s="3" t="s">
        <v>19490</v>
      </c>
      <c r="C19488" s="3" t="s">
        <v>9</v>
      </c>
      <c r="D19488" s="3" t="s">
        <v>10</v>
      </c>
      <c r="E19488" s="3">
        <v>0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  <c r="L19488" s="3">
        <v>0</v>
      </c>
      <c r="M19488" s="3">
        <v>0</v>
      </c>
      <c r="N19488" s="3">
        <v>0</v>
      </c>
      <c r="O19488" s="3" t="s">
        <v>10</v>
      </c>
      <c r="P19488" s="3" t="s">
        <v>9</v>
      </c>
      <c r="Q19488" s="3"/>
    </row>
    <row r="19489" spans="1:17" ht="15" x14ac:dyDescent="0.25">
      <c r="A19489" s="3">
        <f>19482</f>
        <v>19482</v>
      </c>
      <c r="B19489" s="3" t="s">
        <v>19491</v>
      </c>
      <c r="C19489" s="3" t="s">
        <v>9</v>
      </c>
      <c r="D19489" s="3" t="s">
        <v>10</v>
      </c>
      <c r="E19489" s="3">
        <v>0</v>
      </c>
      <c r="F19489" s="3">
        <v>0</v>
      </c>
      <c r="G19489" s="3">
        <v>0</v>
      </c>
      <c r="H19489" s="3">
        <v>0</v>
      </c>
      <c r="I19489" s="3">
        <v>0</v>
      </c>
      <c r="J19489" s="3">
        <v>0</v>
      </c>
      <c r="K19489" s="3">
        <v>0</v>
      </c>
      <c r="L19489" s="3">
        <v>0</v>
      </c>
      <c r="M19489" s="3">
        <v>0</v>
      </c>
      <c r="N19489" s="3">
        <v>0</v>
      </c>
      <c r="O19489" s="3" t="s">
        <v>10</v>
      </c>
      <c r="P19489" s="3" t="s">
        <v>9</v>
      </c>
      <c r="Q19489" s="3"/>
    </row>
    <row r="19490" spans="1:17" ht="15" x14ac:dyDescent="0.25">
      <c r="A19490" s="3">
        <f>19483</f>
        <v>19483</v>
      </c>
      <c r="B19490" s="3" t="s">
        <v>19492</v>
      </c>
      <c r="C19490" s="3" t="s">
        <v>9</v>
      </c>
      <c r="D19490" s="3" t="s">
        <v>10</v>
      </c>
      <c r="E19490" s="3">
        <v>0</v>
      </c>
      <c r="F19490" s="3">
        <v>0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  <c r="L19490" s="3">
        <v>0</v>
      </c>
      <c r="M19490" s="3">
        <v>0</v>
      </c>
      <c r="N19490" s="3">
        <v>0</v>
      </c>
      <c r="O19490" s="3" t="s">
        <v>10</v>
      </c>
      <c r="P19490" s="3" t="s">
        <v>9</v>
      </c>
      <c r="Q19490" s="3"/>
    </row>
    <row r="19491" spans="1:17" ht="15" x14ac:dyDescent="0.25">
      <c r="A19491" s="3">
        <f>19484</f>
        <v>19484</v>
      </c>
      <c r="B19491" s="3" t="s">
        <v>19493</v>
      </c>
      <c r="C19491" s="3" t="s">
        <v>9</v>
      </c>
      <c r="D19491" s="3" t="s">
        <v>10</v>
      </c>
      <c r="E19491" s="3">
        <v>0</v>
      </c>
      <c r="F19491" s="3">
        <v>0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3">
        <v>0</v>
      </c>
      <c r="N19491" s="3">
        <v>0</v>
      </c>
      <c r="O19491" s="3" t="s">
        <v>10</v>
      </c>
      <c r="P19491" s="3" t="s">
        <v>9</v>
      </c>
      <c r="Q19491" s="3"/>
    </row>
    <row r="19492" spans="1:17" ht="15" x14ac:dyDescent="0.25">
      <c r="A19492" s="3">
        <f>19485</f>
        <v>19485</v>
      </c>
      <c r="B19492" s="3" t="s">
        <v>19494</v>
      </c>
      <c r="C19492" s="3" t="s">
        <v>9</v>
      </c>
      <c r="D19492" s="3" t="s">
        <v>10</v>
      </c>
      <c r="E19492" s="3">
        <v>0</v>
      </c>
      <c r="F19492" s="3">
        <v>0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  <c r="L19492" s="3">
        <v>0</v>
      </c>
      <c r="M19492" s="3">
        <v>0</v>
      </c>
      <c r="N19492" s="3">
        <v>0</v>
      </c>
      <c r="O19492" s="3" t="s">
        <v>10</v>
      </c>
      <c r="P19492" s="3" t="s">
        <v>9</v>
      </c>
      <c r="Q19492" s="3"/>
    </row>
    <row r="19493" spans="1:17" ht="15" x14ac:dyDescent="0.25">
      <c r="A19493" s="3">
        <f>19486</f>
        <v>19486</v>
      </c>
      <c r="B19493" s="3" t="s">
        <v>19495</v>
      </c>
      <c r="C19493" s="3" t="s">
        <v>9</v>
      </c>
      <c r="D19493" s="3" t="s">
        <v>10</v>
      </c>
      <c r="E19493" s="3">
        <v>0</v>
      </c>
      <c r="F19493" s="3">
        <v>0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 s="3">
        <v>0</v>
      </c>
      <c r="M19493" s="3">
        <v>0</v>
      </c>
      <c r="N19493" s="3">
        <v>0</v>
      </c>
      <c r="O19493" s="3" t="s">
        <v>10</v>
      </c>
      <c r="P19493" s="3" t="s">
        <v>9</v>
      </c>
      <c r="Q19493" s="3"/>
    </row>
    <row r="19494" spans="1:17" ht="15" x14ac:dyDescent="0.25">
      <c r="A19494" s="3">
        <f>19487</f>
        <v>19487</v>
      </c>
      <c r="B19494" s="3" t="s">
        <v>19496</v>
      </c>
      <c r="C19494" s="3" t="s">
        <v>10</v>
      </c>
      <c r="D19494" s="3" t="s">
        <v>9</v>
      </c>
      <c r="E19494" s="3">
        <v>0</v>
      </c>
      <c r="F19494" s="3">
        <v>0</v>
      </c>
      <c r="G19494" s="3">
        <v>0</v>
      </c>
      <c r="H19494" s="3">
        <v>0</v>
      </c>
      <c r="I19494" s="3">
        <v>0</v>
      </c>
      <c r="J19494" s="3">
        <v>0</v>
      </c>
      <c r="K19494" s="3">
        <v>0</v>
      </c>
      <c r="L19494" s="3">
        <v>0</v>
      </c>
      <c r="M19494" s="3">
        <v>0</v>
      </c>
      <c r="N19494" s="3">
        <v>0</v>
      </c>
      <c r="O19494" s="3" t="s">
        <v>10</v>
      </c>
      <c r="P19494" s="3" t="s">
        <v>9</v>
      </c>
      <c r="Q19494" s="3"/>
    </row>
    <row r="19495" spans="1:17" ht="15" x14ac:dyDescent="0.25">
      <c r="A19495" s="3">
        <f>19488</f>
        <v>19488</v>
      </c>
      <c r="B19495" s="3" t="s">
        <v>19497</v>
      </c>
      <c r="C19495" s="3" t="s">
        <v>10</v>
      </c>
      <c r="D19495" s="3" t="s">
        <v>9</v>
      </c>
      <c r="E19495" s="3">
        <v>0</v>
      </c>
      <c r="F19495" s="3">
        <v>0</v>
      </c>
      <c r="G19495" s="3">
        <v>0</v>
      </c>
      <c r="H19495" s="3">
        <v>0</v>
      </c>
      <c r="I19495" s="3">
        <v>0</v>
      </c>
      <c r="J19495" s="3">
        <v>0</v>
      </c>
      <c r="K19495" s="3">
        <v>0</v>
      </c>
      <c r="L19495" s="3">
        <v>0</v>
      </c>
      <c r="M19495" s="3">
        <v>0</v>
      </c>
      <c r="N19495" s="3">
        <v>0</v>
      </c>
      <c r="O19495" s="3" t="s">
        <v>10</v>
      </c>
      <c r="P19495" s="3" t="s">
        <v>9</v>
      </c>
      <c r="Q19495" s="3"/>
    </row>
    <row r="19496" spans="1:17" ht="15" x14ac:dyDescent="0.25">
      <c r="A19496" s="3">
        <f>19489</f>
        <v>19489</v>
      </c>
      <c r="B19496" s="3" t="s">
        <v>19498</v>
      </c>
      <c r="C19496" s="3" t="s">
        <v>10</v>
      </c>
      <c r="D19496" s="3" t="s">
        <v>9</v>
      </c>
      <c r="E19496" s="3">
        <v>0</v>
      </c>
      <c r="F19496" s="3">
        <v>0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  <c r="L19496" s="3">
        <v>0</v>
      </c>
      <c r="M19496" s="3">
        <v>0</v>
      </c>
      <c r="N19496" s="3">
        <v>0</v>
      </c>
      <c r="O19496" s="3" t="s">
        <v>10</v>
      </c>
      <c r="P19496" s="3" t="s">
        <v>9</v>
      </c>
      <c r="Q19496" s="3"/>
    </row>
    <row r="19497" spans="1:17" ht="15" x14ac:dyDescent="0.25">
      <c r="A19497" s="3">
        <f>19490</f>
        <v>19490</v>
      </c>
      <c r="B19497" s="3" t="s">
        <v>19499</v>
      </c>
      <c r="C19497" s="3" t="s">
        <v>10</v>
      </c>
      <c r="D19497" s="3" t="s">
        <v>9</v>
      </c>
      <c r="E19497" s="3">
        <v>0</v>
      </c>
      <c r="F19497" s="3">
        <v>0</v>
      </c>
      <c r="G19497" s="3">
        <v>0</v>
      </c>
      <c r="H19497" s="3">
        <v>0</v>
      </c>
      <c r="I19497" s="3">
        <v>0</v>
      </c>
      <c r="J19497" s="3">
        <v>0</v>
      </c>
      <c r="K19497" s="3">
        <v>0</v>
      </c>
      <c r="L19497" s="3">
        <v>0</v>
      </c>
      <c r="M19497" s="3">
        <v>0</v>
      </c>
      <c r="N19497" s="3">
        <v>0</v>
      </c>
      <c r="O19497" s="3" t="s">
        <v>10</v>
      </c>
      <c r="P19497" s="3" t="s">
        <v>9</v>
      </c>
      <c r="Q19497" s="3"/>
    </row>
    <row r="19498" spans="1:17" ht="15" x14ac:dyDescent="0.25">
      <c r="A19498" s="3">
        <f>19491</f>
        <v>19491</v>
      </c>
      <c r="B19498" s="3" t="s">
        <v>19500</v>
      </c>
      <c r="C19498" s="3" t="s">
        <v>10</v>
      </c>
      <c r="D19498" s="3" t="s">
        <v>9</v>
      </c>
      <c r="E19498" s="3">
        <v>0</v>
      </c>
      <c r="F19498" s="3">
        <v>0</v>
      </c>
      <c r="G19498" s="3">
        <v>0</v>
      </c>
      <c r="H19498" s="3">
        <v>0</v>
      </c>
      <c r="I19498" s="3">
        <v>0</v>
      </c>
      <c r="J19498" s="3">
        <v>0</v>
      </c>
      <c r="K19498" s="3">
        <v>0</v>
      </c>
      <c r="L19498" s="3">
        <v>0</v>
      </c>
      <c r="M19498" s="3">
        <v>0</v>
      </c>
      <c r="N19498" s="3">
        <v>0</v>
      </c>
      <c r="O19498" s="3" t="s">
        <v>10</v>
      </c>
      <c r="P19498" s="3" t="s">
        <v>9</v>
      </c>
      <c r="Q19498" s="3"/>
    </row>
    <row r="19499" spans="1:17" ht="15" x14ac:dyDescent="0.25">
      <c r="A19499" s="3">
        <f>19492</f>
        <v>19492</v>
      </c>
      <c r="B19499" s="3" t="s">
        <v>19501</v>
      </c>
      <c r="C19499" s="3" t="s">
        <v>10</v>
      </c>
      <c r="D19499" s="3" t="s">
        <v>9</v>
      </c>
      <c r="E19499" s="3">
        <v>0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  <c r="L19499" s="3">
        <v>0</v>
      </c>
      <c r="M19499" s="3">
        <v>0</v>
      </c>
      <c r="N19499" s="3">
        <v>0</v>
      </c>
      <c r="O19499" s="3" t="s">
        <v>10</v>
      </c>
      <c r="P19499" s="3" t="s">
        <v>9</v>
      </c>
      <c r="Q19499" s="3"/>
    </row>
    <row r="19500" spans="1:17" ht="15" x14ac:dyDescent="0.25">
      <c r="A19500" s="3">
        <f>19493</f>
        <v>19493</v>
      </c>
      <c r="B19500" s="3" t="s">
        <v>19502</v>
      </c>
      <c r="C19500" s="3" t="s">
        <v>10</v>
      </c>
      <c r="D19500" s="3" t="s">
        <v>9</v>
      </c>
      <c r="E19500" s="3">
        <v>0</v>
      </c>
      <c r="F19500" s="3">
        <v>0</v>
      </c>
      <c r="G19500" s="3">
        <v>0</v>
      </c>
      <c r="H19500" s="3">
        <v>0</v>
      </c>
      <c r="I19500" s="3">
        <v>0</v>
      </c>
      <c r="J19500" s="3">
        <v>0</v>
      </c>
      <c r="K19500" s="3">
        <v>0</v>
      </c>
      <c r="L19500" s="3">
        <v>0</v>
      </c>
      <c r="M19500" s="3">
        <v>0</v>
      </c>
      <c r="N19500" s="3">
        <v>0</v>
      </c>
      <c r="O19500" s="3" t="s">
        <v>10</v>
      </c>
      <c r="P19500" s="3" t="s">
        <v>9</v>
      </c>
      <c r="Q19500" s="3"/>
    </row>
    <row r="19501" spans="1:17" ht="15" x14ac:dyDescent="0.25">
      <c r="A19501" s="3">
        <f>19494</f>
        <v>19494</v>
      </c>
      <c r="B19501" s="3" t="s">
        <v>19503</v>
      </c>
      <c r="C19501" s="3" t="s">
        <v>10</v>
      </c>
      <c r="D19501" s="3" t="s">
        <v>9</v>
      </c>
      <c r="E19501" s="3">
        <v>0</v>
      </c>
      <c r="F19501" s="3">
        <v>0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  <c r="L19501" s="3">
        <v>0</v>
      </c>
      <c r="M19501" s="3">
        <v>0</v>
      </c>
      <c r="N19501" s="3">
        <v>0</v>
      </c>
      <c r="O19501" s="3" t="s">
        <v>10</v>
      </c>
      <c r="P19501" s="3" t="s">
        <v>9</v>
      </c>
      <c r="Q19501" s="3"/>
    </row>
    <row r="19502" spans="1:17" ht="15" x14ac:dyDescent="0.25">
      <c r="A19502" s="3">
        <f>19495</f>
        <v>19495</v>
      </c>
      <c r="B19502" s="3" t="s">
        <v>19504</v>
      </c>
      <c r="C19502" s="3" t="s">
        <v>10</v>
      </c>
      <c r="D19502" s="3" t="s">
        <v>9</v>
      </c>
      <c r="E19502" s="3">
        <v>0</v>
      </c>
      <c r="F19502" s="3">
        <v>0</v>
      </c>
      <c r="G19502" s="3">
        <v>0</v>
      </c>
      <c r="H19502" s="3">
        <v>0</v>
      </c>
      <c r="I19502" s="3">
        <v>0</v>
      </c>
      <c r="J19502" s="3">
        <v>0</v>
      </c>
      <c r="K19502" s="3">
        <v>0</v>
      </c>
      <c r="L19502" s="3">
        <v>0</v>
      </c>
      <c r="M19502" s="3">
        <v>0</v>
      </c>
      <c r="N19502" s="3">
        <v>0</v>
      </c>
      <c r="O19502" s="3" t="s">
        <v>10</v>
      </c>
      <c r="P19502" s="3" t="s">
        <v>9</v>
      </c>
      <c r="Q19502" s="3"/>
    </row>
    <row r="19503" spans="1:17" ht="15" x14ac:dyDescent="0.25">
      <c r="A19503" s="3">
        <f>19496</f>
        <v>19496</v>
      </c>
      <c r="B19503" s="3" t="s">
        <v>19505</v>
      </c>
      <c r="C19503" s="3" t="s">
        <v>10</v>
      </c>
      <c r="D19503" s="3" t="s">
        <v>9</v>
      </c>
      <c r="E19503" s="3">
        <v>0</v>
      </c>
      <c r="F19503" s="3">
        <v>0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  <c r="L19503" s="3">
        <v>0</v>
      </c>
      <c r="M19503" s="3">
        <v>0</v>
      </c>
      <c r="N19503" s="3">
        <v>0</v>
      </c>
      <c r="O19503" s="3" t="s">
        <v>10</v>
      </c>
      <c r="P19503" s="3" t="s">
        <v>9</v>
      </c>
      <c r="Q19503" s="3"/>
    </row>
    <row r="19504" spans="1:17" ht="15" x14ac:dyDescent="0.25">
      <c r="A19504" s="3">
        <f>19497</f>
        <v>19497</v>
      </c>
      <c r="B19504" s="3" t="s">
        <v>19506</v>
      </c>
      <c r="C19504" s="3" t="s">
        <v>10</v>
      </c>
      <c r="D19504" s="3" t="s">
        <v>9</v>
      </c>
      <c r="E19504" s="3">
        <v>0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 s="3">
        <v>0</v>
      </c>
      <c r="M19504" s="3">
        <v>0</v>
      </c>
      <c r="N19504" s="3">
        <v>0</v>
      </c>
      <c r="O19504" s="3" t="s">
        <v>10</v>
      </c>
      <c r="P19504" s="3" t="s">
        <v>9</v>
      </c>
      <c r="Q19504" s="3"/>
    </row>
    <row r="19505" spans="1:17" ht="15" x14ac:dyDescent="0.25">
      <c r="A19505" s="3">
        <f>19498</f>
        <v>19498</v>
      </c>
      <c r="B19505" s="3" t="s">
        <v>19507</v>
      </c>
      <c r="C19505" s="3" t="s">
        <v>10</v>
      </c>
      <c r="D19505" s="3" t="s">
        <v>9</v>
      </c>
      <c r="E19505" s="3">
        <v>0</v>
      </c>
      <c r="F19505" s="3">
        <v>0</v>
      </c>
      <c r="G19505" s="3">
        <v>0</v>
      </c>
      <c r="H19505" s="3">
        <v>0</v>
      </c>
      <c r="I19505" s="3">
        <v>0</v>
      </c>
      <c r="J19505" s="3">
        <v>0</v>
      </c>
      <c r="K19505" s="3">
        <v>0</v>
      </c>
      <c r="L19505" s="3">
        <v>0</v>
      </c>
      <c r="M19505" s="3">
        <v>0</v>
      </c>
      <c r="N19505" s="3">
        <v>0</v>
      </c>
      <c r="O19505" s="3" t="s">
        <v>10</v>
      </c>
      <c r="P19505" s="3" t="s">
        <v>9</v>
      </c>
      <c r="Q19505" s="3"/>
    </row>
    <row r="19506" spans="1:17" ht="15" x14ac:dyDescent="0.25">
      <c r="A19506" s="3">
        <f>19499</f>
        <v>19499</v>
      </c>
      <c r="B19506" s="3" t="s">
        <v>19508</v>
      </c>
      <c r="C19506" s="3" t="s">
        <v>10</v>
      </c>
      <c r="D19506" s="3" t="s">
        <v>9</v>
      </c>
      <c r="E19506" s="3">
        <v>0</v>
      </c>
      <c r="F19506" s="3">
        <v>0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3">
        <v>0</v>
      </c>
      <c r="N19506" s="3">
        <v>0</v>
      </c>
      <c r="O19506" s="3" t="s">
        <v>10</v>
      </c>
      <c r="P19506" s="3" t="s">
        <v>9</v>
      </c>
      <c r="Q19506" s="3"/>
    </row>
    <row r="19507" spans="1:17" ht="15" x14ac:dyDescent="0.25">
      <c r="A19507" s="3">
        <f>19500</f>
        <v>19500</v>
      </c>
      <c r="B19507" s="3" t="s">
        <v>19509</v>
      </c>
      <c r="C19507" s="3" t="s">
        <v>10</v>
      </c>
      <c r="D19507" s="3" t="s">
        <v>9</v>
      </c>
      <c r="E19507" s="3">
        <v>0</v>
      </c>
      <c r="F19507" s="3">
        <v>0</v>
      </c>
      <c r="G19507" s="3">
        <v>0</v>
      </c>
      <c r="H19507" s="3">
        <v>0</v>
      </c>
      <c r="I19507" s="3">
        <v>0</v>
      </c>
      <c r="J19507" s="3">
        <v>0</v>
      </c>
      <c r="K19507" s="3">
        <v>0</v>
      </c>
      <c r="L19507" s="3">
        <v>0</v>
      </c>
      <c r="M19507" s="3">
        <v>0</v>
      </c>
      <c r="N19507" s="3">
        <v>0</v>
      </c>
      <c r="O19507" s="3" t="s">
        <v>10</v>
      </c>
      <c r="P19507" s="3" t="s">
        <v>9</v>
      </c>
      <c r="Q19507" s="3"/>
    </row>
    <row r="19508" spans="1:17" ht="15" x14ac:dyDescent="0.25">
      <c r="A19508" s="3">
        <f>19501</f>
        <v>19501</v>
      </c>
      <c r="B19508" s="3" t="s">
        <v>19510</v>
      </c>
      <c r="C19508" s="3" t="s">
        <v>10</v>
      </c>
      <c r="D19508" s="3" t="s">
        <v>9</v>
      </c>
      <c r="E19508" s="3">
        <v>0</v>
      </c>
      <c r="F19508" s="3">
        <v>0</v>
      </c>
      <c r="G19508" s="3">
        <v>0</v>
      </c>
      <c r="H19508" s="3">
        <v>0</v>
      </c>
      <c r="I19508" s="3">
        <v>0</v>
      </c>
      <c r="J19508" s="3">
        <v>0</v>
      </c>
      <c r="K19508" s="3">
        <v>0</v>
      </c>
      <c r="L19508" s="3">
        <v>0</v>
      </c>
      <c r="M19508" s="3">
        <v>0</v>
      </c>
      <c r="N19508" s="3">
        <v>0</v>
      </c>
      <c r="O19508" s="3" t="s">
        <v>10</v>
      </c>
      <c r="P19508" s="3" t="s">
        <v>9</v>
      </c>
      <c r="Q19508" s="3"/>
    </row>
    <row r="19509" spans="1:17" ht="15" x14ac:dyDescent="0.25">
      <c r="A19509" s="3">
        <f>19502</f>
        <v>19502</v>
      </c>
      <c r="B19509" s="3" t="s">
        <v>19511</v>
      </c>
      <c r="C19509" s="3" t="s">
        <v>10</v>
      </c>
      <c r="D19509" s="3" t="s">
        <v>9</v>
      </c>
      <c r="E19509" s="3">
        <v>0</v>
      </c>
      <c r="F19509" s="3">
        <v>0</v>
      </c>
      <c r="G19509" s="3">
        <v>0</v>
      </c>
      <c r="H19509" s="3">
        <v>0</v>
      </c>
      <c r="I19509" s="3">
        <v>0</v>
      </c>
      <c r="J19509" s="3">
        <v>0</v>
      </c>
      <c r="K19509" s="3">
        <v>0</v>
      </c>
      <c r="L19509" s="3">
        <v>0</v>
      </c>
      <c r="M19509" s="3">
        <v>0</v>
      </c>
      <c r="N19509" s="3">
        <v>0</v>
      </c>
      <c r="O19509" s="3" t="s">
        <v>10</v>
      </c>
      <c r="P19509" s="3" t="s">
        <v>9</v>
      </c>
      <c r="Q19509" s="3"/>
    </row>
    <row r="19510" spans="1:17" ht="15" x14ac:dyDescent="0.25">
      <c r="A19510" s="3">
        <f>19503</f>
        <v>19503</v>
      </c>
      <c r="B19510" s="3" t="s">
        <v>19512</v>
      </c>
      <c r="C19510" s="3" t="s">
        <v>9</v>
      </c>
      <c r="D19510" s="3" t="s">
        <v>9</v>
      </c>
      <c r="E19510" s="3">
        <v>0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3">
        <v>0</v>
      </c>
      <c r="N19510" s="3">
        <v>0</v>
      </c>
      <c r="O19510" s="3" t="s">
        <v>9</v>
      </c>
      <c r="P19510" s="3" t="s">
        <v>9</v>
      </c>
      <c r="Q19510" s="3"/>
    </row>
    <row r="19511" spans="1:17" ht="15" x14ac:dyDescent="0.25">
      <c r="A19511" s="3">
        <f>19504</f>
        <v>19504</v>
      </c>
      <c r="B19511" s="3" t="s">
        <v>19513</v>
      </c>
      <c r="C19511" s="3" t="s">
        <v>9</v>
      </c>
      <c r="D19511" s="3" t="s">
        <v>10</v>
      </c>
      <c r="E19511" s="3">
        <v>0</v>
      </c>
      <c r="F19511" s="3">
        <v>0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3">
        <v>0</v>
      </c>
      <c r="N19511" s="3">
        <v>0</v>
      </c>
      <c r="O19511" s="3" t="s">
        <v>10</v>
      </c>
      <c r="P19511" s="3" t="s">
        <v>9</v>
      </c>
      <c r="Q19511" s="3"/>
    </row>
    <row r="19512" spans="1:17" ht="15" x14ac:dyDescent="0.25">
      <c r="A19512" s="3">
        <f>19505</f>
        <v>19505</v>
      </c>
      <c r="B19512" s="3" t="s">
        <v>19514</v>
      </c>
      <c r="C19512" s="3" t="s">
        <v>10</v>
      </c>
      <c r="D19512" s="3" t="s">
        <v>9</v>
      </c>
      <c r="E19512" s="3">
        <v>0</v>
      </c>
      <c r="F19512" s="3">
        <v>0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  <c r="L19512" s="3">
        <v>0</v>
      </c>
      <c r="M19512" s="3">
        <v>0</v>
      </c>
      <c r="N19512" s="3">
        <v>0</v>
      </c>
      <c r="O19512" s="3" t="s">
        <v>10</v>
      </c>
      <c r="P19512" s="3" t="s">
        <v>9</v>
      </c>
      <c r="Q19512" s="3"/>
    </row>
    <row r="19513" spans="1:17" ht="15" x14ac:dyDescent="0.25">
      <c r="A19513" s="3">
        <f>19506</f>
        <v>19506</v>
      </c>
      <c r="B19513" s="3" t="s">
        <v>19515</v>
      </c>
      <c r="C19513" s="3" t="s">
        <v>10</v>
      </c>
      <c r="D19513" s="3" t="s">
        <v>9</v>
      </c>
      <c r="E19513" s="3">
        <v>0</v>
      </c>
      <c r="F19513" s="3">
        <v>0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  <c r="L19513" s="3">
        <v>0</v>
      </c>
      <c r="M19513" s="3">
        <v>0</v>
      </c>
      <c r="N19513" s="3">
        <v>0</v>
      </c>
      <c r="O19513" s="3" t="s">
        <v>10</v>
      </c>
      <c r="P19513" s="3" t="s">
        <v>9</v>
      </c>
      <c r="Q19513" s="3"/>
    </row>
    <row r="19514" spans="1:17" ht="15" x14ac:dyDescent="0.25">
      <c r="A19514" s="3">
        <f>19507</f>
        <v>19507</v>
      </c>
      <c r="B19514" s="3" t="s">
        <v>19516</v>
      </c>
      <c r="C19514" s="3" t="s">
        <v>10</v>
      </c>
      <c r="D19514" s="3" t="s">
        <v>9</v>
      </c>
      <c r="E19514" s="3">
        <v>0</v>
      </c>
      <c r="F19514" s="3">
        <v>0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  <c r="L19514" s="3">
        <v>0</v>
      </c>
      <c r="M19514" s="3">
        <v>0</v>
      </c>
      <c r="N19514" s="3">
        <v>0</v>
      </c>
      <c r="O19514" s="3" t="s">
        <v>10</v>
      </c>
      <c r="P19514" s="3" t="s">
        <v>9</v>
      </c>
      <c r="Q19514" s="3"/>
    </row>
    <row r="19515" spans="1:17" ht="15" x14ac:dyDescent="0.25">
      <c r="A19515" s="3">
        <f>19508</f>
        <v>19508</v>
      </c>
      <c r="B19515" s="3" t="s">
        <v>19517</v>
      </c>
      <c r="C19515" s="3" t="s">
        <v>10</v>
      </c>
      <c r="D19515" s="3" t="s">
        <v>9</v>
      </c>
      <c r="E19515" s="3">
        <v>0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3">
        <v>0</v>
      </c>
      <c r="N19515" s="3">
        <v>0</v>
      </c>
      <c r="O19515" s="3" t="s">
        <v>10</v>
      </c>
      <c r="P19515" s="3" t="s">
        <v>9</v>
      </c>
      <c r="Q19515" s="3"/>
    </row>
    <row r="19516" spans="1:17" ht="15" x14ac:dyDescent="0.25">
      <c r="A19516" s="3">
        <f>19509</f>
        <v>19509</v>
      </c>
      <c r="B19516" s="3" t="s">
        <v>19518</v>
      </c>
      <c r="C19516" s="3" t="s">
        <v>10</v>
      </c>
      <c r="D19516" s="3" t="s">
        <v>9</v>
      </c>
      <c r="E19516" s="3">
        <v>0</v>
      </c>
      <c r="F19516" s="3">
        <v>0</v>
      </c>
      <c r="G19516" s="3">
        <v>0</v>
      </c>
      <c r="H19516" s="3">
        <v>0</v>
      </c>
      <c r="I19516" s="3">
        <v>0</v>
      </c>
      <c r="J19516" s="3">
        <v>0</v>
      </c>
      <c r="K19516" s="3">
        <v>0</v>
      </c>
      <c r="L19516" s="3">
        <v>0</v>
      </c>
      <c r="M19516" s="3">
        <v>0</v>
      </c>
      <c r="N19516" s="3">
        <v>0</v>
      </c>
      <c r="O19516" s="3" t="s">
        <v>10</v>
      </c>
      <c r="P19516" s="3" t="s">
        <v>9</v>
      </c>
      <c r="Q19516" s="3"/>
    </row>
    <row r="19517" spans="1:17" ht="15" x14ac:dyDescent="0.25">
      <c r="A19517" s="3">
        <f>19510</f>
        <v>19510</v>
      </c>
      <c r="B19517" s="3" t="s">
        <v>19519</v>
      </c>
      <c r="C19517" s="3" t="s">
        <v>10</v>
      </c>
      <c r="D19517" s="3" t="s">
        <v>9</v>
      </c>
      <c r="E19517" s="3">
        <v>0</v>
      </c>
      <c r="F19517" s="3">
        <v>0</v>
      </c>
      <c r="G19517" s="3">
        <v>0</v>
      </c>
      <c r="H19517" s="3">
        <v>0</v>
      </c>
      <c r="I19517" s="3">
        <v>0</v>
      </c>
      <c r="J19517" s="3">
        <v>0</v>
      </c>
      <c r="K19517" s="3">
        <v>0</v>
      </c>
      <c r="L19517" s="3">
        <v>0</v>
      </c>
      <c r="M19517" s="3">
        <v>0</v>
      </c>
      <c r="N19517" s="3">
        <v>0</v>
      </c>
      <c r="O19517" s="3" t="s">
        <v>10</v>
      </c>
      <c r="P19517" s="3" t="s">
        <v>9</v>
      </c>
      <c r="Q19517" s="3"/>
    </row>
    <row r="19518" spans="1:17" ht="15" x14ac:dyDescent="0.25">
      <c r="A19518" s="3">
        <f>19511</f>
        <v>19511</v>
      </c>
      <c r="B19518" s="3" t="s">
        <v>19520</v>
      </c>
      <c r="C19518" s="3" t="s">
        <v>10</v>
      </c>
      <c r="D19518" s="3" t="s">
        <v>9</v>
      </c>
      <c r="E19518" s="3">
        <v>0</v>
      </c>
      <c r="F19518" s="3">
        <v>0</v>
      </c>
      <c r="G19518" s="3">
        <v>0</v>
      </c>
      <c r="H19518" s="3">
        <v>0</v>
      </c>
      <c r="I19518" s="3">
        <v>0</v>
      </c>
      <c r="J19518" s="3">
        <v>0</v>
      </c>
      <c r="K19518" s="3">
        <v>0</v>
      </c>
      <c r="L19518" s="3">
        <v>0</v>
      </c>
      <c r="M19518" s="3">
        <v>0</v>
      </c>
      <c r="N19518" s="3">
        <v>0</v>
      </c>
      <c r="O19518" s="3" t="s">
        <v>10</v>
      </c>
      <c r="P19518" s="3" t="s">
        <v>9</v>
      </c>
      <c r="Q19518" s="3"/>
    </row>
    <row r="19519" spans="1:17" ht="15" x14ac:dyDescent="0.25">
      <c r="A19519" s="3">
        <f>19512</f>
        <v>19512</v>
      </c>
      <c r="B19519" s="3" t="s">
        <v>19521</v>
      </c>
      <c r="C19519" s="3" t="s">
        <v>10</v>
      </c>
      <c r="D19519" s="3" t="s">
        <v>9</v>
      </c>
      <c r="E19519" s="3">
        <v>0</v>
      </c>
      <c r="F19519" s="3">
        <v>0</v>
      </c>
      <c r="G19519" s="3">
        <v>0</v>
      </c>
      <c r="H19519" s="3">
        <v>0</v>
      </c>
      <c r="I19519" s="3">
        <v>0</v>
      </c>
      <c r="J19519" s="3">
        <v>0</v>
      </c>
      <c r="K19519" s="3">
        <v>0</v>
      </c>
      <c r="L19519" s="3">
        <v>0</v>
      </c>
      <c r="M19519" s="3">
        <v>0</v>
      </c>
      <c r="N19519" s="3">
        <v>0</v>
      </c>
      <c r="O19519" s="3" t="s">
        <v>10</v>
      </c>
      <c r="P19519" s="3" t="s">
        <v>9</v>
      </c>
      <c r="Q19519" s="3"/>
    </row>
    <row r="19520" spans="1:17" ht="15" x14ac:dyDescent="0.25">
      <c r="A19520" s="3">
        <f>19513</f>
        <v>19513</v>
      </c>
      <c r="B19520" s="3" t="s">
        <v>19522</v>
      </c>
      <c r="C19520" s="3" t="s">
        <v>10</v>
      </c>
      <c r="D19520" s="3" t="s">
        <v>9</v>
      </c>
      <c r="E19520" s="3">
        <v>0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3">
        <v>0</v>
      </c>
      <c r="N19520" s="3">
        <v>0</v>
      </c>
      <c r="O19520" s="3" t="s">
        <v>10</v>
      </c>
      <c r="P19520" s="3" t="s">
        <v>9</v>
      </c>
      <c r="Q19520" s="3"/>
    </row>
    <row r="19521" spans="1:17" ht="15" x14ac:dyDescent="0.25">
      <c r="A19521" s="3">
        <f>19514</f>
        <v>19514</v>
      </c>
      <c r="B19521" s="3" t="s">
        <v>19523</v>
      </c>
      <c r="C19521" s="3" t="s">
        <v>10</v>
      </c>
      <c r="D19521" s="3" t="s">
        <v>9</v>
      </c>
      <c r="E19521" s="3">
        <v>0</v>
      </c>
      <c r="F19521" s="3">
        <v>0</v>
      </c>
      <c r="G19521" s="3">
        <v>0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3">
        <v>0</v>
      </c>
      <c r="N19521" s="3">
        <v>0</v>
      </c>
      <c r="O19521" s="3" t="s">
        <v>10</v>
      </c>
      <c r="P19521" s="3" t="s">
        <v>9</v>
      </c>
      <c r="Q19521" s="3"/>
    </row>
    <row r="19522" spans="1:17" ht="15" x14ac:dyDescent="0.25">
      <c r="A19522" s="3">
        <f>19515</f>
        <v>19515</v>
      </c>
      <c r="B19522" s="3" t="s">
        <v>19524</v>
      </c>
      <c r="C19522" s="3" t="s">
        <v>9</v>
      </c>
      <c r="D19522" s="3" t="s">
        <v>9</v>
      </c>
      <c r="E19522" s="3">
        <v>0</v>
      </c>
      <c r="F19522" s="3">
        <v>0</v>
      </c>
      <c r="G19522" s="3">
        <v>0</v>
      </c>
      <c r="H19522" s="3">
        <v>0</v>
      </c>
      <c r="I19522" s="3">
        <v>0</v>
      </c>
      <c r="J19522" s="3">
        <v>0</v>
      </c>
      <c r="K19522" s="3">
        <v>0</v>
      </c>
      <c r="L19522" s="3">
        <v>0</v>
      </c>
      <c r="M19522" s="3">
        <v>0</v>
      </c>
      <c r="N19522" s="3">
        <v>0</v>
      </c>
      <c r="O19522" s="3" t="s">
        <v>9</v>
      </c>
      <c r="P19522" s="3" t="s">
        <v>9</v>
      </c>
      <c r="Q19522" s="3"/>
    </row>
    <row r="19523" spans="1:17" ht="15" x14ac:dyDescent="0.25">
      <c r="A19523" s="3">
        <f>19516</f>
        <v>19516</v>
      </c>
      <c r="B19523" s="3" t="s">
        <v>19525</v>
      </c>
      <c r="C19523" s="3" t="s">
        <v>9</v>
      </c>
      <c r="D19523" s="3" t="s">
        <v>9</v>
      </c>
      <c r="E19523" s="3">
        <v>0</v>
      </c>
      <c r="F19523" s="3">
        <v>0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  <c r="L19523" s="3">
        <v>0</v>
      </c>
      <c r="M19523" s="3">
        <v>0</v>
      </c>
      <c r="N19523" s="3">
        <v>0</v>
      </c>
      <c r="O19523" s="3" t="s">
        <v>9</v>
      </c>
      <c r="P19523" s="3" t="s">
        <v>9</v>
      </c>
      <c r="Q19523" s="3"/>
    </row>
    <row r="19524" spans="1:17" ht="15" x14ac:dyDescent="0.25">
      <c r="A19524" s="3">
        <f>19517</f>
        <v>19517</v>
      </c>
      <c r="B19524" s="3" t="s">
        <v>19526</v>
      </c>
      <c r="C19524" s="3" t="s">
        <v>9</v>
      </c>
      <c r="D19524" s="3" t="s">
        <v>9</v>
      </c>
      <c r="E19524" s="3">
        <v>0</v>
      </c>
      <c r="F19524" s="3">
        <v>0</v>
      </c>
      <c r="G19524" s="3">
        <v>0</v>
      </c>
      <c r="H19524" s="3">
        <v>0</v>
      </c>
      <c r="I19524" s="3">
        <v>0</v>
      </c>
      <c r="J19524" s="3">
        <v>0</v>
      </c>
      <c r="K19524" s="3">
        <v>0</v>
      </c>
      <c r="L19524" s="3">
        <v>0</v>
      </c>
      <c r="M19524" s="3">
        <v>0</v>
      </c>
      <c r="N19524" s="3">
        <v>0</v>
      </c>
      <c r="O19524" s="3" t="s">
        <v>9</v>
      </c>
      <c r="P19524" s="3" t="s">
        <v>9</v>
      </c>
      <c r="Q19524" s="3"/>
    </row>
    <row r="19525" spans="1:17" ht="15" x14ac:dyDescent="0.25">
      <c r="A19525" s="3">
        <f>19518</f>
        <v>19518</v>
      </c>
      <c r="B19525" s="3" t="s">
        <v>19527</v>
      </c>
      <c r="C19525" s="3" t="s">
        <v>9</v>
      </c>
      <c r="D19525" s="3" t="s">
        <v>9</v>
      </c>
      <c r="E19525" s="3">
        <v>0</v>
      </c>
      <c r="F19525" s="3">
        <v>0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  <c r="L19525" s="3">
        <v>0</v>
      </c>
      <c r="M19525" s="3">
        <v>0</v>
      </c>
      <c r="N19525" s="3">
        <v>0</v>
      </c>
      <c r="O19525" s="3" t="s">
        <v>9</v>
      </c>
      <c r="P19525" s="3" t="s">
        <v>9</v>
      </c>
      <c r="Q19525" s="3"/>
    </row>
    <row r="19526" spans="1:17" ht="15" x14ac:dyDescent="0.25">
      <c r="A19526" s="3">
        <f>19519</f>
        <v>19519</v>
      </c>
      <c r="B19526" s="3" t="s">
        <v>19528</v>
      </c>
      <c r="C19526" s="3" t="s">
        <v>10</v>
      </c>
      <c r="D19526" s="3" t="s">
        <v>9</v>
      </c>
      <c r="E19526" s="3">
        <v>0</v>
      </c>
      <c r="F19526" s="3">
        <v>0</v>
      </c>
      <c r="G19526" s="3">
        <v>0</v>
      </c>
      <c r="H19526" s="3">
        <v>0</v>
      </c>
      <c r="I19526" s="3">
        <v>0</v>
      </c>
      <c r="J19526" s="3">
        <v>0</v>
      </c>
      <c r="K19526" s="3">
        <v>0</v>
      </c>
      <c r="L19526" s="3">
        <v>0</v>
      </c>
      <c r="M19526" s="3">
        <v>0</v>
      </c>
      <c r="N19526" s="3">
        <v>0</v>
      </c>
      <c r="O19526" s="3" t="s">
        <v>10</v>
      </c>
      <c r="P19526" s="3" t="s">
        <v>9</v>
      </c>
      <c r="Q19526" s="3"/>
    </row>
    <row r="19527" spans="1:17" ht="15" x14ac:dyDescent="0.25">
      <c r="A19527" s="3">
        <f>19520</f>
        <v>19520</v>
      </c>
      <c r="B19527" s="3" t="s">
        <v>19529</v>
      </c>
      <c r="C19527" s="3" t="s">
        <v>10</v>
      </c>
      <c r="D19527" s="3" t="s">
        <v>9</v>
      </c>
      <c r="E19527" s="3">
        <v>0</v>
      </c>
      <c r="F19527" s="3">
        <v>0</v>
      </c>
      <c r="G19527" s="3">
        <v>0</v>
      </c>
      <c r="H19527" s="3">
        <v>0</v>
      </c>
      <c r="I19527" s="3">
        <v>0</v>
      </c>
      <c r="J19527" s="3">
        <v>0</v>
      </c>
      <c r="K19527" s="3">
        <v>0</v>
      </c>
      <c r="L19527" s="3">
        <v>0</v>
      </c>
      <c r="M19527" s="3">
        <v>0</v>
      </c>
      <c r="N19527" s="3">
        <v>0</v>
      </c>
      <c r="O19527" s="3" t="s">
        <v>10</v>
      </c>
      <c r="P19527" s="3" t="s">
        <v>9</v>
      </c>
      <c r="Q19527" s="3"/>
    </row>
    <row r="19528" spans="1:17" ht="15" x14ac:dyDescent="0.25">
      <c r="A19528" s="3">
        <f>19521</f>
        <v>19521</v>
      </c>
      <c r="B19528" s="3" t="s">
        <v>19530</v>
      </c>
      <c r="C19528" s="3" t="s">
        <v>10</v>
      </c>
      <c r="D19528" s="3" t="s">
        <v>9</v>
      </c>
      <c r="E19528" s="3">
        <v>0</v>
      </c>
      <c r="F19528" s="3">
        <v>0</v>
      </c>
      <c r="G19528" s="3">
        <v>0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3">
        <v>0</v>
      </c>
      <c r="N19528" s="3">
        <v>0</v>
      </c>
      <c r="O19528" s="3" t="s">
        <v>10</v>
      </c>
      <c r="P19528" s="3" t="s">
        <v>9</v>
      </c>
      <c r="Q19528" s="3"/>
    </row>
    <row r="19529" spans="1:17" ht="15" x14ac:dyDescent="0.25">
      <c r="A19529" s="3">
        <f>19522</f>
        <v>19522</v>
      </c>
      <c r="B19529" s="3" t="s">
        <v>19531</v>
      </c>
      <c r="C19529" s="3" t="s">
        <v>10</v>
      </c>
      <c r="D19529" s="3" t="s">
        <v>9</v>
      </c>
      <c r="E19529" s="3">
        <v>0</v>
      </c>
      <c r="F19529" s="3">
        <v>0</v>
      </c>
      <c r="G19529" s="3">
        <v>0</v>
      </c>
      <c r="H19529" s="3">
        <v>0</v>
      </c>
      <c r="I19529" s="3">
        <v>0</v>
      </c>
      <c r="J19529" s="3">
        <v>0</v>
      </c>
      <c r="K19529" s="3">
        <v>0</v>
      </c>
      <c r="L19529" s="3">
        <v>0</v>
      </c>
      <c r="M19529" s="3">
        <v>0</v>
      </c>
      <c r="N19529" s="3">
        <v>0</v>
      </c>
      <c r="O19529" s="3" t="s">
        <v>10</v>
      </c>
      <c r="P19529" s="3" t="s">
        <v>9</v>
      </c>
      <c r="Q19529" s="3"/>
    </row>
    <row r="19530" spans="1:17" ht="15" x14ac:dyDescent="0.25">
      <c r="A19530" s="3">
        <f>19523</f>
        <v>19523</v>
      </c>
      <c r="B19530" s="3" t="s">
        <v>19532</v>
      </c>
      <c r="C19530" s="3" t="s">
        <v>10</v>
      </c>
      <c r="D19530" s="3" t="s">
        <v>9</v>
      </c>
      <c r="E19530" s="3">
        <v>0</v>
      </c>
      <c r="F19530" s="3">
        <v>0</v>
      </c>
      <c r="G19530" s="3">
        <v>0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0</v>
      </c>
      <c r="O19530" s="3" t="s">
        <v>10</v>
      </c>
      <c r="P19530" s="3" t="s">
        <v>9</v>
      </c>
      <c r="Q19530" s="3"/>
    </row>
    <row r="19531" spans="1:17" ht="15" x14ac:dyDescent="0.25">
      <c r="A19531" s="3">
        <f>19524</f>
        <v>19524</v>
      </c>
      <c r="B19531" s="3" t="s">
        <v>19533</v>
      </c>
      <c r="C19531" s="3" t="s">
        <v>10</v>
      </c>
      <c r="D19531" s="3" t="s">
        <v>9</v>
      </c>
      <c r="E19531" s="3">
        <v>0</v>
      </c>
      <c r="F19531" s="3">
        <v>0</v>
      </c>
      <c r="G19531" s="3">
        <v>0</v>
      </c>
      <c r="H19531" s="3">
        <v>0</v>
      </c>
      <c r="I19531" s="3">
        <v>0</v>
      </c>
      <c r="J19531" s="3">
        <v>0</v>
      </c>
      <c r="K19531" s="3">
        <v>0</v>
      </c>
      <c r="L19531" s="3">
        <v>0</v>
      </c>
      <c r="M19531" s="3">
        <v>0</v>
      </c>
      <c r="N19531" s="3">
        <v>0</v>
      </c>
      <c r="O19531" s="3" t="s">
        <v>10</v>
      </c>
      <c r="P19531" s="3" t="s">
        <v>9</v>
      </c>
      <c r="Q19531" s="3"/>
    </row>
    <row r="19532" spans="1:17" ht="15" x14ac:dyDescent="0.25">
      <c r="A19532" s="3">
        <f>19525</f>
        <v>19525</v>
      </c>
      <c r="B19532" s="3" t="s">
        <v>19534</v>
      </c>
      <c r="C19532" s="3" t="s">
        <v>10</v>
      </c>
      <c r="D19532" s="3" t="s">
        <v>9</v>
      </c>
      <c r="E19532" s="3">
        <v>0</v>
      </c>
      <c r="F19532" s="3">
        <v>0</v>
      </c>
      <c r="G19532" s="3">
        <v>0</v>
      </c>
      <c r="H19532" s="3">
        <v>0</v>
      </c>
      <c r="I19532" s="3">
        <v>0</v>
      </c>
      <c r="J19532" s="3">
        <v>0</v>
      </c>
      <c r="K19532" s="3">
        <v>0</v>
      </c>
      <c r="L19532" s="3">
        <v>0</v>
      </c>
      <c r="M19532" s="3">
        <v>0</v>
      </c>
      <c r="N19532" s="3">
        <v>0</v>
      </c>
      <c r="O19532" s="3" t="s">
        <v>10</v>
      </c>
      <c r="P19532" s="3" t="s">
        <v>9</v>
      </c>
      <c r="Q19532" s="3"/>
    </row>
    <row r="19533" spans="1:17" ht="15" x14ac:dyDescent="0.25">
      <c r="A19533" s="3">
        <f>19526</f>
        <v>19526</v>
      </c>
      <c r="B19533" s="3" t="s">
        <v>19535</v>
      </c>
      <c r="C19533" s="3" t="s">
        <v>10</v>
      </c>
      <c r="D19533" s="3" t="s">
        <v>9</v>
      </c>
      <c r="E19533" s="3">
        <v>0</v>
      </c>
      <c r="F19533" s="3">
        <v>0</v>
      </c>
      <c r="G19533" s="3">
        <v>0</v>
      </c>
      <c r="H19533" s="3">
        <v>0</v>
      </c>
      <c r="I19533" s="3">
        <v>0</v>
      </c>
      <c r="J19533" s="3">
        <v>0</v>
      </c>
      <c r="K19533" s="3">
        <v>0</v>
      </c>
      <c r="L19533" s="3">
        <v>0</v>
      </c>
      <c r="M19533" s="3">
        <v>0</v>
      </c>
      <c r="N19533" s="3">
        <v>0</v>
      </c>
      <c r="O19533" s="3" t="s">
        <v>10</v>
      </c>
      <c r="P19533" s="3" t="s">
        <v>9</v>
      </c>
      <c r="Q19533" s="3"/>
    </row>
    <row r="19534" spans="1:17" ht="15" x14ac:dyDescent="0.25">
      <c r="A19534" s="3">
        <f>19527</f>
        <v>19527</v>
      </c>
      <c r="B19534" s="3" t="s">
        <v>19536</v>
      </c>
      <c r="C19534" s="3" t="s">
        <v>9</v>
      </c>
      <c r="D19534" s="3" t="s">
        <v>9</v>
      </c>
      <c r="E19534" s="3">
        <v>0</v>
      </c>
      <c r="F19534" s="3">
        <v>0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  <c r="L19534" s="3">
        <v>0</v>
      </c>
      <c r="M19534" s="3">
        <v>0</v>
      </c>
      <c r="N19534" s="3">
        <v>0</v>
      </c>
      <c r="O19534" s="3" t="s">
        <v>9</v>
      </c>
      <c r="P19534" s="3" t="s">
        <v>9</v>
      </c>
      <c r="Q19534" s="3"/>
    </row>
    <row r="19535" spans="1:17" ht="15" x14ac:dyDescent="0.25">
      <c r="A19535" s="3">
        <f>19528</f>
        <v>19528</v>
      </c>
      <c r="B19535" s="3" t="s">
        <v>19537</v>
      </c>
      <c r="C19535" s="3" t="s">
        <v>9</v>
      </c>
      <c r="D19535" s="3" t="s">
        <v>9</v>
      </c>
      <c r="E19535" s="3">
        <v>0</v>
      </c>
      <c r="F19535" s="3">
        <v>0</v>
      </c>
      <c r="G19535" s="3">
        <v>0</v>
      </c>
      <c r="H19535" s="3">
        <v>0</v>
      </c>
      <c r="I19535" s="3">
        <v>0</v>
      </c>
      <c r="J19535" s="3">
        <v>0</v>
      </c>
      <c r="K19535" s="3">
        <v>0</v>
      </c>
      <c r="L19535" s="3">
        <v>0</v>
      </c>
      <c r="M19535" s="3">
        <v>0</v>
      </c>
      <c r="N19535" s="3">
        <v>0</v>
      </c>
      <c r="O19535" s="3" t="s">
        <v>9</v>
      </c>
      <c r="P19535" s="3" t="s">
        <v>9</v>
      </c>
      <c r="Q19535" s="3"/>
    </row>
    <row r="19536" spans="1:17" ht="15" x14ac:dyDescent="0.25">
      <c r="A19536" s="3">
        <f>19529</f>
        <v>19529</v>
      </c>
      <c r="B19536" s="3" t="s">
        <v>19538</v>
      </c>
      <c r="C19536" s="3" t="s">
        <v>9</v>
      </c>
      <c r="D19536" s="3" t="s">
        <v>9</v>
      </c>
      <c r="E19536" s="3">
        <v>0</v>
      </c>
      <c r="F19536" s="3">
        <v>0</v>
      </c>
      <c r="G19536" s="3">
        <v>0</v>
      </c>
      <c r="H19536" s="3">
        <v>0</v>
      </c>
      <c r="I19536" s="3">
        <v>0</v>
      </c>
      <c r="J19536" s="3">
        <v>0</v>
      </c>
      <c r="K19536" s="3">
        <v>0</v>
      </c>
      <c r="L19536" s="3">
        <v>0</v>
      </c>
      <c r="M19536" s="3">
        <v>0</v>
      </c>
      <c r="N19536" s="3">
        <v>0</v>
      </c>
      <c r="O19536" s="3" t="s">
        <v>9</v>
      </c>
      <c r="P19536" s="3" t="s">
        <v>9</v>
      </c>
      <c r="Q19536" s="3"/>
    </row>
    <row r="19537" spans="1:17" ht="15" x14ac:dyDescent="0.25">
      <c r="A19537" s="3">
        <f>19530</f>
        <v>19530</v>
      </c>
      <c r="B19537" s="3" t="s">
        <v>19539</v>
      </c>
      <c r="C19537" s="3" t="s">
        <v>9</v>
      </c>
      <c r="D19537" s="3" t="s">
        <v>9</v>
      </c>
      <c r="E19537" s="3">
        <v>0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 s="3">
        <v>0</v>
      </c>
      <c r="M19537" s="3">
        <v>0</v>
      </c>
      <c r="N19537" s="3">
        <v>0</v>
      </c>
      <c r="O19537" s="3" t="s">
        <v>9</v>
      </c>
      <c r="P19537" s="3" t="s">
        <v>9</v>
      </c>
      <c r="Q19537" s="3"/>
    </row>
    <row r="19538" spans="1:17" ht="15" x14ac:dyDescent="0.25">
      <c r="A19538" s="3">
        <f>19531</f>
        <v>19531</v>
      </c>
      <c r="B19538" s="3" t="s">
        <v>19540</v>
      </c>
      <c r="C19538" s="3" t="s">
        <v>9</v>
      </c>
      <c r="D19538" s="3" t="s">
        <v>9</v>
      </c>
      <c r="E19538" s="3">
        <v>0</v>
      </c>
      <c r="F19538" s="3">
        <v>0</v>
      </c>
      <c r="G19538" s="3">
        <v>0</v>
      </c>
      <c r="H19538" s="3">
        <v>0</v>
      </c>
      <c r="I19538" s="3">
        <v>0</v>
      </c>
      <c r="J19538" s="3">
        <v>0</v>
      </c>
      <c r="K19538" s="3">
        <v>0</v>
      </c>
      <c r="L19538" s="3">
        <v>0</v>
      </c>
      <c r="M19538" s="3">
        <v>0</v>
      </c>
      <c r="N19538" s="3">
        <v>0</v>
      </c>
      <c r="O19538" s="3" t="s">
        <v>9</v>
      </c>
      <c r="P19538" s="3" t="s">
        <v>9</v>
      </c>
      <c r="Q19538" s="3"/>
    </row>
    <row r="19539" spans="1:17" ht="15" x14ac:dyDescent="0.25">
      <c r="A19539" s="3">
        <f>19532</f>
        <v>19532</v>
      </c>
      <c r="B19539" s="3" t="s">
        <v>19541</v>
      </c>
      <c r="C19539" s="3" t="s">
        <v>9</v>
      </c>
      <c r="D19539" s="3" t="s">
        <v>9</v>
      </c>
      <c r="E19539" s="3">
        <v>0</v>
      </c>
      <c r="F19539" s="3">
        <v>0</v>
      </c>
      <c r="G19539" s="3">
        <v>0</v>
      </c>
      <c r="H19539" s="3">
        <v>0</v>
      </c>
      <c r="I19539" s="3">
        <v>0</v>
      </c>
      <c r="J19539" s="3">
        <v>0</v>
      </c>
      <c r="K19539" s="3">
        <v>0</v>
      </c>
      <c r="L19539" s="3">
        <v>0</v>
      </c>
      <c r="M19539" s="3">
        <v>0</v>
      </c>
      <c r="N19539" s="3">
        <v>0</v>
      </c>
      <c r="O19539" s="3" t="s">
        <v>9</v>
      </c>
      <c r="P19539" s="3" t="s">
        <v>9</v>
      </c>
      <c r="Q19539" s="3"/>
    </row>
    <row r="19540" spans="1:17" ht="15" x14ac:dyDescent="0.25">
      <c r="A19540" s="3">
        <f>19533</f>
        <v>19533</v>
      </c>
      <c r="B19540" s="3" t="s">
        <v>19542</v>
      </c>
      <c r="C19540" s="3" t="s">
        <v>9</v>
      </c>
      <c r="D19540" s="3" t="s">
        <v>9</v>
      </c>
      <c r="E19540" s="3">
        <v>0</v>
      </c>
      <c r="F19540" s="3">
        <v>0</v>
      </c>
      <c r="G19540" s="3">
        <v>0</v>
      </c>
      <c r="H19540" s="3">
        <v>0</v>
      </c>
      <c r="I19540" s="3">
        <v>0</v>
      </c>
      <c r="J19540" s="3">
        <v>0</v>
      </c>
      <c r="K19540" s="3">
        <v>0</v>
      </c>
      <c r="L19540" s="3">
        <v>0</v>
      </c>
      <c r="M19540" s="3">
        <v>0</v>
      </c>
      <c r="N19540" s="3">
        <v>0</v>
      </c>
      <c r="O19540" s="3" t="s">
        <v>9</v>
      </c>
      <c r="P19540" s="3" t="s">
        <v>9</v>
      </c>
      <c r="Q19540" s="3"/>
    </row>
    <row r="19541" spans="1:17" ht="15" x14ac:dyDescent="0.25">
      <c r="A19541" s="3">
        <f>19534</f>
        <v>19534</v>
      </c>
      <c r="B19541" s="3" t="s">
        <v>19543</v>
      </c>
      <c r="C19541" s="3" t="s">
        <v>9</v>
      </c>
      <c r="D19541" s="3" t="s">
        <v>9</v>
      </c>
      <c r="E19541" s="3">
        <v>0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  <c r="L19541" s="3">
        <v>0</v>
      </c>
      <c r="M19541" s="3">
        <v>0</v>
      </c>
      <c r="N19541" s="3">
        <v>0</v>
      </c>
      <c r="O19541" s="3" t="s">
        <v>9</v>
      </c>
      <c r="P19541" s="3" t="s">
        <v>9</v>
      </c>
      <c r="Q19541" s="3"/>
    </row>
    <row r="19542" spans="1:17" ht="15" x14ac:dyDescent="0.25">
      <c r="A19542" s="3">
        <f>19535</f>
        <v>19535</v>
      </c>
      <c r="B19542" s="3" t="s">
        <v>19544</v>
      </c>
      <c r="C19542" s="3" t="s">
        <v>9</v>
      </c>
      <c r="D19542" s="3" t="s">
        <v>9</v>
      </c>
      <c r="E19542" s="3">
        <v>0</v>
      </c>
      <c r="F19542" s="3">
        <v>0</v>
      </c>
      <c r="G19542" s="3">
        <v>0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3">
        <v>0</v>
      </c>
      <c r="N19542" s="3">
        <v>0</v>
      </c>
      <c r="O19542" s="3" t="s">
        <v>9</v>
      </c>
      <c r="P19542" s="3" t="s">
        <v>9</v>
      </c>
      <c r="Q19542" s="3"/>
    </row>
    <row r="19543" spans="1:17" ht="15" x14ac:dyDescent="0.25">
      <c r="A19543" s="3">
        <f>19536</f>
        <v>19536</v>
      </c>
      <c r="B19543" s="3" t="s">
        <v>19545</v>
      </c>
      <c r="C19543" s="3" t="s">
        <v>9</v>
      </c>
      <c r="D19543" s="3" t="s">
        <v>9</v>
      </c>
      <c r="E19543" s="3">
        <v>0</v>
      </c>
      <c r="F19543" s="3">
        <v>0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  <c r="L19543" s="3">
        <v>0</v>
      </c>
      <c r="M19543" s="3">
        <v>0</v>
      </c>
      <c r="N19543" s="3">
        <v>0</v>
      </c>
      <c r="O19543" s="3" t="s">
        <v>9</v>
      </c>
      <c r="P19543" s="3" t="s">
        <v>9</v>
      </c>
      <c r="Q19543" s="3"/>
    </row>
    <row r="19544" spans="1:17" ht="15" x14ac:dyDescent="0.25">
      <c r="A19544" s="3">
        <f>19537</f>
        <v>19537</v>
      </c>
      <c r="B19544" s="3" t="s">
        <v>19546</v>
      </c>
      <c r="C19544" s="3" t="s">
        <v>9</v>
      </c>
      <c r="D19544" s="3" t="s">
        <v>9</v>
      </c>
      <c r="E19544" s="3">
        <v>0</v>
      </c>
      <c r="F19544" s="3">
        <v>0</v>
      </c>
      <c r="G19544" s="3">
        <v>0</v>
      </c>
      <c r="H19544" s="3">
        <v>0</v>
      </c>
      <c r="I19544" s="3">
        <v>0</v>
      </c>
      <c r="J19544" s="3">
        <v>0</v>
      </c>
      <c r="K19544" s="3">
        <v>0</v>
      </c>
      <c r="L19544" s="3">
        <v>0</v>
      </c>
      <c r="M19544" s="3">
        <v>0</v>
      </c>
      <c r="N19544" s="3">
        <v>0</v>
      </c>
      <c r="O19544" s="3" t="s">
        <v>9</v>
      </c>
      <c r="P19544" s="3" t="s">
        <v>9</v>
      </c>
      <c r="Q19544" s="3"/>
    </row>
    <row r="19545" spans="1:17" ht="15" x14ac:dyDescent="0.25">
      <c r="A19545" s="3">
        <f>19538</f>
        <v>19538</v>
      </c>
      <c r="B19545" s="3" t="s">
        <v>19547</v>
      </c>
      <c r="C19545" s="3" t="s">
        <v>9</v>
      </c>
      <c r="D19545" s="3" t="s">
        <v>9</v>
      </c>
      <c r="E19545" s="3">
        <v>0</v>
      </c>
      <c r="F19545" s="3">
        <v>0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  <c r="L19545" s="3">
        <v>0</v>
      </c>
      <c r="M19545" s="3">
        <v>0</v>
      </c>
      <c r="N19545" s="3">
        <v>0</v>
      </c>
      <c r="O19545" s="3" t="s">
        <v>9</v>
      </c>
      <c r="P19545" s="3" t="s">
        <v>9</v>
      </c>
      <c r="Q19545" s="3"/>
    </row>
    <row r="19546" spans="1:17" ht="15" x14ac:dyDescent="0.25">
      <c r="A19546" s="3">
        <f>19539</f>
        <v>19539</v>
      </c>
      <c r="B19546" s="3" t="s">
        <v>19548</v>
      </c>
      <c r="C19546" s="3" t="s">
        <v>9</v>
      </c>
      <c r="D19546" s="3" t="s">
        <v>9</v>
      </c>
      <c r="E19546" s="3">
        <v>0</v>
      </c>
      <c r="F19546" s="3">
        <v>0</v>
      </c>
      <c r="G19546" s="3">
        <v>0</v>
      </c>
      <c r="H19546" s="3">
        <v>0</v>
      </c>
      <c r="I19546" s="3">
        <v>0</v>
      </c>
      <c r="J19546" s="3">
        <v>0</v>
      </c>
      <c r="K19546" s="3">
        <v>0</v>
      </c>
      <c r="L19546" s="3">
        <v>0</v>
      </c>
      <c r="M19546" s="3">
        <v>0</v>
      </c>
      <c r="N19546" s="3">
        <v>0</v>
      </c>
      <c r="O19546" s="3" t="s">
        <v>9</v>
      </c>
      <c r="P19546" s="3" t="s">
        <v>9</v>
      </c>
      <c r="Q19546" s="3"/>
    </row>
    <row r="19547" spans="1:17" ht="15" x14ac:dyDescent="0.25">
      <c r="A19547" s="3">
        <f>19540</f>
        <v>19540</v>
      </c>
      <c r="B19547" s="3" t="s">
        <v>19549</v>
      </c>
      <c r="C19547" s="3" t="s">
        <v>9</v>
      </c>
      <c r="D19547" s="3" t="s">
        <v>9</v>
      </c>
      <c r="E19547" s="3">
        <v>0</v>
      </c>
      <c r="F19547" s="3">
        <v>0</v>
      </c>
      <c r="G19547" s="3">
        <v>0</v>
      </c>
      <c r="H19547" s="3">
        <v>0</v>
      </c>
      <c r="I19547" s="3">
        <v>0</v>
      </c>
      <c r="J19547" s="3">
        <v>0</v>
      </c>
      <c r="K19547" s="3">
        <v>0</v>
      </c>
      <c r="L19547" s="3">
        <v>0</v>
      </c>
      <c r="M19547" s="3">
        <v>0</v>
      </c>
      <c r="N19547" s="3">
        <v>0</v>
      </c>
      <c r="O19547" s="3" t="s">
        <v>9</v>
      </c>
      <c r="P19547" s="3" t="s">
        <v>9</v>
      </c>
      <c r="Q19547" s="3"/>
    </row>
    <row r="19548" spans="1:17" ht="15" x14ac:dyDescent="0.25">
      <c r="A19548" s="3">
        <f>19541</f>
        <v>19541</v>
      </c>
      <c r="B19548" s="3" t="s">
        <v>19550</v>
      </c>
      <c r="C19548" s="3" t="s">
        <v>9</v>
      </c>
      <c r="D19548" s="3" t="s">
        <v>9</v>
      </c>
      <c r="E19548" s="3">
        <v>0</v>
      </c>
      <c r="F19548" s="3">
        <v>0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 s="3">
        <v>0</v>
      </c>
      <c r="M19548" s="3">
        <v>0</v>
      </c>
      <c r="N19548" s="3">
        <v>0</v>
      </c>
      <c r="O19548" s="3" t="s">
        <v>9</v>
      </c>
      <c r="P19548" s="3" t="s">
        <v>9</v>
      </c>
      <c r="Q19548" s="3"/>
    </row>
    <row r="19549" spans="1:17" ht="15" x14ac:dyDescent="0.25">
      <c r="A19549" s="3">
        <f>19542</f>
        <v>19542</v>
      </c>
      <c r="B19549" s="3" t="s">
        <v>19551</v>
      </c>
      <c r="C19549" s="3" t="s">
        <v>9</v>
      </c>
      <c r="D19549" s="3" t="s">
        <v>9</v>
      </c>
      <c r="E19549" s="3">
        <v>0</v>
      </c>
      <c r="F19549" s="3">
        <v>0</v>
      </c>
      <c r="G19549" s="3">
        <v>0</v>
      </c>
      <c r="H19549" s="3">
        <v>0</v>
      </c>
      <c r="I19549" s="3">
        <v>0</v>
      </c>
      <c r="J19549" s="3">
        <v>0</v>
      </c>
      <c r="K19549" s="3">
        <v>0</v>
      </c>
      <c r="L19549" s="3">
        <v>0</v>
      </c>
      <c r="M19549" s="3">
        <v>0</v>
      </c>
      <c r="N19549" s="3">
        <v>0</v>
      </c>
      <c r="O19549" s="3" t="s">
        <v>9</v>
      </c>
      <c r="P19549" s="3" t="s">
        <v>9</v>
      </c>
      <c r="Q19549" s="3"/>
    </row>
    <row r="19550" spans="1:17" ht="15" x14ac:dyDescent="0.25">
      <c r="A19550" s="3">
        <f>19543</f>
        <v>19543</v>
      </c>
      <c r="B19550" s="3" t="s">
        <v>19552</v>
      </c>
      <c r="C19550" s="3" t="s">
        <v>9</v>
      </c>
      <c r="D19550" s="3" t="s">
        <v>9</v>
      </c>
      <c r="E19550" s="3">
        <v>0</v>
      </c>
      <c r="F19550" s="3">
        <v>0</v>
      </c>
      <c r="G19550" s="3">
        <v>0</v>
      </c>
      <c r="H19550" s="3">
        <v>0</v>
      </c>
      <c r="I19550" s="3">
        <v>0</v>
      </c>
      <c r="J19550" s="3">
        <v>0</v>
      </c>
      <c r="K19550" s="3">
        <v>0</v>
      </c>
      <c r="L19550" s="3">
        <v>0</v>
      </c>
      <c r="M19550" s="3">
        <v>0</v>
      </c>
      <c r="N19550" s="3">
        <v>0</v>
      </c>
      <c r="O19550" s="3" t="s">
        <v>9</v>
      </c>
      <c r="P19550" s="3" t="s">
        <v>9</v>
      </c>
      <c r="Q19550" s="3"/>
    </row>
    <row r="19551" spans="1:17" ht="15" x14ac:dyDescent="0.25">
      <c r="A19551" s="3">
        <f>19544</f>
        <v>19544</v>
      </c>
      <c r="B19551" s="3" t="s">
        <v>19553</v>
      </c>
      <c r="C19551" s="3" t="s">
        <v>9</v>
      </c>
      <c r="D19551" s="3" t="s">
        <v>9</v>
      </c>
      <c r="E19551" s="3">
        <v>0</v>
      </c>
      <c r="F19551" s="3">
        <v>0</v>
      </c>
      <c r="G19551" s="3">
        <v>0</v>
      </c>
      <c r="H19551" s="3">
        <v>0</v>
      </c>
      <c r="I19551" s="3">
        <v>0</v>
      </c>
      <c r="J19551" s="3">
        <v>0</v>
      </c>
      <c r="K19551" s="3">
        <v>0</v>
      </c>
      <c r="L19551" s="3">
        <v>0</v>
      </c>
      <c r="M19551" s="3">
        <v>0</v>
      </c>
      <c r="N19551" s="3">
        <v>0</v>
      </c>
      <c r="O19551" s="3" t="s">
        <v>9</v>
      </c>
      <c r="P19551" s="3" t="s">
        <v>9</v>
      </c>
      <c r="Q19551" s="3"/>
    </row>
    <row r="19552" spans="1:17" ht="15" x14ac:dyDescent="0.25">
      <c r="A19552" s="3">
        <f>19545</f>
        <v>19545</v>
      </c>
      <c r="B19552" s="3" t="s">
        <v>19554</v>
      </c>
      <c r="C19552" s="3" t="s">
        <v>9</v>
      </c>
      <c r="D19552" s="3" t="s">
        <v>9</v>
      </c>
      <c r="E19552" s="3">
        <v>0</v>
      </c>
      <c r="F19552" s="3">
        <v>0</v>
      </c>
      <c r="G19552" s="3">
        <v>0</v>
      </c>
      <c r="H19552" s="3">
        <v>0</v>
      </c>
      <c r="I19552" s="3">
        <v>0</v>
      </c>
      <c r="J19552" s="3">
        <v>0</v>
      </c>
      <c r="K19552" s="3">
        <v>0</v>
      </c>
      <c r="L19552" s="3">
        <v>0</v>
      </c>
      <c r="M19552" s="3">
        <v>0</v>
      </c>
      <c r="N19552" s="3">
        <v>0</v>
      </c>
      <c r="O19552" s="3" t="s">
        <v>9</v>
      </c>
      <c r="P19552" s="3" t="s">
        <v>9</v>
      </c>
      <c r="Q19552" s="3"/>
    </row>
    <row r="19553" spans="1:17" ht="15" x14ac:dyDescent="0.25">
      <c r="A19553" s="3">
        <f>19546</f>
        <v>19546</v>
      </c>
      <c r="B19553" s="3" t="s">
        <v>19555</v>
      </c>
      <c r="C19553" s="3" t="s">
        <v>9</v>
      </c>
      <c r="D19553" s="3" t="s">
        <v>9</v>
      </c>
      <c r="E19553" s="3">
        <v>0</v>
      </c>
      <c r="F19553" s="3">
        <v>0</v>
      </c>
      <c r="G19553" s="3">
        <v>0</v>
      </c>
      <c r="H19553" s="3">
        <v>0</v>
      </c>
      <c r="I19553" s="3">
        <v>0</v>
      </c>
      <c r="J19553" s="3">
        <v>0</v>
      </c>
      <c r="K19553" s="3">
        <v>0</v>
      </c>
      <c r="L19553" s="3">
        <v>0</v>
      </c>
      <c r="M19553" s="3">
        <v>0</v>
      </c>
      <c r="N19553" s="3">
        <v>0</v>
      </c>
      <c r="O19553" s="3" t="s">
        <v>9</v>
      </c>
      <c r="P19553" s="3" t="s">
        <v>9</v>
      </c>
      <c r="Q19553" s="3"/>
    </row>
    <row r="19554" spans="1:17" ht="15" x14ac:dyDescent="0.25">
      <c r="A19554" s="3">
        <f>19547</f>
        <v>19547</v>
      </c>
      <c r="B19554" s="3" t="s">
        <v>19556</v>
      </c>
      <c r="C19554" s="3" t="s">
        <v>9</v>
      </c>
      <c r="D19554" s="3" t="s">
        <v>9</v>
      </c>
      <c r="E19554" s="3">
        <v>0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  <c r="L19554" s="3">
        <v>0</v>
      </c>
      <c r="M19554" s="3">
        <v>0</v>
      </c>
      <c r="N19554" s="3">
        <v>0</v>
      </c>
      <c r="O19554" s="3" t="s">
        <v>9</v>
      </c>
      <c r="P19554" s="3" t="s">
        <v>9</v>
      </c>
      <c r="Q19554" s="3"/>
    </row>
    <row r="19555" spans="1:17" ht="15" x14ac:dyDescent="0.25">
      <c r="A19555" s="3">
        <f>19548</f>
        <v>19548</v>
      </c>
      <c r="B19555" s="3" t="s">
        <v>19557</v>
      </c>
      <c r="C19555" s="3" t="s">
        <v>9</v>
      </c>
      <c r="D19555" s="3" t="s">
        <v>9</v>
      </c>
      <c r="E19555" s="3">
        <v>0</v>
      </c>
      <c r="F19555" s="3">
        <v>0</v>
      </c>
      <c r="G19555" s="3">
        <v>0</v>
      </c>
      <c r="H19555" s="3">
        <v>0</v>
      </c>
      <c r="I19555" s="3">
        <v>0</v>
      </c>
      <c r="J19555" s="3">
        <v>0</v>
      </c>
      <c r="K19555" s="3">
        <v>0</v>
      </c>
      <c r="L19555" s="3">
        <v>0</v>
      </c>
      <c r="M19555" s="3">
        <v>0</v>
      </c>
      <c r="N19555" s="3">
        <v>0</v>
      </c>
      <c r="O19555" s="3" t="s">
        <v>9</v>
      </c>
      <c r="P19555" s="3" t="s">
        <v>9</v>
      </c>
      <c r="Q19555" s="3"/>
    </row>
    <row r="19556" spans="1:17" ht="15" x14ac:dyDescent="0.25">
      <c r="A19556" s="3">
        <f>19549</f>
        <v>19549</v>
      </c>
      <c r="B19556" s="3" t="s">
        <v>19558</v>
      </c>
      <c r="C19556" s="3" t="s">
        <v>9</v>
      </c>
      <c r="D19556" s="3" t="s">
        <v>9</v>
      </c>
      <c r="E19556" s="3">
        <v>0</v>
      </c>
      <c r="F19556" s="3">
        <v>0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  <c r="L19556" s="3">
        <v>0</v>
      </c>
      <c r="M19556" s="3">
        <v>0</v>
      </c>
      <c r="N19556" s="3">
        <v>0</v>
      </c>
      <c r="O19556" s="3" t="s">
        <v>9</v>
      </c>
      <c r="P19556" s="3" t="s">
        <v>9</v>
      </c>
      <c r="Q19556" s="3"/>
    </row>
    <row r="19557" spans="1:17" ht="15" x14ac:dyDescent="0.25">
      <c r="A19557" s="3">
        <f>19550</f>
        <v>19550</v>
      </c>
      <c r="B19557" s="3" t="s">
        <v>19559</v>
      </c>
      <c r="C19557" s="3" t="s">
        <v>9</v>
      </c>
      <c r="D19557" s="3" t="s">
        <v>9</v>
      </c>
      <c r="E19557" s="3">
        <v>0</v>
      </c>
      <c r="F19557" s="3">
        <v>0</v>
      </c>
      <c r="G19557" s="3">
        <v>0</v>
      </c>
      <c r="H19557" s="3">
        <v>0</v>
      </c>
      <c r="I19557" s="3">
        <v>0</v>
      </c>
      <c r="J19557" s="3">
        <v>0</v>
      </c>
      <c r="K19557" s="3">
        <v>0</v>
      </c>
      <c r="L19557" s="3">
        <v>0</v>
      </c>
      <c r="M19557" s="3">
        <v>0</v>
      </c>
      <c r="N19557" s="3">
        <v>0</v>
      </c>
      <c r="O19557" s="3" t="s">
        <v>9</v>
      </c>
      <c r="P19557" s="3" t="s">
        <v>9</v>
      </c>
      <c r="Q19557" s="3"/>
    </row>
    <row r="19558" spans="1:17" ht="15" x14ac:dyDescent="0.25">
      <c r="A19558" s="3">
        <f>19551</f>
        <v>19551</v>
      </c>
      <c r="B19558" s="3" t="s">
        <v>19560</v>
      </c>
      <c r="C19558" s="3" t="s">
        <v>9</v>
      </c>
      <c r="D19558" s="3" t="s">
        <v>9</v>
      </c>
      <c r="E19558" s="3">
        <v>0</v>
      </c>
      <c r="F19558" s="3">
        <v>0</v>
      </c>
      <c r="G19558" s="3">
        <v>0</v>
      </c>
      <c r="H19558" s="3">
        <v>0</v>
      </c>
      <c r="I19558" s="3">
        <v>0</v>
      </c>
      <c r="J19558" s="3">
        <v>0</v>
      </c>
      <c r="K19558" s="3">
        <v>0</v>
      </c>
      <c r="L19558" s="3">
        <v>0</v>
      </c>
      <c r="M19558" s="3">
        <v>0</v>
      </c>
      <c r="N19558" s="3">
        <v>0</v>
      </c>
      <c r="O19558" s="3" t="s">
        <v>9</v>
      </c>
      <c r="P19558" s="3" t="s">
        <v>9</v>
      </c>
      <c r="Q19558" s="3"/>
    </row>
    <row r="19559" spans="1:17" ht="15" x14ac:dyDescent="0.25">
      <c r="A19559" s="3">
        <f>19552</f>
        <v>19552</v>
      </c>
      <c r="B19559" s="3" t="s">
        <v>19561</v>
      </c>
      <c r="C19559" s="3" t="s">
        <v>9</v>
      </c>
      <c r="D19559" s="3" t="s">
        <v>9</v>
      </c>
      <c r="E19559" s="3">
        <v>0</v>
      </c>
      <c r="F19559" s="3">
        <v>0</v>
      </c>
      <c r="G19559" s="3">
        <v>0</v>
      </c>
      <c r="H19559" s="3">
        <v>0</v>
      </c>
      <c r="I19559" s="3">
        <v>0</v>
      </c>
      <c r="J19559" s="3">
        <v>0</v>
      </c>
      <c r="K19559" s="3">
        <v>0</v>
      </c>
      <c r="L19559" s="3">
        <v>0</v>
      </c>
      <c r="M19559" s="3">
        <v>0</v>
      </c>
      <c r="N19559" s="3">
        <v>0</v>
      </c>
      <c r="O19559" s="3" t="s">
        <v>9</v>
      </c>
      <c r="P19559" s="3" t="s">
        <v>9</v>
      </c>
      <c r="Q19559" s="3"/>
    </row>
    <row r="19560" spans="1:17" ht="15" x14ac:dyDescent="0.25">
      <c r="A19560" s="3">
        <f>19553</f>
        <v>19553</v>
      </c>
      <c r="B19560" s="3" t="s">
        <v>19562</v>
      </c>
      <c r="C19560" s="3" t="s">
        <v>9</v>
      </c>
      <c r="D19560" s="3" t="s">
        <v>9</v>
      </c>
      <c r="E19560" s="3">
        <v>0</v>
      </c>
      <c r="F19560" s="3">
        <v>0</v>
      </c>
      <c r="G19560" s="3">
        <v>0</v>
      </c>
      <c r="H19560" s="3">
        <v>0</v>
      </c>
      <c r="I19560" s="3">
        <v>0</v>
      </c>
      <c r="J19560" s="3">
        <v>0</v>
      </c>
      <c r="K19560" s="3">
        <v>0</v>
      </c>
      <c r="L19560" s="3">
        <v>0</v>
      </c>
      <c r="M19560" s="3">
        <v>0</v>
      </c>
      <c r="N19560" s="3">
        <v>0</v>
      </c>
      <c r="O19560" s="3" t="s">
        <v>9</v>
      </c>
      <c r="P19560" s="3" t="s">
        <v>9</v>
      </c>
      <c r="Q19560" s="3"/>
    </row>
    <row r="19561" spans="1:17" ht="15" x14ac:dyDescent="0.25">
      <c r="A19561" s="3">
        <f>19554</f>
        <v>19554</v>
      </c>
      <c r="B19561" s="3" t="s">
        <v>19563</v>
      </c>
      <c r="C19561" s="3" t="s">
        <v>9</v>
      </c>
      <c r="D19561" s="3" t="s">
        <v>9</v>
      </c>
      <c r="E19561" s="3">
        <v>0</v>
      </c>
      <c r="F19561" s="3">
        <v>0</v>
      </c>
      <c r="G19561" s="3">
        <v>0</v>
      </c>
      <c r="H19561" s="3">
        <v>0</v>
      </c>
      <c r="I19561" s="3">
        <v>0</v>
      </c>
      <c r="J19561" s="3">
        <v>0</v>
      </c>
      <c r="K19561" s="3">
        <v>0</v>
      </c>
      <c r="L19561" s="3">
        <v>0</v>
      </c>
      <c r="M19561" s="3">
        <v>0</v>
      </c>
      <c r="N19561" s="3">
        <v>0</v>
      </c>
      <c r="O19561" s="3" t="s">
        <v>9</v>
      </c>
      <c r="P19561" s="3" t="s">
        <v>9</v>
      </c>
      <c r="Q19561" s="3"/>
    </row>
    <row r="19562" spans="1:17" ht="15" x14ac:dyDescent="0.25">
      <c r="A19562" s="3">
        <f>19555</f>
        <v>19555</v>
      </c>
      <c r="B19562" s="3" t="s">
        <v>19564</v>
      </c>
      <c r="C19562" s="3" t="s">
        <v>9</v>
      </c>
      <c r="D19562" s="3" t="s">
        <v>9</v>
      </c>
      <c r="E19562" s="3">
        <v>0</v>
      </c>
      <c r="F19562" s="3">
        <v>0</v>
      </c>
      <c r="G19562" s="3">
        <v>0</v>
      </c>
      <c r="H19562" s="3">
        <v>0</v>
      </c>
      <c r="I19562" s="3">
        <v>0</v>
      </c>
      <c r="J19562" s="3">
        <v>0</v>
      </c>
      <c r="K19562" s="3">
        <v>0</v>
      </c>
      <c r="L19562" s="3">
        <v>0</v>
      </c>
      <c r="M19562" s="3">
        <v>0</v>
      </c>
      <c r="N19562" s="3">
        <v>0</v>
      </c>
      <c r="O19562" s="3" t="s">
        <v>9</v>
      </c>
      <c r="P19562" s="3" t="s">
        <v>9</v>
      </c>
      <c r="Q19562" s="3"/>
    </row>
    <row r="19563" spans="1:17" ht="15" x14ac:dyDescent="0.25">
      <c r="A19563" s="3">
        <f>19556</f>
        <v>19556</v>
      </c>
      <c r="B19563" s="3" t="s">
        <v>19565</v>
      </c>
      <c r="C19563" s="3" t="s">
        <v>9</v>
      </c>
      <c r="D19563" s="3" t="s">
        <v>9</v>
      </c>
      <c r="E19563" s="3">
        <v>0</v>
      </c>
      <c r="F19563" s="3">
        <v>0</v>
      </c>
      <c r="G19563" s="3">
        <v>0</v>
      </c>
      <c r="H19563" s="3">
        <v>0</v>
      </c>
      <c r="I19563" s="3">
        <v>0</v>
      </c>
      <c r="J19563" s="3">
        <v>0</v>
      </c>
      <c r="K19563" s="3">
        <v>0</v>
      </c>
      <c r="L19563" s="3">
        <v>0</v>
      </c>
      <c r="M19563" s="3">
        <v>0</v>
      </c>
      <c r="N19563" s="3">
        <v>0</v>
      </c>
      <c r="O19563" s="3" t="s">
        <v>9</v>
      </c>
      <c r="P19563" s="3" t="s">
        <v>9</v>
      </c>
      <c r="Q19563" s="3"/>
    </row>
    <row r="19564" spans="1:17" ht="15" x14ac:dyDescent="0.25">
      <c r="A19564" s="3">
        <f>19557</f>
        <v>19557</v>
      </c>
      <c r="B19564" s="3" t="s">
        <v>19566</v>
      </c>
      <c r="C19564" s="3" t="s">
        <v>9</v>
      </c>
      <c r="D19564" s="3" t="s">
        <v>9</v>
      </c>
      <c r="E19564" s="3">
        <v>0</v>
      </c>
      <c r="F19564" s="3">
        <v>0</v>
      </c>
      <c r="G19564" s="3">
        <v>0</v>
      </c>
      <c r="H19564" s="3">
        <v>0</v>
      </c>
      <c r="I19564" s="3">
        <v>0</v>
      </c>
      <c r="J19564" s="3">
        <v>0</v>
      </c>
      <c r="K19564" s="3">
        <v>0</v>
      </c>
      <c r="L19564" s="3">
        <v>0</v>
      </c>
      <c r="M19564" s="3">
        <v>0</v>
      </c>
      <c r="N19564" s="3">
        <v>0</v>
      </c>
      <c r="O19564" s="3" t="s">
        <v>9</v>
      </c>
      <c r="P19564" s="3" t="s">
        <v>9</v>
      </c>
      <c r="Q19564" s="3"/>
    </row>
    <row r="19565" spans="1:17" ht="15" x14ac:dyDescent="0.25">
      <c r="A19565" s="3">
        <f>19558</f>
        <v>19558</v>
      </c>
      <c r="B19565" s="3" t="s">
        <v>19567</v>
      </c>
      <c r="C19565" s="3" t="s">
        <v>9</v>
      </c>
      <c r="D19565" s="3" t="s">
        <v>9</v>
      </c>
      <c r="E19565" s="3">
        <v>0</v>
      </c>
      <c r="F19565" s="3">
        <v>0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  <c r="L19565" s="3">
        <v>0</v>
      </c>
      <c r="M19565" s="3">
        <v>0</v>
      </c>
      <c r="N19565" s="3">
        <v>0</v>
      </c>
      <c r="O19565" s="3" t="s">
        <v>9</v>
      </c>
      <c r="P19565" s="3" t="s">
        <v>9</v>
      </c>
      <c r="Q19565" s="3"/>
    </row>
    <row r="19566" spans="1:17" ht="15" x14ac:dyDescent="0.25">
      <c r="A19566" s="3">
        <f>19559</f>
        <v>19559</v>
      </c>
      <c r="B19566" s="3" t="s">
        <v>19568</v>
      </c>
      <c r="C19566" s="3" t="s">
        <v>9</v>
      </c>
      <c r="D19566" s="3" t="s">
        <v>9</v>
      </c>
      <c r="E19566" s="3">
        <v>0</v>
      </c>
      <c r="F19566" s="3">
        <v>0</v>
      </c>
      <c r="G19566" s="3">
        <v>0</v>
      </c>
      <c r="H19566" s="3">
        <v>0</v>
      </c>
      <c r="I19566" s="3">
        <v>0</v>
      </c>
      <c r="J19566" s="3">
        <v>0</v>
      </c>
      <c r="K19566" s="3">
        <v>0</v>
      </c>
      <c r="L19566" s="3">
        <v>0</v>
      </c>
      <c r="M19566" s="3">
        <v>0</v>
      </c>
      <c r="N19566" s="3">
        <v>0</v>
      </c>
      <c r="O19566" s="3" t="s">
        <v>9</v>
      </c>
      <c r="P19566" s="3" t="s">
        <v>9</v>
      </c>
      <c r="Q19566" s="3"/>
    </row>
    <row r="19567" spans="1:17" ht="15" x14ac:dyDescent="0.25">
      <c r="A19567" s="3">
        <f>19560</f>
        <v>19560</v>
      </c>
      <c r="B19567" s="3" t="s">
        <v>19569</v>
      </c>
      <c r="C19567" s="3" t="s">
        <v>9</v>
      </c>
      <c r="D19567" s="3" t="s">
        <v>9</v>
      </c>
      <c r="E19567" s="3">
        <v>0</v>
      </c>
      <c r="F19567" s="3">
        <v>0</v>
      </c>
      <c r="G19567" s="3">
        <v>0</v>
      </c>
      <c r="H19567" s="3">
        <v>0</v>
      </c>
      <c r="I19567" s="3">
        <v>0</v>
      </c>
      <c r="J19567" s="3">
        <v>0</v>
      </c>
      <c r="K19567" s="3">
        <v>0</v>
      </c>
      <c r="L19567" s="3">
        <v>0</v>
      </c>
      <c r="M19567" s="3">
        <v>0</v>
      </c>
      <c r="N19567" s="3">
        <v>0</v>
      </c>
      <c r="O19567" s="3" t="s">
        <v>9</v>
      </c>
      <c r="P19567" s="3" t="s">
        <v>9</v>
      </c>
      <c r="Q19567" s="3"/>
    </row>
    <row r="19568" spans="1:17" ht="15" x14ac:dyDescent="0.25">
      <c r="A19568" s="3">
        <f>19561</f>
        <v>19561</v>
      </c>
      <c r="B19568" s="3" t="s">
        <v>19570</v>
      </c>
      <c r="C19568" s="3" t="s">
        <v>9</v>
      </c>
      <c r="D19568" s="3" t="s">
        <v>9</v>
      </c>
      <c r="E19568" s="3">
        <v>0</v>
      </c>
      <c r="F19568" s="3">
        <v>0</v>
      </c>
      <c r="G19568" s="3">
        <v>0</v>
      </c>
      <c r="H19568" s="3">
        <v>0</v>
      </c>
      <c r="I19568" s="3">
        <v>0</v>
      </c>
      <c r="J19568" s="3">
        <v>0</v>
      </c>
      <c r="K19568" s="3">
        <v>0</v>
      </c>
      <c r="L19568" s="3">
        <v>0</v>
      </c>
      <c r="M19568" s="3">
        <v>0</v>
      </c>
      <c r="N19568" s="3">
        <v>0</v>
      </c>
      <c r="O19568" s="3" t="s">
        <v>9</v>
      </c>
      <c r="P19568" s="3" t="s">
        <v>9</v>
      </c>
      <c r="Q19568" s="3"/>
    </row>
    <row r="19569" spans="1:17" ht="15" x14ac:dyDescent="0.25">
      <c r="A19569" s="3">
        <f>19562</f>
        <v>19562</v>
      </c>
      <c r="B19569" s="3" t="s">
        <v>19571</v>
      </c>
      <c r="C19569" s="3" t="s">
        <v>9</v>
      </c>
      <c r="D19569" s="3" t="s">
        <v>9</v>
      </c>
      <c r="E19569" s="3">
        <v>0</v>
      </c>
      <c r="F19569" s="3">
        <v>0</v>
      </c>
      <c r="G19569" s="3">
        <v>0</v>
      </c>
      <c r="H19569" s="3">
        <v>0</v>
      </c>
      <c r="I19569" s="3">
        <v>0</v>
      </c>
      <c r="J19569" s="3">
        <v>0</v>
      </c>
      <c r="K19569" s="3">
        <v>0</v>
      </c>
      <c r="L19569" s="3">
        <v>0</v>
      </c>
      <c r="M19569" s="3">
        <v>0</v>
      </c>
      <c r="N19569" s="3">
        <v>0</v>
      </c>
      <c r="O19569" s="3" t="s">
        <v>9</v>
      </c>
      <c r="P19569" s="3" t="s">
        <v>9</v>
      </c>
      <c r="Q19569" s="3"/>
    </row>
    <row r="19570" spans="1:17" ht="15" x14ac:dyDescent="0.25">
      <c r="A19570" s="3">
        <f>19563</f>
        <v>19563</v>
      </c>
      <c r="B19570" s="3" t="s">
        <v>19572</v>
      </c>
      <c r="C19570" s="3" t="s">
        <v>9</v>
      </c>
      <c r="D19570" s="3" t="s">
        <v>9</v>
      </c>
      <c r="E19570" s="3">
        <v>0</v>
      </c>
      <c r="F19570" s="3">
        <v>0</v>
      </c>
      <c r="G19570" s="3">
        <v>0</v>
      </c>
      <c r="H19570" s="3">
        <v>0</v>
      </c>
      <c r="I19570" s="3">
        <v>0</v>
      </c>
      <c r="J19570" s="3">
        <v>0</v>
      </c>
      <c r="K19570" s="3">
        <v>0</v>
      </c>
      <c r="L19570" s="3">
        <v>0</v>
      </c>
      <c r="M19570" s="3">
        <v>0</v>
      </c>
      <c r="N19570" s="3">
        <v>0</v>
      </c>
      <c r="O19570" s="3" t="s">
        <v>9</v>
      </c>
      <c r="P19570" s="3" t="s">
        <v>9</v>
      </c>
      <c r="Q19570" s="3"/>
    </row>
    <row r="19571" spans="1:17" ht="15" x14ac:dyDescent="0.25">
      <c r="A19571" s="3">
        <f>19564</f>
        <v>19564</v>
      </c>
      <c r="B19571" s="3" t="s">
        <v>19573</v>
      </c>
      <c r="C19571" s="3" t="s">
        <v>9</v>
      </c>
      <c r="D19571" s="3" t="s">
        <v>9</v>
      </c>
      <c r="E19571" s="3">
        <v>0</v>
      </c>
      <c r="F19571" s="3">
        <v>0</v>
      </c>
      <c r="G19571" s="3">
        <v>0</v>
      </c>
      <c r="H19571" s="3">
        <v>0</v>
      </c>
      <c r="I19571" s="3">
        <v>0</v>
      </c>
      <c r="J19571" s="3">
        <v>0</v>
      </c>
      <c r="K19571" s="3">
        <v>0</v>
      </c>
      <c r="L19571" s="3">
        <v>0</v>
      </c>
      <c r="M19571" s="3">
        <v>0</v>
      </c>
      <c r="N19571" s="3">
        <v>0</v>
      </c>
      <c r="O19571" s="3" t="s">
        <v>9</v>
      </c>
      <c r="P19571" s="3" t="s">
        <v>9</v>
      </c>
      <c r="Q19571" s="3"/>
    </row>
    <row r="19572" spans="1:17" ht="15" x14ac:dyDescent="0.25">
      <c r="A19572" s="3">
        <f>19565</f>
        <v>19565</v>
      </c>
      <c r="B19572" s="3" t="s">
        <v>19574</v>
      </c>
      <c r="C19572" s="3" t="s">
        <v>9</v>
      </c>
      <c r="D19572" s="3" t="s">
        <v>9</v>
      </c>
      <c r="E19572" s="3">
        <v>0</v>
      </c>
      <c r="F19572" s="3">
        <v>0</v>
      </c>
      <c r="G19572" s="3">
        <v>0</v>
      </c>
      <c r="H19572" s="3">
        <v>0</v>
      </c>
      <c r="I19572" s="3">
        <v>0</v>
      </c>
      <c r="J19572" s="3">
        <v>0</v>
      </c>
      <c r="K19572" s="3">
        <v>0</v>
      </c>
      <c r="L19572" s="3">
        <v>0</v>
      </c>
      <c r="M19572" s="3">
        <v>0</v>
      </c>
      <c r="N19572" s="3">
        <v>0</v>
      </c>
      <c r="O19572" s="3" t="s">
        <v>9</v>
      </c>
      <c r="P19572" s="3" t="s">
        <v>9</v>
      </c>
      <c r="Q19572" s="3"/>
    </row>
    <row r="19573" spans="1:17" ht="15" x14ac:dyDescent="0.25">
      <c r="A19573" s="3">
        <f>19566</f>
        <v>19566</v>
      </c>
      <c r="B19573" s="3" t="s">
        <v>19575</v>
      </c>
      <c r="C19573" s="3" t="s">
        <v>9</v>
      </c>
      <c r="D19573" s="3" t="s">
        <v>9</v>
      </c>
      <c r="E19573" s="3">
        <v>0</v>
      </c>
      <c r="F19573" s="3">
        <v>0</v>
      </c>
      <c r="G19573" s="3">
        <v>0</v>
      </c>
      <c r="H19573" s="3">
        <v>0</v>
      </c>
      <c r="I19573" s="3">
        <v>0</v>
      </c>
      <c r="J19573" s="3">
        <v>0</v>
      </c>
      <c r="K19573" s="3">
        <v>0</v>
      </c>
      <c r="L19573" s="3">
        <v>0</v>
      </c>
      <c r="M19573" s="3">
        <v>0</v>
      </c>
      <c r="N19573" s="3">
        <v>0</v>
      </c>
      <c r="O19573" s="3" t="s">
        <v>9</v>
      </c>
      <c r="P19573" s="3" t="s">
        <v>9</v>
      </c>
      <c r="Q19573" s="3"/>
    </row>
    <row r="19574" spans="1:17" ht="15" x14ac:dyDescent="0.25">
      <c r="A19574" s="3">
        <f>19567</f>
        <v>19567</v>
      </c>
      <c r="B19574" s="3" t="s">
        <v>19576</v>
      </c>
      <c r="C19574" s="3" t="s">
        <v>9</v>
      </c>
      <c r="D19574" s="3" t="s">
        <v>9</v>
      </c>
      <c r="E19574" s="3">
        <v>0</v>
      </c>
      <c r="F19574" s="3">
        <v>0</v>
      </c>
      <c r="G19574" s="3">
        <v>0</v>
      </c>
      <c r="H19574" s="3">
        <v>0</v>
      </c>
      <c r="I19574" s="3">
        <v>0</v>
      </c>
      <c r="J19574" s="3">
        <v>0</v>
      </c>
      <c r="K19574" s="3">
        <v>0</v>
      </c>
      <c r="L19574" s="3">
        <v>0</v>
      </c>
      <c r="M19574" s="3">
        <v>0</v>
      </c>
      <c r="N19574" s="3">
        <v>0</v>
      </c>
      <c r="O19574" s="3" t="s">
        <v>9</v>
      </c>
      <c r="P19574" s="3" t="s">
        <v>9</v>
      </c>
      <c r="Q19574" s="3"/>
    </row>
    <row r="19575" spans="1:17" ht="15" x14ac:dyDescent="0.25">
      <c r="A19575" s="3">
        <f>19568</f>
        <v>19568</v>
      </c>
      <c r="B19575" s="3" t="s">
        <v>19577</v>
      </c>
      <c r="C19575" s="3" t="s">
        <v>9</v>
      </c>
      <c r="D19575" s="3" t="s">
        <v>9</v>
      </c>
      <c r="E19575" s="3">
        <v>0</v>
      </c>
      <c r="F19575" s="3">
        <v>0</v>
      </c>
      <c r="G19575" s="3">
        <v>0</v>
      </c>
      <c r="H19575" s="3">
        <v>0</v>
      </c>
      <c r="I19575" s="3">
        <v>0</v>
      </c>
      <c r="J19575" s="3">
        <v>0</v>
      </c>
      <c r="K19575" s="3">
        <v>0</v>
      </c>
      <c r="L19575" s="3">
        <v>0</v>
      </c>
      <c r="M19575" s="3">
        <v>0</v>
      </c>
      <c r="N19575" s="3">
        <v>0</v>
      </c>
      <c r="O19575" s="3" t="s">
        <v>9</v>
      </c>
      <c r="P19575" s="3" t="s">
        <v>9</v>
      </c>
      <c r="Q19575" s="3"/>
    </row>
    <row r="19576" spans="1:17" ht="15" x14ac:dyDescent="0.25">
      <c r="A19576" s="3">
        <f>19569</f>
        <v>19569</v>
      </c>
      <c r="B19576" s="3" t="s">
        <v>19578</v>
      </c>
      <c r="C19576" s="3" t="s">
        <v>9</v>
      </c>
      <c r="D19576" s="3" t="s">
        <v>9</v>
      </c>
      <c r="E19576" s="3">
        <v>0</v>
      </c>
      <c r="F19576" s="3">
        <v>0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  <c r="L19576" s="3">
        <v>0</v>
      </c>
      <c r="M19576" s="3">
        <v>0</v>
      </c>
      <c r="N19576" s="3">
        <v>0</v>
      </c>
      <c r="O19576" s="3" t="s">
        <v>9</v>
      </c>
      <c r="P19576" s="3" t="s">
        <v>9</v>
      </c>
      <c r="Q19576" s="3"/>
    </row>
    <row r="19577" spans="1:17" ht="15" x14ac:dyDescent="0.25">
      <c r="A19577" s="3">
        <f>19570</f>
        <v>19570</v>
      </c>
      <c r="B19577" s="3" t="s">
        <v>19579</v>
      </c>
      <c r="C19577" s="3" t="s">
        <v>9</v>
      </c>
      <c r="D19577" s="3" t="s">
        <v>9</v>
      </c>
      <c r="E19577" s="3">
        <v>0</v>
      </c>
      <c r="F19577" s="3">
        <v>0</v>
      </c>
      <c r="G19577" s="3">
        <v>0</v>
      </c>
      <c r="H19577" s="3">
        <v>0</v>
      </c>
      <c r="I19577" s="3">
        <v>0</v>
      </c>
      <c r="J19577" s="3">
        <v>0</v>
      </c>
      <c r="K19577" s="3">
        <v>0</v>
      </c>
      <c r="L19577" s="3">
        <v>0</v>
      </c>
      <c r="M19577" s="3">
        <v>0</v>
      </c>
      <c r="N19577" s="3">
        <v>0</v>
      </c>
      <c r="O19577" s="3" t="s">
        <v>9</v>
      </c>
      <c r="P19577" s="3" t="s">
        <v>9</v>
      </c>
      <c r="Q19577" s="3"/>
    </row>
    <row r="19578" spans="1:17" ht="15" x14ac:dyDescent="0.25">
      <c r="A19578" s="3">
        <f>19571</f>
        <v>19571</v>
      </c>
      <c r="B19578" s="3" t="s">
        <v>19580</v>
      </c>
      <c r="C19578" s="3" t="s">
        <v>9</v>
      </c>
      <c r="D19578" s="3" t="s">
        <v>9</v>
      </c>
      <c r="E19578" s="3">
        <v>0</v>
      </c>
      <c r="F19578" s="3">
        <v>0</v>
      </c>
      <c r="G19578" s="3">
        <v>0</v>
      </c>
      <c r="H19578" s="3">
        <v>0</v>
      </c>
      <c r="I19578" s="3">
        <v>0</v>
      </c>
      <c r="J19578" s="3">
        <v>0</v>
      </c>
      <c r="K19578" s="3">
        <v>0</v>
      </c>
      <c r="L19578" s="3">
        <v>0</v>
      </c>
      <c r="M19578" s="3">
        <v>0</v>
      </c>
      <c r="N19578" s="3">
        <v>0</v>
      </c>
      <c r="O19578" s="3" t="s">
        <v>9</v>
      </c>
      <c r="P19578" s="3" t="s">
        <v>9</v>
      </c>
      <c r="Q19578" s="3"/>
    </row>
    <row r="19579" spans="1:17" ht="15" x14ac:dyDescent="0.25">
      <c r="A19579" s="3">
        <f>19572</f>
        <v>19572</v>
      </c>
      <c r="B19579" s="3" t="s">
        <v>19581</v>
      </c>
      <c r="C19579" s="3" t="s">
        <v>9</v>
      </c>
      <c r="D19579" s="3" t="s">
        <v>9</v>
      </c>
      <c r="E19579" s="3">
        <v>0</v>
      </c>
      <c r="F19579" s="3">
        <v>0</v>
      </c>
      <c r="G19579" s="3">
        <v>0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3">
        <v>0</v>
      </c>
      <c r="N19579" s="3">
        <v>0</v>
      </c>
      <c r="O19579" s="3" t="s">
        <v>9</v>
      </c>
      <c r="P19579" s="3" t="s">
        <v>9</v>
      </c>
      <c r="Q19579" s="3"/>
    </row>
    <row r="19580" spans="1:17" ht="15" x14ac:dyDescent="0.25">
      <c r="A19580" s="3">
        <f>19573</f>
        <v>19573</v>
      </c>
      <c r="B19580" s="3" t="s">
        <v>19582</v>
      </c>
      <c r="C19580" s="3" t="s">
        <v>9</v>
      </c>
      <c r="D19580" s="3" t="s">
        <v>9</v>
      </c>
      <c r="E19580" s="3">
        <v>0</v>
      </c>
      <c r="F19580" s="3">
        <v>0</v>
      </c>
      <c r="G19580" s="3">
        <v>0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3">
        <v>0</v>
      </c>
      <c r="N19580" s="3">
        <v>0</v>
      </c>
      <c r="O19580" s="3" t="s">
        <v>9</v>
      </c>
      <c r="P19580" s="3" t="s">
        <v>9</v>
      </c>
      <c r="Q19580" s="3"/>
    </row>
    <row r="19581" spans="1:17" ht="15" x14ac:dyDescent="0.25">
      <c r="A19581" s="3">
        <f>19574</f>
        <v>19574</v>
      </c>
      <c r="B19581" s="3" t="s">
        <v>19583</v>
      </c>
      <c r="C19581" s="3" t="s">
        <v>9</v>
      </c>
      <c r="D19581" s="3" t="s">
        <v>9</v>
      </c>
      <c r="E19581" s="3">
        <v>0</v>
      </c>
      <c r="F19581" s="3">
        <v>0</v>
      </c>
      <c r="G19581" s="3">
        <v>0</v>
      </c>
      <c r="H19581" s="3">
        <v>0</v>
      </c>
      <c r="I19581" s="3">
        <v>0</v>
      </c>
      <c r="J19581" s="3">
        <v>0</v>
      </c>
      <c r="K19581" s="3">
        <v>0</v>
      </c>
      <c r="L19581" s="3">
        <v>0</v>
      </c>
      <c r="M19581" s="3">
        <v>0</v>
      </c>
      <c r="N19581" s="3">
        <v>0</v>
      </c>
      <c r="O19581" s="3" t="s">
        <v>9</v>
      </c>
      <c r="P19581" s="3" t="s">
        <v>9</v>
      </c>
      <c r="Q19581" s="3"/>
    </row>
    <row r="19582" spans="1:17" ht="15" x14ac:dyDescent="0.25">
      <c r="A19582" s="3">
        <f>19575</f>
        <v>19575</v>
      </c>
      <c r="B19582" s="3" t="s">
        <v>19584</v>
      </c>
      <c r="C19582" s="3" t="s">
        <v>9</v>
      </c>
      <c r="D19582" s="3" t="s">
        <v>9</v>
      </c>
      <c r="E19582" s="3">
        <v>0</v>
      </c>
      <c r="F19582" s="3">
        <v>0</v>
      </c>
      <c r="G19582" s="3">
        <v>0</v>
      </c>
      <c r="H19582" s="3">
        <v>0</v>
      </c>
      <c r="I19582" s="3">
        <v>0</v>
      </c>
      <c r="J19582" s="3">
        <v>0</v>
      </c>
      <c r="K19582" s="3">
        <v>0</v>
      </c>
      <c r="L19582" s="3">
        <v>0</v>
      </c>
      <c r="M19582" s="3">
        <v>0</v>
      </c>
      <c r="N19582" s="3">
        <v>0</v>
      </c>
      <c r="O19582" s="3" t="s">
        <v>9</v>
      </c>
      <c r="P19582" s="3" t="s">
        <v>9</v>
      </c>
      <c r="Q19582" s="3"/>
    </row>
    <row r="19583" spans="1:17" ht="15" x14ac:dyDescent="0.25">
      <c r="A19583" s="3">
        <f>19576</f>
        <v>19576</v>
      </c>
      <c r="B19583" s="3" t="s">
        <v>19585</v>
      </c>
      <c r="C19583" s="3" t="s">
        <v>9</v>
      </c>
      <c r="D19583" s="3" t="s">
        <v>9</v>
      </c>
      <c r="E19583" s="3">
        <v>0</v>
      </c>
      <c r="F19583" s="3">
        <v>0</v>
      </c>
      <c r="G19583" s="3">
        <v>0</v>
      </c>
      <c r="H19583" s="3">
        <v>0</v>
      </c>
      <c r="I19583" s="3">
        <v>0</v>
      </c>
      <c r="J19583" s="3">
        <v>0</v>
      </c>
      <c r="K19583" s="3">
        <v>0</v>
      </c>
      <c r="L19583" s="3">
        <v>0</v>
      </c>
      <c r="M19583" s="3">
        <v>0</v>
      </c>
      <c r="N19583" s="3">
        <v>0</v>
      </c>
      <c r="O19583" s="3" t="s">
        <v>9</v>
      </c>
      <c r="P19583" s="3" t="s">
        <v>9</v>
      </c>
      <c r="Q19583" s="3"/>
    </row>
    <row r="19584" spans="1:17" ht="15" x14ac:dyDescent="0.25">
      <c r="A19584" s="3">
        <f>19577</f>
        <v>19577</v>
      </c>
      <c r="B19584" s="3" t="s">
        <v>19586</v>
      </c>
      <c r="C19584" s="3" t="s">
        <v>9</v>
      </c>
      <c r="D19584" s="3" t="s">
        <v>9</v>
      </c>
      <c r="E19584" s="3">
        <v>0</v>
      </c>
      <c r="F19584" s="3">
        <v>0</v>
      </c>
      <c r="G19584" s="3">
        <v>0</v>
      </c>
      <c r="H19584" s="3">
        <v>0</v>
      </c>
      <c r="I19584" s="3">
        <v>0</v>
      </c>
      <c r="J19584" s="3">
        <v>0</v>
      </c>
      <c r="K19584" s="3">
        <v>0</v>
      </c>
      <c r="L19584" s="3">
        <v>0</v>
      </c>
      <c r="M19584" s="3">
        <v>0</v>
      </c>
      <c r="N19584" s="3">
        <v>0</v>
      </c>
      <c r="O19584" s="3" t="s">
        <v>9</v>
      </c>
      <c r="P19584" s="3" t="s">
        <v>9</v>
      </c>
      <c r="Q19584" s="3"/>
    </row>
    <row r="19585" spans="1:17" ht="15" x14ac:dyDescent="0.25">
      <c r="A19585" s="3">
        <f>19578</f>
        <v>19578</v>
      </c>
      <c r="B19585" s="3" t="s">
        <v>19587</v>
      </c>
      <c r="C19585" s="3" t="s">
        <v>9</v>
      </c>
      <c r="D19585" s="3" t="s">
        <v>9</v>
      </c>
      <c r="E19585" s="3">
        <v>0</v>
      </c>
      <c r="F19585" s="3">
        <v>0</v>
      </c>
      <c r="G19585" s="3">
        <v>0</v>
      </c>
      <c r="H19585" s="3">
        <v>0</v>
      </c>
      <c r="I19585" s="3">
        <v>0</v>
      </c>
      <c r="J19585" s="3">
        <v>0</v>
      </c>
      <c r="K19585" s="3">
        <v>0</v>
      </c>
      <c r="L19585" s="3">
        <v>0</v>
      </c>
      <c r="M19585" s="3">
        <v>0</v>
      </c>
      <c r="N19585" s="3">
        <v>0</v>
      </c>
      <c r="O19585" s="3" t="s">
        <v>9</v>
      </c>
      <c r="P19585" s="3" t="s">
        <v>9</v>
      </c>
      <c r="Q19585" s="3"/>
    </row>
    <row r="19586" spans="1:17" ht="15" x14ac:dyDescent="0.25">
      <c r="A19586" s="3">
        <f>19579</f>
        <v>19579</v>
      </c>
      <c r="B19586" s="3" t="s">
        <v>19588</v>
      </c>
      <c r="C19586" s="3" t="s">
        <v>9</v>
      </c>
      <c r="D19586" s="3" t="s">
        <v>9</v>
      </c>
      <c r="E19586" s="3">
        <v>0</v>
      </c>
      <c r="F19586" s="3">
        <v>0</v>
      </c>
      <c r="G19586" s="3">
        <v>0</v>
      </c>
      <c r="H19586" s="3">
        <v>0</v>
      </c>
      <c r="I19586" s="3">
        <v>0</v>
      </c>
      <c r="J19586" s="3">
        <v>0</v>
      </c>
      <c r="K19586" s="3">
        <v>0</v>
      </c>
      <c r="L19586" s="3">
        <v>0</v>
      </c>
      <c r="M19586" s="3">
        <v>0</v>
      </c>
      <c r="N19586" s="3">
        <v>0</v>
      </c>
      <c r="O19586" s="3" t="s">
        <v>9</v>
      </c>
      <c r="P19586" s="3" t="s">
        <v>9</v>
      </c>
      <c r="Q19586" s="3"/>
    </row>
    <row r="19587" spans="1:17" ht="15" x14ac:dyDescent="0.25">
      <c r="A19587" s="3">
        <f>19580</f>
        <v>19580</v>
      </c>
      <c r="B19587" s="3" t="s">
        <v>19589</v>
      </c>
      <c r="C19587" s="3" t="s">
        <v>9</v>
      </c>
      <c r="D19587" s="3" t="s">
        <v>9</v>
      </c>
      <c r="E19587" s="3">
        <v>0</v>
      </c>
      <c r="F19587" s="3">
        <v>0</v>
      </c>
      <c r="G19587" s="3">
        <v>0</v>
      </c>
      <c r="H19587" s="3">
        <v>0</v>
      </c>
      <c r="I19587" s="3">
        <v>0</v>
      </c>
      <c r="J19587" s="3">
        <v>0</v>
      </c>
      <c r="K19587" s="3">
        <v>0</v>
      </c>
      <c r="L19587" s="3">
        <v>0</v>
      </c>
      <c r="M19587" s="3">
        <v>0</v>
      </c>
      <c r="N19587" s="3">
        <v>0</v>
      </c>
      <c r="O19587" s="3" t="s">
        <v>9</v>
      </c>
      <c r="P19587" s="3" t="s">
        <v>9</v>
      </c>
      <c r="Q19587" s="3"/>
    </row>
    <row r="19588" spans="1:17" ht="15" x14ac:dyDescent="0.25">
      <c r="A19588" s="3">
        <f>19581</f>
        <v>19581</v>
      </c>
      <c r="B19588" s="3" t="s">
        <v>19590</v>
      </c>
      <c r="C19588" s="3" t="s">
        <v>9</v>
      </c>
      <c r="D19588" s="3" t="s">
        <v>9</v>
      </c>
      <c r="E19588" s="3">
        <v>0</v>
      </c>
      <c r="F19588" s="3">
        <v>0</v>
      </c>
      <c r="G19588" s="3">
        <v>0</v>
      </c>
      <c r="H19588" s="3">
        <v>0</v>
      </c>
      <c r="I19588" s="3">
        <v>0</v>
      </c>
      <c r="J19588" s="3">
        <v>0</v>
      </c>
      <c r="K19588" s="3">
        <v>0</v>
      </c>
      <c r="L19588" s="3">
        <v>0</v>
      </c>
      <c r="M19588" s="3">
        <v>0</v>
      </c>
      <c r="N19588" s="3">
        <v>0</v>
      </c>
      <c r="O19588" s="3" t="s">
        <v>9</v>
      </c>
      <c r="P19588" s="3" t="s">
        <v>9</v>
      </c>
      <c r="Q19588" s="3"/>
    </row>
    <row r="19589" spans="1:17" ht="15" x14ac:dyDescent="0.25">
      <c r="A19589" s="3">
        <f>19582</f>
        <v>19582</v>
      </c>
      <c r="B19589" s="3" t="s">
        <v>19591</v>
      </c>
      <c r="C19589" s="3" t="s">
        <v>9</v>
      </c>
      <c r="D19589" s="3" t="s">
        <v>9</v>
      </c>
      <c r="E19589" s="3">
        <v>0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  <c r="L19589" s="3">
        <v>0</v>
      </c>
      <c r="M19589" s="3">
        <v>0</v>
      </c>
      <c r="N19589" s="3">
        <v>0</v>
      </c>
      <c r="O19589" s="3" t="s">
        <v>9</v>
      </c>
      <c r="P19589" s="3" t="s">
        <v>9</v>
      </c>
      <c r="Q19589" s="3"/>
    </row>
    <row r="19590" spans="1:17" ht="15" x14ac:dyDescent="0.25">
      <c r="A19590" s="3">
        <f>19583</f>
        <v>19583</v>
      </c>
      <c r="B19590" s="3" t="s">
        <v>19592</v>
      </c>
      <c r="C19590" s="3" t="s">
        <v>9</v>
      </c>
      <c r="D19590" s="3" t="s">
        <v>9</v>
      </c>
      <c r="E19590" s="3">
        <v>0</v>
      </c>
      <c r="F19590" s="3">
        <v>0</v>
      </c>
      <c r="G19590" s="3">
        <v>0</v>
      </c>
      <c r="H19590" s="3">
        <v>0</v>
      </c>
      <c r="I19590" s="3">
        <v>0</v>
      </c>
      <c r="J19590" s="3">
        <v>0</v>
      </c>
      <c r="K19590" s="3">
        <v>0</v>
      </c>
      <c r="L19590" s="3">
        <v>0</v>
      </c>
      <c r="M19590" s="3">
        <v>0</v>
      </c>
      <c r="N19590" s="3">
        <v>0</v>
      </c>
      <c r="O19590" s="3" t="s">
        <v>9</v>
      </c>
      <c r="P19590" s="3" t="s">
        <v>9</v>
      </c>
      <c r="Q19590" s="3"/>
    </row>
    <row r="19591" spans="1:17" ht="15" x14ac:dyDescent="0.25">
      <c r="A19591" s="3">
        <f>19584</f>
        <v>19584</v>
      </c>
      <c r="B19591" s="3" t="s">
        <v>19593</v>
      </c>
      <c r="C19591" s="3" t="s">
        <v>9</v>
      </c>
      <c r="D19591" s="3" t="s">
        <v>9</v>
      </c>
      <c r="E19591" s="3">
        <v>0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>
        <v>0</v>
      </c>
      <c r="O19591" s="3" t="s">
        <v>9</v>
      </c>
      <c r="P19591" s="3" t="s">
        <v>9</v>
      </c>
      <c r="Q19591" s="3"/>
    </row>
    <row r="19592" spans="1:17" ht="15" x14ac:dyDescent="0.25">
      <c r="A19592" s="3">
        <f>19585</f>
        <v>19585</v>
      </c>
      <c r="B19592" s="3" t="s">
        <v>19594</v>
      </c>
      <c r="C19592" s="3" t="s">
        <v>9</v>
      </c>
      <c r="D19592" s="3" t="s">
        <v>9</v>
      </c>
      <c r="E19592" s="3">
        <v>0</v>
      </c>
      <c r="F19592" s="3">
        <v>0</v>
      </c>
      <c r="G19592" s="3">
        <v>0</v>
      </c>
      <c r="H19592" s="3">
        <v>0</v>
      </c>
      <c r="I19592" s="3">
        <v>0</v>
      </c>
      <c r="J19592" s="3">
        <v>0</v>
      </c>
      <c r="K19592" s="3">
        <v>0</v>
      </c>
      <c r="L19592" s="3">
        <v>0</v>
      </c>
      <c r="M19592" s="3">
        <v>0</v>
      </c>
      <c r="N19592" s="3">
        <v>0</v>
      </c>
      <c r="O19592" s="3" t="s">
        <v>9</v>
      </c>
      <c r="P19592" s="3" t="s">
        <v>9</v>
      </c>
      <c r="Q19592" s="3"/>
    </row>
    <row r="19593" spans="1:17" ht="15" x14ac:dyDescent="0.25">
      <c r="A19593" s="3">
        <f>19586</f>
        <v>19586</v>
      </c>
      <c r="B19593" s="3" t="s">
        <v>19595</v>
      </c>
      <c r="C19593" s="3" t="s">
        <v>9</v>
      </c>
      <c r="D19593" s="3" t="s">
        <v>9</v>
      </c>
      <c r="E19593" s="3">
        <v>0</v>
      </c>
      <c r="F19593" s="3">
        <v>0</v>
      </c>
      <c r="G19593" s="3">
        <v>0</v>
      </c>
      <c r="H19593" s="3">
        <v>0</v>
      </c>
      <c r="I19593" s="3">
        <v>0</v>
      </c>
      <c r="J19593" s="3">
        <v>0</v>
      </c>
      <c r="K19593" s="3">
        <v>0</v>
      </c>
      <c r="L19593" s="3">
        <v>0</v>
      </c>
      <c r="M19593" s="3">
        <v>0</v>
      </c>
      <c r="N19593" s="3">
        <v>0</v>
      </c>
      <c r="O19593" s="3" t="s">
        <v>9</v>
      </c>
      <c r="P19593" s="3" t="s">
        <v>9</v>
      </c>
      <c r="Q19593" s="3"/>
    </row>
    <row r="19594" spans="1:17" ht="15" x14ac:dyDescent="0.25">
      <c r="A19594" s="3">
        <f>19587</f>
        <v>19587</v>
      </c>
      <c r="B19594" s="3" t="s">
        <v>19596</v>
      </c>
      <c r="C19594" s="3" t="s">
        <v>9</v>
      </c>
      <c r="D19594" s="3" t="s">
        <v>9</v>
      </c>
      <c r="E19594" s="3">
        <v>0</v>
      </c>
      <c r="F19594" s="3">
        <v>0</v>
      </c>
      <c r="G19594" s="3">
        <v>0</v>
      </c>
      <c r="H19594" s="3">
        <v>0</v>
      </c>
      <c r="I19594" s="3">
        <v>0</v>
      </c>
      <c r="J19594" s="3">
        <v>0</v>
      </c>
      <c r="K19594" s="3">
        <v>0</v>
      </c>
      <c r="L19594" s="3">
        <v>0</v>
      </c>
      <c r="M19594" s="3">
        <v>0</v>
      </c>
      <c r="N19594" s="3">
        <v>0</v>
      </c>
      <c r="O19594" s="3" t="s">
        <v>9</v>
      </c>
      <c r="P19594" s="3" t="s">
        <v>9</v>
      </c>
      <c r="Q19594" s="3"/>
    </row>
    <row r="19595" spans="1:17" ht="15" x14ac:dyDescent="0.25">
      <c r="A19595" s="3">
        <f>19588</f>
        <v>19588</v>
      </c>
      <c r="B19595" s="3" t="s">
        <v>19597</v>
      </c>
      <c r="C19595" s="3" t="s">
        <v>9</v>
      </c>
      <c r="D19595" s="3" t="s">
        <v>9</v>
      </c>
      <c r="E19595" s="3">
        <v>0</v>
      </c>
      <c r="F19595" s="3">
        <v>0</v>
      </c>
      <c r="G19595" s="3">
        <v>0</v>
      </c>
      <c r="H19595" s="3">
        <v>0</v>
      </c>
      <c r="I19595" s="3">
        <v>0</v>
      </c>
      <c r="J19595" s="3">
        <v>0</v>
      </c>
      <c r="K19595" s="3">
        <v>0</v>
      </c>
      <c r="L19595" s="3">
        <v>0</v>
      </c>
      <c r="M19595" s="3">
        <v>0</v>
      </c>
      <c r="N19595" s="3">
        <v>0</v>
      </c>
      <c r="O19595" s="3" t="s">
        <v>9</v>
      </c>
      <c r="P19595" s="3" t="s">
        <v>9</v>
      </c>
      <c r="Q19595" s="3"/>
    </row>
    <row r="19596" spans="1:17" ht="15" x14ac:dyDescent="0.25">
      <c r="A19596" s="3">
        <f>19589</f>
        <v>19589</v>
      </c>
      <c r="B19596" s="3" t="s">
        <v>19598</v>
      </c>
      <c r="C19596" s="3" t="s">
        <v>9</v>
      </c>
      <c r="D19596" s="3" t="s">
        <v>9</v>
      </c>
      <c r="E19596" s="3">
        <v>0</v>
      </c>
      <c r="F19596" s="3">
        <v>0</v>
      </c>
      <c r="G19596" s="3">
        <v>0</v>
      </c>
      <c r="H19596" s="3">
        <v>0</v>
      </c>
      <c r="I19596" s="3">
        <v>0</v>
      </c>
      <c r="J19596" s="3">
        <v>0</v>
      </c>
      <c r="K19596" s="3">
        <v>0</v>
      </c>
      <c r="L19596" s="3">
        <v>0</v>
      </c>
      <c r="M19596" s="3">
        <v>0</v>
      </c>
      <c r="N19596" s="3">
        <v>0</v>
      </c>
      <c r="O19596" s="3" t="s">
        <v>9</v>
      </c>
      <c r="P19596" s="3" t="s">
        <v>9</v>
      </c>
      <c r="Q19596" s="3"/>
    </row>
    <row r="19597" spans="1:17" ht="15" x14ac:dyDescent="0.25">
      <c r="A19597" s="3">
        <f>19590</f>
        <v>19590</v>
      </c>
      <c r="B19597" s="3" t="s">
        <v>19599</v>
      </c>
      <c r="C19597" s="3" t="s">
        <v>9</v>
      </c>
      <c r="D19597" s="3" t="s">
        <v>9</v>
      </c>
      <c r="E19597" s="3">
        <v>0</v>
      </c>
      <c r="F19597" s="3">
        <v>0</v>
      </c>
      <c r="G19597" s="3">
        <v>0</v>
      </c>
      <c r="H19597" s="3">
        <v>0</v>
      </c>
      <c r="I19597" s="3">
        <v>0</v>
      </c>
      <c r="J19597" s="3">
        <v>0</v>
      </c>
      <c r="K19597" s="3">
        <v>0</v>
      </c>
      <c r="L19597" s="3">
        <v>0</v>
      </c>
      <c r="M19597" s="3">
        <v>0</v>
      </c>
      <c r="N19597" s="3">
        <v>0</v>
      </c>
      <c r="O19597" s="3" t="s">
        <v>9</v>
      </c>
      <c r="P19597" s="3" t="s">
        <v>9</v>
      </c>
      <c r="Q19597" s="3"/>
    </row>
    <row r="19598" spans="1:17" ht="15" x14ac:dyDescent="0.25">
      <c r="A19598" s="3">
        <f>19591</f>
        <v>19591</v>
      </c>
      <c r="B19598" s="3" t="s">
        <v>19600</v>
      </c>
      <c r="C19598" s="3" t="s">
        <v>9</v>
      </c>
      <c r="D19598" s="3" t="s">
        <v>9</v>
      </c>
      <c r="E19598" s="3">
        <v>0</v>
      </c>
      <c r="F19598" s="3">
        <v>0</v>
      </c>
      <c r="G19598" s="3">
        <v>0</v>
      </c>
      <c r="H19598" s="3">
        <v>0</v>
      </c>
      <c r="I19598" s="3">
        <v>0</v>
      </c>
      <c r="J19598" s="3">
        <v>0</v>
      </c>
      <c r="K19598" s="3">
        <v>0</v>
      </c>
      <c r="L19598" s="3">
        <v>0</v>
      </c>
      <c r="M19598" s="3">
        <v>0</v>
      </c>
      <c r="N19598" s="3">
        <v>0</v>
      </c>
      <c r="O19598" s="3" t="s">
        <v>9</v>
      </c>
      <c r="P19598" s="3" t="s">
        <v>9</v>
      </c>
      <c r="Q19598" s="3"/>
    </row>
    <row r="19599" spans="1:17" ht="15" x14ac:dyDescent="0.25">
      <c r="A19599" s="3">
        <f>19592</f>
        <v>19592</v>
      </c>
      <c r="B19599" s="3" t="s">
        <v>19601</v>
      </c>
      <c r="C19599" s="3" t="s">
        <v>9</v>
      </c>
      <c r="D19599" s="3" t="s">
        <v>9</v>
      </c>
      <c r="E19599" s="3">
        <v>0</v>
      </c>
      <c r="F19599" s="3">
        <v>0</v>
      </c>
      <c r="G19599" s="3">
        <v>0</v>
      </c>
      <c r="H19599" s="3">
        <v>0</v>
      </c>
      <c r="I19599" s="3">
        <v>0</v>
      </c>
      <c r="J19599" s="3">
        <v>0</v>
      </c>
      <c r="K19599" s="3">
        <v>0</v>
      </c>
      <c r="L19599" s="3">
        <v>0</v>
      </c>
      <c r="M19599" s="3">
        <v>0</v>
      </c>
      <c r="N19599" s="3">
        <v>0</v>
      </c>
      <c r="O19599" s="3" t="s">
        <v>9</v>
      </c>
      <c r="P19599" s="3" t="s">
        <v>9</v>
      </c>
      <c r="Q19599" s="3"/>
    </row>
    <row r="19600" spans="1:17" ht="15" x14ac:dyDescent="0.25">
      <c r="A19600" s="3">
        <f>19593</f>
        <v>19593</v>
      </c>
      <c r="B19600" s="3" t="s">
        <v>19602</v>
      </c>
      <c r="C19600" s="3" t="s">
        <v>9</v>
      </c>
      <c r="D19600" s="3" t="s">
        <v>9</v>
      </c>
      <c r="E19600" s="3">
        <v>0</v>
      </c>
      <c r="F19600" s="3">
        <v>0</v>
      </c>
      <c r="G19600" s="3">
        <v>0</v>
      </c>
      <c r="H19600" s="3">
        <v>0</v>
      </c>
      <c r="I19600" s="3">
        <v>0</v>
      </c>
      <c r="J19600" s="3">
        <v>0</v>
      </c>
      <c r="K19600" s="3">
        <v>0</v>
      </c>
      <c r="L19600" s="3">
        <v>0</v>
      </c>
      <c r="M19600" s="3">
        <v>0</v>
      </c>
      <c r="N19600" s="3">
        <v>0</v>
      </c>
      <c r="O19600" s="3" t="s">
        <v>9</v>
      </c>
      <c r="P19600" s="3" t="s">
        <v>9</v>
      </c>
      <c r="Q19600" s="3"/>
    </row>
    <row r="19601" spans="1:17" ht="15" x14ac:dyDescent="0.25">
      <c r="A19601" s="3">
        <f>19594</f>
        <v>19594</v>
      </c>
      <c r="B19601" s="3" t="s">
        <v>19603</v>
      </c>
      <c r="C19601" s="3" t="s">
        <v>9</v>
      </c>
      <c r="D19601" s="3" t="s">
        <v>9</v>
      </c>
      <c r="E19601" s="3">
        <v>0</v>
      </c>
      <c r="F19601" s="3">
        <v>0</v>
      </c>
      <c r="G19601" s="3">
        <v>0</v>
      </c>
      <c r="H19601" s="3">
        <v>0</v>
      </c>
      <c r="I19601" s="3">
        <v>0</v>
      </c>
      <c r="J19601" s="3">
        <v>0</v>
      </c>
      <c r="K19601" s="3">
        <v>0</v>
      </c>
      <c r="L19601" s="3">
        <v>0</v>
      </c>
      <c r="M19601" s="3">
        <v>0</v>
      </c>
      <c r="N19601" s="3">
        <v>0</v>
      </c>
      <c r="O19601" s="3" t="s">
        <v>9</v>
      </c>
      <c r="P19601" s="3" t="s">
        <v>9</v>
      </c>
      <c r="Q19601" s="3"/>
    </row>
    <row r="19602" spans="1:17" ht="15" x14ac:dyDescent="0.25">
      <c r="A19602" s="3">
        <f>19595</f>
        <v>19595</v>
      </c>
      <c r="B19602" s="3" t="s">
        <v>19604</v>
      </c>
      <c r="C19602" s="3" t="s">
        <v>9</v>
      </c>
      <c r="D19602" s="3" t="s">
        <v>9</v>
      </c>
      <c r="E19602" s="3">
        <v>0</v>
      </c>
      <c r="F19602" s="3">
        <v>0</v>
      </c>
      <c r="G19602" s="3">
        <v>0</v>
      </c>
      <c r="H19602" s="3">
        <v>0</v>
      </c>
      <c r="I19602" s="3">
        <v>0</v>
      </c>
      <c r="J19602" s="3">
        <v>0</v>
      </c>
      <c r="K19602" s="3">
        <v>0</v>
      </c>
      <c r="L19602" s="3">
        <v>0</v>
      </c>
      <c r="M19602" s="3">
        <v>0</v>
      </c>
      <c r="N19602" s="3">
        <v>0</v>
      </c>
      <c r="O19602" s="3" t="s">
        <v>9</v>
      </c>
      <c r="P19602" s="3" t="s">
        <v>9</v>
      </c>
      <c r="Q19602" s="3"/>
    </row>
    <row r="19603" spans="1:17" ht="15" x14ac:dyDescent="0.25">
      <c r="A19603" s="3">
        <f>19596</f>
        <v>19596</v>
      </c>
      <c r="B19603" s="3" t="s">
        <v>19605</v>
      </c>
      <c r="C19603" s="3" t="s">
        <v>9</v>
      </c>
      <c r="D19603" s="3" t="s">
        <v>9</v>
      </c>
      <c r="E19603" s="3">
        <v>0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 s="3">
        <v>0</v>
      </c>
      <c r="M19603" s="3">
        <v>0</v>
      </c>
      <c r="N19603" s="3">
        <v>0</v>
      </c>
      <c r="O19603" s="3" t="s">
        <v>9</v>
      </c>
      <c r="P19603" s="3" t="s">
        <v>9</v>
      </c>
      <c r="Q19603" s="3"/>
    </row>
    <row r="19604" spans="1:17" ht="15" x14ac:dyDescent="0.25">
      <c r="A19604" s="3">
        <f>19597</f>
        <v>19597</v>
      </c>
      <c r="B19604" s="3" t="s">
        <v>19606</v>
      </c>
      <c r="C19604" s="3" t="s">
        <v>9</v>
      </c>
      <c r="D19604" s="3" t="s">
        <v>9</v>
      </c>
      <c r="E19604" s="3">
        <v>0</v>
      </c>
      <c r="F19604" s="3">
        <v>0</v>
      </c>
      <c r="G19604" s="3">
        <v>0</v>
      </c>
      <c r="H19604" s="3">
        <v>0</v>
      </c>
      <c r="I19604" s="3">
        <v>0</v>
      </c>
      <c r="J19604" s="3">
        <v>0</v>
      </c>
      <c r="K19604" s="3">
        <v>0</v>
      </c>
      <c r="L19604" s="3">
        <v>0</v>
      </c>
      <c r="M19604" s="3">
        <v>0</v>
      </c>
      <c r="N19604" s="3">
        <v>0</v>
      </c>
      <c r="O19604" s="3" t="s">
        <v>9</v>
      </c>
      <c r="P19604" s="3" t="s">
        <v>9</v>
      </c>
      <c r="Q19604" s="3"/>
    </row>
    <row r="19605" spans="1:17" ht="15" x14ac:dyDescent="0.25">
      <c r="A19605" s="3">
        <f>19598</f>
        <v>19598</v>
      </c>
      <c r="B19605" s="3" t="s">
        <v>19607</v>
      </c>
      <c r="C19605" s="3" t="s">
        <v>9</v>
      </c>
      <c r="D19605" s="3" t="s">
        <v>9</v>
      </c>
      <c r="E19605" s="3">
        <v>0</v>
      </c>
      <c r="F19605" s="3">
        <v>0</v>
      </c>
      <c r="G19605" s="3">
        <v>0</v>
      </c>
      <c r="H19605" s="3">
        <v>0</v>
      </c>
      <c r="I19605" s="3">
        <v>0</v>
      </c>
      <c r="J19605" s="3">
        <v>0</v>
      </c>
      <c r="K19605" s="3">
        <v>0</v>
      </c>
      <c r="L19605" s="3">
        <v>0</v>
      </c>
      <c r="M19605" s="3">
        <v>0</v>
      </c>
      <c r="N19605" s="3">
        <v>0</v>
      </c>
      <c r="O19605" s="3" t="s">
        <v>9</v>
      </c>
      <c r="P19605" s="3" t="s">
        <v>9</v>
      </c>
      <c r="Q19605" s="3"/>
    </row>
    <row r="19606" spans="1:17" ht="15" x14ac:dyDescent="0.25">
      <c r="A19606" s="3">
        <f>19599</f>
        <v>19599</v>
      </c>
      <c r="B19606" s="3" t="s">
        <v>19608</v>
      </c>
      <c r="C19606" s="3" t="s">
        <v>9</v>
      </c>
      <c r="D19606" s="3" t="s">
        <v>9</v>
      </c>
      <c r="E19606" s="3">
        <v>0</v>
      </c>
      <c r="F19606" s="3">
        <v>0</v>
      </c>
      <c r="G19606" s="3">
        <v>0</v>
      </c>
      <c r="H19606" s="3">
        <v>0</v>
      </c>
      <c r="I19606" s="3">
        <v>0</v>
      </c>
      <c r="J19606" s="3">
        <v>0</v>
      </c>
      <c r="K19606" s="3">
        <v>0</v>
      </c>
      <c r="L19606" s="3">
        <v>0</v>
      </c>
      <c r="M19606" s="3">
        <v>0</v>
      </c>
      <c r="N19606" s="3">
        <v>0</v>
      </c>
      <c r="O19606" s="3" t="s">
        <v>9</v>
      </c>
      <c r="P19606" s="3" t="s">
        <v>9</v>
      </c>
      <c r="Q19606" s="3"/>
    </row>
    <row r="19607" spans="1:17" ht="15" x14ac:dyDescent="0.25">
      <c r="A19607" s="3">
        <f>19600</f>
        <v>19600</v>
      </c>
      <c r="B19607" s="3" t="s">
        <v>19609</v>
      </c>
      <c r="C19607" s="3" t="s">
        <v>9</v>
      </c>
      <c r="D19607" s="3" t="s">
        <v>9</v>
      </c>
      <c r="E19607" s="3">
        <v>0</v>
      </c>
      <c r="F19607" s="3">
        <v>0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0</v>
      </c>
      <c r="M19607" s="3">
        <v>0</v>
      </c>
      <c r="N19607" s="3">
        <v>0</v>
      </c>
      <c r="O19607" s="3" t="s">
        <v>9</v>
      </c>
      <c r="P19607" s="3" t="s">
        <v>9</v>
      </c>
      <c r="Q19607" s="3"/>
    </row>
    <row r="19608" spans="1:17" ht="15" x14ac:dyDescent="0.25">
      <c r="A19608" s="3">
        <f>19601</f>
        <v>19601</v>
      </c>
      <c r="B19608" s="3" t="s">
        <v>19610</v>
      </c>
      <c r="C19608" s="3" t="s">
        <v>9</v>
      </c>
      <c r="D19608" s="3" t="s">
        <v>9</v>
      </c>
      <c r="E19608" s="3">
        <v>0</v>
      </c>
      <c r="F19608" s="3">
        <v>0</v>
      </c>
      <c r="G19608" s="3">
        <v>0</v>
      </c>
      <c r="H19608" s="3">
        <v>0</v>
      </c>
      <c r="I19608" s="3">
        <v>0</v>
      </c>
      <c r="J19608" s="3">
        <v>0</v>
      </c>
      <c r="K19608" s="3">
        <v>0</v>
      </c>
      <c r="L19608" s="3">
        <v>0</v>
      </c>
      <c r="M19608" s="3">
        <v>0</v>
      </c>
      <c r="N19608" s="3">
        <v>0</v>
      </c>
      <c r="O19608" s="3" t="s">
        <v>9</v>
      </c>
      <c r="P19608" s="3" t="s">
        <v>9</v>
      </c>
      <c r="Q19608" s="3"/>
    </row>
    <row r="19609" spans="1:17" ht="15" x14ac:dyDescent="0.25">
      <c r="A19609" s="3">
        <f>19602</f>
        <v>19602</v>
      </c>
      <c r="B19609" s="3" t="s">
        <v>19611</v>
      </c>
      <c r="C19609" s="3" t="s">
        <v>9</v>
      </c>
      <c r="D19609" s="3" t="s">
        <v>9</v>
      </c>
      <c r="E19609" s="3">
        <v>0</v>
      </c>
      <c r="F19609" s="3">
        <v>0</v>
      </c>
      <c r="G19609" s="3">
        <v>0</v>
      </c>
      <c r="H19609" s="3">
        <v>0</v>
      </c>
      <c r="I19609" s="3">
        <v>0</v>
      </c>
      <c r="J19609" s="3">
        <v>0</v>
      </c>
      <c r="K19609" s="3">
        <v>0</v>
      </c>
      <c r="L19609" s="3">
        <v>0</v>
      </c>
      <c r="M19609" s="3">
        <v>0</v>
      </c>
      <c r="N19609" s="3">
        <v>0</v>
      </c>
      <c r="O19609" s="3" t="s">
        <v>9</v>
      </c>
      <c r="P19609" s="3" t="s">
        <v>9</v>
      </c>
      <c r="Q19609" s="3"/>
    </row>
    <row r="19610" spans="1:17" ht="15" x14ac:dyDescent="0.25">
      <c r="A19610" s="3">
        <f>19603</f>
        <v>19603</v>
      </c>
      <c r="B19610" s="3" t="s">
        <v>19612</v>
      </c>
      <c r="C19610" s="3" t="s">
        <v>9</v>
      </c>
      <c r="D19610" s="3" t="s">
        <v>9</v>
      </c>
      <c r="E19610" s="3">
        <v>0</v>
      </c>
      <c r="F19610" s="3">
        <v>0</v>
      </c>
      <c r="G19610" s="3">
        <v>0</v>
      </c>
      <c r="H19610" s="3">
        <v>0</v>
      </c>
      <c r="I19610" s="3">
        <v>0</v>
      </c>
      <c r="J19610" s="3">
        <v>0</v>
      </c>
      <c r="K19610" s="3">
        <v>0</v>
      </c>
      <c r="L19610" s="3">
        <v>0</v>
      </c>
      <c r="M19610" s="3">
        <v>0</v>
      </c>
      <c r="N19610" s="3">
        <v>0</v>
      </c>
      <c r="O19610" s="3" t="s">
        <v>9</v>
      </c>
      <c r="P19610" s="3" t="s">
        <v>9</v>
      </c>
      <c r="Q19610" s="3"/>
    </row>
    <row r="19611" spans="1:17" ht="15" x14ac:dyDescent="0.25">
      <c r="A19611" s="3">
        <f>19604</f>
        <v>19604</v>
      </c>
      <c r="B19611" s="3" t="s">
        <v>19613</v>
      </c>
      <c r="C19611" s="3" t="s">
        <v>9</v>
      </c>
      <c r="D19611" s="3" t="s">
        <v>9</v>
      </c>
      <c r="E19611" s="3">
        <v>0</v>
      </c>
      <c r="F19611" s="3">
        <v>0</v>
      </c>
      <c r="G19611" s="3">
        <v>0</v>
      </c>
      <c r="H19611" s="3">
        <v>0</v>
      </c>
      <c r="I19611" s="3">
        <v>0</v>
      </c>
      <c r="J19611" s="3">
        <v>0</v>
      </c>
      <c r="K19611" s="3">
        <v>0</v>
      </c>
      <c r="L19611" s="3">
        <v>0</v>
      </c>
      <c r="M19611" s="3">
        <v>0</v>
      </c>
      <c r="N19611" s="3">
        <v>0</v>
      </c>
      <c r="O19611" s="3" t="s">
        <v>9</v>
      </c>
      <c r="P19611" s="3" t="s">
        <v>9</v>
      </c>
      <c r="Q19611" s="3"/>
    </row>
    <row r="19612" spans="1:17" ht="15" x14ac:dyDescent="0.25">
      <c r="A19612" s="3">
        <f>19605</f>
        <v>19605</v>
      </c>
      <c r="B19612" s="3" t="s">
        <v>19614</v>
      </c>
      <c r="C19612" s="3" t="s">
        <v>9</v>
      </c>
      <c r="D19612" s="3" t="s">
        <v>9</v>
      </c>
      <c r="E19612" s="3">
        <v>0</v>
      </c>
      <c r="F19612" s="3">
        <v>0</v>
      </c>
      <c r="G19612" s="3">
        <v>0</v>
      </c>
      <c r="H19612" s="3">
        <v>0</v>
      </c>
      <c r="I19612" s="3">
        <v>0</v>
      </c>
      <c r="J19612" s="3">
        <v>0</v>
      </c>
      <c r="K19612" s="3">
        <v>0</v>
      </c>
      <c r="L19612" s="3">
        <v>0</v>
      </c>
      <c r="M19612" s="3">
        <v>0</v>
      </c>
      <c r="N19612" s="3">
        <v>0</v>
      </c>
      <c r="O19612" s="3" t="s">
        <v>9</v>
      </c>
      <c r="P19612" s="3" t="s">
        <v>9</v>
      </c>
      <c r="Q19612" s="3"/>
    </row>
    <row r="19613" spans="1:17" ht="15" x14ac:dyDescent="0.25">
      <c r="A19613" s="3">
        <f>19606</f>
        <v>19606</v>
      </c>
      <c r="B19613" s="3" t="s">
        <v>19615</v>
      </c>
      <c r="C19613" s="3" t="s">
        <v>9</v>
      </c>
      <c r="D19613" s="3" t="s">
        <v>9</v>
      </c>
      <c r="E19613" s="3">
        <v>0</v>
      </c>
      <c r="F19613" s="3">
        <v>0</v>
      </c>
      <c r="G19613" s="3">
        <v>0</v>
      </c>
      <c r="H19613" s="3">
        <v>0</v>
      </c>
      <c r="I19613" s="3">
        <v>0</v>
      </c>
      <c r="J19613" s="3">
        <v>0</v>
      </c>
      <c r="K19613" s="3">
        <v>0</v>
      </c>
      <c r="L19613" s="3">
        <v>0</v>
      </c>
      <c r="M19613" s="3">
        <v>0</v>
      </c>
      <c r="N19613" s="3">
        <v>0</v>
      </c>
      <c r="O19613" s="3" t="s">
        <v>9</v>
      </c>
      <c r="P19613" s="3" t="s">
        <v>9</v>
      </c>
      <c r="Q19613" s="3"/>
    </row>
    <row r="19614" spans="1:17" ht="15" x14ac:dyDescent="0.25">
      <c r="A19614" s="3">
        <f>19607</f>
        <v>19607</v>
      </c>
      <c r="B19614" s="3" t="s">
        <v>19616</v>
      </c>
      <c r="C19614" s="3" t="s">
        <v>9</v>
      </c>
      <c r="D19614" s="3" t="s">
        <v>9</v>
      </c>
      <c r="E19614" s="3">
        <v>0</v>
      </c>
      <c r="F19614" s="3">
        <v>0</v>
      </c>
      <c r="G19614" s="3">
        <v>0</v>
      </c>
      <c r="H19614" s="3">
        <v>0</v>
      </c>
      <c r="I19614" s="3">
        <v>0</v>
      </c>
      <c r="J19614" s="3">
        <v>0</v>
      </c>
      <c r="K19614" s="3">
        <v>0</v>
      </c>
      <c r="L19614" s="3">
        <v>0</v>
      </c>
      <c r="M19614" s="3">
        <v>0</v>
      </c>
      <c r="N19614" s="3">
        <v>0</v>
      </c>
      <c r="O19614" s="3" t="s">
        <v>9</v>
      </c>
      <c r="P19614" s="3" t="s">
        <v>9</v>
      </c>
      <c r="Q19614" s="3"/>
    </row>
    <row r="19615" spans="1:17" ht="15" x14ac:dyDescent="0.25">
      <c r="A19615" s="3">
        <f>19608</f>
        <v>19608</v>
      </c>
      <c r="B19615" s="3" t="s">
        <v>19617</v>
      </c>
      <c r="C19615" s="3" t="s">
        <v>9</v>
      </c>
      <c r="D19615" s="3" t="s">
        <v>9</v>
      </c>
      <c r="E19615" s="3">
        <v>0</v>
      </c>
      <c r="F19615" s="3">
        <v>0</v>
      </c>
      <c r="G19615" s="3">
        <v>0</v>
      </c>
      <c r="H19615" s="3">
        <v>0</v>
      </c>
      <c r="I19615" s="3">
        <v>0</v>
      </c>
      <c r="J19615" s="3">
        <v>0</v>
      </c>
      <c r="K19615" s="3">
        <v>0</v>
      </c>
      <c r="L19615" s="3">
        <v>0</v>
      </c>
      <c r="M19615" s="3">
        <v>0</v>
      </c>
      <c r="N19615" s="3">
        <v>0</v>
      </c>
      <c r="O19615" s="3" t="s">
        <v>9</v>
      </c>
      <c r="P19615" s="3" t="s">
        <v>9</v>
      </c>
      <c r="Q19615" s="3"/>
    </row>
    <row r="19616" spans="1:17" ht="15" x14ac:dyDescent="0.25">
      <c r="A19616" s="3">
        <f>19609</f>
        <v>19609</v>
      </c>
      <c r="B19616" s="3" t="s">
        <v>19618</v>
      </c>
      <c r="C19616" s="3" t="s">
        <v>9</v>
      </c>
      <c r="D19616" s="3" t="s">
        <v>9</v>
      </c>
      <c r="E19616" s="3">
        <v>0</v>
      </c>
      <c r="F19616" s="3">
        <v>0</v>
      </c>
      <c r="G19616" s="3">
        <v>0</v>
      </c>
      <c r="H19616" s="3">
        <v>0</v>
      </c>
      <c r="I19616" s="3">
        <v>0</v>
      </c>
      <c r="J19616" s="3">
        <v>0</v>
      </c>
      <c r="K19616" s="3">
        <v>0</v>
      </c>
      <c r="L19616" s="3">
        <v>0</v>
      </c>
      <c r="M19616" s="3">
        <v>0</v>
      </c>
      <c r="N19616" s="3">
        <v>0</v>
      </c>
      <c r="O19616" s="3" t="s">
        <v>9</v>
      </c>
      <c r="P19616" s="3" t="s">
        <v>9</v>
      </c>
      <c r="Q19616" s="3"/>
    </row>
    <row r="19617" spans="1:17" ht="15" x14ac:dyDescent="0.25">
      <c r="A19617" s="3">
        <f>19610</f>
        <v>19610</v>
      </c>
      <c r="B19617" s="3" t="s">
        <v>19619</v>
      </c>
      <c r="C19617" s="3" t="s">
        <v>9</v>
      </c>
      <c r="D19617" s="3" t="s">
        <v>9</v>
      </c>
      <c r="E19617" s="3">
        <v>0</v>
      </c>
      <c r="F19617" s="3">
        <v>0</v>
      </c>
      <c r="G19617" s="3">
        <v>0</v>
      </c>
      <c r="H19617" s="3">
        <v>0</v>
      </c>
      <c r="I19617" s="3">
        <v>0</v>
      </c>
      <c r="J19617" s="3">
        <v>0</v>
      </c>
      <c r="K19617" s="3">
        <v>0</v>
      </c>
      <c r="L19617" s="3">
        <v>0</v>
      </c>
      <c r="M19617" s="3">
        <v>0</v>
      </c>
      <c r="N19617" s="3">
        <v>0</v>
      </c>
      <c r="O19617" s="3" t="s">
        <v>9</v>
      </c>
      <c r="P19617" s="3" t="s">
        <v>9</v>
      </c>
      <c r="Q19617" s="3"/>
    </row>
    <row r="19618" spans="1:17" ht="15" x14ac:dyDescent="0.25">
      <c r="A19618" s="3">
        <f>19611</f>
        <v>19611</v>
      </c>
      <c r="B19618" s="3" t="s">
        <v>19620</v>
      </c>
      <c r="C19618" s="3" t="s">
        <v>9</v>
      </c>
      <c r="D19618" s="3" t="s">
        <v>9</v>
      </c>
      <c r="E19618" s="3">
        <v>0</v>
      </c>
      <c r="F19618" s="3">
        <v>0</v>
      </c>
      <c r="G19618" s="3">
        <v>0</v>
      </c>
      <c r="H19618" s="3">
        <v>0</v>
      </c>
      <c r="I19618" s="3">
        <v>0</v>
      </c>
      <c r="J19618" s="3">
        <v>0</v>
      </c>
      <c r="K19618" s="3">
        <v>0</v>
      </c>
      <c r="L19618" s="3">
        <v>0</v>
      </c>
      <c r="M19618" s="3">
        <v>0</v>
      </c>
      <c r="N19618" s="3">
        <v>0</v>
      </c>
      <c r="O19618" s="3" t="s">
        <v>9</v>
      </c>
      <c r="P19618" s="3" t="s">
        <v>9</v>
      </c>
      <c r="Q19618" s="3"/>
    </row>
    <row r="19619" spans="1:17" ht="15" x14ac:dyDescent="0.25">
      <c r="A19619" s="3">
        <f>19612</f>
        <v>19612</v>
      </c>
      <c r="B19619" s="3" t="s">
        <v>19621</v>
      </c>
      <c r="C19619" s="3" t="s">
        <v>9</v>
      </c>
      <c r="D19619" s="3" t="s">
        <v>9</v>
      </c>
      <c r="E19619" s="3">
        <v>0</v>
      </c>
      <c r="F19619" s="3">
        <v>0</v>
      </c>
      <c r="G19619" s="3">
        <v>0</v>
      </c>
      <c r="H19619" s="3">
        <v>0</v>
      </c>
      <c r="I19619" s="3">
        <v>0</v>
      </c>
      <c r="J19619" s="3">
        <v>0</v>
      </c>
      <c r="K19619" s="3">
        <v>0</v>
      </c>
      <c r="L19619" s="3">
        <v>0</v>
      </c>
      <c r="M19619" s="3">
        <v>0</v>
      </c>
      <c r="N19619" s="3">
        <v>0</v>
      </c>
      <c r="O19619" s="3" t="s">
        <v>9</v>
      </c>
      <c r="P19619" s="3" t="s">
        <v>9</v>
      </c>
      <c r="Q19619" s="3"/>
    </row>
    <row r="19620" spans="1:17" ht="15" x14ac:dyDescent="0.25">
      <c r="A19620" s="3">
        <f>19613</f>
        <v>19613</v>
      </c>
      <c r="B19620" s="3" t="s">
        <v>19622</v>
      </c>
      <c r="C19620" s="3" t="s">
        <v>9</v>
      </c>
      <c r="D19620" s="3" t="s">
        <v>9</v>
      </c>
      <c r="E19620" s="3">
        <v>0</v>
      </c>
      <c r="F19620" s="3">
        <v>0</v>
      </c>
      <c r="G19620" s="3">
        <v>0</v>
      </c>
      <c r="H19620" s="3">
        <v>0</v>
      </c>
      <c r="I19620" s="3">
        <v>0</v>
      </c>
      <c r="J19620" s="3">
        <v>0</v>
      </c>
      <c r="K19620" s="3">
        <v>0</v>
      </c>
      <c r="L19620" s="3">
        <v>0</v>
      </c>
      <c r="M19620" s="3">
        <v>0</v>
      </c>
      <c r="N19620" s="3">
        <v>0</v>
      </c>
      <c r="O19620" s="3" t="s">
        <v>9</v>
      </c>
      <c r="P19620" s="3" t="s">
        <v>9</v>
      </c>
      <c r="Q19620" s="3"/>
    </row>
    <row r="19621" spans="1:17" ht="15" x14ac:dyDescent="0.25">
      <c r="A19621" s="3">
        <f>19614</f>
        <v>19614</v>
      </c>
      <c r="B19621" s="3" t="s">
        <v>19623</v>
      </c>
      <c r="C19621" s="3" t="s">
        <v>9</v>
      </c>
      <c r="D19621" s="3" t="s">
        <v>9</v>
      </c>
      <c r="E19621" s="3">
        <v>0</v>
      </c>
      <c r="F19621" s="3">
        <v>0</v>
      </c>
      <c r="G19621" s="3">
        <v>0</v>
      </c>
      <c r="H19621" s="3">
        <v>0</v>
      </c>
      <c r="I19621" s="3">
        <v>0</v>
      </c>
      <c r="J19621" s="3">
        <v>0</v>
      </c>
      <c r="K19621" s="3">
        <v>0</v>
      </c>
      <c r="L19621" s="3">
        <v>0</v>
      </c>
      <c r="M19621" s="3">
        <v>0</v>
      </c>
      <c r="N19621" s="3">
        <v>0</v>
      </c>
      <c r="O19621" s="3" t="s">
        <v>9</v>
      </c>
      <c r="P19621" s="3" t="s">
        <v>9</v>
      </c>
      <c r="Q19621" s="3"/>
    </row>
    <row r="19622" spans="1:17" ht="15" x14ac:dyDescent="0.25">
      <c r="A19622" s="3">
        <f>19615</f>
        <v>19615</v>
      </c>
      <c r="B19622" s="3" t="s">
        <v>19624</v>
      </c>
      <c r="C19622" s="3" t="s">
        <v>9</v>
      </c>
      <c r="D19622" s="3" t="s">
        <v>9</v>
      </c>
      <c r="E19622" s="3">
        <v>0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  <c r="L19622" s="3">
        <v>0</v>
      </c>
      <c r="M19622" s="3">
        <v>0</v>
      </c>
      <c r="N19622" s="3">
        <v>0</v>
      </c>
      <c r="O19622" s="3" t="s">
        <v>9</v>
      </c>
      <c r="P19622" s="3" t="s">
        <v>9</v>
      </c>
      <c r="Q19622" s="3"/>
    </row>
    <row r="19623" spans="1:17" ht="15" x14ac:dyDescent="0.25">
      <c r="A19623" s="3">
        <f>19616</f>
        <v>19616</v>
      </c>
      <c r="B19623" s="3" t="s">
        <v>19625</v>
      </c>
      <c r="C19623" s="3" t="s">
        <v>9</v>
      </c>
      <c r="D19623" s="3" t="s">
        <v>9</v>
      </c>
      <c r="E19623" s="3">
        <v>0</v>
      </c>
      <c r="F19623" s="3">
        <v>0</v>
      </c>
      <c r="G19623" s="3">
        <v>0</v>
      </c>
      <c r="H19623" s="3">
        <v>0</v>
      </c>
      <c r="I19623" s="3">
        <v>0</v>
      </c>
      <c r="J19623" s="3">
        <v>0</v>
      </c>
      <c r="K19623" s="3">
        <v>0</v>
      </c>
      <c r="L19623" s="3">
        <v>0</v>
      </c>
      <c r="M19623" s="3">
        <v>0</v>
      </c>
      <c r="N19623" s="3">
        <v>0</v>
      </c>
      <c r="O19623" s="3" t="s">
        <v>9</v>
      </c>
      <c r="P19623" s="3" t="s">
        <v>9</v>
      </c>
      <c r="Q19623" s="3"/>
    </row>
    <row r="19624" spans="1:17" ht="15" x14ac:dyDescent="0.25">
      <c r="A19624" s="3">
        <f>19617</f>
        <v>19617</v>
      </c>
      <c r="B19624" s="3" t="s">
        <v>19626</v>
      </c>
      <c r="C19624" s="3" t="s">
        <v>9</v>
      </c>
      <c r="D19624" s="3" t="s">
        <v>9</v>
      </c>
      <c r="E19624" s="3">
        <v>0</v>
      </c>
      <c r="F19624" s="3">
        <v>0</v>
      </c>
      <c r="G19624" s="3">
        <v>0</v>
      </c>
      <c r="H19624" s="3">
        <v>0</v>
      </c>
      <c r="I19624" s="3">
        <v>0</v>
      </c>
      <c r="J19624" s="3">
        <v>0</v>
      </c>
      <c r="K19624" s="3">
        <v>0</v>
      </c>
      <c r="L19624" s="3">
        <v>0</v>
      </c>
      <c r="M19624" s="3">
        <v>0</v>
      </c>
      <c r="N19624" s="3">
        <v>0</v>
      </c>
      <c r="O19624" s="3" t="s">
        <v>9</v>
      </c>
      <c r="P19624" s="3" t="s">
        <v>9</v>
      </c>
      <c r="Q19624" s="3"/>
    </row>
    <row r="19625" spans="1:17" ht="15" x14ac:dyDescent="0.25">
      <c r="A19625" s="3">
        <f>19618</f>
        <v>19618</v>
      </c>
      <c r="B19625" s="3" t="s">
        <v>19627</v>
      </c>
      <c r="C19625" s="3" t="s">
        <v>9</v>
      </c>
      <c r="D19625" s="3" t="s">
        <v>9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  <c r="L19625" s="3">
        <v>0</v>
      </c>
      <c r="M19625" s="3">
        <v>0</v>
      </c>
      <c r="N19625" s="3">
        <v>0</v>
      </c>
      <c r="O19625" s="3" t="s">
        <v>9</v>
      </c>
      <c r="P19625" s="3" t="s">
        <v>9</v>
      </c>
      <c r="Q19625" s="3"/>
    </row>
    <row r="19626" spans="1:17" ht="15" x14ac:dyDescent="0.25">
      <c r="A19626" s="3">
        <f>19619</f>
        <v>19619</v>
      </c>
      <c r="B19626" s="3" t="s">
        <v>19628</v>
      </c>
      <c r="C19626" s="3" t="s">
        <v>9</v>
      </c>
      <c r="D19626" s="3" t="s">
        <v>9</v>
      </c>
      <c r="E19626" s="3">
        <v>0</v>
      </c>
      <c r="F19626" s="3">
        <v>0</v>
      </c>
      <c r="G19626" s="3">
        <v>0</v>
      </c>
      <c r="H19626" s="3">
        <v>0</v>
      </c>
      <c r="I19626" s="3">
        <v>0</v>
      </c>
      <c r="J19626" s="3">
        <v>0</v>
      </c>
      <c r="K19626" s="3">
        <v>0</v>
      </c>
      <c r="L19626" s="3">
        <v>0</v>
      </c>
      <c r="M19626" s="3">
        <v>0</v>
      </c>
      <c r="N19626" s="3">
        <v>0</v>
      </c>
      <c r="O19626" s="3" t="s">
        <v>9</v>
      </c>
      <c r="P19626" s="3" t="s">
        <v>9</v>
      </c>
      <c r="Q19626" s="3"/>
    </row>
    <row r="19627" spans="1:17" ht="15" x14ac:dyDescent="0.25">
      <c r="A19627" s="3">
        <f>19620</f>
        <v>19620</v>
      </c>
      <c r="B19627" s="3" t="s">
        <v>19629</v>
      </c>
      <c r="C19627" s="3" t="s">
        <v>9</v>
      </c>
      <c r="D19627" s="3" t="s">
        <v>9</v>
      </c>
      <c r="E19627" s="3">
        <v>0</v>
      </c>
      <c r="F19627" s="3">
        <v>0</v>
      </c>
      <c r="G19627" s="3">
        <v>0</v>
      </c>
      <c r="H19627" s="3">
        <v>0</v>
      </c>
      <c r="I19627" s="3">
        <v>0</v>
      </c>
      <c r="J19627" s="3">
        <v>0</v>
      </c>
      <c r="K19627" s="3">
        <v>0</v>
      </c>
      <c r="L19627" s="3">
        <v>0</v>
      </c>
      <c r="M19627" s="3">
        <v>0</v>
      </c>
      <c r="N19627" s="3">
        <v>0</v>
      </c>
      <c r="O19627" s="3" t="s">
        <v>9</v>
      </c>
      <c r="P19627" s="3" t="s">
        <v>9</v>
      </c>
      <c r="Q19627" s="3"/>
    </row>
    <row r="19628" spans="1:17" ht="15" x14ac:dyDescent="0.25">
      <c r="A19628" s="3">
        <f>19621</f>
        <v>19621</v>
      </c>
      <c r="B19628" s="3" t="s">
        <v>19630</v>
      </c>
      <c r="C19628" s="3" t="s">
        <v>9</v>
      </c>
      <c r="D19628" s="3" t="s">
        <v>9</v>
      </c>
      <c r="E19628" s="3">
        <v>0</v>
      </c>
      <c r="F19628" s="3">
        <v>0</v>
      </c>
      <c r="G19628" s="3">
        <v>0</v>
      </c>
      <c r="H19628" s="3">
        <v>0</v>
      </c>
      <c r="I19628" s="3">
        <v>0</v>
      </c>
      <c r="J19628" s="3">
        <v>0</v>
      </c>
      <c r="K19628" s="3">
        <v>0</v>
      </c>
      <c r="L19628" s="3">
        <v>0</v>
      </c>
      <c r="M19628" s="3">
        <v>0</v>
      </c>
      <c r="N19628" s="3">
        <v>0</v>
      </c>
      <c r="O19628" s="3" t="s">
        <v>9</v>
      </c>
      <c r="P19628" s="3" t="s">
        <v>9</v>
      </c>
      <c r="Q19628" s="3"/>
    </row>
    <row r="19629" spans="1:17" ht="15" x14ac:dyDescent="0.25">
      <c r="A19629" s="3">
        <f>19622</f>
        <v>19622</v>
      </c>
      <c r="B19629" s="3" t="s">
        <v>19631</v>
      </c>
      <c r="C19629" s="3" t="s">
        <v>9</v>
      </c>
      <c r="D19629" s="3" t="s">
        <v>9</v>
      </c>
      <c r="E19629" s="3">
        <v>0</v>
      </c>
      <c r="F19629" s="3">
        <v>0</v>
      </c>
      <c r="G19629" s="3">
        <v>0</v>
      </c>
      <c r="H19629" s="3">
        <v>0</v>
      </c>
      <c r="I19629" s="3">
        <v>0</v>
      </c>
      <c r="J19629" s="3">
        <v>0</v>
      </c>
      <c r="K19629" s="3">
        <v>0</v>
      </c>
      <c r="L19629" s="3">
        <v>0</v>
      </c>
      <c r="M19629" s="3">
        <v>0</v>
      </c>
      <c r="N19629" s="3">
        <v>0</v>
      </c>
      <c r="O19629" s="3" t="s">
        <v>9</v>
      </c>
      <c r="P19629" s="3" t="s">
        <v>9</v>
      </c>
      <c r="Q19629" s="3"/>
    </row>
    <row r="19630" spans="1:17" ht="15" x14ac:dyDescent="0.25">
      <c r="A19630" s="3">
        <f>19623</f>
        <v>19623</v>
      </c>
      <c r="B19630" s="3" t="s">
        <v>19632</v>
      </c>
      <c r="C19630" s="3" t="s">
        <v>9</v>
      </c>
      <c r="D19630" s="3" t="s">
        <v>9</v>
      </c>
      <c r="E19630" s="3">
        <v>0</v>
      </c>
      <c r="F19630" s="3">
        <v>0</v>
      </c>
      <c r="G19630" s="3">
        <v>0</v>
      </c>
      <c r="H19630" s="3">
        <v>0</v>
      </c>
      <c r="I19630" s="3">
        <v>0</v>
      </c>
      <c r="J19630" s="3">
        <v>0</v>
      </c>
      <c r="K19630" s="3">
        <v>0</v>
      </c>
      <c r="L19630" s="3">
        <v>0</v>
      </c>
      <c r="M19630" s="3">
        <v>0</v>
      </c>
      <c r="N19630" s="3">
        <v>0</v>
      </c>
      <c r="O19630" s="3" t="s">
        <v>9</v>
      </c>
      <c r="P19630" s="3" t="s">
        <v>9</v>
      </c>
      <c r="Q19630" s="3"/>
    </row>
    <row r="19631" spans="1:17" ht="15" x14ac:dyDescent="0.25">
      <c r="A19631" s="3">
        <f>19624</f>
        <v>19624</v>
      </c>
      <c r="B19631" s="3" t="s">
        <v>19633</v>
      </c>
      <c r="C19631" s="3" t="s">
        <v>9</v>
      </c>
      <c r="D19631" s="3" t="s">
        <v>9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3">
        <v>0</v>
      </c>
      <c r="N19631" s="3">
        <v>0</v>
      </c>
      <c r="O19631" s="3" t="s">
        <v>9</v>
      </c>
      <c r="P19631" s="3" t="s">
        <v>9</v>
      </c>
      <c r="Q19631" s="3"/>
    </row>
    <row r="19632" spans="1:17" ht="15" x14ac:dyDescent="0.25">
      <c r="A19632" s="3">
        <f>19625</f>
        <v>19625</v>
      </c>
      <c r="B19632" s="3" t="s">
        <v>19634</v>
      </c>
      <c r="C19632" s="3" t="s">
        <v>9</v>
      </c>
      <c r="D19632" s="3" t="s">
        <v>9</v>
      </c>
      <c r="E19632" s="3">
        <v>0</v>
      </c>
      <c r="F19632" s="3">
        <v>0</v>
      </c>
      <c r="G19632" s="3">
        <v>0</v>
      </c>
      <c r="H19632" s="3">
        <v>0</v>
      </c>
      <c r="I19632" s="3">
        <v>0</v>
      </c>
      <c r="J19632" s="3">
        <v>0</v>
      </c>
      <c r="K19632" s="3">
        <v>0</v>
      </c>
      <c r="L19632" s="3">
        <v>0</v>
      </c>
      <c r="M19632" s="3">
        <v>0</v>
      </c>
      <c r="N19632" s="3">
        <v>0</v>
      </c>
      <c r="O19632" s="3" t="s">
        <v>9</v>
      </c>
      <c r="P19632" s="3" t="s">
        <v>9</v>
      </c>
      <c r="Q19632" s="3"/>
    </row>
    <row r="19633" spans="1:17" ht="15" x14ac:dyDescent="0.25">
      <c r="A19633" s="3">
        <f>19626</f>
        <v>19626</v>
      </c>
      <c r="B19633" s="3" t="s">
        <v>19635</v>
      </c>
      <c r="C19633" s="3" t="s">
        <v>9</v>
      </c>
      <c r="D19633" s="3" t="s">
        <v>9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  <c r="L19633" s="3">
        <v>0</v>
      </c>
      <c r="M19633" s="3">
        <v>0</v>
      </c>
      <c r="N19633" s="3">
        <v>0</v>
      </c>
      <c r="O19633" s="3" t="s">
        <v>9</v>
      </c>
      <c r="P19633" s="3" t="s">
        <v>9</v>
      </c>
      <c r="Q19633" s="3"/>
    </row>
    <row r="19634" spans="1:17" ht="15" x14ac:dyDescent="0.25">
      <c r="A19634" s="3">
        <f>19627</f>
        <v>19627</v>
      </c>
      <c r="B19634" s="3" t="s">
        <v>19636</v>
      </c>
      <c r="C19634" s="3" t="s">
        <v>9</v>
      </c>
      <c r="D19634" s="3" t="s">
        <v>9</v>
      </c>
      <c r="E19634" s="3">
        <v>0</v>
      </c>
      <c r="F19634" s="3">
        <v>0</v>
      </c>
      <c r="G19634" s="3">
        <v>0</v>
      </c>
      <c r="H19634" s="3">
        <v>0</v>
      </c>
      <c r="I19634" s="3">
        <v>0</v>
      </c>
      <c r="J19634" s="3">
        <v>0</v>
      </c>
      <c r="K19634" s="3">
        <v>0</v>
      </c>
      <c r="L19634" s="3">
        <v>0</v>
      </c>
      <c r="M19634" s="3">
        <v>0</v>
      </c>
      <c r="N19634" s="3">
        <v>0</v>
      </c>
      <c r="O19634" s="3" t="s">
        <v>9</v>
      </c>
      <c r="P19634" s="3" t="s">
        <v>9</v>
      </c>
      <c r="Q19634" s="3"/>
    </row>
    <row r="19635" spans="1:17" ht="15" x14ac:dyDescent="0.25">
      <c r="A19635" s="3">
        <f>19628</f>
        <v>19628</v>
      </c>
      <c r="B19635" s="3" t="s">
        <v>19637</v>
      </c>
      <c r="C19635" s="3" t="s">
        <v>9</v>
      </c>
      <c r="D19635" s="3" t="s">
        <v>9</v>
      </c>
      <c r="E19635" s="3">
        <v>0</v>
      </c>
      <c r="F19635" s="3">
        <v>0</v>
      </c>
      <c r="G19635" s="3">
        <v>0</v>
      </c>
      <c r="H19635" s="3">
        <v>0</v>
      </c>
      <c r="I19635" s="3">
        <v>0</v>
      </c>
      <c r="J19635" s="3">
        <v>0</v>
      </c>
      <c r="K19635" s="3">
        <v>0</v>
      </c>
      <c r="L19635" s="3">
        <v>0</v>
      </c>
      <c r="M19635" s="3">
        <v>0</v>
      </c>
      <c r="N19635" s="3">
        <v>0</v>
      </c>
      <c r="O19635" s="3" t="s">
        <v>9</v>
      </c>
      <c r="P19635" s="3" t="s">
        <v>9</v>
      </c>
      <c r="Q19635" s="3"/>
    </row>
    <row r="19636" spans="1:17" ht="15" x14ac:dyDescent="0.25">
      <c r="A19636" s="3">
        <f>19629</f>
        <v>19629</v>
      </c>
      <c r="B19636" s="3" t="s">
        <v>19638</v>
      </c>
      <c r="C19636" s="3" t="s">
        <v>9</v>
      </c>
      <c r="D19636" s="3" t="s">
        <v>9</v>
      </c>
      <c r="E19636" s="3">
        <v>0</v>
      </c>
      <c r="F19636" s="3">
        <v>0</v>
      </c>
      <c r="G19636" s="3">
        <v>0</v>
      </c>
      <c r="H19636" s="3">
        <v>0</v>
      </c>
      <c r="I19636" s="3">
        <v>0</v>
      </c>
      <c r="J19636" s="3">
        <v>0</v>
      </c>
      <c r="K19636" s="3">
        <v>0</v>
      </c>
      <c r="L19636" s="3">
        <v>0</v>
      </c>
      <c r="M19636" s="3">
        <v>0</v>
      </c>
      <c r="N19636" s="3">
        <v>0</v>
      </c>
      <c r="O19636" s="3" t="s">
        <v>9</v>
      </c>
      <c r="P19636" s="3" t="s">
        <v>9</v>
      </c>
      <c r="Q19636" s="3"/>
    </row>
    <row r="19637" spans="1:17" ht="15" x14ac:dyDescent="0.25">
      <c r="A19637" s="3">
        <f>19630</f>
        <v>19630</v>
      </c>
      <c r="B19637" s="3" t="s">
        <v>19639</v>
      </c>
      <c r="C19637" s="3" t="s">
        <v>9</v>
      </c>
      <c r="D19637" s="3" t="s">
        <v>9</v>
      </c>
      <c r="E19637" s="3">
        <v>0</v>
      </c>
      <c r="F19637" s="3">
        <v>0</v>
      </c>
      <c r="G19637" s="3">
        <v>0</v>
      </c>
      <c r="H19637" s="3">
        <v>0</v>
      </c>
      <c r="I19637" s="3">
        <v>0</v>
      </c>
      <c r="J19637" s="3">
        <v>0</v>
      </c>
      <c r="K19637" s="3">
        <v>0</v>
      </c>
      <c r="L19637" s="3">
        <v>0</v>
      </c>
      <c r="M19637" s="3">
        <v>0</v>
      </c>
      <c r="N19637" s="3">
        <v>0</v>
      </c>
      <c r="O19637" s="3" t="s">
        <v>9</v>
      </c>
      <c r="P19637" s="3" t="s">
        <v>9</v>
      </c>
      <c r="Q19637" s="3"/>
    </row>
    <row r="19638" spans="1:17" ht="15" x14ac:dyDescent="0.25">
      <c r="A19638" s="3">
        <f>19631</f>
        <v>19631</v>
      </c>
      <c r="B19638" s="3" t="s">
        <v>19640</v>
      </c>
      <c r="C19638" s="3" t="s">
        <v>9</v>
      </c>
      <c r="D19638" s="3" t="s">
        <v>9</v>
      </c>
      <c r="E19638" s="3">
        <v>0</v>
      </c>
      <c r="F19638" s="3">
        <v>0</v>
      </c>
      <c r="G19638" s="3">
        <v>0</v>
      </c>
      <c r="H19638" s="3">
        <v>0</v>
      </c>
      <c r="I19638" s="3">
        <v>0</v>
      </c>
      <c r="J19638" s="3">
        <v>0</v>
      </c>
      <c r="K19638" s="3">
        <v>0</v>
      </c>
      <c r="L19638" s="3">
        <v>0</v>
      </c>
      <c r="M19638" s="3">
        <v>0</v>
      </c>
      <c r="N19638" s="3">
        <v>0</v>
      </c>
      <c r="O19638" s="3" t="s">
        <v>9</v>
      </c>
      <c r="P19638" s="3" t="s">
        <v>9</v>
      </c>
      <c r="Q19638" s="3"/>
    </row>
    <row r="19639" spans="1:17" ht="15" x14ac:dyDescent="0.25">
      <c r="A19639" s="3">
        <f>19632</f>
        <v>19632</v>
      </c>
      <c r="B19639" s="3" t="s">
        <v>19641</v>
      </c>
      <c r="C19639" s="3" t="s">
        <v>9</v>
      </c>
      <c r="D19639" s="3" t="s">
        <v>9</v>
      </c>
      <c r="E19639" s="3">
        <v>0</v>
      </c>
      <c r="F19639" s="3">
        <v>0</v>
      </c>
      <c r="G19639" s="3">
        <v>0</v>
      </c>
      <c r="H19639" s="3">
        <v>0</v>
      </c>
      <c r="I19639" s="3">
        <v>0</v>
      </c>
      <c r="J19639" s="3">
        <v>0</v>
      </c>
      <c r="K19639" s="3">
        <v>0</v>
      </c>
      <c r="L19639" s="3">
        <v>0</v>
      </c>
      <c r="M19639" s="3">
        <v>0</v>
      </c>
      <c r="N19639" s="3">
        <v>0</v>
      </c>
      <c r="O19639" s="3" t="s">
        <v>9</v>
      </c>
      <c r="P19639" s="3" t="s">
        <v>9</v>
      </c>
      <c r="Q19639" s="3"/>
    </row>
    <row r="19640" spans="1:17" ht="15" x14ac:dyDescent="0.25">
      <c r="A19640" s="3">
        <f>19633</f>
        <v>19633</v>
      </c>
      <c r="B19640" s="3" t="s">
        <v>19642</v>
      </c>
      <c r="C19640" s="3" t="s">
        <v>9</v>
      </c>
      <c r="D19640" s="3" t="s">
        <v>9</v>
      </c>
      <c r="E19640" s="3">
        <v>0</v>
      </c>
      <c r="F19640" s="3">
        <v>0</v>
      </c>
      <c r="G19640" s="3">
        <v>0</v>
      </c>
      <c r="H19640" s="3">
        <v>0</v>
      </c>
      <c r="I19640" s="3">
        <v>0</v>
      </c>
      <c r="J19640" s="3">
        <v>0</v>
      </c>
      <c r="K19640" s="3">
        <v>0</v>
      </c>
      <c r="L19640" s="3">
        <v>0</v>
      </c>
      <c r="M19640" s="3">
        <v>0</v>
      </c>
      <c r="N19640" s="3">
        <v>0</v>
      </c>
      <c r="O19640" s="3" t="s">
        <v>9</v>
      </c>
      <c r="P19640" s="3" t="s">
        <v>9</v>
      </c>
      <c r="Q19640" s="3"/>
    </row>
    <row r="19641" spans="1:17" ht="15" x14ac:dyDescent="0.25">
      <c r="A19641" s="3">
        <f>19634</f>
        <v>19634</v>
      </c>
      <c r="B19641" s="3" t="s">
        <v>19643</v>
      </c>
      <c r="C19641" s="3" t="s">
        <v>9</v>
      </c>
      <c r="D19641" s="3" t="s">
        <v>9</v>
      </c>
      <c r="E19641" s="3">
        <v>0</v>
      </c>
      <c r="F19641" s="3">
        <v>0</v>
      </c>
      <c r="G19641" s="3">
        <v>0</v>
      </c>
      <c r="H19641" s="3">
        <v>0</v>
      </c>
      <c r="I19641" s="3">
        <v>0</v>
      </c>
      <c r="J19641" s="3">
        <v>0</v>
      </c>
      <c r="K19641" s="3">
        <v>0</v>
      </c>
      <c r="L19641" s="3">
        <v>0</v>
      </c>
      <c r="M19641" s="3">
        <v>0</v>
      </c>
      <c r="N19641" s="3">
        <v>0</v>
      </c>
      <c r="O19641" s="3" t="s">
        <v>9</v>
      </c>
      <c r="P19641" s="3" t="s">
        <v>9</v>
      </c>
      <c r="Q19641" s="3"/>
    </row>
    <row r="19642" spans="1:17" ht="15" x14ac:dyDescent="0.25">
      <c r="A19642" s="3">
        <f>19635</f>
        <v>19635</v>
      </c>
      <c r="B19642" s="3" t="s">
        <v>19644</v>
      </c>
      <c r="C19642" s="3" t="s">
        <v>9</v>
      </c>
      <c r="D19642" s="3" t="s">
        <v>9</v>
      </c>
      <c r="E19642" s="3">
        <v>0</v>
      </c>
      <c r="F19642" s="3">
        <v>0</v>
      </c>
      <c r="G19642" s="3">
        <v>0</v>
      </c>
      <c r="H19642" s="3">
        <v>0</v>
      </c>
      <c r="I19642" s="3">
        <v>0</v>
      </c>
      <c r="J19642" s="3">
        <v>0</v>
      </c>
      <c r="K19642" s="3">
        <v>0</v>
      </c>
      <c r="L19642" s="3">
        <v>0</v>
      </c>
      <c r="M19642" s="3">
        <v>0</v>
      </c>
      <c r="N19642" s="3">
        <v>0</v>
      </c>
      <c r="O19642" s="3" t="s">
        <v>9</v>
      </c>
      <c r="P19642" s="3" t="s">
        <v>9</v>
      </c>
      <c r="Q19642" s="3"/>
    </row>
    <row r="19643" spans="1:17" ht="15" x14ac:dyDescent="0.25">
      <c r="A19643" s="3">
        <f>19636</f>
        <v>19636</v>
      </c>
      <c r="B19643" s="3" t="s">
        <v>19645</v>
      </c>
      <c r="C19643" s="3" t="s">
        <v>9</v>
      </c>
      <c r="D19643" s="3" t="s">
        <v>9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3">
        <v>0</v>
      </c>
      <c r="N19643" s="3">
        <v>0</v>
      </c>
      <c r="O19643" s="3" t="s">
        <v>9</v>
      </c>
      <c r="P19643" s="3" t="s">
        <v>9</v>
      </c>
      <c r="Q19643" s="3"/>
    </row>
    <row r="19644" spans="1:17" ht="15" x14ac:dyDescent="0.25">
      <c r="A19644" s="3">
        <f>19637</f>
        <v>19637</v>
      </c>
      <c r="B19644" s="3" t="s">
        <v>19646</v>
      </c>
      <c r="C19644" s="3" t="s">
        <v>9</v>
      </c>
      <c r="D19644" s="3" t="s">
        <v>9</v>
      </c>
      <c r="E19644" s="3">
        <v>0</v>
      </c>
      <c r="F19644" s="3">
        <v>0</v>
      </c>
      <c r="G19644" s="3">
        <v>0</v>
      </c>
      <c r="H19644" s="3">
        <v>0</v>
      </c>
      <c r="I19644" s="3">
        <v>0</v>
      </c>
      <c r="J19644" s="3">
        <v>0</v>
      </c>
      <c r="K19644" s="3">
        <v>0</v>
      </c>
      <c r="L19644" s="3">
        <v>0</v>
      </c>
      <c r="M19644" s="3">
        <v>0</v>
      </c>
      <c r="N19644" s="3">
        <v>0</v>
      </c>
      <c r="O19644" s="3" t="s">
        <v>9</v>
      </c>
      <c r="P19644" s="3" t="s">
        <v>9</v>
      </c>
      <c r="Q19644" s="3"/>
    </row>
    <row r="19645" spans="1:17" ht="15" x14ac:dyDescent="0.25">
      <c r="A19645" s="3">
        <f>19638</f>
        <v>19638</v>
      </c>
      <c r="B19645" s="3" t="s">
        <v>19647</v>
      </c>
      <c r="C19645" s="3" t="s">
        <v>9</v>
      </c>
      <c r="D19645" s="3" t="s">
        <v>9</v>
      </c>
      <c r="E19645" s="3">
        <v>0</v>
      </c>
      <c r="F19645" s="3">
        <v>0</v>
      </c>
      <c r="G19645" s="3">
        <v>0</v>
      </c>
      <c r="H19645" s="3">
        <v>0</v>
      </c>
      <c r="I19645" s="3">
        <v>0</v>
      </c>
      <c r="J19645" s="3">
        <v>0</v>
      </c>
      <c r="K19645" s="3">
        <v>0</v>
      </c>
      <c r="L19645" s="3">
        <v>0</v>
      </c>
      <c r="M19645" s="3">
        <v>0</v>
      </c>
      <c r="N19645" s="3">
        <v>0</v>
      </c>
      <c r="O19645" s="3" t="s">
        <v>9</v>
      </c>
      <c r="P19645" s="3" t="s">
        <v>9</v>
      </c>
      <c r="Q19645" s="3"/>
    </row>
    <row r="19646" spans="1:17" ht="15" x14ac:dyDescent="0.25">
      <c r="A19646" s="3">
        <f>19639</f>
        <v>19639</v>
      </c>
      <c r="B19646" s="3" t="s">
        <v>19648</v>
      </c>
      <c r="C19646" s="3" t="s">
        <v>9</v>
      </c>
      <c r="D19646" s="3" t="s">
        <v>9</v>
      </c>
      <c r="E19646" s="3">
        <v>0</v>
      </c>
      <c r="F19646" s="3">
        <v>0</v>
      </c>
      <c r="G19646" s="3">
        <v>0</v>
      </c>
      <c r="H19646" s="3">
        <v>0</v>
      </c>
      <c r="I19646" s="3">
        <v>0</v>
      </c>
      <c r="J19646" s="3">
        <v>0</v>
      </c>
      <c r="K19646" s="3">
        <v>0</v>
      </c>
      <c r="L19646" s="3">
        <v>0</v>
      </c>
      <c r="M19646" s="3">
        <v>0</v>
      </c>
      <c r="N19646" s="3">
        <v>0</v>
      </c>
      <c r="O19646" s="3" t="s">
        <v>9</v>
      </c>
      <c r="P19646" s="3" t="s">
        <v>9</v>
      </c>
      <c r="Q19646" s="3"/>
    </row>
    <row r="19647" spans="1:17" ht="15" x14ac:dyDescent="0.25">
      <c r="A19647" s="3">
        <f>19640</f>
        <v>19640</v>
      </c>
      <c r="B19647" s="3" t="s">
        <v>19649</v>
      </c>
      <c r="C19647" s="3" t="s">
        <v>9</v>
      </c>
      <c r="D19647" s="3" t="s">
        <v>9</v>
      </c>
      <c r="E19647" s="3">
        <v>0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0</v>
      </c>
      <c r="L19647" s="3">
        <v>0</v>
      </c>
      <c r="M19647" s="3">
        <v>0</v>
      </c>
      <c r="N19647" s="3">
        <v>0</v>
      </c>
      <c r="O19647" s="3" t="s">
        <v>9</v>
      </c>
      <c r="P19647" s="3" t="s">
        <v>9</v>
      </c>
      <c r="Q19647" s="3"/>
    </row>
    <row r="19648" spans="1:17" ht="15" x14ac:dyDescent="0.25">
      <c r="A19648" s="3">
        <f>19641</f>
        <v>19641</v>
      </c>
      <c r="B19648" s="3" t="s">
        <v>19650</v>
      </c>
      <c r="C19648" s="3" t="s">
        <v>9</v>
      </c>
      <c r="D19648" s="3" t="s">
        <v>9</v>
      </c>
      <c r="E19648" s="3">
        <v>0</v>
      </c>
      <c r="F19648" s="3">
        <v>0</v>
      </c>
      <c r="G19648" s="3">
        <v>0</v>
      </c>
      <c r="H19648" s="3">
        <v>0</v>
      </c>
      <c r="I19648" s="3">
        <v>0</v>
      </c>
      <c r="J19648" s="3">
        <v>0</v>
      </c>
      <c r="K19648" s="3">
        <v>0</v>
      </c>
      <c r="L19648" s="3">
        <v>0</v>
      </c>
      <c r="M19648" s="3">
        <v>0</v>
      </c>
      <c r="N19648" s="3">
        <v>0</v>
      </c>
      <c r="O19648" s="3" t="s">
        <v>9</v>
      </c>
      <c r="P19648" s="3" t="s">
        <v>9</v>
      </c>
      <c r="Q19648" s="3"/>
    </row>
    <row r="19649" spans="1:17" ht="15" x14ac:dyDescent="0.25">
      <c r="A19649" s="3">
        <f>19642</f>
        <v>19642</v>
      </c>
      <c r="B19649" s="3" t="s">
        <v>19651</v>
      </c>
      <c r="C19649" s="3" t="s">
        <v>9</v>
      </c>
      <c r="D19649" s="3" t="s">
        <v>9</v>
      </c>
      <c r="E19649" s="3">
        <v>0</v>
      </c>
      <c r="F19649" s="3">
        <v>0</v>
      </c>
      <c r="G19649" s="3">
        <v>0</v>
      </c>
      <c r="H19649" s="3">
        <v>0</v>
      </c>
      <c r="I19649" s="3">
        <v>0</v>
      </c>
      <c r="J19649" s="3">
        <v>0</v>
      </c>
      <c r="K19649" s="3">
        <v>0</v>
      </c>
      <c r="L19649" s="3">
        <v>0</v>
      </c>
      <c r="M19649" s="3">
        <v>0</v>
      </c>
      <c r="N19649" s="3">
        <v>0</v>
      </c>
      <c r="O19649" s="3" t="s">
        <v>9</v>
      </c>
      <c r="P19649" s="3" t="s">
        <v>9</v>
      </c>
      <c r="Q19649" s="3"/>
    </row>
    <row r="19650" spans="1:17" ht="15" x14ac:dyDescent="0.25">
      <c r="A19650" s="3">
        <f>19643</f>
        <v>19643</v>
      </c>
      <c r="B19650" s="3" t="s">
        <v>19652</v>
      </c>
      <c r="C19650" s="3" t="s">
        <v>9</v>
      </c>
      <c r="D19650" s="3" t="s">
        <v>9</v>
      </c>
      <c r="E19650" s="3">
        <v>0</v>
      </c>
      <c r="F19650" s="3">
        <v>0</v>
      </c>
      <c r="G19650" s="3">
        <v>0</v>
      </c>
      <c r="H19650" s="3">
        <v>0</v>
      </c>
      <c r="I19650" s="3">
        <v>0</v>
      </c>
      <c r="J19650" s="3">
        <v>0</v>
      </c>
      <c r="K19650" s="3">
        <v>0</v>
      </c>
      <c r="L19650" s="3">
        <v>0</v>
      </c>
      <c r="M19650" s="3">
        <v>0</v>
      </c>
      <c r="N19650" s="3">
        <v>0</v>
      </c>
      <c r="O19650" s="3" t="s">
        <v>9</v>
      </c>
      <c r="P19650" s="3" t="s">
        <v>9</v>
      </c>
      <c r="Q19650" s="3"/>
    </row>
    <row r="19651" spans="1:17" ht="15" x14ac:dyDescent="0.25">
      <c r="A19651" s="3">
        <f>19644</f>
        <v>19644</v>
      </c>
      <c r="B19651" s="3" t="s">
        <v>19653</v>
      </c>
      <c r="C19651" s="3" t="s">
        <v>9</v>
      </c>
      <c r="D19651" s="3" t="s">
        <v>9</v>
      </c>
      <c r="E19651" s="3">
        <v>0</v>
      </c>
      <c r="F19651" s="3">
        <v>0</v>
      </c>
      <c r="G19651" s="3">
        <v>0</v>
      </c>
      <c r="H19651" s="3">
        <v>0</v>
      </c>
      <c r="I19651" s="3">
        <v>0</v>
      </c>
      <c r="J19651" s="3">
        <v>0</v>
      </c>
      <c r="K19651" s="3">
        <v>0</v>
      </c>
      <c r="L19651" s="3">
        <v>0</v>
      </c>
      <c r="M19651" s="3">
        <v>0</v>
      </c>
      <c r="N19651" s="3">
        <v>0</v>
      </c>
      <c r="O19651" s="3" t="s">
        <v>9</v>
      </c>
      <c r="P19651" s="3" t="s">
        <v>9</v>
      </c>
      <c r="Q19651" s="3"/>
    </row>
    <row r="19652" spans="1:17" ht="15" x14ac:dyDescent="0.25">
      <c r="A19652" s="3">
        <f>19645</f>
        <v>19645</v>
      </c>
      <c r="B19652" s="3" t="s">
        <v>19654</v>
      </c>
      <c r="C19652" s="3" t="s">
        <v>9</v>
      </c>
      <c r="D19652" s="3" t="s">
        <v>9</v>
      </c>
      <c r="E19652" s="3">
        <v>0</v>
      </c>
      <c r="F19652" s="3">
        <v>0</v>
      </c>
      <c r="G19652" s="3">
        <v>0</v>
      </c>
      <c r="H19652" s="3">
        <v>0</v>
      </c>
      <c r="I19652" s="3">
        <v>0</v>
      </c>
      <c r="J19652" s="3">
        <v>0</v>
      </c>
      <c r="K19652" s="3">
        <v>0</v>
      </c>
      <c r="L19652" s="3">
        <v>0</v>
      </c>
      <c r="M19652" s="3">
        <v>0</v>
      </c>
      <c r="N19652" s="3">
        <v>0</v>
      </c>
      <c r="O19652" s="3" t="s">
        <v>9</v>
      </c>
      <c r="P19652" s="3" t="s">
        <v>9</v>
      </c>
      <c r="Q19652" s="3"/>
    </row>
    <row r="19653" spans="1:17" ht="15" x14ac:dyDescent="0.25">
      <c r="A19653" s="3">
        <f>19646</f>
        <v>19646</v>
      </c>
      <c r="B19653" s="3" t="s">
        <v>19655</v>
      </c>
      <c r="C19653" s="3" t="s">
        <v>9</v>
      </c>
      <c r="D19653" s="3" t="s">
        <v>9</v>
      </c>
      <c r="E19653" s="3">
        <v>0</v>
      </c>
      <c r="F19653" s="3">
        <v>0</v>
      </c>
      <c r="G19653" s="3">
        <v>0</v>
      </c>
      <c r="H19653" s="3">
        <v>0</v>
      </c>
      <c r="I19653" s="3">
        <v>0</v>
      </c>
      <c r="J19653" s="3">
        <v>0</v>
      </c>
      <c r="K19653" s="3">
        <v>0</v>
      </c>
      <c r="L19653" s="3">
        <v>0</v>
      </c>
      <c r="M19653" s="3">
        <v>0</v>
      </c>
      <c r="N19653" s="3">
        <v>0</v>
      </c>
      <c r="O19653" s="3" t="s">
        <v>9</v>
      </c>
      <c r="P19653" s="3" t="s">
        <v>9</v>
      </c>
      <c r="Q19653" s="3"/>
    </row>
    <row r="19654" spans="1:17" ht="15" x14ac:dyDescent="0.25">
      <c r="A19654" s="3">
        <f>19647</f>
        <v>19647</v>
      </c>
      <c r="B19654" s="3" t="s">
        <v>19656</v>
      </c>
      <c r="C19654" s="3" t="s">
        <v>9</v>
      </c>
      <c r="D19654" s="3" t="s">
        <v>9</v>
      </c>
      <c r="E19654" s="3">
        <v>0</v>
      </c>
      <c r="F19654" s="3">
        <v>0</v>
      </c>
      <c r="G19654" s="3">
        <v>0</v>
      </c>
      <c r="H19654" s="3">
        <v>0</v>
      </c>
      <c r="I19654" s="3">
        <v>0</v>
      </c>
      <c r="J19654" s="3">
        <v>0</v>
      </c>
      <c r="K19654" s="3">
        <v>0</v>
      </c>
      <c r="L19654" s="3">
        <v>0</v>
      </c>
      <c r="M19654" s="3">
        <v>0</v>
      </c>
      <c r="N19654" s="3">
        <v>0</v>
      </c>
      <c r="O19654" s="3" t="s">
        <v>9</v>
      </c>
      <c r="P19654" s="3" t="s">
        <v>9</v>
      </c>
      <c r="Q19654" s="3"/>
    </row>
    <row r="19655" spans="1:17" ht="15" x14ac:dyDescent="0.25">
      <c r="A19655" s="3">
        <f>19648</f>
        <v>19648</v>
      </c>
      <c r="B19655" s="3" t="s">
        <v>19657</v>
      </c>
      <c r="C19655" s="3" t="s">
        <v>9</v>
      </c>
      <c r="D19655" s="3" t="s">
        <v>9</v>
      </c>
      <c r="E19655" s="3">
        <v>0</v>
      </c>
      <c r="F19655" s="3">
        <v>0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  <c r="L19655" s="3">
        <v>0</v>
      </c>
      <c r="M19655" s="3">
        <v>0</v>
      </c>
      <c r="N19655" s="3">
        <v>0</v>
      </c>
      <c r="O19655" s="3" t="s">
        <v>9</v>
      </c>
      <c r="P19655" s="3" t="s">
        <v>9</v>
      </c>
      <c r="Q19655" s="3"/>
    </row>
    <row r="19656" spans="1:17" ht="15" x14ac:dyDescent="0.25">
      <c r="A19656" s="3">
        <f>19649</f>
        <v>19649</v>
      </c>
      <c r="B19656" s="3" t="s">
        <v>19658</v>
      </c>
      <c r="C19656" s="3" t="s">
        <v>9</v>
      </c>
      <c r="D19656" s="3" t="s">
        <v>9</v>
      </c>
      <c r="E19656" s="3">
        <v>0</v>
      </c>
      <c r="F19656" s="3">
        <v>0</v>
      </c>
      <c r="G19656" s="3">
        <v>0</v>
      </c>
      <c r="H19656" s="3">
        <v>0</v>
      </c>
      <c r="I19656" s="3">
        <v>0</v>
      </c>
      <c r="J19656" s="3">
        <v>0</v>
      </c>
      <c r="K19656" s="3">
        <v>0</v>
      </c>
      <c r="L19656" s="3">
        <v>0</v>
      </c>
      <c r="M19656" s="3">
        <v>0</v>
      </c>
      <c r="N19656" s="3">
        <v>0</v>
      </c>
      <c r="O19656" s="3" t="s">
        <v>9</v>
      </c>
      <c r="P19656" s="3" t="s">
        <v>9</v>
      </c>
      <c r="Q19656" s="3"/>
    </row>
    <row r="19657" spans="1:17" ht="15" x14ac:dyDescent="0.25">
      <c r="A19657" s="3">
        <f>19650</f>
        <v>19650</v>
      </c>
      <c r="B19657" s="3" t="s">
        <v>19659</v>
      </c>
      <c r="C19657" s="3" t="s">
        <v>9</v>
      </c>
      <c r="D19657" s="3" t="s">
        <v>9</v>
      </c>
      <c r="E19657" s="3">
        <v>0</v>
      </c>
      <c r="F19657" s="3">
        <v>0</v>
      </c>
      <c r="G19657" s="3">
        <v>0</v>
      </c>
      <c r="H19657" s="3">
        <v>0</v>
      </c>
      <c r="I19657" s="3">
        <v>0</v>
      </c>
      <c r="J19657" s="3">
        <v>0</v>
      </c>
      <c r="K19657" s="3">
        <v>0</v>
      </c>
      <c r="L19657" s="3">
        <v>0</v>
      </c>
      <c r="M19657" s="3">
        <v>0</v>
      </c>
      <c r="N19657" s="3">
        <v>0</v>
      </c>
      <c r="O19657" s="3" t="s">
        <v>9</v>
      </c>
      <c r="P19657" s="3" t="s">
        <v>9</v>
      </c>
      <c r="Q19657" s="3"/>
    </row>
    <row r="19658" spans="1:17" ht="15" x14ac:dyDescent="0.25">
      <c r="A19658" s="3">
        <f>19651</f>
        <v>19651</v>
      </c>
      <c r="B19658" s="3" t="s">
        <v>19660</v>
      </c>
      <c r="C19658" s="3" t="s">
        <v>9</v>
      </c>
      <c r="D19658" s="3" t="s">
        <v>9</v>
      </c>
      <c r="E19658" s="3">
        <v>0</v>
      </c>
      <c r="F19658" s="3">
        <v>0</v>
      </c>
      <c r="G19658" s="3">
        <v>0</v>
      </c>
      <c r="H19658" s="3">
        <v>0</v>
      </c>
      <c r="I19658" s="3">
        <v>0</v>
      </c>
      <c r="J19658" s="3">
        <v>0</v>
      </c>
      <c r="K19658" s="3">
        <v>0</v>
      </c>
      <c r="L19658" s="3">
        <v>0</v>
      </c>
      <c r="M19658" s="3">
        <v>0</v>
      </c>
      <c r="N19658" s="3">
        <v>0</v>
      </c>
      <c r="O19658" s="3" t="s">
        <v>9</v>
      </c>
      <c r="P19658" s="3" t="s">
        <v>9</v>
      </c>
      <c r="Q19658" s="3"/>
    </row>
    <row r="19659" spans="1:17" ht="15" x14ac:dyDescent="0.25">
      <c r="A19659" s="3">
        <f>19652</f>
        <v>19652</v>
      </c>
      <c r="B19659" s="3" t="s">
        <v>19661</v>
      </c>
      <c r="C19659" s="3" t="s">
        <v>9</v>
      </c>
      <c r="D19659" s="3" t="s">
        <v>9</v>
      </c>
      <c r="E19659" s="3">
        <v>0</v>
      </c>
      <c r="F19659" s="3">
        <v>0</v>
      </c>
      <c r="G19659" s="3">
        <v>0</v>
      </c>
      <c r="H19659" s="3">
        <v>0</v>
      </c>
      <c r="I19659" s="3">
        <v>0</v>
      </c>
      <c r="J19659" s="3">
        <v>0</v>
      </c>
      <c r="K19659" s="3">
        <v>0</v>
      </c>
      <c r="L19659" s="3">
        <v>0</v>
      </c>
      <c r="M19659" s="3">
        <v>0</v>
      </c>
      <c r="N19659" s="3">
        <v>0</v>
      </c>
      <c r="O19659" s="3" t="s">
        <v>9</v>
      </c>
      <c r="P19659" s="3" t="s">
        <v>9</v>
      </c>
      <c r="Q19659" s="3"/>
    </row>
    <row r="19660" spans="1:17" ht="15" x14ac:dyDescent="0.25">
      <c r="A19660" s="3">
        <f>19653</f>
        <v>19653</v>
      </c>
      <c r="B19660" s="3" t="s">
        <v>19662</v>
      </c>
      <c r="C19660" s="3" t="s">
        <v>9</v>
      </c>
      <c r="D19660" s="3" t="s">
        <v>9</v>
      </c>
      <c r="E19660" s="3">
        <v>0</v>
      </c>
      <c r="F19660" s="3">
        <v>0</v>
      </c>
      <c r="G19660" s="3">
        <v>0</v>
      </c>
      <c r="H19660" s="3">
        <v>0</v>
      </c>
      <c r="I19660" s="3">
        <v>0</v>
      </c>
      <c r="J19660" s="3">
        <v>0</v>
      </c>
      <c r="K19660" s="3">
        <v>0</v>
      </c>
      <c r="L19660" s="3">
        <v>0</v>
      </c>
      <c r="M19660" s="3">
        <v>0</v>
      </c>
      <c r="N19660" s="3">
        <v>0</v>
      </c>
      <c r="O19660" s="3" t="s">
        <v>9</v>
      </c>
      <c r="P19660" s="3" t="s">
        <v>9</v>
      </c>
      <c r="Q19660" s="3"/>
    </row>
    <row r="19661" spans="1:17" ht="15" x14ac:dyDescent="0.25">
      <c r="A19661" s="3">
        <f>19654</f>
        <v>19654</v>
      </c>
      <c r="B19661" s="3" t="s">
        <v>19663</v>
      </c>
      <c r="C19661" s="3" t="s">
        <v>9</v>
      </c>
      <c r="D19661" s="3" t="s">
        <v>9</v>
      </c>
      <c r="E19661" s="3">
        <v>0</v>
      </c>
      <c r="F19661" s="3">
        <v>0</v>
      </c>
      <c r="G19661" s="3">
        <v>0</v>
      </c>
      <c r="H19661" s="3">
        <v>0</v>
      </c>
      <c r="I19661" s="3">
        <v>0</v>
      </c>
      <c r="J19661" s="3">
        <v>0</v>
      </c>
      <c r="K19661" s="3">
        <v>0</v>
      </c>
      <c r="L19661" s="3">
        <v>0</v>
      </c>
      <c r="M19661" s="3">
        <v>0</v>
      </c>
      <c r="N19661" s="3">
        <v>0</v>
      </c>
      <c r="O19661" s="3" t="s">
        <v>9</v>
      </c>
      <c r="P19661" s="3" t="s">
        <v>9</v>
      </c>
      <c r="Q19661" s="3"/>
    </row>
    <row r="19662" spans="1:17" ht="15" x14ac:dyDescent="0.25">
      <c r="A19662" s="3">
        <f>19655</f>
        <v>19655</v>
      </c>
      <c r="B19662" s="3" t="s">
        <v>19664</v>
      </c>
      <c r="C19662" s="3" t="s">
        <v>9</v>
      </c>
      <c r="D19662" s="3" t="s">
        <v>9</v>
      </c>
      <c r="E19662" s="3">
        <v>0</v>
      </c>
      <c r="F19662" s="3">
        <v>0</v>
      </c>
      <c r="G19662" s="3">
        <v>0</v>
      </c>
      <c r="H19662" s="3">
        <v>0</v>
      </c>
      <c r="I19662" s="3">
        <v>0</v>
      </c>
      <c r="J19662" s="3">
        <v>0</v>
      </c>
      <c r="K19662" s="3">
        <v>0</v>
      </c>
      <c r="L19662" s="3">
        <v>0</v>
      </c>
      <c r="M19662" s="3">
        <v>0</v>
      </c>
      <c r="N19662" s="3">
        <v>0</v>
      </c>
      <c r="O19662" s="3" t="s">
        <v>9</v>
      </c>
      <c r="P19662" s="3" t="s">
        <v>9</v>
      </c>
      <c r="Q19662" s="3"/>
    </row>
    <row r="19663" spans="1:17" ht="15" x14ac:dyDescent="0.25">
      <c r="A19663" s="3">
        <f>19656</f>
        <v>19656</v>
      </c>
      <c r="B19663" s="3" t="s">
        <v>19665</v>
      </c>
      <c r="C19663" s="3" t="s">
        <v>9</v>
      </c>
      <c r="D19663" s="3" t="s">
        <v>9</v>
      </c>
      <c r="E19663" s="3">
        <v>0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3">
        <v>0</v>
      </c>
      <c r="N19663" s="3">
        <v>0</v>
      </c>
      <c r="O19663" s="3" t="s">
        <v>9</v>
      </c>
      <c r="P19663" s="3" t="s">
        <v>9</v>
      </c>
      <c r="Q19663" s="3"/>
    </row>
    <row r="19664" spans="1:17" ht="15" x14ac:dyDescent="0.25">
      <c r="A19664" s="3">
        <f>19657</f>
        <v>19657</v>
      </c>
      <c r="B19664" s="3" t="s">
        <v>19666</v>
      </c>
      <c r="C19664" s="3" t="s">
        <v>9</v>
      </c>
      <c r="D19664" s="3" t="s">
        <v>9</v>
      </c>
      <c r="E19664" s="3">
        <v>0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3">
        <v>0</v>
      </c>
      <c r="N19664" s="3">
        <v>0</v>
      </c>
      <c r="O19664" s="3" t="s">
        <v>9</v>
      </c>
      <c r="P19664" s="3" t="s">
        <v>9</v>
      </c>
      <c r="Q19664" s="3"/>
    </row>
    <row r="19665" spans="1:17" ht="15" x14ac:dyDescent="0.25">
      <c r="A19665" s="3">
        <f>19658</f>
        <v>19658</v>
      </c>
      <c r="B19665" s="3" t="s">
        <v>19667</v>
      </c>
      <c r="C19665" s="3" t="s">
        <v>9</v>
      </c>
      <c r="D19665" s="3" t="s">
        <v>9</v>
      </c>
      <c r="E19665" s="3">
        <v>0</v>
      </c>
      <c r="F19665" s="3">
        <v>0</v>
      </c>
      <c r="G19665" s="3">
        <v>0</v>
      </c>
      <c r="H19665" s="3">
        <v>0</v>
      </c>
      <c r="I19665" s="3">
        <v>0</v>
      </c>
      <c r="J19665" s="3">
        <v>0</v>
      </c>
      <c r="K19665" s="3">
        <v>0</v>
      </c>
      <c r="L19665" s="3">
        <v>0</v>
      </c>
      <c r="M19665" s="3">
        <v>0</v>
      </c>
      <c r="N19665" s="3">
        <v>0</v>
      </c>
      <c r="O19665" s="3" t="s">
        <v>9</v>
      </c>
      <c r="P19665" s="3" t="s">
        <v>9</v>
      </c>
      <c r="Q19665" s="3"/>
    </row>
    <row r="19666" spans="1:17" ht="15" x14ac:dyDescent="0.25">
      <c r="A19666" s="3">
        <f>19659</f>
        <v>19659</v>
      </c>
      <c r="B19666" s="3" t="s">
        <v>19668</v>
      </c>
      <c r="C19666" s="3" t="s">
        <v>9</v>
      </c>
      <c r="D19666" s="3" t="s">
        <v>9</v>
      </c>
      <c r="E19666" s="3">
        <v>0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  <c r="L19666" s="3">
        <v>0</v>
      </c>
      <c r="M19666" s="3">
        <v>0</v>
      </c>
      <c r="N19666" s="3">
        <v>0</v>
      </c>
      <c r="O19666" s="3" t="s">
        <v>9</v>
      </c>
      <c r="P19666" s="3" t="s">
        <v>9</v>
      </c>
      <c r="Q19666" s="3"/>
    </row>
    <row r="19667" spans="1:17" ht="15" x14ac:dyDescent="0.25">
      <c r="A19667" s="3">
        <f>19660</f>
        <v>19660</v>
      </c>
      <c r="B19667" s="3" t="s">
        <v>19669</v>
      </c>
      <c r="C19667" s="3" t="s">
        <v>9</v>
      </c>
      <c r="D19667" s="3" t="s">
        <v>9</v>
      </c>
      <c r="E19667" s="3">
        <v>0</v>
      </c>
      <c r="F19667" s="3">
        <v>0</v>
      </c>
      <c r="G19667" s="3">
        <v>0</v>
      </c>
      <c r="H19667" s="3">
        <v>0</v>
      </c>
      <c r="I19667" s="3">
        <v>0</v>
      </c>
      <c r="J19667" s="3">
        <v>0</v>
      </c>
      <c r="K19667" s="3">
        <v>0</v>
      </c>
      <c r="L19667" s="3">
        <v>0</v>
      </c>
      <c r="M19667" s="3">
        <v>0</v>
      </c>
      <c r="N19667" s="3">
        <v>0</v>
      </c>
      <c r="O19667" s="3" t="s">
        <v>9</v>
      </c>
      <c r="P19667" s="3" t="s">
        <v>9</v>
      </c>
      <c r="Q19667" s="3"/>
    </row>
    <row r="19668" spans="1:17" ht="15" x14ac:dyDescent="0.25">
      <c r="A19668" s="3">
        <f>19661</f>
        <v>19661</v>
      </c>
      <c r="B19668" s="3" t="s">
        <v>19670</v>
      </c>
      <c r="C19668" s="3" t="s">
        <v>9</v>
      </c>
      <c r="D19668" s="3" t="s">
        <v>9</v>
      </c>
      <c r="E19668" s="3">
        <v>0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0</v>
      </c>
      <c r="L19668" s="3">
        <v>0</v>
      </c>
      <c r="M19668" s="3">
        <v>0</v>
      </c>
      <c r="N19668" s="3">
        <v>0</v>
      </c>
      <c r="O19668" s="3" t="s">
        <v>9</v>
      </c>
      <c r="P19668" s="3" t="s">
        <v>9</v>
      </c>
      <c r="Q19668" s="3"/>
    </row>
    <row r="19669" spans="1:17" ht="15" x14ac:dyDescent="0.25">
      <c r="A19669" s="3">
        <f>19662</f>
        <v>19662</v>
      </c>
      <c r="B19669" s="3" t="s">
        <v>19671</v>
      </c>
      <c r="C19669" s="3" t="s">
        <v>9</v>
      </c>
      <c r="D19669" s="3" t="s">
        <v>9</v>
      </c>
      <c r="E19669" s="3">
        <v>0</v>
      </c>
      <c r="F19669" s="3">
        <v>0</v>
      </c>
      <c r="G19669" s="3">
        <v>0</v>
      </c>
      <c r="H19669" s="3">
        <v>0</v>
      </c>
      <c r="I19669" s="3">
        <v>0</v>
      </c>
      <c r="J19669" s="3">
        <v>0</v>
      </c>
      <c r="K19669" s="3">
        <v>0</v>
      </c>
      <c r="L19669" s="3">
        <v>0</v>
      </c>
      <c r="M19669" s="3">
        <v>0</v>
      </c>
      <c r="N19669" s="3">
        <v>0</v>
      </c>
      <c r="O19669" s="3" t="s">
        <v>9</v>
      </c>
      <c r="P19669" s="3" t="s">
        <v>9</v>
      </c>
      <c r="Q19669" s="3"/>
    </row>
    <row r="19670" spans="1:17" ht="15" x14ac:dyDescent="0.25">
      <c r="A19670" s="3">
        <f>19663</f>
        <v>19663</v>
      </c>
      <c r="B19670" s="3" t="s">
        <v>19672</v>
      </c>
      <c r="C19670" s="3" t="s">
        <v>9</v>
      </c>
      <c r="D19670" s="3" t="s">
        <v>9</v>
      </c>
      <c r="E19670" s="3">
        <v>0</v>
      </c>
      <c r="F19670" s="3">
        <v>0</v>
      </c>
      <c r="G19670" s="3">
        <v>0</v>
      </c>
      <c r="H19670" s="3">
        <v>0</v>
      </c>
      <c r="I19670" s="3">
        <v>0</v>
      </c>
      <c r="J19670" s="3">
        <v>0</v>
      </c>
      <c r="K19670" s="3">
        <v>0</v>
      </c>
      <c r="L19670" s="3">
        <v>0</v>
      </c>
      <c r="M19670" s="3">
        <v>0</v>
      </c>
      <c r="N19670" s="3">
        <v>0</v>
      </c>
      <c r="O19670" s="3" t="s">
        <v>9</v>
      </c>
      <c r="P19670" s="3" t="s">
        <v>9</v>
      </c>
      <c r="Q19670" s="3"/>
    </row>
    <row r="19671" spans="1:17" ht="15" x14ac:dyDescent="0.25">
      <c r="A19671" s="3">
        <f>19664</f>
        <v>19664</v>
      </c>
      <c r="B19671" s="3" t="s">
        <v>19673</v>
      </c>
      <c r="C19671" s="3" t="s">
        <v>9</v>
      </c>
      <c r="D19671" s="3" t="s">
        <v>9</v>
      </c>
      <c r="E19671" s="3">
        <v>0</v>
      </c>
      <c r="F19671" s="3">
        <v>0</v>
      </c>
      <c r="G19671" s="3">
        <v>0</v>
      </c>
      <c r="H19671" s="3">
        <v>0</v>
      </c>
      <c r="I19671" s="3">
        <v>0</v>
      </c>
      <c r="J19671" s="3">
        <v>0</v>
      </c>
      <c r="K19671" s="3">
        <v>0</v>
      </c>
      <c r="L19671" s="3">
        <v>0</v>
      </c>
      <c r="M19671" s="3">
        <v>0</v>
      </c>
      <c r="N19671" s="3">
        <v>0</v>
      </c>
      <c r="O19671" s="3" t="s">
        <v>9</v>
      </c>
      <c r="P19671" s="3" t="s">
        <v>9</v>
      </c>
      <c r="Q19671" s="3"/>
    </row>
    <row r="19672" spans="1:17" ht="15" x14ac:dyDescent="0.25">
      <c r="A19672" s="3">
        <f>19665</f>
        <v>19665</v>
      </c>
      <c r="B19672" s="3" t="s">
        <v>19674</v>
      </c>
      <c r="C19672" s="3" t="s">
        <v>9</v>
      </c>
      <c r="D19672" s="3" t="s">
        <v>9</v>
      </c>
      <c r="E19672" s="3">
        <v>0</v>
      </c>
      <c r="F19672" s="3">
        <v>0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  <c r="L19672" s="3">
        <v>0</v>
      </c>
      <c r="M19672" s="3">
        <v>0</v>
      </c>
      <c r="N19672" s="3">
        <v>0</v>
      </c>
      <c r="O19672" s="3" t="s">
        <v>9</v>
      </c>
      <c r="P19672" s="3" t="s">
        <v>9</v>
      </c>
      <c r="Q19672" s="3"/>
    </row>
    <row r="19673" spans="1:17" ht="15" x14ac:dyDescent="0.25">
      <c r="A19673" s="3">
        <f>19666</f>
        <v>19666</v>
      </c>
      <c r="B19673" s="3" t="s">
        <v>19675</v>
      </c>
      <c r="C19673" s="3" t="s">
        <v>9</v>
      </c>
      <c r="D19673" s="3" t="s">
        <v>9</v>
      </c>
      <c r="E19673" s="3">
        <v>0</v>
      </c>
      <c r="F19673" s="3">
        <v>0</v>
      </c>
      <c r="G19673" s="3">
        <v>0</v>
      </c>
      <c r="H19673" s="3">
        <v>0</v>
      </c>
      <c r="I19673" s="3">
        <v>0</v>
      </c>
      <c r="J19673" s="3">
        <v>0</v>
      </c>
      <c r="K19673" s="3">
        <v>0</v>
      </c>
      <c r="L19673" s="3">
        <v>0</v>
      </c>
      <c r="M19673" s="3">
        <v>0</v>
      </c>
      <c r="N19673" s="3">
        <v>0</v>
      </c>
      <c r="O19673" s="3" t="s">
        <v>9</v>
      </c>
      <c r="P19673" s="3" t="s">
        <v>9</v>
      </c>
      <c r="Q19673" s="3"/>
    </row>
    <row r="19674" spans="1:17" ht="15" x14ac:dyDescent="0.25">
      <c r="A19674" s="3">
        <f>19667</f>
        <v>19667</v>
      </c>
      <c r="B19674" s="3" t="s">
        <v>19676</v>
      </c>
      <c r="C19674" s="3" t="s">
        <v>9</v>
      </c>
      <c r="D19674" s="3" t="s">
        <v>9</v>
      </c>
      <c r="E19674" s="3">
        <v>0</v>
      </c>
      <c r="F19674" s="3">
        <v>0</v>
      </c>
      <c r="G19674" s="3">
        <v>0</v>
      </c>
      <c r="H19674" s="3">
        <v>0</v>
      </c>
      <c r="I19674" s="3">
        <v>0</v>
      </c>
      <c r="J19674" s="3">
        <v>0</v>
      </c>
      <c r="K19674" s="3">
        <v>0</v>
      </c>
      <c r="L19674" s="3">
        <v>0</v>
      </c>
      <c r="M19674" s="3">
        <v>0</v>
      </c>
      <c r="N19674" s="3">
        <v>0</v>
      </c>
      <c r="O19674" s="3" t="s">
        <v>9</v>
      </c>
      <c r="P19674" s="3" t="s">
        <v>9</v>
      </c>
      <c r="Q19674" s="3"/>
    </row>
    <row r="19675" spans="1:17" ht="15" x14ac:dyDescent="0.25">
      <c r="A19675" s="3">
        <f>19668</f>
        <v>19668</v>
      </c>
      <c r="B19675" s="3" t="s">
        <v>19677</v>
      </c>
      <c r="C19675" s="3" t="s">
        <v>9</v>
      </c>
      <c r="D19675" s="3" t="s">
        <v>9</v>
      </c>
      <c r="E19675" s="3">
        <v>0</v>
      </c>
      <c r="F19675" s="3">
        <v>0</v>
      </c>
      <c r="G19675" s="3">
        <v>0</v>
      </c>
      <c r="H19675" s="3">
        <v>0</v>
      </c>
      <c r="I19675" s="3">
        <v>0</v>
      </c>
      <c r="J19675" s="3">
        <v>0</v>
      </c>
      <c r="K19675" s="3">
        <v>0</v>
      </c>
      <c r="L19675" s="3">
        <v>0</v>
      </c>
      <c r="M19675" s="3">
        <v>0</v>
      </c>
      <c r="N19675" s="3">
        <v>0</v>
      </c>
      <c r="O19675" s="3" t="s">
        <v>9</v>
      </c>
      <c r="P19675" s="3" t="s">
        <v>9</v>
      </c>
      <c r="Q19675" s="3"/>
    </row>
    <row r="19676" spans="1:17" ht="15" x14ac:dyDescent="0.25">
      <c r="A19676" s="3">
        <f>19669</f>
        <v>19669</v>
      </c>
      <c r="B19676" s="3" t="s">
        <v>19678</v>
      </c>
      <c r="C19676" s="3" t="s">
        <v>9</v>
      </c>
      <c r="D19676" s="3" t="s">
        <v>9</v>
      </c>
      <c r="E19676" s="3">
        <v>0</v>
      </c>
      <c r="F19676" s="3">
        <v>0</v>
      </c>
      <c r="G19676" s="3">
        <v>0</v>
      </c>
      <c r="H19676" s="3">
        <v>0</v>
      </c>
      <c r="I19676" s="3">
        <v>0</v>
      </c>
      <c r="J19676" s="3">
        <v>0</v>
      </c>
      <c r="K19676" s="3">
        <v>0</v>
      </c>
      <c r="L19676" s="3">
        <v>0</v>
      </c>
      <c r="M19676" s="3">
        <v>0</v>
      </c>
      <c r="N19676" s="3">
        <v>0</v>
      </c>
      <c r="O19676" s="3" t="s">
        <v>9</v>
      </c>
      <c r="P19676" s="3" t="s">
        <v>9</v>
      </c>
      <c r="Q19676" s="3"/>
    </row>
    <row r="19677" spans="1:17" ht="15" x14ac:dyDescent="0.25">
      <c r="A19677" s="3">
        <f>19670</f>
        <v>19670</v>
      </c>
      <c r="B19677" s="3" t="s">
        <v>19679</v>
      </c>
      <c r="C19677" s="3" t="s">
        <v>9</v>
      </c>
      <c r="D19677" s="3" t="s">
        <v>9</v>
      </c>
      <c r="E19677" s="3">
        <v>0</v>
      </c>
      <c r="F19677" s="3">
        <v>0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  <c r="L19677" s="3">
        <v>0</v>
      </c>
      <c r="M19677" s="3">
        <v>0</v>
      </c>
      <c r="N19677" s="3">
        <v>0</v>
      </c>
      <c r="O19677" s="3" t="s">
        <v>9</v>
      </c>
      <c r="P19677" s="3" t="s">
        <v>9</v>
      </c>
      <c r="Q19677" s="3"/>
    </row>
    <row r="19678" spans="1:17" ht="15" x14ac:dyDescent="0.25">
      <c r="A19678" s="3">
        <f>19671</f>
        <v>19671</v>
      </c>
      <c r="B19678" s="3" t="s">
        <v>19680</v>
      </c>
      <c r="C19678" s="3" t="s">
        <v>9</v>
      </c>
      <c r="D19678" s="3" t="s">
        <v>9</v>
      </c>
      <c r="E19678" s="3">
        <v>0</v>
      </c>
      <c r="F19678" s="3">
        <v>0</v>
      </c>
      <c r="G19678" s="3">
        <v>0</v>
      </c>
      <c r="H19678" s="3">
        <v>0</v>
      </c>
      <c r="I19678" s="3">
        <v>0</v>
      </c>
      <c r="J19678" s="3">
        <v>0</v>
      </c>
      <c r="K19678" s="3">
        <v>0</v>
      </c>
      <c r="L19678" s="3">
        <v>0</v>
      </c>
      <c r="M19678" s="3">
        <v>0</v>
      </c>
      <c r="N19678" s="3">
        <v>0</v>
      </c>
      <c r="O19678" s="3" t="s">
        <v>9</v>
      </c>
      <c r="P19678" s="3" t="s">
        <v>9</v>
      </c>
      <c r="Q19678" s="3"/>
    </row>
    <row r="19679" spans="1:17" ht="15" x14ac:dyDescent="0.25">
      <c r="A19679" s="3">
        <f>19672</f>
        <v>19672</v>
      </c>
      <c r="B19679" s="3" t="s">
        <v>19681</v>
      </c>
      <c r="C19679" s="3" t="s">
        <v>9</v>
      </c>
      <c r="D19679" s="3" t="s">
        <v>9</v>
      </c>
      <c r="E19679" s="3">
        <v>0</v>
      </c>
      <c r="F19679" s="3">
        <v>0</v>
      </c>
      <c r="G19679" s="3">
        <v>0</v>
      </c>
      <c r="H19679" s="3">
        <v>0</v>
      </c>
      <c r="I19679" s="3">
        <v>0</v>
      </c>
      <c r="J19679" s="3">
        <v>0</v>
      </c>
      <c r="K19679" s="3">
        <v>0</v>
      </c>
      <c r="L19679" s="3">
        <v>0</v>
      </c>
      <c r="M19679" s="3">
        <v>0</v>
      </c>
      <c r="N19679" s="3">
        <v>0</v>
      </c>
      <c r="O19679" s="3" t="s">
        <v>9</v>
      </c>
      <c r="P19679" s="3" t="s">
        <v>9</v>
      </c>
      <c r="Q19679" s="3"/>
    </row>
    <row r="19680" spans="1:17" ht="15" x14ac:dyDescent="0.25">
      <c r="A19680" s="3">
        <f>19673</f>
        <v>19673</v>
      </c>
      <c r="B19680" s="3" t="s">
        <v>19682</v>
      </c>
      <c r="C19680" s="3" t="s">
        <v>9</v>
      </c>
      <c r="D19680" s="3" t="s">
        <v>9</v>
      </c>
      <c r="E19680" s="3">
        <v>0</v>
      </c>
      <c r="F19680" s="3">
        <v>0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 s="3">
        <v>0</v>
      </c>
      <c r="M19680" s="3">
        <v>0</v>
      </c>
      <c r="N19680" s="3">
        <v>0</v>
      </c>
      <c r="O19680" s="3" t="s">
        <v>9</v>
      </c>
      <c r="P19680" s="3" t="s">
        <v>9</v>
      </c>
      <c r="Q19680" s="3"/>
    </row>
    <row r="19681" spans="1:17" ht="15" x14ac:dyDescent="0.25">
      <c r="A19681" s="3">
        <f>19674</f>
        <v>19674</v>
      </c>
      <c r="B19681" s="3" t="s">
        <v>19683</v>
      </c>
      <c r="C19681" s="3" t="s">
        <v>9</v>
      </c>
      <c r="D19681" s="3" t="s">
        <v>9</v>
      </c>
      <c r="E19681" s="3">
        <v>0</v>
      </c>
      <c r="F19681" s="3">
        <v>0</v>
      </c>
      <c r="G19681" s="3">
        <v>0</v>
      </c>
      <c r="H19681" s="3">
        <v>0</v>
      </c>
      <c r="I19681" s="3">
        <v>0</v>
      </c>
      <c r="J19681" s="3">
        <v>0</v>
      </c>
      <c r="K19681" s="3">
        <v>0</v>
      </c>
      <c r="L19681" s="3">
        <v>0</v>
      </c>
      <c r="M19681" s="3">
        <v>0</v>
      </c>
      <c r="N19681" s="3">
        <v>0</v>
      </c>
      <c r="O19681" s="3" t="s">
        <v>9</v>
      </c>
      <c r="P19681" s="3" t="s">
        <v>9</v>
      </c>
      <c r="Q19681" s="3"/>
    </row>
    <row r="19682" spans="1:17" ht="15" x14ac:dyDescent="0.25">
      <c r="A19682" s="3">
        <f>19675</f>
        <v>19675</v>
      </c>
      <c r="B19682" s="3" t="s">
        <v>19684</v>
      </c>
      <c r="C19682" s="3" t="s">
        <v>9</v>
      </c>
      <c r="D19682" s="3" t="s">
        <v>9</v>
      </c>
      <c r="E19682" s="3">
        <v>0</v>
      </c>
      <c r="F19682" s="3">
        <v>0</v>
      </c>
      <c r="G19682" s="3">
        <v>0</v>
      </c>
      <c r="H19682" s="3">
        <v>0</v>
      </c>
      <c r="I19682" s="3">
        <v>0</v>
      </c>
      <c r="J19682" s="3">
        <v>0</v>
      </c>
      <c r="K19682" s="3">
        <v>0</v>
      </c>
      <c r="L19682" s="3">
        <v>0</v>
      </c>
      <c r="M19682" s="3">
        <v>0</v>
      </c>
      <c r="N19682" s="3">
        <v>0</v>
      </c>
      <c r="O19682" s="3" t="s">
        <v>9</v>
      </c>
      <c r="P19682" s="3" t="s">
        <v>9</v>
      </c>
      <c r="Q19682" s="3"/>
    </row>
    <row r="19683" spans="1:17" ht="15" x14ac:dyDescent="0.25">
      <c r="A19683" s="3">
        <f>19676</f>
        <v>19676</v>
      </c>
      <c r="B19683" s="3" t="s">
        <v>19685</v>
      </c>
      <c r="C19683" s="3" t="s">
        <v>9</v>
      </c>
      <c r="D19683" s="3" t="s">
        <v>9</v>
      </c>
      <c r="E19683" s="3">
        <v>0</v>
      </c>
      <c r="F19683" s="3">
        <v>0</v>
      </c>
      <c r="G19683" s="3">
        <v>0</v>
      </c>
      <c r="H19683" s="3">
        <v>0</v>
      </c>
      <c r="I19683" s="3">
        <v>0</v>
      </c>
      <c r="J19683" s="3">
        <v>0</v>
      </c>
      <c r="K19683" s="3">
        <v>0</v>
      </c>
      <c r="L19683" s="3">
        <v>0</v>
      </c>
      <c r="M19683" s="3">
        <v>0</v>
      </c>
      <c r="N19683" s="3">
        <v>0</v>
      </c>
      <c r="O19683" s="3" t="s">
        <v>9</v>
      </c>
      <c r="P19683" s="3" t="s">
        <v>9</v>
      </c>
      <c r="Q19683" s="3"/>
    </row>
    <row r="19684" spans="1:17" ht="15" x14ac:dyDescent="0.25">
      <c r="A19684" s="3">
        <f>19677</f>
        <v>19677</v>
      </c>
      <c r="B19684" s="3" t="s">
        <v>19686</v>
      </c>
      <c r="C19684" s="3" t="s">
        <v>9</v>
      </c>
      <c r="D19684" s="3" t="s">
        <v>9</v>
      </c>
      <c r="E19684" s="3">
        <v>0</v>
      </c>
      <c r="F19684" s="3">
        <v>0</v>
      </c>
      <c r="G19684" s="3">
        <v>0</v>
      </c>
      <c r="H19684" s="3">
        <v>0</v>
      </c>
      <c r="I19684" s="3">
        <v>0</v>
      </c>
      <c r="J19684" s="3">
        <v>0</v>
      </c>
      <c r="K19684" s="3">
        <v>0</v>
      </c>
      <c r="L19684" s="3">
        <v>0</v>
      </c>
      <c r="M19684" s="3">
        <v>0</v>
      </c>
      <c r="N19684" s="3">
        <v>0</v>
      </c>
      <c r="O19684" s="3" t="s">
        <v>9</v>
      </c>
      <c r="P19684" s="3" t="s">
        <v>9</v>
      </c>
      <c r="Q19684" s="3"/>
    </row>
    <row r="19685" spans="1:17" ht="15" x14ac:dyDescent="0.25">
      <c r="A19685" s="3">
        <f>19678</f>
        <v>19678</v>
      </c>
      <c r="B19685" s="3" t="s">
        <v>19687</v>
      </c>
      <c r="C19685" s="3" t="s">
        <v>9</v>
      </c>
      <c r="D19685" s="3" t="s">
        <v>9</v>
      </c>
      <c r="E19685" s="3">
        <v>0</v>
      </c>
      <c r="F19685" s="3">
        <v>0</v>
      </c>
      <c r="G19685" s="3">
        <v>0</v>
      </c>
      <c r="H19685" s="3">
        <v>0</v>
      </c>
      <c r="I19685" s="3">
        <v>0</v>
      </c>
      <c r="J19685" s="3">
        <v>0</v>
      </c>
      <c r="K19685" s="3">
        <v>0</v>
      </c>
      <c r="L19685" s="3">
        <v>0</v>
      </c>
      <c r="M19685" s="3">
        <v>0</v>
      </c>
      <c r="N19685" s="3">
        <v>0</v>
      </c>
      <c r="O19685" s="3" t="s">
        <v>9</v>
      </c>
      <c r="P19685" s="3" t="s">
        <v>9</v>
      </c>
      <c r="Q19685" s="3"/>
    </row>
    <row r="19686" spans="1:17" ht="15" x14ac:dyDescent="0.25">
      <c r="A19686" s="3">
        <f>19679</f>
        <v>19679</v>
      </c>
      <c r="B19686" s="3" t="s">
        <v>19688</v>
      </c>
      <c r="C19686" s="3" t="s">
        <v>9</v>
      </c>
      <c r="D19686" s="3" t="s">
        <v>9</v>
      </c>
      <c r="E19686" s="3">
        <v>0</v>
      </c>
      <c r="F19686" s="3">
        <v>0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  <c r="L19686" s="3">
        <v>0</v>
      </c>
      <c r="M19686" s="3">
        <v>0</v>
      </c>
      <c r="N19686" s="3">
        <v>0</v>
      </c>
      <c r="O19686" s="3" t="s">
        <v>9</v>
      </c>
      <c r="P19686" s="3" t="s">
        <v>9</v>
      </c>
      <c r="Q19686" s="3"/>
    </row>
    <row r="19687" spans="1:17" ht="15" x14ac:dyDescent="0.25">
      <c r="A19687" s="3">
        <f>19680</f>
        <v>19680</v>
      </c>
      <c r="B19687" s="3" t="s">
        <v>19689</v>
      </c>
      <c r="C19687" s="3" t="s">
        <v>9</v>
      </c>
      <c r="D19687" s="3" t="s">
        <v>9</v>
      </c>
      <c r="E19687" s="3">
        <v>0</v>
      </c>
      <c r="F19687" s="3">
        <v>0</v>
      </c>
      <c r="G19687" s="3">
        <v>0</v>
      </c>
      <c r="H19687" s="3">
        <v>0</v>
      </c>
      <c r="I19687" s="3">
        <v>0</v>
      </c>
      <c r="J19687" s="3">
        <v>0</v>
      </c>
      <c r="K19687" s="3">
        <v>0</v>
      </c>
      <c r="L19687" s="3">
        <v>0</v>
      </c>
      <c r="M19687" s="3">
        <v>0</v>
      </c>
      <c r="N19687" s="3">
        <v>0</v>
      </c>
      <c r="O19687" s="3" t="s">
        <v>9</v>
      </c>
      <c r="P19687" s="3" t="s">
        <v>9</v>
      </c>
      <c r="Q19687" s="3"/>
    </row>
    <row r="19688" spans="1:17" ht="15" x14ac:dyDescent="0.25">
      <c r="A19688" s="3">
        <f>19681</f>
        <v>19681</v>
      </c>
      <c r="B19688" s="3" t="s">
        <v>19690</v>
      </c>
      <c r="C19688" s="3" t="s">
        <v>9</v>
      </c>
      <c r="D19688" s="3" t="s">
        <v>9</v>
      </c>
      <c r="E19688" s="3">
        <v>0</v>
      </c>
      <c r="F19688" s="3">
        <v>0</v>
      </c>
      <c r="G19688" s="3">
        <v>0</v>
      </c>
      <c r="H19688" s="3">
        <v>0</v>
      </c>
      <c r="I19688" s="3">
        <v>0</v>
      </c>
      <c r="J19688" s="3">
        <v>0</v>
      </c>
      <c r="K19688" s="3">
        <v>0</v>
      </c>
      <c r="L19688" s="3">
        <v>0</v>
      </c>
      <c r="M19688" s="3">
        <v>0</v>
      </c>
      <c r="N19688" s="3">
        <v>0</v>
      </c>
      <c r="O19688" s="3" t="s">
        <v>9</v>
      </c>
      <c r="P19688" s="3" t="s">
        <v>9</v>
      </c>
      <c r="Q19688" s="3"/>
    </row>
    <row r="19689" spans="1:17" ht="15" x14ac:dyDescent="0.25">
      <c r="A19689" s="3">
        <f>19682</f>
        <v>19682</v>
      </c>
      <c r="B19689" s="3" t="s">
        <v>19691</v>
      </c>
      <c r="C19689" s="3" t="s">
        <v>9</v>
      </c>
      <c r="D19689" s="3" t="s">
        <v>9</v>
      </c>
      <c r="E19689" s="3">
        <v>0</v>
      </c>
      <c r="F19689" s="3">
        <v>0</v>
      </c>
      <c r="G19689" s="3">
        <v>0</v>
      </c>
      <c r="H19689" s="3">
        <v>0</v>
      </c>
      <c r="I19689" s="3">
        <v>0</v>
      </c>
      <c r="J19689" s="3">
        <v>0</v>
      </c>
      <c r="K19689" s="3">
        <v>0</v>
      </c>
      <c r="L19689" s="3">
        <v>0</v>
      </c>
      <c r="M19689" s="3">
        <v>0</v>
      </c>
      <c r="N19689" s="3">
        <v>0</v>
      </c>
      <c r="O19689" s="3" t="s">
        <v>9</v>
      </c>
      <c r="P19689" s="3" t="s">
        <v>9</v>
      </c>
      <c r="Q19689" s="3"/>
    </row>
    <row r="19690" spans="1:17" ht="15" x14ac:dyDescent="0.25">
      <c r="A19690" s="3">
        <f>19683</f>
        <v>19683</v>
      </c>
      <c r="B19690" s="3" t="s">
        <v>19692</v>
      </c>
      <c r="C19690" s="3" t="s">
        <v>9</v>
      </c>
      <c r="D19690" s="3" t="s">
        <v>9</v>
      </c>
      <c r="E19690" s="3">
        <v>0</v>
      </c>
      <c r="F19690" s="3">
        <v>0</v>
      </c>
      <c r="G19690" s="3">
        <v>0</v>
      </c>
      <c r="H19690" s="3">
        <v>0</v>
      </c>
      <c r="I19690" s="3">
        <v>0</v>
      </c>
      <c r="J19690" s="3">
        <v>0</v>
      </c>
      <c r="K19690" s="3">
        <v>0</v>
      </c>
      <c r="L19690" s="3">
        <v>0</v>
      </c>
      <c r="M19690" s="3">
        <v>0</v>
      </c>
      <c r="N19690" s="3">
        <v>0</v>
      </c>
      <c r="O19690" s="3" t="s">
        <v>9</v>
      </c>
      <c r="P19690" s="3" t="s">
        <v>9</v>
      </c>
      <c r="Q19690" s="3"/>
    </row>
    <row r="19691" spans="1:17" ht="15" x14ac:dyDescent="0.25">
      <c r="A19691" s="3">
        <f>19684</f>
        <v>19684</v>
      </c>
      <c r="B19691" s="3" t="s">
        <v>19693</v>
      </c>
      <c r="C19691" s="3" t="s">
        <v>9</v>
      </c>
      <c r="D19691" s="3" t="s">
        <v>9</v>
      </c>
      <c r="E19691" s="3">
        <v>0</v>
      </c>
      <c r="F19691" s="3">
        <v>0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 s="3">
        <v>0</v>
      </c>
      <c r="M19691" s="3">
        <v>0</v>
      </c>
      <c r="N19691" s="3">
        <v>0</v>
      </c>
      <c r="O19691" s="3" t="s">
        <v>9</v>
      </c>
      <c r="P19691" s="3" t="s">
        <v>9</v>
      </c>
      <c r="Q19691" s="3"/>
    </row>
    <row r="19692" spans="1:17" ht="15" x14ac:dyDescent="0.25">
      <c r="A19692" s="3">
        <f>19685</f>
        <v>19685</v>
      </c>
      <c r="B19692" s="3" t="s">
        <v>19694</v>
      </c>
      <c r="C19692" s="3" t="s">
        <v>9</v>
      </c>
      <c r="D19692" s="3" t="s">
        <v>9</v>
      </c>
      <c r="E19692" s="3">
        <v>0</v>
      </c>
      <c r="F19692" s="3">
        <v>0</v>
      </c>
      <c r="G19692" s="3">
        <v>0</v>
      </c>
      <c r="H19692" s="3">
        <v>0</v>
      </c>
      <c r="I19692" s="3">
        <v>0</v>
      </c>
      <c r="J19692" s="3">
        <v>0</v>
      </c>
      <c r="K19692" s="3">
        <v>0</v>
      </c>
      <c r="L19692" s="3">
        <v>0</v>
      </c>
      <c r="M19692" s="3">
        <v>0</v>
      </c>
      <c r="N19692" s="3">
        <v>0</v>
      </c>
      <c r="O19692" s="3" t="s">
        <v>9</v>
      </c>
      <c r="P19692" s="3" t="s">
        <v>9</v>
      </c>
      <c r="Q19692" s="3"/>
    </row>
    <row r="19693" spans="1:17" ht="15" x14ac:dyDescent="0.25">
      <c r="A19693" s="3">
        <f>19686</f>
        <v>19686</v>
      </c>
      <c r="B19693" s="3" t="s">
        <v>19695</v>
      </c>
      <c r="C19693" s="3" t="s">
        <v>9</v>
      </c>
      <c r="D19693" s="3" t="s">
        <v>9</v>
      </c>
      <c r="E19693" s="3">
        <v>0</v>
      </c>
      <c r="F19693" s="3">
        <v>0</v>
      </c>
      <c r="G19693" s="3">
        <v>0</v>
      </c>
      <c r="H19693" s="3">
        <v>0</v>
      </c>
      <c r="I19693" s="3">
        <v>0</v>
      </c>
      <c r="J19693" s="3">
        <v>0</v>
      </c>
      <c r="K19693" s="3">
        <v>0</v>
      </c>
      <c r="L19693" s="3">
        <v>0</v>
      </c>
      <c r="M19693" s="3">
        <v>0</v>
      </c>
      <c r="N19693" s="3">
        <v>0</v>
      </c>
      <c r="O19693" s="3" t="s">
        <v>9</v>
      </c>
      <c r="P19693" s="3" t="s">
        <v>9</v>
      </c>
      <c r="Q19693" s="3"/>
    </row>
    <row r="19694" spans="1:17" ht="15" x14ac:dyDescent="0.25">
      <c r="A19694" s="3">
        <f>19687</f>
        <v>19687</v>
      </c>
      <c r="B19694" s="3" t="s">
        <v>19696</v>
      </c>
      <c r="C19694" s="3" t="s">
        <v>9</v>
      </c>
      <c r="D19694" s="3" t="s">
        <v>9</v>
      </c>
      <c r="E19694" s="3">
        <v>0</v>
      </c>
      <c r="F19694" s="3">
        <v>0</v>
      </c>
      <c r="G19694" s="3">
        <v>0</v>
      </c>
      <c r="H19694" s="3">
        <v>0</v>
      </c>
      <c r="I19694" s="3">
        <v>0</v>
      </c>
      <c r="J19694" s="3">
        <v>0</v>
      </c>
      <c r="K19694" s="3">
        <v>0</v>
      </c>
      <c r="L19694" s="3">
        <v>0</v>
      </c>
      <c r="M19694" s="3">
        <v>0</v>
      </c>
      <c r="N19694" s="3">
        <v>0</v>
      </c>
      <c r="O19694" s="3" t="s">
        <v>9</v>
      </c>
      <c r="P19694" s="3" t="s">
        <v>9</v>
      </c>
      <c r="Q19694" s="3"/>
    </row>
    <row r="19695" spans="1:17" ht="15" x14ac:dyDescent="0.25">
      <c r="A19695" s="3">
        <f>19688</f>
        <v>19688</v>
      </c>
      <c r="B19695" s="3" t="s">
        <v>19697</v>
      </c>
      <c r="C19695" s="3" t="s">
        <v>9</v>
      </c>
      <c r="D19695" s="3" t="s">
        <v>9</v>
      </c>
      <c r="E19695" s="3">
        <v>0</v>
      </c>
      <c r="F19695" s="3">
        <v>0</v>
      </c>
      <c r="G19695" s="3">
        <v>0</v>
      </c>
      <c r="H19695" s="3">
        <v>0</v>
      </c>
      <c r="I19695" s="3">
        <v>0</v>
      </c>
      <c r="J19695" s="3">
        <v>0</v>
      </c>
      <c r="K19695" s="3">
        <v>0</v>
      </c>
      <c r="L19695" s="3">
        <v>0</v>
      </c>
      <c r="M19695" s="3">
        <v>0</v>
      </c>
      <c r="N19695" s="3">
        <v>0</v>
      </c>
      <c r="O19695" s="3" t="s">
        <v>9</v>
      </c>
      <c r="P19695" s="3" t="s">
        <v>9</v>
      </c>
      <c r="Q19695" s="3"/>
    </row>
    <row r="19696" spans="1:17" ht="15" x14ac:dyDescent="0.25">
      <c r="A19696" s="3">
        <f>19689</f>
        <v>19689</v>
      </c>
      <c r="B19696" s="3" t="s">
        <v>19698</v>
      </c>
      <c r="C19696" s="3" t="s">
        <v>9</v>
      </c>
      <c r="D19696" s="3" t="s">
        <v>9</v>
      </c>
      <c r="E19696" s="3">
        <v>0</v>
      </c>
      <c r="F19696" s="3">
        <v>0</v>
      </c>
      <c r="G19696" s="3">
        <v>0</v>
      </c>
      <c r="H19696" s="3">
        <v>0</v>
      </c>
      <c r="I19696" s="3">
        <v>0</v>
      </c>
      <c r="J19696" s="3">
        <v>0</v>
      </c>
      <c r="K19696" s="3">
        <v>0</v>
      </c>
      <c r="L19696" s="3">
        <v>0</v>
      </c>
      <c r="M19696" s="3">
        <v>0</v>
      </c>
      <c r="N19696" s="3">
        <v>0</v>
      </c>
      <c r="O19696" s="3" t="s">
        <v>9</v>
      </c>
      <c r="P19696" s="3" t="s">
        <v>9</v>
      </c>
      <c r="Q19696" s="3"/>
    </row>
    <row r="19697" spans="1:17" ht="15" x14ac:dyDescent="0.25">
      <c r="A19697" s="3">
        <f>19690</f>
        <v>19690</v>
      </c>
      <c r="B19697" s="3" t="s">
        <v>19699</v>
      </c>
      <c r="C19697" s="3" t="s">
        <v>9</v>
      </c>
      <c r="D19697" s="3" t="s">
        <v>9</v>
      </c>
      <c r="E19697" s="3">
        <v>0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3">
        <v>0</v>
      </c>
      <c r="N19697" s="3">
        <v>0</v>
      </c>
      <c r="O19697" s="3" t="s">
        <v>9</v>
      </c>
      <c r="P19697" s="3" t="s">
        <v>9</v>
      </c>
      <c r="Q19697" s="3"/>
    </row>
    <row r="19698" spans="1:17" ht="15" x14ac:dyDescent="0.25">
      <c r="A19698" s="3">
        <f>19691</f>
        <v>19691</v>
      </c>
      <c r="B19698" s="3" t="s">
        <v>19700</v>
      </c>
      <c r="C19698" s="3" t="s">
        <v>9</v>
      </c>
      <c r="D19698" s="3" t="s">
        <v>9</v>
      </c>
      <c r="E19698" s="3">
        <v>0</v>
      </c>
      <c r="F19698" s="3">
        <v>0</v>
      </c>
      <c r="G19698" s="3">
        <v>0</v>
      </c>
      <c r="H19698" s="3">
        <v>0</v>
      </c>
      <c r="I19698" s="3">
        <v>0</v>
      </c>
      <c r="J19698" s="3">
        <v>0</v>
      </c>
      <c r="K19698" s="3">
        <v>0</v>
      </c>
      <c r="L19698" s="3">
        <v>0</v>
      </c>
      <c r="M19698" s="3">
        <v>0</v>
      </c>
      <c r="N19698" s="3">
        <v>0</v>
      </c>
      <c r="O19698" s="3" t="s">
        <v>10</v>
      </c>
      <c r="P19698" s="3" t="s">
        <v>9</v>
      </c>
      <c r="Q19698" s="3"/>
    </row>
    <row r="19699" spans="1:17" ht="15" x14ac:dyDescent="0.25">
      <c r="A19699" s="3">
        <f>19692</f>
        <v>19692</v>
      </c>
      <c r="B19699" s="3" t="s">
        <v>19701</v>
      </c>
      <c r="C19699" s="3" t="s">
        <v>9</v>
      </c>
      <c r="D19699" s="3" t="s">
        <v>9</v>
      </c>
      <c r="E19699" s="3">
        <v>0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v>0</v>
      </c>
      <c r="M19699" s="3">
        <v>0</v>
      </c>
      <c r="N19699" s="3">
        <v>0</v>
      </c>
      <c r="O19699" s="3" t="s">
        <v>10</v>
      </c>
      <c r="P19699" s="3" t="s">
        <v>9</v>
      </c>
      <c r="Q19699" s="3"/>
    </row>
    <row r="19700" spans="1:17" ht="15" x14ac:dyDescent="0.25">
      <c r="A19700" s="3">
        <f>19693</f>
        <v>19693</v>
      </c>
      <c r="B19700" s="3" t="s">
        <v>19702</v>
      </c>
      <c r="C19700" s="3" t="s">
        <v>9</v>
      </c>
      <c r="D19700" s="3" t="s">
        <v>9</v>
      </c>
      <c r="E19700" s="3">
        <v>0</v>
      </c>
      <c r="F19700" s="3">
        <v>0</v>
      </c>
      <c r="G19700" s="3">
        <v>0</v>
      </c>
      <c r="H19700" s="3">
        <v>0</v>
      </c>
      <c r="I19700" s="3">
        <v>0</v>
      </c>
      <c r="J19700" s="3">
        <v>0</v>
      </c>
      <c r="K19700" s="3">
        <v>0</v>
      </c>
      <c r="L19700" s="3">
        <v>0</v>
      </c>
      <c r="M19700" s="3">
        <v>0</v>
      </c>
      <c r="N19700" s="3">
        <v>0</v>
      </c>
      <c r="O19700" s="3" t="s">
        <v>10</v>
      </c>
      <c r="P19700" s="3" t="s">
        <v>9</v>
      </c>
      <c r="Q19700" s="3"/>
    </row>
    <row r="19701" spans="1:17" ht="15" x14ac:dyDescent="0.25">
      <c r="A19701" s="3">
        <f>19694</f>
        <v>19694</v>
      </c>
      <c r="B19701" s="3" t="s">
        <v>19703</v>
      </c>
      <c r="C19701" s="3" t="s">
        <v>9</v>
      </c>
      <c r="D19701" s="3" t="s">
        <v>9</v>
      </c>
      <c r="E19701" s="3">
        <v>0</v>
      </c>
      <c r="F19701" s="3">
        <v>0</v>
      </c>
      <c r="G19701" s="3">
        <v>0</v>
      </c>
      <c r="H19701" s="3">
        <v>0</v>
      </c>
      <c r="I19701" s="3">
        <v>0</v>
      </c>
      <c r="J19701" s="3">
        <v>0</v>
      </c>
      <c r="K19701" s="3">
        <v>0</v>
      </c>
      <c r="L19701" s="3">
        <v>0</v>
      </c>
      <c r="M19701" s="3">
        <v>0</v>
      </c>
      <c r="N19701" s="3">
        <v>0</v>
      </c>
      <c r="O19701" s="3" t="s">
        <v>10</v>
      </c>
      <c r="P19701" s="3" t="s">
        <v>9</v>
      </c>
      <c r="Q19701" s="3"/>
    </row>
    <row r="19702" spans="1:17" ht="15" x14ac:dyDescent="0.25">
      <c r="A19702" s="3">
        <f>19695</f>
        <v>19695</v>
      </c>
      <c r="B19702" s="3" t="s">
        <v>19704</v>
      </c>
      <c r="C19702" s="3" t="s">
        <v>9</v>
      </c>
      <c r="D19702" s="3" t="s">
        <v>9</v>
      </c>
      <c r="E19702" s="3">
        <v>0</v>
      </c>
      <c r="F19702" s="3">
        <v>0</v>
      </c>
      <c r="G19702" s="3">
        <v>0</v>
      </c>
      <c r="H19702" s="3">
        <v>0</v>
      </c>
      <c r="I19702" s="3">
        <v>0</v>
      </c>
      <c r="J19702" s="3">
        <v>0</v>
      </c>
      <c r="K19702" s="3">
        <v>0</v>
      </c>
      <c r="L19702" s="3">
        <v>0</v>
      </c>
      <c r="M19702" s="3">
        <v>0</v>
      </c>
      <c r="N19702" s="3">
        <v>0</v>
      </c>
      <c r="O19702" s="3" t="s">
        <v>10</v>
      </c>
      <c r="P19702" s="3" t="s">
        <v>9</v>
      </c>
      <c r="Q19702" s="3"/>
    </row>
    <row r="19703" spans="1:17" ht="15" x14ac:dyDescent="0.25">
      <c r="A19703" s="3">
        <f>19696</f>
        <v>19696</v>
      </c>
      <c r="B19703" s="3" t="s">
        <v>19705</v>
      </c>
      <c r="C19703" s="3" t="s">
        <v>9</v>
      </c>
      <c r="D19703" s="3" t="s">
        <v>9</v>
      </c>
      <c r="E19703" s="3">
        <v>0</v>
      </c>
      <c r="F19703" s="3">
        <v>0</v>
      </c>
      <c r="G19703" s="3">
        <v>0</v>
      </c>
      <c r="H19703" s="3">
        <v>0</v>
      </c>
      <c r="I19703" s="3">
        <v>0</v>
      </c>
      <c r="J19703" s="3">
        <v>0</v>
      </c>
      <c r="K19703" s="3">
        <v>0</v>
      </c>
      <c r="L19703" s="3">
        <v>0</v>
      </c>
      <c r="M19703" s="3">
        <v>0</v>
      </c>
      <c r="N19703" s="3">
        <v>0</v>
      </c>
      <c r="O19703" s="3" t="s">
        <v>10</v>
      </c>
      <c r="P19703" s="3" t="s">
        <v>9</v>
      </c>
      <c r="Q19703" s="3"/>
    </row>
    <row r="19704" spans="1:17" ht="15" x14ac:dyDescent="0.25">
      <c r="A19704" s="3">
        <f>19697</f>
        <v>19697</v>
      </c>
      <c r="B19704" s="3" t="s">
        <v>19706</v>
      </c>
      <c r="C19704" s="3" t="s">
        <v>9</v>
      </c>
      <c r="D19704" s="3" t="s">
        <v>9</v>
      </c>
      <c r="E19704" s="3">
        <v>0</v>
      </c>
      <c r="F19704" s="3">
        <v>0</v>
      </c>
      <c r="G19704" s="3">
        <v>0</v>
      </c>
      <c r="H19704" s="3">
        <v>0</v>
      </c>
      <c r="I19704" s="3">
        <v>0</v>
      </c>
      <c r="J19704" s="3">
        <v>0</v>
      </c>
      <c r="K19704" s="3">
        <v>0</v>
      </c>
      <c r="L19704" s="3">
        <v>0</v>
      </c>
      <c r="M19704" s="3">
        <v>0</v>
      </c>
      <c r="N19704" s="3">
        <v>0</v>
      </c>
      <c r="O19704" s="3" t="s">
        <v>10</v>
      </c>
      <c r="P19704" s="3" t="s">
        <v>9</v>
      </c>
      <c r="Q19704" s="3"/>
    </row>
    <row r="19705" spans="1:17" ht="15" x14ac:dyDescent="0.25">
      <c r="A19705" s="3">
        <f>19698</f>
        <v>19698</v>
      </c>
      <c r="B19705" s="3" t="s">
        <v>19707</v>
      </c>
      <c r="C19705" s="3" t="s">
        <v>9</v>
      </c>
      <c r="D19705" s="3" t="s">
        <v>9</v>
      </c>
      <c r="E19705" s="3">
        <v>0</v>
      </c>
      <c r="F19705" s="3">
        <v>0</v>
      </c>
      <c r="G19705" s="3">
        <v>0</v>
      </c>
      <c r="H19705" s="3">
        <v>0</v>
      </c>
      <c r="I19705" s="3">
        <v>0</v>
      </c>
      <c r="J19705" s="3">
        <v>0</v>
      </c>
      <c r="K19705" s="3">
        <v>0</v>
      </c>
      <c r="L19705" s="3">
        <v>0</v>
      </c>
      <c r="M19705" s="3">
        <v>0</v>
      </c>
      <c r="N19705" s="3">
        <v>0</v>
      </c>
      <c r="O19705" s="3" t="s">
        <v>10</v>
      </c>
      <c r="P19705" s="3" t="s">
        <v>9</v>
      </c>
      <c r="Q19705" s="3"/>
    </row>
    <row r="19706" spans="1:17" ht="15" x14ac:dyDescent="0.25">
      <c r="A19706" s="3">
        <f>19699</f>
        <v>19699</v>
      </c>
      <c r="B19706" s="3" t="s">
        <v>19708</v>
      </c>
      <c r="C19706" s="3" t="s">
        <v>9</v>
      </c>
      <c r="D19706" s="3" t="s">
        <v>9</v>
      </c>
      <c r="E19706" s="3">
        <v>0</v>
      </c>
      <c r="F19706" s="3">
        <v>0</v>
      </c>
      <c r="G19706" s="3">
        <v>0</v>
      </c>
      <c r="H19706" s="3">
        <v>0</v>
      </c>
      <c r="I19706" s="3">
        <v>0</v>
      </c>
      <c r="J19706" s="3">
        <v>0</v>
      </c>
      <c r="K19706" s="3">
        <v>0</v>
      </c>
      <c r="L19706" s="3">
        <v>0</v>
      </c>
      <c r="M19706" s="3">
        <v>0</v>
      </c>
      <c r="N19706" s="3">
        <v>0</v>
      </c>
      <c r="O19706" s="3" t="s">
        <v>10</v>
      </c>
      <c r="P19706" s="3" t="s">
        <v>9</v>
      </c>
      <c r="Q19706" s="3"/>
    </row>
    <row r="19707" spans="1:17" ht="15" x14ac:dyDescent="0.25">
      <c r="A19707" s="3">
        <f>19700</f>
        <v>19700</v>
      </c>
      <c r="B19707" s="3" t="s">
        <v>19709</v>
      </c>
      <c r="C19707" s="3" t="s">
        <v>9</v>
      </c>
      <c r="D19707" s="3" t="s">
        <v>9</v>
      </c>
      <c r="E19707" s="3">
        <v>0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0</v>
      </c>
      <c r="L19707" s="3">
        <v>0</v>
      </c>
      <c r="M19707" s="3">
        <v>0</v>
      </c>
      <c r="N19707" s="3">
        <v>0</v>
      </c>
      <c r="O19707" s="3" t="s">
        <v>10</v>
      </c>
      <c r="P19707" s="3" t="s">
        <v>9</v>
      </c>
      <c r="Q19707" s="3"/>
    </row>
    <row r="19708" spans="1:17" ht="15" x14ac:dyDescent="0.25">
      <c r="A19708" s="3">
        <f>19701</f>
        <v>19701</v>
      </c>
      <c r="B19708" s="3" t="s">
        <v>19710</v>
      </c>
      <c r="C19708" s="3" t="s">
        <v>9</v>
      </c>
      <c r="D19708" s="3" t="s">
        <v>9</v>
      </c>
      <c r="E19708" s="3">
        <v>0</v>
      </c>
      <c r="F19708" s="3">
        <v>0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  <c r="L19708" s="3">
        <v>0</v>
      </c>
      <c r="M19708" s="3">
        <v>0</v>
      </c>
      <c r="N19708" s="3">
        <v>0</v>
      </c>
      <c r="O19708" s="3" t="s">
        <v>10</v>
      </c>
      <c r="P19708" s="3" t="s">
        <v>9</v>
      </c>
      <c r="Q19708" s="3"/>
    </row>
    <row r="19709" spans="1:17" ht="15" x14ac:dyDescent="0.25">
      <c r="A19709" s="3">
        <f>19702</f>
        <v>19702</v>
      </c>
      <c r="B19709" s="3" t="s">
        <v>19711</v>
      </c>
      <c r="C19709" s="3" t="s">
        <v>9</v>
      </c>
      <c r="D19709" s="3" t="s">
        <v>9</v>
      </c>
      <c r="E19709" s="3">
        <v>0</v>
      </c>
      <c r="F19709" s="3">
        <v>0</v>
      </c>
      <c r="G19709" s="3">
        <v>0</v>
      </c>
      <c r="H19709" s="3">
        <v>0</v>
      </c>
      <c r="I19709" s="3">
        <v>0</v>
      </c>
      <c r="J19709" s="3">
        <v>0</v>
      </c>
      <c r="K19709" s="3">
        <v>0</v>
      </c>
      <c r="L19709" s="3">
        <v>0</v>
      </c>
      <c r="M19709" s="3">
        <v>0</v>
      </c>
      <c r="N19709" s="3">
        <v>0</v>
      </c>
      <c r="O19709" s="3" t="s">
        <v>10</v>
      </c>
      <c r="P19709" s="3" t="s">
        <v>9</v>
      </c>
      <c r="Q19709" s="3"/>
    </row>
    <row r="19710" spans="1:17" ht="15" x14ac:dyDescent="0.25">
      <c r="A19710" s="3">
        <f>19703</f>
        <v>19703</v>
      </c>
      <c r="B19710" s="3" t="s">
        <v>19712</v>
      </c>
      <c r="C19710" s="3" t="s">
        <v>9</v>
      </c>
      <c r="D19710" s="3" t="s">
        <v>9</v>
      </c>
      <c r="E19710" s="3">
        <v>0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  <c r="L19710" s="3">
        <v>0</v>
      </c>
      <c r="M19710" s="3">
        <v>0</v>
      </c>
      <c r="N19710" s="3">
        <v>0</v>
      </c>
      <c r="O19710" s="3" t="s">
        <v>10</v>
      </c>
      <c r="P19710" s="3" t="s">
        <v>9</v>
      </c>
      <c r="Q19710" s="3"/>
    </row>
    <row r="19711" spans="1:17" ht="15" x14ac:dyDescent="0.25">
      <c r="A19711" s="3">
        <f>19704</f>
        <v>19704</v>
      </c>
      <c r="B19711" s="3" t="s">
        <v>19713</v>
      </c>
      <c r="C19711" s="3" t="s">
        <v>9</v>
      </c>
      <c r="D19711" s="3" t="s">
        <v>9</v>
      </c>
      <c r="E19711" s="3">
        <v>0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  <c r="L19711" s="3">
        <v>0</v>
      </c>
      <c r="M19711" s="3">
        <v>0</v>
      </c>
      <c r="N19711" s="3">
        <v>0</v>
      </c>
      <c r="O19711" s="3" t="s">
        <v>10</v>
      </c>
      <c r="P19711" s="3" t="s">
        <v>9</v>
      </c>
      <c r="Q19711" s="3"/>
    </row>
    <row r="19712" spans="1:17" ht="15" x14ac:dyDescent="0.25">
      <c r="A19712" s="3">
        <f>19705</f>
        <v>19705</v>
      </c>
      <c r="B19712" s="3" t="s">
        <v>19714</v>
      </c>
      <c r="C19712" s="3" t="s">
        <v>9</v>
      </c>
      <c r="D19712" s="3" t="s">
        <v>9</v>
      </c>
      <c r="E19712" s="3">
        <v>0</v>
      </c>
      <c r="F19712" s="3">
        <v>0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  <c r="L19712" s="3">
        <v>0</v>
      </c>
      <c r="M19712" s="3">
        <v>0</v>
      </c>
      <c r="N19712" s="3">
        <v>0</v>
      </c>
      <c r="O19712" s="3" t="s">
        <v>10</v>
      </c>
      <c r="P19712" s="3" t="s">
        <v>9</v>
      </c>
      <c r="Q19712" s="3"/>
    </row>
    <row r="19713" spans="1:17" ht="15" x14ac:dyDescent="0.25">
      <c r="A19713" s="3">
        <f>19706</f>
        <v>19706</v>
      </c>
      <c r="B19713" s="3" t="s">
        <v>19715</v>
      </c>
      <c r="C19713" s="3" t="s">
        <v>9</v>
      </c>
      <c r="D19713" s="3" t="s">
        <v>9</v>
      </c>
      <c r="E19713" s="3">
        <v>0</v>
      </c>
      <c r="F19713" s="3">
        <v>0</v>
      </c>
      <c r="G19713" s="3">
        <v>0</v>
      </c>
      <c r="H19713" s="3">
        <v>0</v>
      </c>
      <c r="I19713" s="3">
        <v>0</v>
      </c>
      <c r="J19713" s="3">
        <v>0</v>
      </c>
      <c r="K19713" s="3">
        <v>0</v>
      </c>
      <c r="L19713" s="3">
        <v>0</v>
      </c>
      <c r="M19713" s="3">
        <v>0</v>
      </c>
      <c r="N19713" s="3">
        <v>0</v>
      </c>
      <c r="O19713" s="3" t="s">
        <v>10</v>
      </c>
      <c r="P19713" s="3" t="s">
        <v>9</v>
      </c>
      <c r="Q19713" s="3"/>
    </row>
    <row r="19714" spans="1:17" ht="15" x14ac:dyDescent="0.25">
      <c r="A19714" s="3">
        <f>19707</f>
        <v>19707</v>
      </c>
      <c r="B19714" s="3" t="s">
        <v>19716</v>
      </c>
      <c r="C19714" s="3" t="s">
        <v>10</v>
      </c>
      <c r="D19714" s="3" t="s">
        <v>9</v>
      </c>
      <c r="E19714" s="3">
        <v>0</v>
      </c>
      <c r="F19714" s="3">
        <v>0</v>
      </c>
      <c r="G19714" s="3">
        <v>0</v>
      </c>
      <c r="H19714" s="3">
        <v>0</v>
      </c>
      <c r="I19714" s="3">
        <v>0</v>
      </c>
      <c r="J19714" s="3">
        <v>0</v>
      </c>
      <c r="K19714" s="3">
        <v>0</v>
      </c>
      <c r="L19714" s="3">
        <v>0</v>
      </c>
      <c r="M19714" s="3">
        <v>0</v>
      </c>
      <c r="N19714" s="3">
        <v>0</v>
      </c>
      <c r="O19714" s="3" t="s">
        <v>10</v>
      </c>
      <c r="P19714" s="3" t="s">
        <v>9</v>
      </c>
      <c r="Q19714" s="3"/>
    </row>
    <row r="19715" spans="1:17" ht="15" x14ac:dyDescent="0.25">
      <c r="A19715" s="3">
        <f>19708</f>
        <v>19708</v>
      </c>
      <c r="B19715" s="3" t="s">
        <v>19717</v>
      </c>
      <c r="C19715" s="3" t="s">
        <v>10</v>
      </c>
      <c r="D19715" s="3" t="s">
        <v>9</v>
      </c>
      <c r="E19715" s="3">
        <v>0</v>
      </c>
      <c r="F19715" s="3">
        <v>0</v>
      </c>
      <c r="G19715" s="3">
        <v>0</v>
      </c>
      <c r="H19715" s="3">
        <v>0</v>
      </c>
      <c r="I19715" s="3">
        <v>0</v>
      </c>
      <c r="J19715" s="3">
        <v>0</v>
      </c>
      <c r="K19715" s="3">
        <v>0</v>
      </c>
      <c r="L19715" s="3">
        <v>0</v>
      </c>
      <c r="M19715" s="3">
        <v>0</v>
      </c>
      <c r="N19715" s="3">
        <v>0</v>
      </c>
      <c r="O19715" s="3" t="s">
        <v>10</v>
      </c>
      <c r="P19715" s="3" t="s">
        <v>9</v>
      </c>
      <c r="Q19715" s="3"/>
    </row>
    <row r="19716" spans="1:17" ht="15" x14ac:dyDescent="0.25">
      <c r="A19716" s="3">
        <f>19709</f>
        <v>19709</v>
      </c>
      <c r="B19716" s="3" t="s">
        <v>19718</v>
      </c>
      <c r="C19716" s="3" t="s">
        <v>10</v>
      </c>
      <c r="D19716" s="3" t="s">
        <v>9</v>
      </c>
      <c r="E19716" s="3">
        <v>0</v>
      </c>
      <c r="F19716" s="3">
        <v>0</v>
      </c>
      <c r="G19716" s="3">
        <v>0</v>
      </c>
      <c r="H19716" s="3">
        <v>0</v>
      </c>
      <c r="I19716" s="3">
        <v>0</v>
      </c>
      <c r="J19716" s="3">
        <v>0</v>
      </c>
      <c r="K19716" s="3">
        <v>0</v>
      </c>
      <c r="L19716" s="3">
        <v>0</v>
      </c>
      <c r="M19716" s="3">
        <v>0</v>
      </c>
      <c r="N19716" s="3">
        <v>0</v>
      </c>
      <c r="O19716" s="3" t="s">
        <v>10</v>
      </c>
      <c r="P19716" s="3" t="s">
        <v>9</v>
      </c>
      <c r="Q19716" s="3"/>
    </row>
    <row r="19717" spans="1:17" ht="15" x14ac:dyDescent="0.25">
      <c r="A19717" s="3">
        <f>19710</f>
        <v>19710</v>
      </c>
      <c r="B19717" s="3" t="s">
        <v>19719</v>
      </c>
      <c r="C19717" s="3" t="s">
        <v>10</v>
      </c>
      <c r="D19717" s="3" t="s">
        <v>9</v>
      </c>
      <c r="E19717" s="3">
        <v>0</v>
      </c>
      <c r="F19717" s="3">
        <v>0</v>
      </c>
      <c r="G19717" s="3">
        <v>0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3">
        <v>0</v>
      </c>
      <c r="N19717" s="3">
        <v>0</v>
      </c>
      <c r="O19717" s="3" t="s">
        <v>10</v>
      </c>
      <c r="P19717" s="3" t="s">
        <v>9</v>
      </c>
      <c r="Q19717" s="3"/>
    </row>
    <row r="19718" spans="1:17" ht="15" x14ac:dyDescent="0.25">
      <c r="A19718" s="3">
        <f>19711</f>
        <v>19711</v>
      </c>
      <c r="B19718" s="3" t="s">
        <v>19720</v>
      </c>
      <c r="C19718" s="3" t="s">
        <v>10</v>
      </c>
      <c r="D19718" s="3" t="s">
        <v>9</v>
      </c>
      <c r="E19718" s="3">
        <v>0</v>
      </c>
      <c r="F19718" s="3">
        <v>0</v>
      </c>
      <c r="G19718" s="3">
        <v>0</v>
      </c>
      <c r="H19718" s="3">
        <v>0</v>
      </c>
      <c r="I19718" s="3">
        <v>0</v>
      </c>
      <c r="J19718" s="3">
        <v>0</v>
      </c>
      <c r="K19718" s="3">
        <v>0</v>
      </c>
      <c r="L19718" s="3">
        <v>0</v>
      </c>
      <c r="M19718" s="3">
        <v>0</v>
      </c>
      <c r="N19718" s="3">
        <v>0</v>
      </c>
      <c r="O19718" s="3" t="s">
        <v>10</v>
      </c>
      <c r="P19718" s="3" t="s">
        <v>9</v>
      </c>
      <c r="Q19718" s="3"/>
    </row>
    <row r="19719" spans="1:17" ht="15" x14ac:dyDescent="0.25">
      <c r="A19719" s="3">
        <f>19712</f>
        <v>19712</v>
      </c>
      <c r="B19719" s="3" t="s">
        <v>19721</v>
      </c>
      <c r="C19719" s="3" t="s">
        <v>10</v>
      </c>
      <c r="D19719" s="3" t="s">
        <v>9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3">
        <v>0</v>
      </c>
      <c r="N19719" s="3">
        <v>0</v>
      </c>
      <c r="O19719" s="3" t="s">
        <v>10</v>
      </c>
      <c r="P19719" s="3" t="s">
        <v>9</v>
      </c>
      <c r="Q19719" s="3"/>
    </row>
    <row r="19720" spans="1:17" ht="15" x14ac:dyDescent="0.25">
      <c r="A19720" s="3">
        <f>19713</f>
        <v>19713</v>
      </c>
      <c r="B19720" s="3" t="s">
        <v>19722</v>
      </c>
      <c r="C19720" s="3" t="s">
        <v>10</v>
      </c>
      <c r="D19720" s="3" t="s">
        <v>9</v>
      </c>
      <c r="E19720" s="3">
        <v>0</v>
      </c>
      <c r="F19720" s="3">
        <v>0</v>
      </c>
      <c r="G19720" s="3">
        <v>0</v>
      </c>
      <c r="H19720" s="3">
        <v>0</v>
      </c>
      <c r="I19720" s="3">
        <v>0</v>
      </c>
      <c r="J19720" s="3">
        <v>0</v>
      </c>
      <c r="K19720" s="3">
        <v>0</v>
      </c>
      <c r="L19720" s="3">
        <v>0</v>
      </c>
      <c r="M19720" s="3">
        <v>0</v>
      </c>
      <c r="N19720" s="3">
        <v>0</v>
      </c>
      <c r="O19720" s="3" t="s">
        <v>10</v>
      </c>
      <c r="P19720" s="3" t="s">
        <v>9</v>
      </c>
      <c r="Q19720" s="3"/>
    </row>
    <row r="19721" spans="1:17" ht="15" x14ac:dyDescent="0.25">
      <c r="A19721" s="3">
        <f>19714</f>
        <v>19714</v>
      </c>
      <c r="B19721" s="3" t="s">
        <v>19723</v>
      </c>
      <c r="C19721" s="3" t="s">
        <v>10</v>
      </c>
      <c r="D19721" s="3" t="s">
        <v>9</v>
      </c>
      <c r="E19721" s="3">
        <v>0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  <c r="L19721" s="3">
        <v>0</v>
      </c>
      <c r="M19721" s="3">
        <v>0</v>
      </c>
      <c r="N19721" s="3">
        <v>0</v>
      </c>
      <c r="O19721" s="3" t="s">
        <v>10</v>
      </c>
      <c r="P19721" s="3" t="s">
        <v>9</v>
      </c>
      <c r="Q19721" s="3"/>
    </row>
    <row r="19722" spans="1:17" ht="15" x14ac:dyDescent="0.25">
      <c r="A19722" s="3">
        <f>19715</f>
        <v>19715</v>
      </c>
      <c r="B19722" s="3" t="s">
        <v>19724</v>
      </c>
      <c r="C19722" s="3" t="s">
        <v>9</v>
      </c>
      <c r="D19722" s="3" t="s">
        <v>9</v>
      </c>
      <c r="E19722" s="3">
        <v>0</v>
      </c>
      <c r="F19722" s="3">
        <v>0</v>
      </c>
      <c r="G19722" s="3">
        <v>0</v>
      </c>
      <c r="H19722" s="3">
        <v>0</v>
      </c>
      <c r="I19722" s="3">
        <v>0</v>
      </c>
      <c r="J19722" s="3">
        <v>0</v>
      </c>
      <c r="K19722" s="3">
        <v>0</v>
      </c>
      <c r="L19722" s="3">
        <v>0</v>
      </c>
      <c r="M19722" s="3">
        <v>0</v>
      </c>
      <c r="N19722" s="3">
        <v>0</v>
      </c>
      <c r="O19722" s="3" t="s">
        <v>9</v>
      </c>
      <c r="P19722" s="3" t="s">
        <v>9</v>
      </c>
      <c r="Q19722" s="3"/>
    </row>
    <row r="19723" spans="1:17" ht="15" x14ac:dyDescent="0.25">
      <c r="A19723" s="3">
        <f>19716</f>
        <v>19716</v>
      </c>
      <c r="B19723" s="3" t="s">
        <v>19725</v>
      </c>
      <c r="C19723" s="3" t="s">
        <v>9</v>
      </c>
      <c r="D19723" s="3" t="s">
        <v>9</v>
      </c>
      <c r="E19723" s="3">
        <v>0</v>
      </c>
      <c r="F19723" s="3">
        <v>0</v>
      </c>
      <c r="G19723" s="3">
        <v>0</v>
      </c>
      <c r="H19723" s="3">
        <v>0</v>
      </c>
      <c r="I19723" s="3">
        <v>0</v>
      </c>
      <c r="J19723" s="3">
        <v>0</v>
      </c>
      <c r="K19723" s="3">
        <v>0</v>
      </c>
      <c r="L19723" s="3">
        <v>0</v>
      </c>
      <c r="M19723" s="3">
        <v>0</v>
      </c>
      <c r="N19723" s="3">
        <v>0</v>
      </c>
      <c r="O19723" s="3" t="s">
        <v>9</v>
      </c>
      <c r="P19723" s="3" t="s">
        <v>9</v>
      </c>
      <c r="Q19723" s="3"/>
    </row>
    <row r="19724" spans="1:17" ht="15" x14ac:dyDescent="0.25">
      <c r="A19724" s="3">
        <f>19717</f>
        <v>19717</v>
      </c>
      <c r="B19724" s="3" t="s">
        <v>19726</v>
      </c>
      <c r="C19724" s="3" t="s">
        <v>9</v>
      </c>
      <c r="D19724" s="3" t="s">
        <v>9</v>
      </c>
      <c r="E19724" s="3">
        <v>0</v>
      </c>
      <c r="F19724" s="3">
        <v>0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 s="3">
        <v>0</v>
      </c>
      <c r="M19724" s="3">
        <v>0</v>
      </c>
      <c r="N19724" s="3">
        <v>0</v>
      </c>
      <c r="O19724" s="3" t="s">
        <v>9</v>
      </c>
      <c r="P19724" s="3" t="s">
        <v>9</v>
      </c>
      <c r="Q19724" s="3"/>
    </row>
    <row r="19725" spans="1:17" ht="15" x14ac:dyDescent="0.25">
      <c r="A19725" s="3">
        <f>19718</f>
        <v>19718</v>
      </c>
      <c r="B19725" s="3" t="s">
        <v>19727</v>
      </c>
      <c r="C19725" s="3" t="s">
        <v>9</v>
      </c>
      <c r="D19725" s="3" t="s">
        <v>9</v>
      </c>
      <c r="E19725" s="3">
        <v>0</v>
      </c>
      <c r="F19725" s="3">
        <v>0</v>
      </c>
      <c r="G19725" s="3">
        <v>0</v>
      </c>
      <c r="H19725" s="3">
        <v>0</v>
      </c>
      <c r="I19725" s="3">
        <v>0</v>
      </c>
      <c r="J19725" s="3">
        <v>0</v>
      </c>
      <c r="K19725" s="3">
        <v>0</v>
      </c>
      <c r="L19725" s="3">
        <v>0</v>
      </c>
      <c r="M19725" s="3">
        <v>0</v>
      </c>
      <c r="N19725" s="3">
        <v>0</v>
      </c>
      <c r="O19725" s="3" t="s">
        <v>9</v>
      </c>
      <c r="P19725" s="3" t="s">
        <v>9</v>
      </c>
      <c r="Q19725" s="3"/>
    </row>
    <row r="19726" spans="1:17" ht="15" x14ac:dyDescent="0.25">
      <c r="A19726" s="3">
        <f>19719</f>
        <v>19719</v>
      </c>
      <c r="B19726" s="3" t="s">
        <v>19728</v>
      </c>
      <c r="C19726" s="3" t="s">
        <v>9</v>
      </c>
      <c r="D19726" s="3" t="s">
        <v>9</v>
      </c>
      <c r="E19726" s="3">
        <v>0</v>
      </c>
      <c r="F19726" s="3">
        <v>0</v>
      </c>
      <c r="G19726" s="3">
        <v>0</v>
      </c>
      <c r="H19726" s="3">
        <v>0</v>
      </c>
      <c r="I19726" s="3">
        <v>0</v>
      </c>
      <c r="J19726" s="3">
        <v>0</v>
      </c>
      <c r="K19726" s="3">
        <v>0</v>
      </c>
      <c r="L19726" s="3">
        <v>0</v>
      </c>
      <c r="M19726" s="3">
        <v>0</v>
      </c>
      <c r="N19726" s="3">
        <v>0</v>
      </c>
      <c r="O19726" s="3" t="s">
        <v>9</v>
      </c>
      <c r="P19726" s="3" t="s">
        <v>9</v>
      </c>
      <c r="Q19726" s="3"/>
    </row>
    <row r="19727" spans="1:17" ht="15" x14ac:dyDescent="0.25">
      <c r="A19727" s="3">
        <f>19720</f>
        <v>19720</v>
      </c>
      <c r="B19727" s="3" t="s">
        <v>19729</v>
      </c>
      <c r="C19727" s="3" t="s">
        <v>9</v>
      </c>
      <c r="D19727" s="3" t="s">
        <v>9</v>
      </c>
      <c r="E19727" s="3">
        <v>0</v>
      </c>
      <c r="F19727" s="3">
        <v>0</v>
      </c>
      <c r="G19727" s="3">
        <v>0</v>
      </c>
      <c r="H19727" s="3">
        <v>0</v>
      </c>
      <c r="I19727" s="3">
        <v>0</v>
      </c>
      <c r="J19727" s="3">
        <v>0</v>
      </c>
      <c r="K19727" s="3">
        <v>0</v>
      </c>
      <c r="L19727" s="3">
        <v>0</v>
      </c>
      <c r="M19727" s="3">
        <v>0</v>
      </c>
      <c r="N19727" s="3">
        <v>0</v>
      </c>
      <c r="O19727" s="3" t="s">
        <v>9</v>
      </c>
      <c r="P19727" s="3" t="s">
        <v>9</v>
      </c>
      <c r="Q19727" s="3"/>
    </row>
    <row r="19728" spans="1:17" ht="15" x14ac:dyDescent="0.25">
      <c r="A19728" s="3">
        <f>19721</f>
        <v>19721</v>
      </c>
      <c r="B19728" s="3" t="s">
        <v>19730</v>
      </c>
      <c r="C19728" s="3" t="s">
        <v>9</v>
      </c>
      <c r="D19728" s="3" t="s">
        <v>9</v>
      </c>
      <c r="E19728" s="3">
        <v>0</v>
      </c>
      <c r="F19728" s="3">
        <v>0</v>
      </c>
      <c r="G19728" s="3">
        <v>0</v>
      </c>
      <c r="H19728" s="3">
        <v>0</v>
      </c>
      <c r="I19728" s="3">
        <v>0</v>
      </c>
      <c r="J19728" s="3">
        <v>0</v>
      </c>
      <c r="K19728" s="3">
        <v>0</v>
      </c>
      <c r="L19728" s="3">
        <v>0</v>
      </c>
      <c r="M19728" s="3">
        <v>0</v>
      </c>
      <c r="N19728" s="3">
        <v>0</v>
      </c>
      <c r="O19728" s="3" t="s">
        <v>9</v>
      </c>
      <c r="P19728" s="3" t="s">
        <v>9</v>
      </c>
      <c r="Q19728" s="3"/>
    </row>
    <row r="19729" spans="1:17" ht="15" x14ac:dyDescent="0.25">
      <c r="A19729" s="3">
        <f>19722</f>
        <v>19722</v>
      </c>
      <c r="B19729" s="3" t="s">
        <v>19731</v>
      </c>
      <c r="C19729" s="3" t="s">
        <v>9</v>
      </c>
      <c r="D19729" s="3" t="s">
        <v>9</v>
      </c>
      <c r="E19729" s="3">
        <v>0</v>
      </c>
      <c r="F19729" s="3">
        <v>0</v>
      </c>
      <c r="G19729" s="3">
        <v>0</v>
      </c>
      <c r="H19729" s="3">
        <v>0</v>
      </c>
      <c r="I19729" s="3">
        <v>0</v>
      </c>
      <c r="J19729" s="3">
        <v>0</v>
      </c>
      <c r="K19729" s="3">
        <v>0</v>
      </c>
      <c r="L19729" s="3">
        <v>0</v>
      </c>
      <c r="M19729" s="3">
        <v>0</v>
      </c>
      <c r="N19729" s="3">
        <v>0</v>
      </c>
      <c r="O19729" s="3" t="s">
        <v>10</v>
      </c>
      <c r="P19729" s="3" t="s">
        <v>9</v>
      </c>
      <c r="Q19729" s="3"/>
    </row>
    <row r="19730" spans="1:17" ht="15" x14ac:dyDescent="0.25">
      <c r="A19730" s="3">
        <f>19723</f>
        <v>19723</v>
      </c>
      <c r="B19730" s="3" t="s">
        <v>19732</v>
      </c>
      <c r="C19730" s="3" t="s">
        <v>9</v>
      </c>
      <c r="D19730" s="3" t="s">
        <v>9</v>
      </c>
      <c r="E19730" s="3">
        <v>0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0</v>
      </c>
      <c r="L19730" s="3">
        <v>0</v>
      </c>
      <c r="M19730" s="3">
        <v>0</v>
      </c>
      <c r="N19730" s="3">
        <v>0</v>
      </c>
      <c r="O19730" s="3" t="s">
        <v>10</v>
      </c>
      <c r="P19730" s="3" t="s">
        <v>9</v>
      </c>
      <c r="Q19730" s="3"/>
    </row>
    <row r="19731" spans="1:17" ht="15" x14ac:dyDescent="0.25">
      <c r="A19731" s="3">
        <f>19724</f>
        <v>19724</v>
      </c>
      <c r="B19731" s="3" t="s">
        <v>19733</v>
      </c>
      <c r="C19731" s="3" t="s">
        <v>9</v>
      </c>
      <c r="D19731" s="3" t="s">
        <v>9</v>
      </c>
      <c r="E19731" s="3">
        <v>0</v>
      </c>
      <c r="F19731" s="3">
        <v>0</v>
      </c>
      <c r="G19731" s="3">
        <v>0</v>
      </c>
      <c r="H19731" s="3">
        <v>0</v>
      </c>
      <c r="I19731" s="3">
        <v>0</v>
      </c>
      <c r="J19731" s="3">
        <v>0</v>
      </c>
      <c r="K19731" s="3">
        <v>0</v>
      </c>
      <c r="L19731" s="3">
        <v>0</v>
      </c>
      <c r="M19731" s="3">
        <v>0</v>
      </c>
      <c r="N19731" s="3">
        <v>0</v>
      </c>
      <c r="O19731" s="3" t="s">
        <v>10</v>
      </c>
      <c r="P19731" s="3" t="s">
        <v>9</v>
      </c>
      <c r="Q19731" s="3"/>
    </row>
    <row r="19732" spans="1:17" ht="15" x14ac:dyDescent="0.25">
      <c r="A19732" s="3">
        <f>19725</f>
        <v>19725</v>
      </c>
      <c r="B19732" s="3" t="s">
        <v>19734</v>
      </c>
      <c r="C19732" s="3" t="s">
        <v>9</v>
      </c>
      <c r="D19732" s="3" t="s">
        <v>9</v>
      </c>
      <c r="E19732" s="3">
        <v>0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  <c r="L19732" s="3">
        <v>0</v>
      </c>
      <c r="M19732" s="3">
        <v>0</v>
      </c>
      <c r="N19732" s="3">
        <v>0</v>
      </c>
      <c r="O19732" s="3" t="s">
        <v>10</v>
      </c>
      <c r="P19732" s="3" t="s">
        <v>9</v>
      </c>
      <c r="Q19732" s="3"/>
    </row>
    <row r="19733" spans="1:17" ht="15" x14ac:dyDescent="0.25">
      <c r="A19733" s="3">
        <f>19726</f>
        <v>19726</v>
      </c>
      <c r="B19733" s="3" t="s">
        <v>19735</v>
      </c>
      <c r="C19733" s="3" t="s">
        <v>9</v>
      </c>
      <c r="D19733" s="3" t="s">
        <v>9</v>
      </c>
      <c r="E19733" s="3">
        <v>0</v>
      </c>
      <c r="F19733" s="3">
        <v>0</v>
      </c>
      <c r="G19733" s="3">
        <v>0</v>
      </c>
      <c r="H19733" s="3">
        <v>0</v>
      </c>
      <c r="I19733" s="3">
        <v>0</v>
      </c>
      <c r="J19733" s="3">
        <v>0</v>
      </c>
      <c r="K19733" s="3">
        <v>0</v>
      </c>
      <c r="L19733" s="3">
        <v>0</v>
      </c>
      <c r="M19733" s="3">
        <v>0</v>
      </c>
      <c r="N19733" s="3">
        <v>0</v>
      </c>
      <c r="O19733" s="3" t="s">
        <v>10</v>
      </c>
      <c r="P19733" s="3" t="s">
        <v>9</v>
      </c>
      <c r="Q19733" s="3"/>
    </row>
    <row r="19734" spans="1:17" ht="15" x14ac:dyDescent="0.25">
      <c r="A19734" s="3">
        <f>19727</f>
        <v>19727</v>
      </c>
      <c r="B19734" s="3" t="s">
        <v>19736</v>
      </c>
      <c r="C19734" s="3" t="s">
        <v>9</v>
      </c>
      <c r="D19734" s="3" t="s">
        <v>9</v>
      </c>
      <c r="E19734" s="3">
        <v>0</v>
      </c>
      <c r="F19734" s="3">
        <v>0</v>
      </c>
      <c r="G19734" s="3">
        <v>0</v>
      </c>
      <c r="H19734" s="3">
        <v>0</v>
      </c>
      <c r="I19734" s="3">
        <v>0</v>
      </c>
      <c r="J19734" s="3">
        <v>0</v>
      </c>
      <c r="K19734" s="3">
        <v>0</v>
      </c>
      <c r="L19734" s="3">
        <v>0</v>
      </c>
      <c r="M19734" s="3">
        <v>0</v>
      </c>
      <c r="N19734" s="3">
        <v>0</v>
      </c>
      <c r="O19734" s="3" t="s">
        <v>10</v>
      </c>
      <c r="P19734" s="3" t="s">
        <v>9</v>
      </c>
      <c r="Q19734" s="3"/>
    </row>
    <row r="19735" spans="1:17" ht="15" x14ac:dyDescent="0.25">
      <c r="A19735" s="3">
        <f>19728</f>
        <v>19728</v>
      </c>
      <c r="B19735" s="3" t="s">
        <v>19737</v>
      </c>
      <c r="C19735" s="3" t="s">
        <v>9</v>
      </c>
      <c r="D19735" s="3" t="s">
        <v>10</v>
      </c>
      <c r="E19735" s="3">
        <v>0</v>
      </c>
      <c r="F19735" s="3">
        <v>0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 s="3">
        <v>0</v>
      </c>
      <c r="M19735" s="3">
        <v>0</v>
      </c>
      <c r="N19735" s="3">
        <v>0</v>
      </c>
      <c r="O19735" s="3" t="s">
        <v>10</v>
      </c>
      <c r="P19735" s="3" t="s">
        <v>9</v>
      </c>
      <c r="Q19735" s="3"/>
    </row>
    <row r="19736" spans="1:17" ht="15" x14ac:dyDescent="0.25">
      <c r="A19736" s="3">
        <f>19729</f>
        <v>19729</v>
      </c>
      <c r="B19736" s="3" t="s">
        <v>19738</v>
      </c>
      <c r="C19736" s="3" t="s">
        <v>9</v>
      </c>
      <c r="D19736" s="3" t="s">
        <v>10</v>
      </c>
      <c r="E19736" s="3">
        <v>0</v>
      </c>
      <c r="F19736" s="3">
        <v>0</v>
      </c>
      <c r="G19736" s="3">
        <v>0</v>
      </c>
      <c r="H19736" s="3">
        <v>0</v>
      </c>
      <c r="I19736" s="3">
        <v>0</v>
      </c>
      <c r="J19736" s="3">
        <v>0</v>
      </c>
      <c r="K19736" s="3">
        <v>0</v>
      </c>
      <c r="L19736" s="3">
        <v>0</v>
      </c>
      <c r="M19736" s="3">
        <v>0</v>
      </c>
      <c r="N19736" s="3">
        <v>0</v>
      </c>
      <c r="O19736" s="3" t="s">
        <v>10</v>
      </c>
      <c r="P19736" s="3" t="s">
        <v>9</v>
      </c>
      <c r="Q19736" s="3"/>
    </row>
    <row r="19737" spans="1:17" ht="15" x14ac:dyDescent="0.25">
      <c r="A19737" s="3">
        <f>19730</f>
        <v>19730</v>
      </c>
      <c r="B19737" s="3" t="s">
        <v>19739</v>
      </c>
      <c r="C19737" s="3" t="s">
        <v>10</v>
      </c>
      <c r="D19737" s="3" t="s">
        <v>9</v>
      </c>
      <c r="E19737" s="3">
        <v>0</v>
      </c>
      <c r="F19737" s="3">
        <v>0</v>
      </c>
      <c r="G19737" s="3">
        <v>0</v>
      </c>
      <c r="H19737" s="3">
        <v>0</v>
      </c>
      <c r="I19737" s="3">
        <v>0</v>
      </c>
      <c r="J19737" s="3">
        <v>0</v>
      </c>
      <c r="K19737" s="3">
        <v>0</v>
      </c>
      <c r="L19737" s="3">
        <v>0</v>
      </c>
      <c r="M19737" s="3">
        <v>0</v>
      </c>
      <c r="N19737" s="3">
        <v>0</v>
      </c>
      <c r="O19737" s="3" t="s">
        <v>9</v>
      </c>
      <c r="P19737" s="3" t="s">
        <v>9</v>
      </c>
      <c r="Q19737" s="3"/>
    </row>
    <row r="19738" spans="1:17" ht="15" x14ac:dyDescent="0.25">
      <c r="A19738" s="3">
        <f>19731</f>
        <v>19731</v>
      </c>
      <c r="B19738" s="3" t="s">
        <v>19740</v>
      </c>
      <c r="C19738" s="3" t="s">
        <v>10</v>
      </c>
      <c r="D19738" s="3" t="s">
        <v>9</v>
      </c>
      <c r="E19738" s="3">
        <v>0</v>
      </c>
      <c r="F19738" s="3">
        <v>0</v>
      </c>
      <c r="G19738" s="3">
        <v>0</v>
      </c>
      <c r="H19738" s="3">
        <v>0</v>
      </c>
      <c r="I19738" s="3">
        <v>0</v>
      </c>
      <c r="J19738" s="3">
        <v>0</v>
      </c>
      <c r="K19738" s="3">
        <v>0</v>
      </c>
      <c r="L19738" s="3">
        <v>0</v>
      </c>
      <c r="M19738" s="3">
        <v>0</v>
      </c>
      <c r="N19738" s="3">
        <v>0</v>
      </c>
      <c r="O19738" s="3" t="s">
        <v>10</v>
      </c>
      <c r="P19738" s="3" t="s">
        <v>9</v>
      </c>
      <c r="Q19738" s="3"/>
    </row>
    <row r="19739" spans="1:17" ht="15" x14ac:dyDescent="0.25">
      <c r="A19739" s="3">
        <f>19732</f>
        <v>19732</v>
      </c>
      <c r="B19739" s="3" t="s">
        <v>19741</v>
      </c>
      <c r="C19739" s="3" t="s">
        <v>10</v>
      </c>
      <c r="D19739" s="3" t="s">
        <v>9</v>
      </c>
      <c r="E19739" s="3">
        <v>0</v>
      </c>
      <c r="F19739" s="3">
        <v>0</v>
      </c>
      <c r="G19739" s="3">
        <v>0</v>
      </c>
      <c r="H19739" s="3">
        <v>0</v>
      </c>
      <c r="I19739" s="3">
        <v>0</v>
      </c>
      <c r="J19739" s="3">
        <v>0</v>
      </c>
      <c r="K19739" s="3">
        <v>0</v>
      </c>
      <c r="L19739" s="3">
        <v>0</v>
      </c>
      <c r="M19739" s="3">
        <v>0</v>
      </c>
      <c r="N19739" s="3">
        <v>0</v>
      </c>
      <c r="O19739" s="3" t="s">
        <v>10</v>
      </c>
      <c r="P19739" s="3" t="s">
        <v>9</v>
      </c>
      <c r="Q19739" s="3"/>
    </row>
    <row r="19740" spans="1:17" ht="15" x14ac:dyDescent="0.25">
      <c r="A19740" s="3">
        <f>19733</f>
        <v>19733</v>
      </c>
      <c r="B19740" s="3" t="s">
        <v>19742</v>
      </c>
      <c r="C19740" s="3" t="s">
        <v>10</v>
      </c>
      <c r="D19740" s="3" t="s">
        <v>9</v>
      </c>
      <c r="E19740" s="3">
        <v>0</v>
      </c>
      <c r="F19740" s="3">
        <v>0</v>
      </c>
      <c r="G19740" s="3">
        <v>0</v>
      </c>
      <c r="H19740" s="3">
        <v>0</v>
      </c>
      <c r="I19740" s="3">
        <v>0</v>
      </c>
      <c r="J19740" s="3">
        <v>0</v>
      </c>
      <c r="K19740" s="3">
        <v>0</v>
      </c>
      <c r="L19740" s="3">
        <v>0</v>
      </c>
      <c r="M19740" s="3">
        <v>0</v>
      </c>
      <c r="N19740" s="3">
        <v>0</v>
      </c>
      <c r="O19740" s="3" t="s">
        <v>10</v>
      </c>
      <c r="P19740" s="3" t="s">
        <v>9</v>
      </c>
      <c r="Q19740" s="3"/>
    </row>
    <row r="19741" spans="1:17" ht="15" x14ac:dyDescent="0.25">
      <c r="A19741" s="3">
        <f>19734</f>
        <v>19734</v>
      </c>
      <c r="B19741" s="3" t="s">
        <v>19743</v>
      </c>
      <c r="C19741" s="3" t="s">
        <v>10</v>
      </c>
      <c r="D19741" s="3" t="s">
        <v>9</v>
      </c>
      <c r="E19741" s="3">
        <v>0</v>
      </c>
      <c r="F19741" s="3">
        <v>0</v>
      </c>
      <c r="G19741" s="3">
        <v>0</v>
      </c>
      <c r="H19741" s="3">
        <v>0</v>
      </c>
      <c r="I19741" s="3">
        <v>0</v>
      </c>
      <c r="J19741" s="3">
        <v>0</v>
      </c>
      <c r="K19741" s="3">
        <v>0</v>
      </c>
      <c r="L19741" s="3">
        <v>0</v>
      </c>
      <c r="M19741" s="3">
        <v>0</v>
      </c>
      <c r="N19741" s="3">
        <v>0</v>
      </c>
      <c r="O19741" s="3" t="s">
        <v>10</v>
      </c>
      <c r="P19741" s="3" t="s">
        <v>9</v>
      </c>
      <c r="Q19741" s="3"/>
    </row>
    <row r="19742" spans="1:17" ht="15" x14ac:dyDescent="0.25">
      <c r="A19742" s="3">
        <f>19735</f>
        <v>19735</v>
      </c>
      <c r="B19742" s="3" t="s">
        <v>19744</v>
      </c>
      <c r="C19742" s="3" t="s">
        <v>10</v>
      </c>
      <c r="D19742" s="3" t="s">
        <v>9</v>
      </c>
      <c r="E19742" s="3">
        <v>0</v>
      </c>
      <c r="F19742" s="3">
        <v>0</v>
      </c>
      <c r="G19742" s="3">
        <v>0</v>
      </c>
      <c r="H19742" s="3">
        <v>0</v>
      </c>
      <c r="I19742" s="3">
        <v>0</v>
      </c>
      <c r="J19742" s="3">
        <v>0</v>
      </c>
      <c r="K19742" s="3">
        <v>0</v>
      </c>
      <c r="L19742" s="3">
        <v>0</v>
      </c>
      <c r="M19742" s="3">
        <v>0</v>
      </c>
      <c r="N19742" s="3">
        <v>0</v>
      </c>
      <c r="O19742" s="3" t="s">
        <v>10</v>
      </c>
      <c r="P19742" s="3" t="s">
        <v>9</v>
      </c>
      <c r="Q19742" s="3"/>
    </row>
    <row r="19743" spans="1:17" ht="15" x14ac:dyDescent="0.25">
      <c r="A19743" s="3">
        <f>19736</f>
        <v>19736</v>
      </c>
      <c r="B19743" s="3" t="s">
        <v>19745</v>
      </c>
      <c r="C19743" s="3" t="s">
        <v>10</v>
      </c>
      <c r="D19743" s="3" t="s">
        <v>9</v>
      </c>
      <c r="E19743" s="3">
        <v>0</v>
      </c>
      <c r="F19743" s="3">
        <v>0</v>
      </c>
      <c r="G19743" s="3">
        <v>0</v>
      </c>
      <c r="H19743" s="3">
        <v>0</v>
      </c>
      <c r="I19743" s="3">
        <v>0</v>
      </c>
      <c r="J19743" s="3">
        <v>0</v>
      </c>
      <c r="K19743" s="3">
        <v>0</v>
      </c>
      <c r="L19743" s="3">
        <v>0</v>
      </c>
      <c r="M19743" s="3">
        <v>0</v>
      </c>
      <c r="N19743" s="3">
        <v>0</v>
      </c>
      <c r="O19743" s="3" t="s">
        <v>10</v>
      </c>
      <c r="P19743" s="3" t="s">
        <v>9</v>
      </c>
      <c r="Q19743" s="3"/>
    </row>
    <row r="19744" spans="1:17" ht="15" x14ac:dyDescent="0.25">
      <c r="A19744" s="3">
        <f>19737</f>
        <v>19737</v>
      </c>
      <c r="B19744" s="3" t="s">
        <v>19746</v>
      </c>
      <c r="C19744" s="3" t="s">
        <v>10</v>
      </c>
      <c r="D19744" s="3" t="s">
        <v>9</v>
      </c>
      <c r="E19744" s="3">
        <v>0</v>
      </c>
      <c r="F19744" s="3">
        <v>0</v>
      </c>
      <c r="G19744" s="3">
        <v>0</v>
      </c>
      <c r="H19744" s="3">
        <v>0</v>
      </c>
      <c r="I19744" s="3">
        <v>0</v>
      </c>
      <c r="J19744" s="3">
        <v>0</v>
      </c>
      <c r="K19744" s="3">
        <v>0</v>
      </c>
      <c r="L19744" s="3">
        <v>0</v>
      </c>
      <c r="M19744" s="3">
        <v>0</v>
      </c>
      <c r="N19744" s="3">
        <v>0</v>
      </c>
      <c r="O19744" s="3" t="s">
        <v>10</v>
      </c>
      <c r="P19744" s="3" t="s">
        <v>9</v>
      </c>
      <c r="Q19744" s="3"/>
    </row>
    <row r="19745" spans="1:17" ht="15" x14ac:dyDescent="0.25">
      <c r="A19745" s="3">
        <f>19738</f>
        <v>19738</v>
      </c>
      <c r="B19745" s="3" t="s">
        <v>19747</v>
      </c>
      <c r="C19745" s="3" t="s">
        <v>10</v>
      </c>
      <c r="D19745" s="3" t="s">
        <v>9</v>
      </c>
      <c r="E19745" s="3">
        <v>0</v>
      </c>
      <c r="F19745" s="3">
        <v>0</v>
      </c>
      <c r="G19745" s="3">
        <v>0</v>
      </c>
      <c r="H19745" s="3">
        <v>0</v>
      </c>
      <c r="I19745" s="3">
        <v>0</v>
      </c>
      <c r="J19745" s="3">
        <v>0</v>
      </c>
      <c r="K19745" s="3">
        <v>0</v>
      </c>
      <c r="L19745" s="3">
        <v>0</v>
      </c>
      <c r="M19745" s="3">
        <v>0</v>
      </c>
      <c r="N19745" s="3">
        <v>0</v>
      </c>
      <c r="O19745" s="3" t="s">
        <v>10</v>
      </c>
      <c r="P19745" s="3" t="s">
        <v>9</v>
      </c>
      <c r="Q19745" s="3"/>
    </row>
    <row r="19746" spans="1:17" ht="15" x14ac:dyDescent="0.25">
      <c r="A19746" s="3">
        <f>19739</f>
        <v>19739</v>
      </c>
      <c r="B19746" s="3" t="s">
        <v>19748</v>
      </c>
      <c r="C19746" s="3" t="s">
        <v>10</v>
      </c>
      <c r="D19746" s="3" t="s">
        <v>9</v>
      </c>
      <c r="E19746" s="3">
        <v>0</v>
      </c>
      <c r="F19746" s="3">
        <v>0</v>
      </c>
      <c r="G19746" s="3">
        <v>0</v>
      </c>
      <c r="H19746" s="3">
        <v>0</v>
      </c>
      <c r="I19746" s="3">
        <v>0</v>
      </c>
      <c r="J19746" s="3">
        <v>0</v>
      </c>
      <c r="K19746" s="3">
        <v>0</v>
      </c>
      <c r="L19746" s="3">
        <v>0</v>
      </c>
      <c r="M19746" s="3">
        <v>0</v>
      </c>
      <c r="N19746" s="3">
        <v>0</v>
      </c>
      <c r="O19746" s="3" t="s">
        <v>10</v>
      </c>
      <c r="P19746" s="3" t="s">
        <v>9</v>
      </c>
      <c r="Q19746" s="3"/>
    </row>
    <row r="19747" spans="1:17" ht="15" x14ac:dyDescent="0.25">
      <c r="A19747" s="3">
        <f>19740</f>
        <v>19740</v>
      </c>
      <c r="B19747" s="3" t="s">
        <v>19749</v>
      </c>
      <c r="C19747" s="3" t="s">
        <v>10</v>
      </c>
      <c r="D19747" s="3" t="s">
        <v>9</v>
      </c>
      <c r="E19747" s="3">
        <v>0</v>
      </c>
      <c r="F19747" s="3">
        <v>0</v>
      </c>
      <c r="G19747" s="3">
        <v>0</v>
      </c>
      <c r="H19747" s="3">
        <v>0</v>
      </c>
      <c r="I19747" s="3">
        <v>0</v>
      </c>
      <c r="J19747" s="3">
        <v>0</v>
      </c>
      <c r="K19747" s="3">
        <v>0</v>
      </c>
      <c r="L19747" s="3">
        <v>0</v>
      </c>
      <c r="M19747" s="3">
        <v>0</v>
      </c>
      <c r="N19747" s="3">
        <v>0</v>
      </c>
      <c r="O19747" s="3" t="s">
        <v>10</v>
      </c>
      <c r="P19747" s="3" t="s">
        <v>9</v>
      </c>
      <c r="Q19747" s="3"/>
    </row>
    <row r="19748" spans="1:17" ht="15" x14ac:dyDescent="0.25">
      <c r="A19748" s="3">
        <f>19741</f>
        <v>19741</v>
      </c>
      <c r="B19748" s="3" t="s">
        <v>19750</v>
      </c>
      <c r="C19748" s="3" t="s">
        <v>10</v>
      </c>
      <c r="D19748" s="3" t="s">
        <v>9</v>
      </c>
      <c r="E19748" s="3">
        <v>0</v>
      </c>
      <c r="F19748" s="3">
        <v>0</v>
      </c>
      <c r="G19748" s="3">
        <v>0</v>
      </c>
      <c r="H19748" s="3">
        <v>0</v>
      </c>
      <c r="I19748" s="3">
        <v>0</v>
      </c>
      <c r="J19748" s="3">
        <v>0</v>
      </c>
      <c r="K19748" s="3">
        <v>0</v>
      </c>
      <c r="L19748" s="3">
        <v>0</v>
      </c>
      <c r="M19748" s="3">
        <v>0</v>
      </c>
      <c r="N19748" s="3">
        <v>0</v>
      </c>
      <c r="O19748" s="3" t="s">
        <v>10</v>
      </c>
      <c r="P19748" s="3" t="s">
        <v>9</v>
      </c>
      <c r="Q19748" s="3"/>
    </row>
    <row r="19749" spans="1:17" ht="15" x14ac:dyDescent="0.25">
      <c r="A19749" s="3">
        <f>19742</f>
        <v>19742</v>
      </c>
      <c r="B19749" s="3" t="s">
        <v>19751</v>
      </c>
      <c r="C19749" s="3" t="s">
        <v>10</v>
      </c>
      <c r="D19749" s="3" t="s">
        <v>9</v>
      </c>
      <c r="E19749" s="3">
        <v>0</v>
      </c>
      <c r="F19749" s="3">
        <v>0</v>
      </c>
      <c r="G19749" s="3">
        <v>0</v>
      </c>
      <c r="H19749" s="3">
        <v>0</v>
      </c>
      <c r="I19749" s="3">
        <v>0</v>
      </c>
      <c r="J19749" s="3">
        <v>0</v>
      </c>
      <c r="K19749" s="3">
        <v>0</v>
      </c>
      <c r="L19749" s="3">
        <v>0</v>
      </c>
      <c r="M19749" s="3">
        <v>0</v>
      </c>
      <c r="N19749" s="3">
        <v>0</v>
      </c>
      <c r="O19749" s="3" t="s">
        <v>10</v>
      </c>
      <c r="P19749" s="3" t="s">
        <v>9</v>
      </c>
      <c r="Q19749" s="3"/>
    </row>
    <row r="19750" spans="1:17" ht="15" x14ac:dyDescent="0.25">
      <c r="A19750" s="3">
        <f>19743</f>
        <v>19743</v>
      </c>
      <c r="B19750" s="3" t="s">
        <v>19752</v>
      </c>
      <c r="C19750" s="3" t="s">
        <v>10</v>
      </c>
      <c r="D19750" s="3" t="s">
        <v>9</v>
      </c>
      <c r="E19750" s="3">
        <v>0</v>
      </c>
      <c r="F19750" s="3">
        <v>0</v>
      </c>
      <c r="G19750" s="3">
        <v>0</v>
      </c>
      <c r="H19750" s="3">
        <v>0</v>
      </c>
      <c r="I19750" s="3">
        <v>0</v>
      </c>
      <c r="J19750" s="3">
        <v>0</v>
      </c>
      <c r="K19750" s="3">
        <v>0</v>
      </c>
      <c r="L19750" s="3">
        <v>0</v>
      </c>
      <c r="M19750" s="3">
        <v>0</v>
      </c>
      <c r="N19750" s="3">
        <v>0</v>
      </c>
      <c r="O19750" s="3" t="s">
        <v>10</v>
      </c>
      <c r="P19750" s="3" t="s">
        <v>9</v>
      </c>
      <c r="Q19750" s="3"/>
    </row>
    <row r="19751" spans="1:17" ht="15" x14ac:dyDescent="0.25">
      <c r="A19751" s="3">
        <f>19744</f>
        <v>19744</v>
      </c>
      <c r="B19751" s="3" t="s">
        <v>19753</v>
      </c>
      <c r="C19751" s="3" t="s">
        <v>10</v>
      </c>
      <c r="D19751" s="3" t="s">
        <v>9</v>
      </c>
      <c r="E19751" s="3">
        <v>0</v>
      </c>
      <c r="F19751" s="3">
        <v>0</v>
      </c>
      <c r="G19751" s="3">
        <v>0</v>
      </c>
      <c r="H19751" s="3">
        <v>0</v>
      </c>
      <c r="I19751" s="3">
        <v>0</v>
      </c>
      <c r="J19751" s="3">
        <v>0</v>
      </c>
      <c r="K19751" s="3">
        <v>0</v>
      </c>
      <c r="L19751" s="3">
        <v>0</v>
      </c>
      <c r="M19751" s="3">
        <v>0</v>
      </c>
      <c r="N19751" s="3">
        <v>0</v>
      </c>
      <c r="O19751" s="3" t="s">
        <v>10</v>
      </c>
      <c r="P19751" s="3" t="s">
        <v>9</v>
      </c>
      <c r="Q19751" s="3"/>
    </row>
    <row r="19752" spans="1:17" ht="15" x14ac:dyDescent="0.25">
      <c r="A19752" s="3">
        <f>19745</f>
        <v>19745</v>
      </c>
      <c r="B19752" s="3" t="s">
        <v>19754</v>
      </c>
      <c r="C19752" s="3" t="s">
        <v>10</v>
      </c>
      <c r="D19752" s="3" t="s">
        <v>9</v>
      </c>
      <c r="E19752" s="3">
        <v>0</v>
      </c>
      <c r="F19752" s="3">
        <v>0</v>
      </c>
      <c r="G19752" s="3">
        <v>0</v>
      </c>
      <c r="H19752" s="3">
        <v>0</v>
      </c>
      <c r="I19752" s="3">
        <v>0</v>
      </c>
      <c r="J19752" s="3">
        <v>0</v>
      </c>
      <c r="K19752" s="3">
        <v>0</v>
      </c>
      <c r="L19752" s="3">
        <v>0</v>
      </c>
      <c r="M19752" s="3">
        <v>0</v>
      </c>
      <c r="N19752" s="3">
        <v>0</v>
      </c>
      <c r="O19752" s="3" t="s">
        <v>10</v>
      </c>
      <c r="P19752" s="3" t="s">
        <v>9</v>
      </c>
      <c r="Q19752" s="3"/>
    </row>
    <row r="19753" spans="1:17" ht="15" x14ac:dyDescent="0.25">
      <c r="A19753" s="3">
        <f>19746</f>
        <v>19746</v>
      </c>
      <c r="B19753" s="3" t="s">
        <v>19755</v>
      </c>
      <c r="C19753" s="3" t="s">
        <v>10</v>
      </c>
      <c r="D19753" s="3" t="s">
        <v>9</v>
      </c>
      <c r="E19753" s="3">
        <v>0</v>
      </c>
      <c r="F19753" s="3">
        <v>0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  <c r="L19753" s="3">
        <v>0</v>
      </c>
      <c r="M19753" s="3">
        <v>0</v>
      </c>
      <c r="N19753" s="3">
        <v>0</v>
      </c>
      <c r="O19753" s="3" t="s">
        <v>10</v>
      </c>
      <c r="P19753" s="3" t="s">
        <v>9</v>
      </c>
      <c r="Q19753" s="3"/>
    </row>
    <row r="19754" spans="1:17" ht="15" x14ac:dyDescent="0.25">
      <c r="A19754" s="3">
        <f>19747</f>
        <v>19747</v>
      </c>
      <c r="B19754" s="3" t="s">
        <v>19756</v>
      </c>
      <c r="C19754" s="3" t="s">
        <v>10</v>
      </c>
      <c r="D19754" s="3" t="s">
        <v>9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3">
        <v>0</v>
      </c>
      <c r="N19754" s="3">
        <v>0</v>
      </c>
      <c r="O19754" s="3" t="s">
        <v>10</v>
      </c>
      <c r="P19754" s="3" t="s">
        <v>9</v>
      </c>
      <c r="Q19754" s="3"/>
    </row>
    <row r="19755" spans="1:17" ht="15" x14ac:dyDescent="0.25">
      <c r="A19755" s="3">
        <f>19748</f>
        <v>19748</v>
      </c>
      <c r="B19755" s="3" t="s">
        <v>19757</v>
      </c>
      <c r="C19755" s="3" t="s">
        <v>10</v>
      </c>
      <c r="D19755" s="3" t="s">
        <v>9</v>
      </c>
      <c r="E19755" s="3">
        <v>0</v>
      </c>
      <c r="F19755" s="3">
        <v>0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  <c r="L19755" s="3">
        <v>0</v>
      </c>
      <c r="M19755" s="3">
        <v>0</v>
      </c>
      <c r="N19755" s="3">
        <v>0</v>
      </c>
      <c r="O19755" s="3" t="s">
        <v>10</v>
      </c>
      <c r="P19755" s="3" t="s">
        <v>9</v>
      </c>
      <c r="Q19755" s="3"/>
    </row>
    <row r="19756" spans="1:17" ht="15" x14ac:dyDescent="0.25">
      <c r="A19756" s="3">
        <f>19749</f>
        <v>19749</v>
      </c>
      <c r="B19756" s="3" t="s">
        <v>19758</v>
      </c>
      <c r="C19756" s="3" t="s">
        <v>10</v>
      </c>
      <c r="D19756" s="3" t="s">
        <v>9</v>
      </c>
      <c r="E19756" s="3">
        <v>0</v>
      </c>
      <c r="F19756" s="3">
        <v>0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  <c r="L19756" s="3">
        <v>0</v>
      </c>
      <c r="M19756" s="3">
        <v>0</v>
      </c>
      <c r="N19756" s="3">
        <v>0</v>
      </c>
      <c r="O19756" s="3" t="s">
        <v>10</v>
      </c>
      <c r="P19756" s="3" t="s">
        <v>9</v>
      </c>
      <c r="Q19756" s="3"/>
    </row>
    <row r="19757" spans="1:17" ht="15" x14ac:dyDescent="0.25">
      <c r="A19757" s="3">
        <f>19750</f>
        <v>19750</v>
      </c>
      <c r="B19757" s="3" t="s">
        <v>19759</v>
      </c>
      <c r="C19757" s="3" t="s">
        <v>10</v>
      </c>
      <c r="D19757" s="3" t="s">
        <v>9</v>
      </c>
      <c r="E19757" s="3">
        <v>0</v>
      </c>
      <c r="F19757" s="3">
        <v>0</v>
      </c>
      <c r="G19757" s="3">
        <v>0</v>
      </c>
      <c r="H19757" s="3">
        <v>0</v>
      </c>
      <c r="I19757" s="3">
        <v>0</v>
      </c>
      <c r="J19757" s="3">
        <v>0</v>
      </c>
      <c r="K19757" s="3">
        <v>0</v>
      </c>
      <c r="L19757" s="3">
        <v>0</v>
      </c>
      <c r="M19757" s="3">
        <v>0</v>
      </c>
      <c r="N19757" s="3">
        <v>0</v>
      </c>
      <c r="O19757" s="3" t="s">
        <v>10</v>
      </c>
      <c r="P19757" s="3" t="s">
        <v>9</v>
      </c>
      <c r="Q19757" s="3"/>
    </row>
    <row r="19758" spans="1:17" ht="15" x14ac:dyDescent="0.25">
      <c r="A19758" s="3">
        <f>19751</f>
        <v>19751</v>
      </c>
      <c r="B19758" s="3" t="s">
        <v>19760</v>
      </c>
      <c r="C19758" s="3" t="s">
        <v>10</v>
      </c>
      <c r="D19758" s="3" t="s">
        <v>9</v>
      </c>
      <c r="E19758" s="3">
        <v>0</v>
      </c>
      <c r="F19758" s="3">
        <v>0</v>
      </c>
      <c r="G19758" s="3">
        <v>0</v>
      </c>
      <c r="H19758" s="3">
        <v>0</v>
      </c>
      <c r="I19758" s="3">
        <v>0</v>
      </c>
      <c r="J19758" s="3">
        <v>0</v>
      </c>
      <c r="K19758" s="3">
        <v>0</v>
      </c>
      <c r="L19758" s="3">
        <v>0</v>
      </c>
      <c r="M19758" s="3">
        <v>0</v>
      </c>
      <c r="N19758" s="3">
        <v>0</v>
      </c>
      <c r="O19758" s="3" t="s">
        <v>10</v>
      </c>
      <c r="P19758" s="3" t="s">
        <v>9</v>
      </c>
      <c r="Q19758" s="3"/>
    </row>
    <row r="19759" spans="1:17" ht="15" x14ac:dyDescent="0.25">
      <c r="A19759" s="3">
        <f>19752</f>
        <v>19752</v>
      </c>
      <c r="B19759" s="3" t="s">
        <v>19761</v>
      </c>
      <c r="C19759" s="3" t="s">
        <v>10</v>
      </c>
      <c r="D19759" s="3" t="s">
        <v>9</v>
      </c>
      <c r="E19759" s="3">
        <v>0</v>
      </c>
      <c r="F19759" s="3">
        <v>0</v>
      </c>
      <c r="G19759" s="3">
        <v>0</v>
      </c>
      <c r="H19759" s="3">
        <v>0</v>
      </c>
      <c r="I19759" s="3">
        <v>0</v>
      </c>
      <c r="J19759" s="3">
        <v>0</v>
      </c>
      <c r="K19759" s="3">
        <v>0</v>
      </c>
      <c r="L19759" s="3">
        <v>0</v>
      </c>
      <c r="M19759" s="3">
        <v>0</v>
      </c>
      <c r="N19759" s="3">
        <v>0</v>
      </c>
      <c r="O19759" s="3" t="s">
        <v>10</v>
      </c>
      <c r="P19759" s="3" t="s">
        <v>9</v>
      </c>
      <c r="Q19759" s="3"/>
    </row>
    <row r="19760" spans="1:17" ht="15" x14ac:dyDescent="0.25">
      <c r="A19760" s="3">
        <f>19753</f>
        <v>19753</v>
      </c>
      <c r="B19760" s="3" t="s">
        <v>19762</v>
      </c>
      <c r="C19760" s="3" t="s">
        <v>9</v>
      </c>
      <c r="D19760" s="3" t="s">
        <v>10</v>
      </c>
      <c r="E19760" s="3">
        <v>0</v>
      </c>
      <c r="F19760" s="3">
        <v>0</v>
      </c>
      <c r="G19760" s="3">
        <v>0</v>
      </c>
      <c r="H19760" s="3">
        <v>0</v>
      </c>
      <c r="I19760" s="3">
        <v>0</v>
      </c>
      <c r="J19760" s="3">
        <v>0</v>
      </c>
      <c r="K19760" s="3">
        <v>0</v>
      </c>
      <c r="L19760" s="3">
        <v>0</v>
      </c>
      <c r="M19760" s="3">
        <v>0</v>
      </c>
      <c r="N19760" s="3">
        <v>0</v>
      </c>
      <c r="O19760" s="3" t="s">
        <v>10</v>
      </c>
      <c r="P19760" s="3" t="s">
        <v>9</v>
      </c>
      <c r="Q19760" s="3"/>
    </row>
    <row r="19761" spans="1:17" ht="15" x14ac:dyDescent="0.25">
      <c r="A19761" s="3">
        <f>19754</f>
        <v>19754</v>
      </c>
      <c r="B19761" s="3" t="s">
        <v>19763</v>
      </c>
      <c r="C19761" s="3" t="s">
        <v>9</v>
      </c>
      <c r="D19761" s="3" t="s">
        <v>10</v>
      </c>
      <c r="E19761" s="3">
        <v>0</v>
      </c>
      <c r="F19761" s="3">
        <v>0</v>
      </c>
      <c r="G19761" s="3">
        <v>0</v>
      </c>
      <c r="H19761" s="3">
        <v>0</v>
      </c>
      <c r="I19761" s="3">
        <v>0</v>
      </c>
      <c r="J19761" s="3">
        <v>0</v>
      </c>
      <c r="K19761" s="3">
        <v>0</v>
      </c>
      <c r="L19761" s="3">
        <v>0</v>
      </c>
      <c r="M19761" s="3">
        <v>0</v>
      </c>
      <c r="N19761" s="3">
        <v>0</v>
      </c>
      <c r="O19761" s="3" t="s">
        <v>10</v>
      </c>
      <c r="P19761" s="3" t="s">
        <v>9</v>
      </c>
      <c r="Q19761" s="3"/>
    </row>
    <row r="19762" spans="1:17" ht="15" x14ac:dyDescent="0.25">
      <c r="A19762" s="3">
        <f>19755</f>
        <v>19755</v>
      </c>
      <c r="B19762" s="3" t="s">
        <v>19764</v>
      </c>
      <c r="C19762" s="3" t="s">
        <v>9</v>
      </c>
      <c r="D19762" s="3" t="s">
        <v>10</v>
      </c>
      <c r="E19762" s="3">
        <v>0</v>
      </c>
      <c r="F19762" s="3">
        <v>0</v>
      </c>
      <c r="G19762" s="3">
        <v>0</v>
      </c>
      <c r="H19762" s="3">
        <v>0</v>
      </c>
      <c r="I19762" s="3">
        <v>0</v>
      </c>
      <c r="J19762" s="3">
        <v>0</v>
      </c>
      <c r="K19762" s="3">
        <v>0</v>
      </c>
      <c r="L19762" s="3">
        <v>0</v>
      </c>
      <c r="M19762" s="3">
        <v>0</v>
      </c>
      <c r="N19762" s="3">
        <v>0</v>
      </c>
      <c r="O19762" s="3" t="s">
        <v>10</v>
      </c>
      <c r="P19762" s="3" t="s">
        <v>9</v>
      </c>
      <c r="Q19762" s="3"/>
    </row>
    <row r="19763" spans="1:17" ht="15" x14ac:dyDescent="0.25">
      <c r="A19763" s="3">
        <f>19756</f>
        <v>19756</v>
      </c>
      <c r="B19763" s="3" t="s">
        <v>19765</v>
      </c>
      <c r="C19763" s="3" t="s">
        <v>9</v>
      </c>
      <c r="D19763" s="3" t="s">
        <v>10</v>
      </c>
      <c r="E19763" s="3">
        <v>0</v>
      </c>
      <c r="F19763" s="3">
        <v>0</v>
      </c>
      <c r="G19763" s="3">
        <v>0</v>
      </c>
      <c r="H19763" s="3">
        <v>0</v>
      </c>
      <c r="I19763" s="3">
        <v>0</v>
      </c>
      <c r="J19763" s="3">
        <v>0</v>
      </c>
      <c r="K19763" s="3">
        <v>0</v>
      </c>
      <c r="L19763" s="3">
        <v>0</v>
      </c>
      <c r="M19763" s="3">
        <v>0</v>
      </c>
      <c r="N19763" s="3">
        <v>0</v>
      </c>
      <c r="O19763" s="3" t="s">
        <v>10</v>
      </c>
      <c r="P19763" s="3" t="s">
        <v>9</v>
      </c>
      <c r="Q19763" s="3"/>
    </row>
    <row r="19764" spans="1:17" ht="15" x14ac:dyDescent="0.25">
      <c r="A19764" s="3">
        <f>19757</f>
        <v>19757</v>
      </c>
      <c r="B19764" s="3" t="s">
        <v>19766</v>
      </c>
      <c r="C19764" s="3" t="s">
        <v>9</v>
      </c>
      <c r="D19764" s="3" t="s">
        <v>10</v>
      </c>
      <c r="E19764" s="3">
        <v>0</v>
      </c>
      <c r="F19764" s="3">
        <v>0</v>
      </c>
      <c r="G19764" s="3">
        <v>0</v>
      </c>
      <c r="H19764" s="3">
        <v>0</v>
      </c>
      <c r="I19764" s="3">
        <v>0</v>
      </c>
      <c r="J19764" s="3">
        <v>0</v>
      </c>
      <c r="K19764" s="3">
        <v>0</v>
      </c>
      <c r="L19764" s="3">
        <v>0</v>
      </c>
      <c r="M19764" s="3">
        <v>0</v>
      </c>
      <c r="N19764" s="3">
        <v>0</v>
      </c>
      <c r="O19764" s="3" t="s">
        <v>10</v>
      </c>
      <c r="P19764" s="3" t="s">
        <v>9</v>
      </c>
      <c r="Q19764" s="3"/>
    </row>
    <row r="19765" spans="1:17" ht="15" x14ac:dyDescent="0.25">
      <c r="A19765" s="3">
        <f>19758</f>
        <v>19758</v>
      </c>
      <c r="B19765" s="3" t="s">
        <v>19767</v>
      </c>
      <c r="C19765" s="3" t="s">
        <v>9</v>
      </c>
      <c r="D19765" s="3" t="s">
        <v>10</v>
      </c>
      <c r="E19765" s="3">
        <v>0</v>
      </c>
      <c r="F19765" s="3">
        <v>0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  <c r="L19765" s="3">
        <v>0</v>
      </c>
      <c r="M19765" s="3">
        <v>0</v>
      </c>
      <c r="N19765" s="3">
        <v>0</v>
      </c>
      <c r="O19765" s="3" t="s">
        <v>10</v>
      </c>
      <c r="P19765" s="3" t="s">
        <v>9</v>
      </c>
      <c r="Q19765" s="3"/>
    </row>
    <row r="19766" spans="1:17" ht="15" x14ac:dyDescent="0.25">
      <c r="A19766" s="3">
        <f>19759</f>
        <v>19759</v>
      </c>
      <c r="B19766" s="3" t="s">
        <v>19768</v>
      </c>
      <c r="C19766" s="3" t="s">
        <v>9</v>
      </c>
      <c r="D19766" s="3" t="s">
        <v>10</v>
      </c>
      <c r="E19766" s="3">
        <v>0</v>
      </c>
      <c r="F19766" s="3">
        <v>0</v>
      </c>
      <c r="G19766" s="3">
        <v>0</v>
      </c>
      <c r="H19766" s="3">
        <v>0</v>
      </c>
      <c r="I19766" s="3">
        <v>0</v>
      </c>
      <c r="J19766" s="3">
        <v>0</v>
      </c>
      <c r="K19766" s="3">
        <v>0</v>
      </c>
      <c r="L19766" s="3">
        <v>0</v>
      </c>
      <c r="M19766" s="3">
        <v>0</v>
      </c>
      <c r="N19766" s="3">
        <v>0</v>
      </c>
      <c r="O19766" s="3" t="s">
        <v>10</v>
      </c>
      <c r="P19766" s="3" t="s">
        <v>9</v>
      </c>
      <c r="Q19766" s="3"/>
    </row>
    <row r="19767" spans="1:17" ht="15" x14ac:dyDescent="0.25">
      <c r="A19767" s="3">
        <f>19760</f>
        <v>19760</v>
      </c>
      <c r="B19767" s="3" t="s">
        <v>19769</v>
      </c>
      <c r="C19767" s="3" t="s">
        <v>9</v>
      </c>
      <c r="D19767" s="3" t="s">
        <v>9</v>
      </c>
      <c r="E19767" s="3">
        <v>0</v>
      </c>
      <c r="F19767" s="3">
        <v>0</v>
      </c>
      <c r="G19767" s="3">
        <v>0</v>
      </c>
      <c r="H19767" s="3">
        <v>0</v>
      </c>
      <c r="I19767" s="3">
        <v>0</v>
      </c>
      <c r="J19767" s="3">
        <v>0</v>
      </c>
      <c r="K19767" s="3">
        <v>0</v>
      </c>
      <c r="L19767" s="3">
        <v>0</v>
      </c>
      <c r="M19767" s="3">
        <v>0</v>
      </c>
      <c r="N19767" s="3">
        <v>0</v>
      </c>
      <c r="O19767" s="3" t="s">
        <v>9</v>
      </c>
      <c r="P19767" s="3" t="s">
        <v>9</v>
      </c>
      <c r="Q19767" s="3"/>
    </row>
    <row r="19768" spans="1:17" ht="15" x14ac:dyDescent="0.25">
      <c r="A19768" s="3">
        <f>19761</f>
        <v>19761</v>
      </c>
      <c r="B19768" s="3" t="s">
        <v>19770</v>
      </c>
      <c r="C19768" s="3" t="s">
        <v>9</v>
      </c>
      <c r="D19768" s="3" t="s">
        <v>9</v>
      </c>
      <c r="E19768" s="3">
        <v>0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 s="3">
        <v>0</v>
      </c>
      <c r="M19768" s="3">
        <v>0</v>
      </c>
      <c r="N19768" s="3">
        <v>0</v>
      </c>
      <c r="O19768" s="3" t="s">
        <v>9</v>
      </c>
      <c r="P19768" s="3" t="s">
        <v>9</v>
      </c>
      <c r="Q19768" s="3"/>
    </row>
    <row r="19769" spans="1:17" ht="15" x14ac:dyDescent="0.25">
      <c r="A19769" s="3">
        <f>19762</f>
        <v>19762</v>
      </c>
      <c r="B19769" s="3" t="s">
        <v>19771</v>
      </c>
      <c r="C19769" s="3" t="s">
        <v>9</v>
      </c>
      <c r="D19769" s="3" t="s">
        <v>9</v>
      </c>
      <c r="E19769" s="3">
        <v>0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0</v>
      </c>
      <c r="L19769" s="3">
        <v>0</v>
      </c>
      <c r="M19769" s="3">
        <v>0</v>
      </c>
      <c r="N19769" s="3">
        <v>0</v>
      </c>
      <c r="O19769" s="3" t="s">
        <v>9</v>
      </c>
      <c r="P19769" s="3" t="s">
        <v>9</v>
      </c>
      <c r="Q19769" s="3"/>
    </row>
    <row r="19770" spans="1:17" ht="15" x14ac:dyDescent="0.25">
      <c r="A19770" s="3">
        <f>19763</f>
        <v>19763</v>
      </c>
      <c r="B19770" s="3" t="s">
        <v>19772</v>
      </c>
      <c r="C19770" s="3" t="s">
        <v>9</v>
      </c>
      <c r="D19770" s="3" t="s">
        <v>9</v>
      </c>
      <c r="E19770" s="3">
        <v>0</v>
      </c>
      <c r="F19770" s="3">
        <v>0</v>
      </c>
      <c r="G19770" s="3">
        <v>0</v>
      </c>
      <c r="H19770" s="3">
        <v>0</v>
      </c>
      <c r="I19770" s="3">
        <v>0</v>
      </c>
      <c r="J19770" s="3">
        <v>0</v>
      </c>
      <c r="K19770" s="3">
        <v>0</v>
      </c>
      <c r="L19770" s="3">
        <v>0</v>
      </c>
      <c r="M19770" s="3">
        <v>0</v>
      </c>
      <c r="N19770" s="3">
        <v>0</v>
      </c>
      <c r="O19770" s="3" t="s">
        <v>9</v>
      </c>
      <c r="P19770" s="3" t="s">
        <v>9</v>
      </c>
      <c r="Q19770" s="3"/>
    </row>
    <row r="19771" spans="1:17" ht="15" x14ac:dyDescent="0.25">
      <c r="A19771" s="3">
        <f>19764</f>
        <v>19764</v>
      </c>
      <c r="B19771" s="3" t="s">
        <v>19773</v>
      </c>
      <c r="C19771" s="3" t="s">
        <v>9</v>
      </c>
      <c r="D19771" s="3" t="s">
        <v>9</v>
      </c>
      <c r="E19771" s="3">
        <v>0</v>
      </c>
      <c r="F19771" s="3">
        <v>0</v>
      </c>
      <c r="G19771" s="3">
        <v>0</v>
      </c>
      <c r="H19771" s="3">
        <v>0</v>
      </c>
      <c r="I19771" s="3">
        <v>0</v>
      </c>
      <c r="J19771" s="3">
        <v>0</v>
      </c>
      <c r="K19771" s="3">
        <v>0</v>
      </c>
      <c r="L19771" s="3">
        <v>0</v>
      </c>
      <c r="M19771" s="3">
        <v>0</v>
      </c>
      <c r="N19771" s="3">
        <v>0</v>
      </c>
      <c r="O19771" s="3" t="s">
        <v>9</v>
      </c>
      <c r="P19771" s="3" t="s">
        <v>9</v>
      </c>
      <c r="Q19771" s="3"/>
    </row>
    <row r="19772" spans="1:17" ht="15" x14ac:dyDescent="0.25">
      <c r="A19772" s="3">
        <f>19765</f>
        <v>19765</v>
      </c>
      <c r="B19772" s="3" t="s">
        <v>19774</v>
      </c>
      <c r="C19772" s="3" t="s">
        <v>9</v>
      </c>
      <c r="D19772" s="3" t="s">
        <v>9</v>
      </c>
      <c r="E19772" s="3">
        <v>0</v>
      </c>
      <c r="F19772" s="3">
        <v>0</v>
      </c>
      <c r="G19772" s="3">
        <v>0</v>
      </c>
      <c r="H19772" s="3">
        <v>0</v>
      </c>
      <c r="I19772" s="3">
        <v>0</v>
      </c>
      <c r="J19772" s="3">
        <v>0</v>
      </c>
      <c r="K19772" s="3">
        <v>0</v>
      </c>
      <c r="L19772" s="3">
        <v>0</v>
      </c>
      <c r="M19772" s="3">
        <v>0</v>
      </c>
      <c r="N19772" s="3">
        <v>0</v>
      </c>
      <c r="O19772" s="3" t="s">
        <v>9</v>
      </c>
      <c r="P19772" s="3" t="s">
        <v>9</v>
      </c>
      <c r="Q19772" s="3"/>
    </row>
    <row r="19773" spans="1:17" ht="15" x14ac:dyDescent="0.25">
      <c r="A19773" s="3">
        <f>19766</f>
        <v>19766</v>
      </c>
      <c r="B19773" s="3" t="s">
        <v>19775</v>
      </c>
      <c r="C19773" s="3" t="s">
        <v>9</v>
      </c>
      <c r="D19773" s="3" t="s">
        <v>9</v>
      </c>
      <c r="E19773" s="3">
        <v>0</v>
      </c>
      <c r="F19773" s="3">
        <v>0</v>
      </c>
      <c r="G19773" s="3">
        <v>0</v>
      </c>
      <c r="H19773" s="3">
        <v>0</v>
      </c>
      <c r="I19773" s="3">
        <v>0</v>
      </c>
      <c r="J19773" s="3">
        <v>0</v>
      </c>
      <c r="K19773" s="3">
        <v>0</v>
      </c>
      <c r="L19773" s="3">
        <v>0</v>
      </c>
      <c r="M19773" s="3">
        <v>0</v>
      </c>
      <c r="N19773" s="3">
        <v>0</v>
      </c>
      <c r="O19773" s="3" t="s">
        <v>9</v>
      </c>
      <c r="P19773" s="3" t="s">
        <v>9</v>
      </c>
      <c r="Q19773" s="3"/>
    </row>
    <row r="19774" spans="1:17" ht="15" x14ac:dyDescent="0.25">
      <c r="A19774" s="3">
        <f>19767</f>
        <v>19767</v>
      </c>
      <c r="B19774" s="3" t="s">
        <v>19776</v>
      </c>
      <c r="C19774" s="3" t="s">
        <v>9</v>
      </c>
      <c r="D19774" s="3" t="s">
        <v>9</v>
      </c>
      <c r="E19774" s="3">
        <v>0</v>
      </c>
      <c r="F19774" s="3">
        <v>0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3">
        <v>0</v>
      </c>
      <c r="N19774" s="3">
        <v>0</v>
      </c>
      <c r="O19774" s="3" t="s">
        <v>9</v>
      </c>
      <c r="P19774" s="3" t="s">
        <v>9</v>
      </c>
      <c r="Q19774" s="3"/>
    </row>
    <row r="19775" spans="1:17" ht="15" x14ac:dyDescent="0.25">
      <c r="A19775" s="3">
        <f>19768</f>
        <v>19768</v>
      </c>
      <c r="B19775" s="3" t="s">
        <v>19777</v>
      </c>
      <c r="C19775" s="3" t="s">
        <v>9</v>
      </c>
      <c r="D19775" s="3" t="s">
        <v>9</v>
      </c>
      <c r="E19775" s="3">
        <v>0</v>
      </c>
      <c r="F19775" s="3">
        <v>0</v>
      </c>
      <c r="G19775" s="3">
        <v>0</v>
      </c>
      <c r="H19775" s="3">
        <v>0</v>
      </c>
      <c r="I19775" s="3">
        <v>0</v>
      </c>
      <c r="J19775" s="3">
        <v>0</v>
      </c>
      <c r="K19775" s="3">
        <v>0</v>
      </c>
      <c r="L19775" s="3">
        <v>0</v>
      </c>
      <c r="M19775" s="3">
        <v>0</v>
      </c>
      <c r="N19775" s="3">
        <v>0</v>
      </c>
      <c r="O19775" s="3" t="s">
        <v>9</v>
      </c>
      <c r="P19775" s="3" t="s">
        <v>9</v>
      </c>
      <c r="Q19775" s="3"/>
    </row>
    <row r="19776" spans="1:17" ht="15" x14ac:dyDescent="0.25">
      <c r="A19776" s="3">
        <f>19769</f>
        <v>19769</v>
      </c>
      <c r="B19776" s="3" t="s">
        <v>19778</v>
      </c>
      <c r="C19776" s="3" t="s">
        <v>9</v>
      </c>
      <c r="D19776" s="3" t="s">
        <v>9</v>
      </c>
      <c r="E19776" s="3">
        <v>0</v>
      </c>
      <c r="F19776" s="3">
        <v>0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  <c r="L19776" s="3">
        <v>0</v>
      </c>
      <c r="M19776" s="3">
        <v>0</v>
      </c>
      <c r="N19776" s="3">
        <v>0</v>
      </c>
      <c r="O19776" s="3" t="s">
        <v>9</v>
      </c>
      <c r="P19776" s="3" t="s">
        <v>9</v>
      </c>
      <c r="Q19776" s="3"/>
    </row>
    <row r="19777" spans="1:17" ht="15" x14ac:dyDescent="0.25">
      <c r="A19777" s="3">
        <f>19770</f>
        <v>19770</v>
      </c>
      <c r="B19777" s="3" t="s">
        <v>19779</v>
      </c>
      <c r="C19777" s="3" t="s">
        <v>9</v>
      </c>
      <c r="D19777" s="3" t="s">
        <v>9</v>
      </c>
      <c r="E19777" s="3">
        <v>0</v>
      </c>
      <c r="F19777" s="3">
        <v>0</v>
      </c>
      <c r="G19777" s="3">
        <v>0</v>
      </c>
      <c r="H19777" s="3">
        <v>0</v>
      </c>
      <c r="I19777" s="3">
        <v>0</v>
      </c>
      <c r="J19777" s="3">
        <v>0</v>
      </c>
      <c r="K19777" s="3">
        <v>0</v>
      </c>
      <c r="L19777" s="3">
        <v>0</v>
      </c>
      <c r="M19777" s="3">
        <v>0</v>
      </c>
      <c r="N19777" s="3">
        <v>0</v>
      </c>
      <c r="O19777" s="3" t="s">
        <v>9</v>
      </c>
      <c r="P19777" s="3" t="s">
        <v>9</v>
      </c>
      <c r="Q19777" s="3"/>
    </row>
    <row r="19778" spans="1:17" ht="15" x14ac:dyDescent="0.25">
      <c r="A19778" s="3">
        <f>19771</f>
        <v>19771</v>
      </c>
      <c r="B19778" s="3" t="s">
        <v>19780</v>
      </c>
      <c r="C19778" s="3" t="s">
        <v>9</v>
      </c>
      <c r="D19778" s="3" t="s">
        <v>9</v>
      </c>
      <c r="E19778" s="3">
        <v>0</v>
      </c>
      <c r="F19778" s="3">
        <v>0</v>
      </c>
      <c r="G19778" s="3">
        <v>0</v>
      </c>
      <c r="H19778" s="3">
        <v>0</v>
      </c>
      <c r="I19778" s="3">
        <v>0</v>
      </c>
      <c r="J19778" s="3">
        <v>0</v>
      </c>
      <c r="K19778" s="3">
        <v>0</v>
      </c>
      <c r="L19778" s="3">
        <v>0</v>
      </c>
      <c r="M19778" s="3">
        <v>0</v>
      </c>
      <c r="N19778" s="3">
        <v>0</v>
      </c>
      <c r="O19778" s="3" t="s">
        <v>9</v>
      </c>
      <c r="P19778" s="3" t="s">
        <v>9</v>
      </c>
      <c r="Q19778" s="3"/>
    </row>
    <row r="19779" spans="1:17" ht="15" x14ac:dyDescent="0.25">
      <c r="A19779" s="3">
        <f>19772</f>
        <v>19772</v>
      </c>
      <c r="B19779" s="3" t="s">
        <v>19781</v>
      </c>
      <c r="C19779" s="3" t="s">
        <v>9</v>
      </c>
      <c r="D19779" s="3" t="s">
        <v>9</v>
      </c>
      <c r="E19779" s="3">
        <v>0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0</v>
      </c>
      <c r="M19779" s="3">
        <v>0</v>
      </c>
      <c r="N19779" s="3">
        <v>0</v>
      </c>
      <c r="O19779" s="3" t="s">
        <v>9</v>
      </c>
      <c r="P19779" s="3" t="s">
        <v>9</v>
      </c>
      <c r="Q19779" s="3"/>
    </row>
    <row r="19780" spans="1:17" ht="15" x14ac:dyDescent="0.25">
      <c r="A19780" s="3">
        <f>19773</f>
        <v>19773</v>
      </c>
      <c r="B19780" s="3" t="s">
        <v>19782</v>
      </c>
      <c r="C19780" s="3" t="s">
        <v>9</v>
      </c>
      <c r="D19780" s="3" t="s">
        <v>9</v>
      </c>
      <c r="E19780" s="3">
        <v>0</v>
      </c>
      <c r="F19780" s="3">
        <v>0</v>
      </c>
      <c r="G19780" s="3">
        <v>0</v>
      </c>
      <c r="H19780" s="3">
        <v>0</v>
      </c>
      <c r="I19780" s="3">
        <v>0</v>
      </c>
      <c r="J19780" s="3">
        <v>0</v>
      </c>
      <c r="K19780" s="3">
        <v>0</v>
      </c>
      <c r="L19780" s="3">
        <v>0</v>
      </c>
      <c r="M19780" s="3">
        <v>0</v>
      </c>
      <c r="N19780" s="3">
        <v>0</v>
      </c>
      <c r="O19780" s="3" t="s">
        <v>9</v>
      </c>
      <c r="P19780" s="3" t="s">
        <v>9</v>
      </c>
      <c r="Q19780" s="3"/>
    </row>
    <row r="19781" spans="1:17" ht="15" x14ac:dyDescent="0.25">
      <c r="A19781" s="3">
        <f>19774</f>
        <v>19774</v>
      </c>
      <c r="B19781" s="3" t="s">
        <v>19783</v>
      </c>
      <c r="C19781" s="3" t="s">
        <v>9</v>
      </c>
      <c r="D19781" s="3" t="s">
        <v>9</v>
      </c>
      <c r="E19781" s="3">
        <v>0</v>
      </c>
      <c r="F19781" s="3">
        <v>0</v>
      </c>
      <c r="G19781" s="3">
        <v>0</v>
      </c>
      <c r="H19781" s="3">
        <v>0</v>
      </c>
      <c r="I19781" s="3">
        <v>0</v>
      </c>
      <c r="J19781" s="3">
        <v>0</v>
      </c>
      <c r="K19781" s="3">
        <v>0</v>
      </c>
      <c r="L19781" s="3">
        <v>0</v>
      </c>
      <c r="M19781" s="3">
        <v>0</v>
      </c>
      <c r="N19781" s="3">
        <v>0</v>
      </c>
      <c r="O19781" s="3" t="s">
        <v>9</v>
      </c>
      <c r="P19781" s="3" t="s">
        <v>9</v>
      </c>
      <c r="Q19781" s="3"/>
    </row>
    <row r="19782" spans="1:17" ht="15" x14ac:dyDescent="0.25">
      <c r="A19782" s="3">
        <f>19775</f>
        <v>19775</v>
      </c>
      <c r="B19782" s="3" t="s">
        <v>19784</v>
      </c>
      <c r="C19782" s="3" t="s">
        <v>9</v>
      </c>
      <c r="D19782" s="3" t="s">
        <v>9</v>
      </c>
      <c r="E19782" s="3">
        <v>0</v>
      </c>
      <c r="F19782" s="3">
        <v>0</v>
      </c>
      <c r="G19782" s="3">
        <v>0</v>
      </c>
      <c r="H19782" s="3">
        <v>0</v>
      </c>
      <c r="I19782" s="3">
        <v>0</v>
      </c>
      <c r="J19782" s="3">
        <v>0</v>
      </c>
      <c r="K19782" s="3">
        <v>0</v>
      </c>
      <c r="L19782" s="3">
        <v>0</v>
      </c>
      <c r="M19782" s="3">
        <v>0</v>
      </c>
      <c r="N19782" s="3">
        <v>0</v>
      </c>
      <c r="O19782" s="3" t="s">
        <v>9</v>
      </c>
      <c r="P19782" s="3" t="s">
        <v>9</v>
      </c>
      <c r="Q19782" s="3"/>
    </row>
    <row r="19783" spans="1:17" ht="15" x14ac:dyDescent="0.25">
      <c r="A19783" s="3">
        <f>19776</f>
        <v>19776</v>
      </c>
      <c r="B19783" s="3" t="s">
        <v>19785</v>
      </c>
      <c r="C19783" s="3" t="s">
        <v>9</v>
      </c>
      <c r="D19783" s="3" t="s">
        <v>9</v>
      </c>
      <c r="E19783" s="3">
        <v>0</v>
      </c>
      <c r="F19783" s="3">
        <v>0</v>
      </c>
      <c r="G19783" s="3">
        <v>0</v>
      </c>
      <c r="H19783" s="3">
        <v>0</v>
      </c>
      <c r="I19783" s="3">
        <v>0</v>
      </c>
      <c r="J19783" s="3">
        <v>0</v>
      </c>
      <c r="K19783" s="3">
        <v>0</v>
      </c>
      <c r="L19783" s="3">
        <v>0</v>
      </c>
      <c r="M19783" s="3">
        <v>0</v>
      </c>
      <c r="N19783" s="3">
        <v>0</v>
      </c>
      <c r="O19783" s="3" t="s">
        <v>9</v>
      </c>
      <c r="P19783" s="3" t="s">
        <v>9</v>
      </c>
      <c r="Q19783" s="3"/>
    </row>
    <row r="19784" spans="1:17" ht="15" x14ac:dyDescent="0.25">
      <c r="A19784" s="3">
        <f>19777</f>
        <v>19777</v>
      </c>
      <c r="B19784" s="3" t="s">
        <v>19786</v>
      </c>
      <c r="C19784" s="3" t="s">
        <v>9</v>
      </c>
      <c r="D19784" s="3" t="s">
        <v>9</v>
      </c>
      <c r="E19784" s="3">
        <v>0</v>
      </c>
      <c r="F19784" s="3">
        <v>0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3">
        <v>0</v>
      </c>
      <c r="N19784" s="3">
        <v>0</v>
      </c>
      <c r="O19784" s="3" t="s">
        <v>9</v>
      </c>
      <c r="P19784" s="3" t="s">
        <v>9</v>
      </c>
      <c r="Q19784" s="3"/>
    </row>
    <row r="19785" spans="1:17" ht="15" x14ac:dyDescent="0.25">
      <c r="A19785" s="3">
        <f>19778</f>
        <v>19778</v>
      </c>
      <c r="B19785" s="3" t="s">
        <v>19787</v>
      </c>
      <c r="C19785" s="3" t="s">
        <v>9</v>
      </c>
      <c r="D19785" s="3" t="s">
        <v>9</v>
      </c>
      <c r="E19785" s="3">
        <v>0</v>
      </c>
      <c r="F19785" s="3">
        <v>0</v>
      </c>
      <c r="G19785" s="3">
        <v>0</v>
      </c>
      <c r="H19785" s="3">
        <v>0</v>
      </c>
      <c r="I19785" s="3">
        <v>0</v>
      </c>
      <c r="J19785" s="3">
        <v>0</v>
      </c>
      <c r="K19785" s="3">
        <v>0</v>
      </c>
      <c r="L19785" s="3">
        <v>0</v>
      </c>
      <c r="M19785" s="3">
        <v>0</v>
      </c>
      <c r="N19785" s="3">
        <v>0</v>
      </c>
      <c r="O19785" s="3" t="s">
        <v>9</v>
      </c>
      <c r="P19785" s="3" t="s">
        <v>9</v>
      </c>
      <c r="Q19785" s="3"/>
    </row>
    <row r="19786" spans="1:17" ht="15" x14ac:dyDescent="0.25">
      <c r="A19786" s="3">
        <f>19779</f>
        <v>19779</v>
      </c>
      <c r="B19786" s="3" t="s">
        <v>19788</v>
      </c>
      <c r="C19786" s="3" t="s">
        <v>9</v>
      </c>
      <c r="D19786" s="3" t="s">
        <v>9</v>
      </c>
      <c r="E19786" s="3">
        <v>0</v>
      </c>
      <c r="F19786" s="3">
        <v>0</v>
      </c>
      <c r="G19786" s="3">
        <v>0</v>
      </c>
      <c r="H19786" s="3">
        <v>0</v>
      </c>
      <c r="I19786" s="3">
        <v>0</v>
      </c>
      <c r="J19786" s="3">
        <v>0</v>
      </c>
      <c r="K19786" s="3">
        <v>0</v>
      </c>
      <c r="L19786" s="3">
        <v>0</v>
      </c>
      <c r="M19786" s="3">
        <v>0</v>
      </c>
      <c r="N19786" s="3">
        <v>0</v>
      </c>
      <c r="O19786" s="3" t="s">
        <v>9</v>
      </c>
      <c r="P19786" s="3" t="s">
        <v>9</v>
      </c>
      <c r="Q19786" s="3"/>
    </row>
    <row r="19787" spans="1:17" ht="15" x14ac:dyDescent="0.25">
      <c r="A19787" s="3">
        <f>19780</f>
        <v>19780</v>
      </c>
      <c r="B19787" s="3" t="s">
        <v>19789</v>
      </c>
      <c r="C19787" s="3" t="s">
        <v>9</v>
      </c>
      <c r="D19787" s="3" t="s">
        <v>9</v>
      </c>
      <c r="E19787" s="3">
        <v>0</v>
      </c>
      <c r="F19787" s="3">
        <v>0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  <c r="L19787" s="3">
        <v>0</v>
      </c>
      <c r="M19787" s="3">
        <v>0</v>
      </c>
      <c r="N19787" s="3">
        <v>0</v>
      </c>
      <c r="O19787" s="3" t="s">
        <v>9</v>
      </c>
      <c r="P19787" s="3" t="s">
        <v>9</v>
      </c>
      <c r="Q19787" s="3"/>
    </row>
    <row r="19788" spans="1:17" ht="15" x14ac:dyDescent="0.25">
      <c r="A19788" s="3">
        <f>19781</f>
        <v>19781</v>
      </c>
      <c r="B19788" s="3" t="s">
        <v>19790</v>
      </c>
      <c r="C19788" s="3" t="s">
        <v>9</v>
      </c>
      <c r="D19788" s="3" t="s">
        <v>9</v>
      </c>
      <c r="E19788" s="3">
        <v>0</v>
      </c>
      <c r="F19788" s="3">
        <v>0</v>
      </c>
      <c r="G19788" s="3">
        <v>0</v>
      </c>
      <c r="H19788" s="3">
        <v>0</v>
      </c>
      <c r="I19788" s="3">
        <v>0</v>
      </c>
      <c r="J19788" s="3">
        <v>0</v>
      </c>
      <c r="K19788" s="3">
        <v>0</v>
      </c>
      <c r="L19788" s="3">
        <v>0</v>
      </c>
      <c r="M19788" s="3">
        <v>0</v>
      </c>
      <c r="N19788" s="3">
        <v>0</v>
      </c>
      <c r="O19788" s="3" t="s">
        <v>9</v>
      </c>
      <c r="P19788" s="3" t="s">
        <v>9</v>
      </c>
      <c r="Q19788" s="3"/>
    </row>
    <row r="19789" spans="1:17" ht="15" x14ac:dyDescent="0.25">
      <c r="A19789" s="3">
        <f>19782</f>
        <v>19782</v>
      </c>
      <c r="B19789" s="3" t="s">
        <v>19791</v>
      </c>
      <c r="C19789" s="3" t="s">
        <v>9</v>
      </c>
      <c r="D19789" s="3" t="s">
        <v>9</v>
      </c>
      <c r="E19789" s="3">
        <v>0</v>
      </c>
      <c r="F19789" s="3">
        <v>0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  <c r="L19789" s="3">
        <v>0</v>
      </c>
      <c r="M19789" s="3">
        <v>0</v>
      </c>
      <c r="N19789" s="3">
        <v>0</v>
      </c>
      <c r="O19789" s="3" t="s">
        <v>9</v>
      </c>
      <c r="P19789" s="3" t="s">
        <v>9</v>
      </c>
      <c r="Q19789" s="3"/>
    </row>
    <row r="19790" spans="1:17" ht="15" x14ac:dyDescent="0.25">
      <c r="A19790" s="3">
        <f>19783</f>
        <v>19783</v>
      </c>
      <c r="B19790" s="3" t="s">
        <v>19792</v>
      </c>
      <c r="C19790" s="3" t="s">
        <v>9</v>
      </c>
      <c r="D19790" s="3" t="s">
        <v>9</v>
      </c>
      <c r="E19790" s="3">
        <v>0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v>0</v>
      </c>
      <c r="M19790" s="3">
        <v>0</v>
      </c>
      <c r="N19790" s="3">
        <v>0</v>
      </c>
      <c r="O19790" s="3" t="s">
        <v>9</v>
      </c>
      <c r="P19790" s="3" t="s">
        <v>9</v>
      </c>
      <c r="Q19790" s="3"/>
    </row>
    <row r="19791" spans="1:17" ht="15" x14ac:dyDescent="0.25">
      <c r="A19791" s="3">
        <f>19784</f>
        <v>19784</v>
      </c>
      <c r="B19791" s="3" t="s">
        <v>19793</v>
      </c>
      <c r="C19791" s="3" t="s">
        <v>9</v>
      </c>
      <c r="D19791" s="3" t="s">
        <v>9</v>
      </c>
      <c r="E19791" s="3">
        <v>0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3">
        <v>0</v>
      </c>
      <c r="M19791" s="3">
        <v>0</v>
      </c>
      <c r="N19791" s="3">
        <v>0</v>
      </c>
      <c r="O19791" s="3" t="s">
        <v>9</v>
      </c>
      <c r="P19791" s="3" t="s">
        <v>9</v>
      </c>
      <c r="Q19791" s="3"/>
    </row>
    <row r="19792" spans="1:17" ht="15" x14ac:dyDescent="0.25">
      <c r="A19792" s="3">
        <f>19785</f>
        <v>19785</v>
      </c>
      <c r="B19792" s="3" t="s">
        <v>19794</v>
      </c>
      <c r="C19792" s="3" t="s">
        <v>9</v>
      </c>
      <c r="D19792" s="3" t="s">
        <v>9</v>
      </c>
      <c r="E19792" s="3">
        <v>0</v>
      </c>
      <c r="F19792" s="3">
        <v>0</v>
      </c>
      <c r="G19792" s="3">
        <v>0</v>
      </c>
      <c r="H19792" s="3">
        <v>0</v>
      </c>
      <c r="I19792" s="3">
        <v>0</v>
      </c>
      <c r="J19792" s="3">
        <v>0</v>
      </c>
      <c r="K19792" s="3">
        <v>0</v>
      </c>
      <c r="L19792" s="3">
        <v>0</v>
      </c>
      <c r="M19792" s="3">
        <v>0</v>
      </c>
      <c r="N19792" s="3">
        <v>0</v>
      </c>
      <c r="O19792" s="3" t="s">
        <v>9</v>
      </c>
      <c r="P19792" s="3" t="s">
        <v>9</v>
      </c>
      <c r="Q19792" s="3"/>
    </row>
    <row r="19793" spans="1:17" ht="15" x14ac:dyDescent="0.25">
      <c r="A19793" s="3">
        <f>19786</f>
        <v>19786</v>
      </c>
      <c r="B19793" s="3" t="s">
        <v>19795</v>
      </c>
      <c r="C19793" s="3" t="s">
        <v>9</v>
      </c>
      <c r="D19793" s="3" t="s">
        <v>9</v>
      </c>
      <c r="E19793" s="3">
        <v>0</v>
      </c>
      <c r="F19793" s="3">
        <v>0</v>
      </c>
      <c r="G19793" s="3">
        <v>0</v>
      </c>
      <c r="H19793" s="3">
        <v>0</v>
      </c>
      <c r="I19793" s="3">
        <v>0</v>
      </c>
      <c r="J19793" s="3">
        <v>0</v>
      </c>
      <c r="K19793" s="3">
        <v>0</v>
      </c>
      <c r="L19793" s="3">
        <v>0</v>
      </c>
      <c r="M19793" s="3">
        <v>0</v>
      </c>
      <c r="N19793" s="3">
        <v>0</v>
      </c>
      <c r="O19793" s="3" t="s">
        <v>9</v>
      </c>
      <c r="P19793" s="3" t="s">
        <v>9</v>
      </c>
      <c r="Q19793" s="3"/>
    </row>
    <row r="19794" spans="1:17" ht="15" x14ac:dyDescent="0.25">
      <c r="A19794" s="3">
        <f>19787</f>
        <v>19787</v>
      </c>
      <c r="B19794" s="3" t="s">
        <v>19796</v>
      </c>
      <c r="C19794" s="3" t="s">
        <v>9</v>
      </c>
      <c r="D19794" s="3" t="s">
        <v>9</v>
      </c>
      <c r="E19794" s="3">
        <v>0</v>
      </c>
      <c r="F19794" s="3">
        <v>0</v>
      </c>
      <c r="G19794" s="3">
        <v>0</v>
      </c>
      <c r="H19794" s="3">
        <v>0</v>
      </c>
      <c r="I19794" s="3">
        <v>0</v>
      </c>
      <c r="J19794" s="3">
        <v>0</v>
      </c>
      <c r="K19794" s="3">
        <v>0</v>
      </c>
      <c r="L19794" s="3">
        <v>0</v>
      </c>
      <c r="M19794" s="3">
        <v>0</v>
      </c>
      <c r="N19794" s="3">
        <v>0</v>
      </c>
      <c r="O19794" s="3" t="s">
        <v>9</v>
      </c>
      <c r="P19794" s="3" t="s">
        <v>9</v>
      </c>
      <c r="Q19794" s="3"/>
    </row>
    <row r="19795" spans="1:17" ht="15" x14ac:dyDescent="0.25">
      <c r="A19795" s="3">
        <f>19788</f>
        <v>19788</v>
      </c>
      <c r="B19795" s="3" t="s">
        <v>19797</v>
      </c>
      <c r="C19795" s="3" t="s">
        <v>9</v>
      </c>
      <c r="D19795" s="3" t="s">
        <v>9</v>
      </c>
      <c r="E19795" s="3">
        <v>0</v>
      </c>
      <c r="F19795" s="3">
        <v>0</v>
      </c>
      <c r="G19795" s="3">
        <v>0</v>
      </c>
      <c r="H19795" s="3">
        <v>0</v>
      </c>
      <c r="I19795" s="3">
        <v>0</v>
      </c>
      <c r="J19795" s="3">
        <v>0</v>
      </c>
      <c r="K19795" s="3">
        <v>0</v>
      </c>
      <c r="L19795" s="3">
        <v>0</v>
      </c>
      <c r="M19795" s="3">
        <v>0</v>
      </c>
      <c r="N19795" s="3">
        <v>0</v>
      </c>
      <c r="O19795" s="3" t="s">
        <v>9</v>
      </c>
      <c r="P19795" s="3" t="s">
        <v>9</v>
      </c>
      <c r="Q19795" s="3"/>
    </row>
    <row r="19796" spans="1:17" ht="15" x14ac:dyDescent="0.25">
      <c r="A19796" s="3">
        <f>19789</f>
        <v>19789</v>
      </c>
      <c r="B19796" s="3" t="s">
        <v>19798</v>
      </c>
      <c r="C19796" s="3" t="s">
        <v>9</v>
      </c>
      <c r="D19796" s="3" t="s">
        <v>9</v>
      </c>
      <c r="E19796" s="3">
        <v>0</v>
      </c>
      <c r="F19796" s="3">
        <v>0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  <c r="L19796" s="3">
        <v>0</v>
      </c>
      <c r="M19796" s="3">
        <v>0</v>
      </c>
      <c r="N19796" s="3">
        <v>0</v>
      </c>
      <c r="O19796" s="3" t="s">
        <v>9</v>
      </c>
      <c r="P19796" s="3" t="s">
        <v>9</v>
      </c>
      <c r="Q19796" s="3"/>
    </row>
    <row r="19797" spans="1:17" ht="15" x14ac:dyDescent="0.25">
      <c r="A19797" s="3">
        <f>19790</f>
        <v>19790</v>
      </c>
      <c r="B19797" s="3" t="s">
        <v>19799</v>
      </c>
      <c r="C19797" s="3" t="s">
        <v>9</v>
      </c>
      <c r="D19797" s="3" t="s">
        <v>9</v>
      </c>
      <c r="E19797" s="3">
        <v>0</v>
      </c>
      <c r="F19797" s="3">
        <v>0</v>
      </c>
      <c r="G19797" s="3">
        <v>0</v>
      </c>
      <c r="H19797" s="3">
        <v>0</v>
      </c>
      <c r="I19797" s="3">
        <v>0</v>
      </c>
      <c r="J19797" s="3">
        <v>0</v>
      </c>
      <c r="K19797" s="3">
        <v>0</v>
      </c>
      <c r="L19797" s="3">
        <v>0</v>
      </c>
      <c r="M19797" s="3">
        <v>0</v>
      </c>
      <c r="N19797" s="3">
        <v>0</v>
      </c>
      <c r="O19797" s="3" t="s">
        <v>9</v>
      </c>
      <c r="P19797" s="3" t="s">
        <v>9</v>
      </c>
      <c r="Q19797" s="3"/>
    </row>
    <row r="19798" spans="1:17" ht="15" x14ac:dyDescent="0.25">
      <c r="A19798" s="3">
        <f>19791</f>
        <v>19791</v>
      </c>
      <c r="B19798" s="3" t="s">
        <v>19800</v>
      </c>
      <c r="C19798" s="3" t="s">
        <v>9</v>
      </c>
      <c r="D19798" s="3" t="s">
        <v>9</v>
      </c>
      <c r="E19798" s="3">
        <v>0</v>
      </c>
      <c r="F19798" s="3">
        <v>0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  <c r="L19798" s="3">
        <v>0</v>
      </c>
      <c r="M19798" s="3">
        <v>0</v>
      </c>
      <c r="N19798" s="3">
        <v>0</v>
      </c>
      <c r="O19798" s="3" t="s">
        <v>9</v>
      </c>
      <c r="P19798" s="3" t="s">
        <v>9</v>
      </c>
      <c r="Q19798" s="3"/>
    </row>
    <row r="19799" spans="1:17" ht="15" x14ac:dyDescent="0.25">
      <c r="A19799" s="3">
        <f>19792</f>
        <v>19792</v>
      </c>
      <c r="B19799" s="3" t="s">
        <v>19801</v>
      </c>
      <c r="C19799" s="3" t="s">
        <v>9</v>
      </c>
      <c r="D19799" s="3" t="s">
        <v>9</v>
      </c>
      <c r="E19799" s="3">
        <v>0</v>
      </c>
      <c r="F19799" s="3">
        <v>0</v>
      </c>
      <c r="G19799" s="3">
        <v>0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3">
        <v>0</v>
      </c>
      <c r="N19799" s="3">
        <v>0</v>
      </c>
      <c r="O19799" s="3" t="s">
        <v>9</v>
      </c>
      <c r="P19799" s="3" t="s">
        <v>9</v>
      </c>
      <c r="Q19799" s="3"/>
    </row>
    <row r="19800" spans="1:17" ht="15" x14ac:dyDescent="0.25">
      <c r="A19800" s="3">
        <f>19793</f>
        <v>19793</v>
      </c>
      <c r="B19800" s="3" t="s">
        <v>19802</v>
      </c>
      <c r="C19800" s="3" t="s">
        <v>9</v>
      </c>
      <c r="D19800" s="3" t="s">
        <v>9</v>
      </c>
      <c r="E19800" s="3">
        <v>0</v>
      </c>
      <c r="F19800" s="3">
        <v>0</v>
      </c>
      <c r="G19800" s="3">
        <v>0</v>
      </c>
      <c r="H19800" s="3">
        <v>0</v>
      </c>
      <c r="I19800" s="3">
        <v>0</v>
      </c>
      <c r="J19800" s="3">
        <v>0</v>
      </c>
      <c r="K19800" s="3">
        <v>0</v>
      </c>
      <c r="L19800" s="3">
        <v>0</v>
      </c>
      <c r="M19800" s="3">
        <v>0</v>
      </c>
      <c r="N19800" s="3">
        <v>0</v>
      </c>
      <c r="O19800" s="3" t="s">
        <v>9</v>
      </c>
      <c r="P19800" s="3" t="s">
        <v>9</v>
      </c>
      <c r="Q19800" s="3"/>
    </row>
    <row r="19801" spans="1:17" ht="15" x14ac:dyDescent="0.25">
      <c r="A19801" s="3">
        <f>19794</f>
        <v>19794</v>
      </c>
      <c r="B19801" s="3" t="s">
        <v>19803</v>
      </c>
      <c r="C19801" s="3" t="s">
        <v>9</v>
      </c>
      <c r="D19801" s="3" t="s">
        <v>9</v>
      </c>
      <c r="E19801" s="3">
        <v>0</v>
      </c>
      <c r="F19801" s="3">
        <v>0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3">
        <v>0</v>
      </c>
      <c r="N19801" s="3">
        <v>0</v>
      </c>
      <c r="O19801" s="3" t="s">
        <v>9</v>
      </c>
      <c r="P19801" s="3" t="s">
        <v>9</v>
      </c>
      <c r="Q19801" s="3"/>
    </row>
    <row r="19802" spans="1:17" ht="15" x14ac:dyDescent="0.25">
      <c r="A19802" s="3">
        <f>19795</f>
        <v>19795</v>
      </c>
      <c r="B19802" s="3" t="s">
        <v>19804</v>
      </c>
      <c r="C19802" s="3" t="s">
        <v>9</v>
      </c>
      <c r="D19802" s="3" t="s">
        <v>9</v>
      </c>
      <c r="E19802" s="3">
        <v>0</v>
      </c>
      <c r="F19802" s="3">
        <v>0</v>
      </c>
      <c r="G19802" s="3">
        <v>0</v>
      </c>
      <c r="H19802" s="3">
        <v>0</v>
      </c>
      <c r="I19802" s="3">
        <v>0</v>
      </c>
      <c r="J19802" s="3">
        <v>0</v>
      </c>
      <c r="K19802" s="3">
        <v>0</v>
      </c>
      <c r="L19802" s="3">
        <v>0</v>
      </c>
      <c r="M19802" s="3">
        <v>0</v>
      </c>
      <c r="N19802" s="3">
        <v>0</v>
      </c>
      <c r="O19802" s="3" t="s">
        <v>9</v>
      </c>
      <c r="P19802" s="3" t="s">
        <v>9</v>
      </c>
      <c r="Q19802" s="3"/>
    </row>
    <row r="19803" spans="1:17" ht="15" x14ac:dyDescent="0.25">
      <c r="A19803" s="3">
        <f>19796</f>
        <v>19796</v>
      </c>
      <c r="B19803" s="3" t="s">
        <v>19805</v>
      </c>
      <c r="C19803" s="3" t="s">
        <v>9</v>
      </c>
      <c r="D19803" s="3" t="s">
        <v>9</v>
      </c>
      <c r="E19803" s="3">
        <v>0</v>
      </c>
      <c r="F19803" s="3">
        <v>0</v>
      </c>
      <c r="G19803" s="3">
        <v>0</v>
      </c>
      <c r="H19803" s="3">
        <v>0</v>
      </c>
      <c r="I19803" s="3">
        <v>0</v>
      </c>
      <c r="J19803" s="3">
        <v>0</v>
      </c>
      <c r="K19803" s="3">
        <v>0</v>
      </c>
      <c r="L19803" s="3">
        <v>0</v>
      </c>
      <c r="M19803" s="3">
        <v>0</v>
      </c>
      <c r="N19803" s="3">
        <v>0</v>
      </c>
      <c r="O19803" s="3" t="s">
        <v>9</v>
      </c>
      <c r="P19803" s="3" t="s">
        <v>9</v>
      </c>
      <c r="Q19803" s="3"/>
    </row>
    <row r="19804" spans="1:17" ht="15" x14ac:dyDescent="0.25">
      <c r="A19804" s="3">
        <f>19797</f>
        <v>19797</v>
      </c>
      <c r="B19804" s="3" t="s">
        <v>19806</v>
      </c>
      <c r="C19804" s="3" t="s">
        <v>9</v>
      </c>
      <c r="D19804" s="3" t="s">
        <v>9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3">
        <v>0</v>
      </c>
      <c r="N19804" s="3">
        <v>0</v>
      </c>
      <c r="O19804" s="3" t="s">
        <v>9</v>
      </c>
      <c r="P19804" s="3" t="s">
        <v>9</v>
      </c>
      <c r="Q19804" s="3"/>
    </row>
    <row r="19805" spans="1:17" ht="15" x14ac:dyDescent="0.25">
      <c r="A19805" s="3">
        <f>19798</f>
        <v>19798</v>
      </c>
      <c r="B19805" s="3" t="s">
        <v>19807</v>
      </c>
      <c r="C19805" s="3" t="s">
        <v>9</v>
      </c>
      <c r="D19805" s="3" t="s">
        <v>9</v>
      </c>
      <c r="E19805" s="3">
        <v>0</v>
      </c>
      <c r="F19805" s="3">
        <v>0</v>
      </c>
      <c r="G19805" s="3">
        <v>0</v>
      </c>
      <c r="H19805" s="3">
        <v>0</v>
      </c>
      <c r="I19805" s="3">
        <v>0</v>
      </c>
      <c r="J19805" s="3">
        <v>0</v>
      </c>
      <c r="K19805" s="3">
        <v>0</v>
      </c>
      <c r="L19805" s="3">
        <v>0</v>
      </c>
      <c r="M19805" s="3">
        <v>0</v>
      </c>
      <c r="N19805" s="3">
        <v>0</v>
      </c>
      <c r="O19805" s="3" t="s">
        <v>9</v>
      </c>
      <c r="P19805" s="3" t="s">
        <v>9</v>
      </c>
      <c r="Q19805" s="3"/>
    </row>
    <row r="19806" spans="1:17" ht="15" x14ac:dyDescent="0.25">
      <c r="A19806" s="3">
        <f>19799</f>
        <v>19799</v>
      </c>
      <c r="B19806" s="3" t="s">
        <v>19808</v>
      </c>
      <c r="C19806" s="3" t="s">
        <v>9</v>
      </c>
      <c r="D19806" s="3" t="s">
        <v>9</v>
      </c>
      <c r="E19806" s="3">
        <v>0</v>
      </c>
      <c r="F19806" s="3">
        <v>0</v>
      </c>
      <c r="G19806" s="3">
        <v>0</v>
      </c>
      <c r="H19806" s="3">
        <v>0</v>
      </c>
      <c r="I19806" s="3">
        <v>0</v>
      </c>
      <c r="J19806" s="3">
        <v>0</v>
      </c>
      <c r="K19806" s="3">
        <v>0</v>
      </c>
      <c r="L19806" s="3">
        <v>0</v>
      </c>
      <c r="M19806" s="3">
        <v>0</v>
      </c>
      <c r="N19806" s="3">
        <v>0</v>
      </c>
      <c r="O19806" s="3" t="s">
        <v>9</v>
      </c>
      <c r="P19806" s="3" t="s">
        <v>9</v>
      </c>
      <c r="Q19806" s="3"/>
    </row>
    <row r="19807" spans="1:17" ht="15" x14ac:dyDescent="0.25">
      <c r="A19807" s="3">
        <f>19800</f>
        <v>19800</v>
      </c>
      <c r="B19807" s="3" t="s">
        <v>19809</v>
      </c>
      <c r="C19807" s="3" t="s">
        <v>9</v>
      </c>
      <c r="D19807" s="3" t="s">
        <v>9</v>
      </c>
      <c r="E19807" s="3">
        <v>0</v>
      </c>
      <c r="F19807" s="3">
        <v>0</v>
      </c>
      <c r="G19807" s="3">
        <v>0</v>
      </c>
      <c r="H19807" s="3">
        <v>0</v>
      </c>
      <c r="I19807" s="3">
        <v>0</v>
      </c>
      <c r="J19807" s="3">
        <v>0</v>
      </c>
      <c r="K19807" s="3">
        <v>0</v>
      </c>
      <c r="L19807" s="3">
        <v>0</v>
      </c>
      <c r="M19807" s="3">
        <v>0</v>
      </c>
      <c r="N19807" s="3">
        <v>0</v>
      </c>
      <c r="O19807" s="3" t="s">
        <v>9</v>
      </c>
      <c r="P19807" s="3" t="s">
        <v>9</v>
      </c>
      <c r="Q19807" s="3"/>
    </row>
    <row r="19808" spans="1:17" ht="15" x14ac:dyDescent="0.25">
      <c r="A19808" s="3">
        <f>19801</f>
        <v>19801</v>
      </c>
      <c r="B19808" s="3" t="s">
        <v>19810</v>
      </c>
      <c r="C19808" s="3" t="s">
        <v>9</v>
      </c>
      <c r="D19808" s="3" t="s">
        <v>9</v>
      </c>
      <c r="E19808" s="3">
        <v>0</v>
      </c>
      <c r="F19808" s="3">
        <v>0</v>
      </c>
      <c r="G19808" s="3">
        <v>0</v>
      </c>
      <c r="H19808" s="3">
        <v>0</v>
      </c>
      <c r="I19808" s="3">
        <v>0</v>
      </c>
      <c r="J19808" s="3">
        <v>0</v>
      </c>
      <c r="K19808" s="3">
        <v>0</v>
      </c>
      <c r="L19808" s="3">
        <v>0</v>
      </c>
      <c r="M19808" s="3">
        <v>0</v>
      </c>
      <c r="N19808" s="3">
        <v>0</v>
      </c>
      <c r="O19808" s="3" t="s">
        <v>9</v>
      </c>
      <c r="P19808" s="3" t="s">
        <v>9</v>
      </c>
      <c r="Q19808" s="3"/>
    </row>
    <row r="19809" spans="1:17" ht="15" x14ac:dyDescent="0.25">
      <c r="A19809" s="3">
        <f>19802</f>
        <v>19802</v>
      </c>
      <c r="B19809" s="3" t="s">
        <v>19811</v>
      </c>
      <c r="C19809" s="3" t="s">
        <v>9</v>
      </c>
      <c r="D19809" s="3" t="s">
        <v>9</v>
      </c>
      <c r="E19809" s="3">
        <v>0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  <c r="L19809" s="3">
        <v>0</v>
      </c>
      <c r="M19809" s="3">
        <v>0</v>
      </c>
      <c r="N19809" s="3">
        <v>0</v>
      </c>
      <c r="O19809" s="3" t="s">
        <v>9</v>
      </c>
      <c r="P19809" s="3" t="s">
        <v>9</v>
      </c>
      <c r="Q19809" s="3"/>
    </row>
    <row r="19810" spans="1:17" ht="15" x14ac:dyDescent="0.25">
      <c r="A19810" s="3">
        <f>19803</f>
        <v>19803</v>
      </c>
      <c r="B19810" s="3" t="s">
        <v>19812</v>
      </c>
      <c r="C19810" s="3" t="s">
        <v>9</v>
      </c>
      <c r="D19810" s="3" t="s">
        <v>9</v>
      </c>
      <c r="E19810" s="3">
        <v>0</v>
      </c>
      <c r="F19810" s="3">
        <v>0</v>
      </c>
      <c r="G19810" s="3">
        <v>0</v>
      </c>
      <c r="H19810" s="3">
        <v>0</v>
      </c>
      <c r="I19810" s="3">
        <v>0</v>
      </c>
      <c r="J19810" s="3">
        <v>0</v>
      </c>
      <c r="K19810" s="3">
        <v>0</v>
      </c>
      <c r="L19810" s="3">
        <v>0</v>
      </c>
      <c r="M19810" s="3">
        <v>0</v>
      </c>
      <c r="N19810" s="3">
        <v>0</v>
      </c>
      <c r="O19810" s="3" t="s">
        <v>9</v>
      </c>
      <c r="P19810" s="3" t="s">
        <v>9</v>
      </c>
      <c r="Q19810" s="3"/>
    </row>
    <row r="19811" spans="1:17" ht="15" x14ac:dyDescent="0.25">
      <c r="A19811" s="3">
        <f>19804</f>
        <v>19804</v>
      </c>
      <c r="B19811" s="3" t="s">
        <v>19813</v>
      </c>
      <c r="C19811" s="3" t="s">
        <v>9</v>
      </c>
      <c r="D19811" s="3" t="s">
        <v>9</v>
      </c>
      <c r="E19811" s="3">
        <v>0</v>
      </c>
      <c r="F19811" s="3">
        <v>0</v>
      </c>
      <c r="G19811" s="3">
        <v>0</v>
      </c>
      <c r="H19811" s="3">
        <v>0</v>
      </c>
      <c r="I19811" s="3">
        <v>0</v>
      </c>
      <c r="J19811" s="3">
        <v>0</v>
      </c>
      <c r="K19811" s="3">
        <v>0</v>
      </c>
      <c r="L19811" s="3">
        <v>0</v>
      </c>
      <c r="M19811" s="3">
        <v>0</v>
      </c>
      <c r="N19811" s="3">
        <v>0</v>
      </c>
      <c r="O19811" s="3" t="s">
        <v>9</v>
      </c>
      <c r="P19811" s="3" t="s">
        <v>9</v>
      </c>
      <c r="Q19811" s="3"/>
    </row>
    <row r="19812" spans="1:17" ht="15" x14ac:dyDescent="0.25">
      <c r="A19812" s="3">
        <f>19805</f>
        <v>19805</v>
      </c>
      <c r="B19812" s="3" t="s">
        <v>19814</v>
      </c>
      <c r="C19812" s="3" t="s">
        <v>9</v>
      </c>
      <c r="D19812" s="3" t="s">
        <v>9</v>
      </c>
      <c r="E19812" s="3">
        <v>0</v>
      </c>
      <c r="F19812" s="3">
        <v>0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 s="3">
        <v>0</v>
      </c>
      <c r="M19812" s="3">
        <v>0</v>
      </c>
      <c r="N19812" s="3">
        <v>0</v>
      </c>
      <c r="O19812" s="3" t="s">
        <v>9</v>
      </c>
      <c r="P19812" s="3" t="s">
        <v>9</v>
      </c>
      <c r="Q19812" s="3"/>
    </row>
    <row r="19813" spans="1:17" ht="15" x14ac:dyDescent="0.25">
      <c r="A19813" s="3">
        <f>19806</f>
        <v>19806</v>
      </c>
      <c r="B19813" s="3" t="s">
        <v>19815</v>
      </c>
      <c r="C19813" s="3" t="s">
        <v>9</v>
      </c>
      <c r="D19813" s="3" t="s">
        <v>9</v>
      </c>
      <c r="E19813" s="3">
        <v>0</v>
      </c>
      <c r="F19813" s="3">
        <v>0</v>
      </c>
      <c r="G19813" s="3">
        <v>0</v>
      </c>
      <c r="H19813" s="3">
        <v>0</v>
      </c>
      <c r="I19813" s="3">
        <v>0</v>
      </c>
      <c r="J19813" s="3">
        <v>0</v>
      </c>
      <c r="K19813" s="3">
        <v>0</v>
      </c>
      <c r="L19813" s="3">
        <v>0</v>
      </c>
      <c r="M19813" s="3">
        <v>0</v>
      </c>
      <c r="N19813" s="3">
        <v>0</v>
      </c>
      <c r="O19813" s="3" t="s">
        <v>9</v>
      </c>
      <c r="P19813" s="3" t="s">
        <v>9</v>
      </c>
      <c r="Q19813" s="3"/>
    </row>
    <row r="19814" spans="1:17" ht="15" x14ac:dyDescent="0.25">
      <c r="A19814" s="3">
        <f>19807</f>
        <v>19807</v>
      </c>
      <c r="B19814" s="3" t="s">
        <v>19816</v>
      </c>
      <c r="C19814" s="3" t="s">
        <v>9</v>
      </c>
      <c r="D19814" s="3" t="s">
        <v>9</v>
      </c>
      <c r="E19814" s="3">
        <v>0</v>
      </c>
      <c r="F19814" s="3">
        <v>0</v>
      </c>
      <c r="G19814" s="3">
        <v>0</v>
      </c>
      <c r="H19814" s="3">
        <v>0</v>
      </c>
      <c r="I19814" s="3">
        <v>0</v>
      </c>
      <c r="J19814" s="3">
        <v>0</v>
      </c>
      <c r="K19814" s="3">
        <v>0</v>
      </c>
      <c r="L19814" s="3">
        <v>0</v>
      </c>
      <c r="M19814" s="3">
        <v>0</v>
      </c>
      <c r="N19814" s="3">
        <v>0</v>
      </c>
      <c r="O19814" s="3" t="s">
        <v>9</v>
      </c>
      <c r="P19814" s="3" t="s">
        <v>9</v>
      </c>
      <c r="Q19814" s="3"/>
    </row>
    <row r="19815" spans="1:17" ht="15" x14ac:dyDescent="0.25">
      <c r="A19815" s="3">
        <f>19808</f>
        <v>19808</v>
      </c>
      <c r="B19815" s="3" t="s">
        <v>19817</v>
      </c>
      <c r="C19815" s="3" t="s">
        <v>9</v>
      </c>
      <c r="D19815" s="3" t="s">
        <v>9</v>
      </c>
      <c r="E19815" s="3">
        <v>0</v>
      </c>
      <c r="F19815" s="3">
        <v>0</v>
      </c>
      <c r="G19815" s="3">
        <v>0</v>
      </c>
      <c r="H19815" s="3">
        <v>0</v>
      </c>
      <c r="I19815" s="3">
        <v>0</v>
      </c>
      <c r="J19815" s="3">
        <v>0</v>
      </c>
      <c r="K19815" s="3">
        <v>0</v>
      </c>
      <c r="L19815" s="3">
        <v>0</v>
      </c>
      <c r="M19815" s="3">
        <v>0</v>
      </c>
      <c r="N19815" s="3">
        <v>0</v>
      </c>
      <c r="O19815" s="3" t="s">
        <v>9</v>
      </c>
      <c r="P19815" s="3" t="s">
        <v>9</v>
      </c>
      <c r="Q19815" s="3"/>
    </row>
    <row r="19816" spans="1:17" ht="15" x14ac:dyDescent="0.25">
      <c r="A19816" s="3">
        <f>19809</f>
        <v>19809</v>
      </c>
      <c r="B19816" s="3" t="s">
        <v>19818</v>
      </c>
      <c r="C19816" s="3" t="s">
        <v>9</v>
      </c>
      <c r="D19816" s="3" t="s">
        <v>9</v>
      </c>
      <c r="E19816" s="3">
        <v>0</v>
      </c>
      <c r="F19816" s="3">
        <v>0</v>
      </c>
      <c r="G19816" s="3">
        <v>0</v>
      </c>
      <c r="H19816" s="3">
        <v>0</v>
      </c>
      <c r="I19816" s="3">
        <v>0</v>
      </c>
      <c r="J19816" s="3">
        <v>0</v>
      </c>
      <c r="K19816" s="3">
        <v>0</v>
      </c>
      <c r="L19816" s="3">
        <v>0</v>
      </c>
      <c r="M19816" s="3">
        <v>0</v>
      </c>
      <c r="N19816" s="3">
        <v>0</v>
      </c>
      <c r="O19816" s="3" t="s">
        <v>9</v>
      </c>
      <c r="P19816" s="3" t="s">
        <v>9</v>
      </c>
      <c r="Q19816" s="3"/>
    </row>
    <row r="19817" spans="1:17" ht="15" x14ac:dyDescent="0.25">
      <c r="A19817" s="3">
        <f>19810</f>
        <v>19810</v>
      </c>
      <c r="B19817" s="3" t="s">
        <v>19819</v>
      </c>
      <c r="C19817" s="3" t="s">
        <v>9</v>
      </c>
      <c r="D19817" s="3" t="s">
        <v>9</v>
      </c>
      <c r="E19817" s="3">
        <v>0</v>
      </c>
      <c r="F19817" s="3">
        <v>0</v>
      </c>
      <c r="G19817" s="3">
        <v>0</v>
      </c>
      <c r="H19817" s="3">
        <v>0</v>
      </c>
      <c r="I19817" s="3">
        <v>0</v>
      </c>
      <c r="J19817" s="3">
        <v>0</v>
      </c>
      <c r="K19817" s="3">
        <v>0</v>
      </c>
      <c r="L19817" s="3">
        <v>0</v>
      </c>
      <c r="M19817" s="3">
        <v>0</v>
      </c>
      <c r="N19817" s="3">
        <v>0</v>
      </c>
      <c r="O19817" s="3" t="s">
        <v>9</v>
      </c>
      <c r="P19817" s="3" t="s">
        <v>9</v>
      </c>
      <c r="Q19817" s="3"/>
    </row>
    <row r="19818" spans="1:17" ht="15" x14ac:dyDescent="0.25">
      <c r="A19818" s="3">
        <f>19811</f>
        <v>19811</v>
      </c>
      <c r="B19818" s="3" t="s">
        <v>19820</v>
      </c>
      <c r="C19818" s="3" t="s">
        <v>9</v>
      </c>
      <c r="D19818" s="3" t="s">
        <v>9</v>
      </c>
      <c r="E19818" s="3">
        <v>0</v>
      </c>
      <c r="F19818" s="3">
        <v>0</v>
      </c>
      <c r="G19818" s="3">
        <v>0</v>
      </c>
      <c r="H19818" s="3">
        <v>0</v>
      </c>
      <c r="I19818" s="3">
        <v>0</v>
      </c>
      <c r="J19818" s="3">
        <v>0</v>
      </c>
      <c r="K19818" s="3">
        <v>0</v>
      </c>
      <c r="L19818" s="3">
        <v>0</v>
      </c>
      <c r="M19818" s="3">
        <v>0</v>
      </c>
      <c r="N19818" s="3">
        <v>0</v>
      </c>
      <c r="O19818" s="3" t="s">
        <v>9</v>
      </c>
      <c r="P19818" s="3" t="s">
        <v>9</v>
      </c>
      <c r="Q19818" s="3"/>
    </row>
    <row r="19819" spans="1:17" ht="15" x14ac:dyDescent="0.25">
      <c r="A19819" s="3">
        <f>19812</f>
        <v>19812</v>
      </c>
      <c r="B19819" s="3" t="s">
        <v>19821</v>
      </c>
      <c r="C19819" s="3" t="s">
        <v>9</v>
      </c>
      <c r="D19819" s="3" t="s">
        <v>9</v>
      </c>
      <c r="E19819" s="3">
        <v>0</v>
      </c>
      <c r="F19819" s="3">
        <v>0</v>
      </c>
      <c r="G19819" s="3">
        <v>0</v>
      </c>
      <c r="H19819" s="3">
        <v>0</v>
      </c>
      <c r="I19819" s="3">
        <v>0</v>
      </c>
      <c r="J19819" s="3">
        <v>0</v>
      </c>
      <c r="K19819" s="3">
        <v>0</v>
      </c>
      <c r="L19819" s="3">
        <v>0</v>
      </c>
      <c r="M19819" s="3">
        <v>0</v>
      </c>
      <c r="N19819" s="3">
        <v>0</v>
      </c>
      <c r="O19819" s="3" t="s">
        <v>9</v>
      </c>
      <c r="P19819" s="3" t="s">
        <v>9</v>
      </c>
      <c r="Q19819" s="3"/>
    </row>
    <row r="19820" spans="1:17" ht="15" x14ac:dyDescent="0.25">
      <c r="A19820" s="3">
        <f>19813</f>
        <v>19813</v>
      </c>
      <c r="B19820" s="3" t="s">
        <v>19822</v>
      </c>
      <c r="C19820" s="3" t="s">
        <v>9</v>
      </c>
      <c r="D19820" s="3" t="s">
        <v>9</v>
      </c>
      <c r="E19820" s="3">
        <v>0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3">
        <v>0</v>
      </c>
      <c r="N19820" s="3">
        <v>0</v>
      </c>
      <c r="O19820" s="3" t="s">
        <v>9</v>
      </c>
      <c r="P19820" s="3" t="s">
        <v>9</v>
      </c>
      <c r="Q19820" s="3"/>
    </row>
    <row r="19821" spans="1:17" ht="15" x14ac:dyDescent="0.25">
      <c r="A19821" s="3">
        <f>19814</f>
        <v>19814</v>
      </c>
      <c r="B19821" s="3" t="s">
        <v>19823</v>
      </c>
      <c r="C19821" s="3" t="s">
        <v>9</v>
      </c>
      <c r="D19821" s="3" t="s">
        <v>9</v>
      </c>
      <c r="E19821" s="3">
        <v>0</v>
      </c>
      <c r="F19821" s="3">
        <v>0</v>
      </c>
      <c r="G19821" s="3">
        <v>0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3">
        <v>0</v>
      </c>
      <c r="N19821" s="3">
        <v>0</v>
      </c>
      <c r="O19821" s="3" t="s">
        <v>9</v>
      </c>
      <c r="P19821" s="3" t="s">
        <v>9</v>
      </c>
      <c r="Q19821" s="3"/>
    </row>
    <row r="19822" spans="1:17" ht="15" x14ac:dyDescent="0.25">
      <c r="A19822" s="3">
        <f>19815</f>
        <v>19815</v>
      </c>
      <c r="B19822" s="3" t="s">
        <v>19824</v>
      </c>
      <c r="C19822" s="3" t="s">
        <v>10</v>
      </c>
      <c r="D19822" s="3" t="s">
        <v>9</v>
      </c>
      <c r="E19822" s="3">
        <v>0</v>
      </c>
      <c r="F19822" s="3">
        <v>0</v>
      </c>
      <c r="G19822" s="3">
        <v>0</v>
      </c>
      <c r="H19822" s="3">
        <v>0</v>
      </c>
      <c r="I19822" s="3">
        <v>0</v>
      </c>
      <c r="J19822" s="3">
        <v>0</v>
      </c>
      <c r="K19822" s="3">
        <v>0</v>
      </c>
      <c r="L19822" s="3">
        <v>0</v>
      </c>
      <c r="M19822" s="3">
        <v>0</v>
      </c>
      <c r="N19822" s="3">
        <v>0</v>
      </c>
      <c r="O19822" s="3" t="s">
        <v>10</v>
      </c>
      <c r="P19822" s="3" t="s">
        <v>9</v>
      </c>
      <c r="Q19822" s="3"/>
    </row>
    <row r="19823" spans="1:17" ht="15" x14ac:dyDescent="0.25">
      <c r="A19823" s="3">
        <f>19816</f>
        <v>19816</v>
      </c>
      <c r="B19823" s="3" t="s">
        <v>19825</v>
      </c>
      <c r="C19823" s="3" t="s">
        <v>10</v>
      </c>
      <c r="D19823" s="3" t="s">
        <v>9</v>
      </c>
      <c r="E19823" s="3">
        <v>0</v>
      </c>
      <c r="F19823" s="3">
        <v>0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 s="3">
        <v>0</v>
      </c>
      <c r="M19823" s="3">
        <v>0</v>
      </c>
      <c r="N19823" s="3">
        <v>0</v>
      </c>
      <c r="O19823" s="3" t="s">
        <v>10</v>
      </c>
      <c r="P19823" s="3" t="s">
        <v>9</v>
      </c>
      <c r="Q19823" s="3"/>
    </row>
    <row r="19824" spans="1:17" ht="15" x14ac:dyDescent="0.25">
      <c r="A19824" s="3">
        <f>19817</f>
        <v>19817</v>
      </c>
      <c r="B19824" s="3" t="s">
        <v>19826</v>
      </c>
      <c r="C19824" s="3" t="s">
        <v>10</v>
      </c>
      <c r="D19824" s="3" t="s">
        <v>9</v>
      </c>
      <c r="E19824" s="3">
        <v>0</v>
      </c>
      <c r="F19824" s="3">
        <v>0</v>
      </c>
      <c r="G19824" s="3">
        <v>0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3">
        <v>0</v>
      </c>
      <c r="N19824" s="3">
        <v>0</v>
      </c>
      <c r="O19824" s="3" t="s">
        <v>10</v>
      </c>
      <c r="P19824" s="3" t="s">
        <v>9</v>
      </c>
      <c r="Q19824" s="3"/>
    </row>
    <row r="19825" spans="1:17" ht="15" x14ac:dyDescent="0.25">
      <c r="A19825" s="3">
        <f>19818</f>
        <v>19818</v>
      </c>
      <c r="B19825" s="3" t="s">
        <v>19827</v>
      </c>
      <c r="C19825" s="3" t="s">
        <v>10</v>
      </c>
      <c r="D19825" s="3" t="s">
        <v>9</v>
      </c>
      <c r="E19825" s="3">
        <v>0</v>
      </c>
      <c r="F19825" s="3">
        <v>0</v>
      </c>
      <c r="G19825" s="3">
        <v>0</v>
      </c>
      <c r="H19825" s="3">
        <v>0</v>
      </c>
      <c r="I19825" s="3">
        <v>0</v>
      </c>
      <c r="J19825" s="3">
        <v>0</v>
      </c>
      <c r="K19825" s="3">
        <v>0</v>
      </c>
      <c r="L19825" s="3">
        <v>0</v>
      </c>
      <c r="M19825" s="3">
        <v>0</v>
      </c>
      <c r="N19825" s="3">
        <v>0</v>
      </c>
      <c r="O19825" s="3" t="s">
        <v>10</v>
      </c>
      <c r="P19825" s="3" t="s">
        <v>9</v>
      </c>
      <c r="Q19825" s="3"/>
    </row>
    <row r="19826" spans="1:17" ht="15" x14ac:dyDescent="0.25">
      <c r="A19826" s="3">
        <f>19819</f>
        <v>19819</v>
      </c>
      <c r="B19826" s="3" t="s">
        <v>19828</v>
      </c>
      <c r="C19826" s="3" t="s">
        <v>10</v>
      </c>
      <c r="D19826" s="3" t="s">
        <v>9</v>
      </c>
      <c r="E19826" s="3">
        <v>0</v>
      </c>
      <c r="F19826" s="3">
        <v>0</v>
      </c>
      <c r="G19826" s="3">
        <v>0</v>
      </c>
      <c r="H19826" s="3">
        <v>0</v>
      </c>
      <c r="I19826" s="3">
        <v>0</v>
      </c>
      <c r="J19826" s="3">
        <v>0</v>
      </c>
      <c r="K19826" s="3">
        <v>0</v>
      </c>
      <c r="L19826" s="3">
        <v>0</v>
      </c>
      <c r="M19826" s="3">
        <v>0</v>
      </c>
      <c r="N19826" s="3">
        <v>0</v>
      </c>
      <c r="O19826" s="3" t="s">
        <v>10</v>
      </c>
      <c r="P19826" s="3" t="s">
        <v>9</v>
      </c>
      <c r="Q19826" s="3"/>
    </row>
    <row r="19827" spans="1:17" ht="15" x14ac:dyDescent="0.25">
      <c r="A19827" s="3">
        <f>19820</f>
        <v>19820</v>
      </c>
      <c r="B19827" s="3" t="s">
        <v>19829</v>
      </c>
      <c r="C19827" s="3" t="s">
        <v>10</v>
      </c>
      <c r="D19827" s="3" t="s">
        <v>9</v>
      </c>
      <c r="E19827" s="3">
        <v>0</v>
      </c>
      <c r="F19827" s="3">
        <v>0</v>
      </c>
      <c r="G19827" s="3">
        <v>0</v>
      </c>
      <c r="H19827" s="3">
        <v>0</v>
      </c>
      <c r="I19827" s="3">
        <v>0</v>
      </c>
      <c r="J19827" s="3">
        <v>0</v>
      </c>
      <c r="K19827" s="3">
        <v>0</v>
      </c>
      <c r="L19827" s="3">
        <v>0</v>
      </c>
      <c r="M19827" s="3">
        <v>0</v>
      </c>
      <c r="N19827" s="3">
        <v>0</v>
      </c>
      <c r="O19827" s="3" t="s">
        <v>10</v>
      </c>
      <c r="P19827" s="3" t="s">
        <v>9</v>
      </c>
      <c r="Q19827" s="3"/>
    </row>
    <row r="19828" spans="1:17" ht="15" x14ac:dyDescent="0.25">
      <c r="A19828" s="3">
        <f>19821</f>
        <v>19821</v>
      </c>
      <c r="B19828" s="3" t="s">
        <v>19830</v>
      </c>
      <c r="C19828" s="3" t="s">
        <v>10</v>
      </c>
      <c r="D19828" s="3" t="s">
        <v>9</v>
      </c>
      <c r="E19828" s="3">
        <v>0</v>
      </c>
      <c r="F19828" s="3">
        <v>0</v>
      </c>
      <c r="G19828" s="3">
        <v>0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3">
        <v>0</v>
      </c>
      <c r="N19828" s="3">
        <v>0</v>
      </c>
      <c r="O19828" s="3" t="s">
        <v>10</v>
      </c>
      <c r="P19828" s="3" t="s">
        <v>9</v>
      </c>
      <c r="Q19828" s="3"/>
    </row>
    <row r="19829" spans="1:17" ht="15" x14ac:dyDescent="0.25">
      <c r="A19829" s="3">
        <f>19822</f>
        <v>19822</v>
      </c>
      <c r="B19829" s="3" t="s">
        <v>19831</v>
      </c>
      <c r="C19829" s="3" t="s">
        <v>10</v>
      </c>
      <c r="D19829" s="3" t="s">
        <v>9</v>
      </c>
      <c r="E19829" s="3">
        <v>0</v>
      </c>
      <c r="F19829" s="3">
        <v>0</v>
      </c>
      <c r="G19829" s="3">
        <v>0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3">
        <v>0</v>
      </c>
      <c r="N19829" s="3">
        <v>0</v>
      </c>
      <c r="O19829" s="3" t="s">
        <v>10</v>
      </c>
      <c r="P19829" s="3" t="s">
        <v>9</v>
      </c>
      <c r="Q19829" s="3"/>
    </row>
    <row r="19830" spans="1:17" ht="15" x14ac:dyDescent="0.25">
      <c r="A19830" s="3">
        <f>19823</f>
        <v>19823</v>
      </c>
      <c r="B19830" s="3" t="s">
        <v>19832</v>
      </c>
      <c r="C19830" s="3" t="s">
        <v>10</v>
      </c>
      <c r="D19830" s="3" t="s">
        <v>9</v>
      </c>
      <c r="E19830" s="3">
        <v>0</v>
      </c>
      <c r="F19830" s="3">
        <v>0</v>
      </c>
      <c r="G19830" s="3">
        <v>0</v>
      </c>
      <c r="H19830" s="3">
        <v>0</v>
      </c>
      <c r="I19830" s="3">
        <v>0</v>
      </c>
      <c r="J19830" s="3">
        <v>0</v>
      </c>
      <c r="K19830" s="3">
        <v>0</v>
      </c>
      <c r="L19830" s="3">
        <v>0</v>
      </c>
      <c r="M19830" s="3">
        <v>0</v>
      </c>
      <c r="N19830" s="3">
        <v>0</v>
      </c>
      <c r="O19830" s="3" t="s">
        <v>10</v>
      </c>
      <c r="P19830" s="3" t="s">
        <v>9</v>
      </c>
      <c r="Q19830" s="3"/>
    </row>
    <row r="19831" spans="1:17" ht="15" x14ac:dyDescent="0.25">
      <c r="A19831" s="3">
        <f>19824</f>
        <v>19824</v>
      </c>
      <c r="B19831" s="3" t="s">
        <v>19833</v>
      </c>
      <c r="C19831" s="3" t="s">
        <v>10</v>
      </c>
      <c r="D19831" s="3" t="s">
        <v>9</v>
      </c>
      <c r="E19831" s="3">
        <v>0</v>
      </c>
      <c r="F19831" s="3">
        <v>0</v>
      </c>
      <c r="G19831" s="3">
        <v>0</v>
      </c>
      <c r="H19831" s="3">
        <v>0</v>
      </c>
      <c r="I19831" s="3">
        <v>0</v>
      </c>
      <c r="J19831" s="3">
        <v>0</v>
      </c>
      <c r="K19831" s="3">
        <v>0</v>
      </c>
      <c r="L19831" s="3">
        <v>0</v>
      </c>
      <c r="M19831" s="3">
        <v>0</v>
      </c>
      <c r="N19831" s="3">
        <v>0</v>
      </c>
      <c r="O19831" s="3" t="s">
        <v>10</v>
      </c>
      <c r="P19831" s="3" t="s">
        <v>9</v>
      </c>
      <c r="Q19831" s="3"/>
    </row>
    <row r="19832" spans="1:17" ht="15" x14ac:dyDescent="0.25">
      <c r="A19832" s="3">
        <f>19825</f>
        <v>19825</v>
      </c>
      <c r="B19832" s="3" t="s">
        <v>19834</v>
      </c>
      <c r="C19832" s="3" t="s">
        <v>10</v>
      </c>
      <c r="D19832" s="3" t="s">
        <v>9</v>
      </c>
      <c r="E19832" s="3">
        <v>0</v>
      </c>
      <c r="F19832" s="3">
        <v>0</v>
      </c>
      <c r="G19832" s="3">
        <v>0</v>
      </c>
      <c r="H19832" s="3">
        <v>0</v>
      </c>
      <c r="I19832" s="3">
        <v>0</v>
      </c>
      <c r="J19832" s="3">
        <v>0</v>
      </c>
      <c r="K19832" s="3">
        <v>0</v>
      </c>
      <c r="L19832" s="3">
        <v>0</v>
      </c>
      <c r="M19832" s="3">
        <v>0</v>
      </c>
      <c r="N19832" s="3">
        <v>0</v>
      </c>
      <c r="O19832" s="3" t="s">
        <v>10</v>
      </c>
      <c r="P19832" s="3" t="s">
        <v>9</v>
      </c>
      <c r="Q19832" s="3"/>
    </row>
    <row r="19833" spans="1:17" ht="15" x14ac:dyDescent="0.25">
      <c r="A19833" s="3">
        <f>19826</f>
        <v>19826</v>
      </c>
      <c r="B19833" s="3" t="s">
        <v>19835</v>
      </c>
      <c r="C19833" s="3" t="s">
        <v>10</v>
      </c>
      <c r="D19833" s="3" t="s">
        <v>9</v>
      </c>
      <c r="E19833" s="3">
        <v>0</v>
      </c>
      <c r="F19833" s="3">
        <v>0</v>
      </c>
      <c r="G19833" s="3">
        <v>0</v>
      </c>
      <c r="H19833" s="3">
        <v>0</v>
      </c>
      <c r="I19833" s="3">
        <v>0</v>
      </c>
      <c r="J19833" s="3">
        <v>0</v>
      </c>
      <c r="K19833" s="3">
        <v>0</v>
      </c>
      <c r="L19833" s="3">
        <v>0</v>
      </c>
      <c r="M19833" s="3">
        <v>0</v>
      </c>
      <c r="N19833" s="3">
        <v>0</v>
      </c>
      <c r="O19833" s="3" t="s">
        <v>10</v>
      </c>
      <c r="P19833" s="3" t="s">
        <v>9</v>
      </c>
      <c r="Q19833" s="3"/>
    </row>
    <row r="19834" spans="1:17" ht="15" x14ac:dyDescent="0.25">
      <c r="A19834" s="3">
        <f>19827</f>
        <v>19827</v>
      </c>
      <c r="B19834" s="3" t="s">
        <v>19836</v>
      </c>
      <c r="C19834" s="3" t="s">
        <v>10</v>
      </c>
      <c r="D19834" s="3" t="s">
        <v>9</v>
      </c>
      <c r="E19834" s="3">
        <v>0</v>
      </c>
      <c r="F19834" s="3">
        <v>0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3">
        <v>0</v>
      </c>
      <c r="N19834" s="3">
        <v>0</v>
      </c>
      <c r="O19834" s="3" t="s">
        <v>10</v>
      </c>
      <c r="P19834" s="3" t="s">
        <v>9</v>
      </c>
      <c r="Q19834" s="3"/>
    </row>
    <row r="19835" spans="1:17" ht="15" x14ac:dyDescent="0.25">
      <c r="A19835" s="3">
        <f>19828</f>
        <v>19828</v>
      </c>
      <c r="B19835" s="3" t="s">
        <v>19837</v>
      </c>
      <c r="C19835" s="3" t="s">
        <v>10</v>
      </c>
      <c r="D19835" s="3" t="s">
        <v>9</v>
      </c>
      <c r="E19835" s="3">
        <v>0</v>
      </c>
      <c r="F19835" s="3">
        <v>0</v>
      </c>
      <c r="G19835" s="3">
        <v>0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3">
        <v>0</v>
      </c>
      <c r="N19835" s="3">
        <v>0</v>
      </c>
      <c r="O19835" s="3" t="s">
        <v>10</v>
      </c>
      <c r="P19835" s="3" t="s">
        <v>9</v>
      </c>
      <c r="Q19835" s="3"/>
    </row>
    <row r="19836" spans="1:17" ht="15" x14ac:dyDescent="0.25">
      <c r="A19836" s="3">
        <f>19829</f>
        <v>19829</v>
      </c>
      <c r="B19836" s="3" t="s">
        <v>19838</v>
      </c>
      <c r="C19836" s="3" t="s">
        <v>10</v>
      </c>
      <c r="D19836" s="3" t="s">
        <v>9</v>
      </c>
      <c r="E19836" s="3">
        <v>0</v>
      </c>
      <c r="F19836" s="3">
        <v>0</v>
      </c>
      <c r="G19836" s="3">
        <v>0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3">
        <v>0</v>
      </c>
      <c r="N19836" s="3">
        <v>0</v>
      </c>
      <c r="O19836" s="3" t="s">
        <v>10</v>
      </c>
      <c r="P19836" s="3" t="s">
        <v>9</v>
      </c>
      <c r="Q19836" s="3"/>
    </row>
    <row r="19837" spans="1:17" ht="15" x14ac:dyDescent="0.25">
      <c r="A19837" s="3">
        <f>19830</f>
        <v>19830</v>
      </c>
      <c r="B19837" s="3" t="s">
        <v>19839</v>
      </c>
      <c r="C19837" s="3" t="s">
        <v>10</v>
      </c>
      <c r="D19837" s="3" t="s">
        <v>9</v>
      </c>
      <c r="E19837" s="3">
        <v>0</v>
      </c>
      <c r="F19837" s="3">
        <v>0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3">
        <v>0</v>
      </c>
      <c r="N19837" s="3">
        <v>0</v>
      </c>
      <c r="O19837" s="3" t="s">
        <v>10</v>
      </c>
      <c r="P19837" s="3" t="s">
        <v>9</v>
      </c>
      <c r="Q19837" s="3"/>
    </row>
    <row r="19838" spans="1:17" ht="15" x14ac:dyDescent="0.25">
      <c r="A19838" s="3">
        <f>19831</f>
        <v>19831</v>
      </c>
      <c r="B19838" s="3" t="s">
        <v>19840</v>
      </c>
      <c r="C19838" s="3" t="s">
        <v>9</v>
      </c>
      <c r="D19838" s="3" t="s">
        <v>10</v>
      </c>
      <c r="E19838" s="3">
        <v>0</v>
      </c>
      <c r="F19838" s="3">
        <v>0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3">
        <v>0</v>
      </c>
      <c r="N19838" s="3">
        <v>0</v>
      </c>
      <c r="O19838" s="3" t="s">
        <v>10</v>
      </c>
      <c r="P19838" s="3" t="s">
        <v>9</v>
      </c>
      <c r="Q19838" s="3"/>
    </row>
    <row r="19839" spans="1:17" ht="15" x14ac:dyDescent="0.25">
      <c r="A19839" s="3">
        <f>19832</f>
        <v>19832</v>
      </c>
      <c r="B19839" s="3" t="s">
        <v>19841</v>
      </c>
      <c r="C19839" s="3" t="s">
        <v>9</v>
      </c>
      <c r="D19839" s="3" t="s">
        <v>10</v>
      </c>
      <c r="E19839" s="3">
        <v>0</v>
      </c>
      <c r="F19839" s="3">
        <v>0</v>
      </c>
      <c r="G19839" s="3">
        <v>0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3">
        <v>0</v>
      </c>
      <c r="N19839" s="3">
        <v>0</v>
      </c>
      <c r="O19839" s="3" t="s">
        <v>10</v>
      </c>
      <c r="P19839" s="3" t="s">
        <v>9</v>
      </c>
      <c r="Q19839" s="3"/>
    </row>
    <row r="19840" spans="1:17" ht="15" x14ac:dyDescent="0.25">
      <c r="A19840" s="3">
        <f>19833</f>
        <v>19833</v>
      </c>
      <c r="B19840" s="3" t="s">
        <v>19842</v>
      </c>
      <c r="C19840" s="3" t="s">
        <v>9</v>
      </c>
      <c r="D19840" s="3" t="s">
        <v>10</v>
      </c>
      <c r="E19840" s="3">
        <v>0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3">
        <v>0</v>
      </c>
      <c r="N19840" s="3">
        <v>0</v>
      </c>
      <c r="O19840" s="3" t="s">
        <v>10</v>
      </c>
      <c r="P19840" s="3" t="s">
        <v>9</v>
      </c>
      <c r="Q19840" s="3"/>
    </row>
    <row r="19841" spans="1:17" ht="15" x14ac:dyDescent="0.25">
      <c r="A19841" s="3">
        <f>19834</f>
        <v>19834</v>
      </c>
      <c r="B19841" s="3" t="s">
        <v>19843</v>
      </c>
      <c r="C19841" s="3" t="s">
        <v>9</v>
      </c>
      <c r="D19841" s="3" t="s">
        <v>10</v>
      </c>
      <c r="E19841" s="3">
        <v>0</v>
      </c>
      <c r="F19841" s="3">
        <v>0</v>
      </c>
      <c r="G19841" s="3">
        <v>0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3">
        <v>0</v>
      </c>
      <c r="N19841" s="3">
        <v>0</v>
      </c>
      <c r="O19841" s="3" t="s">
        <v>10</v>
      </c>
      <c r="P19841" s="3" t="s">
        <v>9</v>
      </c>
      <c r="Q19841" s="3"/>
    </row>
    <row r="19842" spans="1:17" ht="15" x14ac:dyDescent="0.25">
      <c r="A19842" s="3">
        <f>19835</f>
        <v>19835</v>
      </c>
      <c r="B19842" s="3" t="s">
        <v>19844</v>
      </c>
      <c r="C19842" s="3" t="s">
        <v>9</v>
      </c>
      <c r="D19842" s="3" t="s">
        <v>10</v>
      </c>
      <c r="E19842" s="3">
        <v>0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3">
        <v>0</v>
      </c>
      <c r="N19842" s="3">
        <v>0</v>
      </c>
      <c r="O19842" s="3" t="s">
        <v>10</v>
      </c>
      <c r="P19842" s="3" t="s">
        <v>9</v>
      </c>
      <c r="Q19842" s="3"/>
    </row>
    <row r="19843" spans="1:17" ht="15" x14ac:dyDescent="0.25">
      <c r="A19843" s="3">
        <f>19836</f>
        <v>19836</v>
      </c>
      <c r="B19843" s="3" t="s">
        <v>19845</v>
      </c>
      <c r="C19843" s="3" t="s">
        <v>9</v>
      </c>
      <c r="D19843" s="3" t="s">
        <v>10</v>
      </c>
      <c r="E19843" s="3">
        <v>0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3">
        <v>0</v>
      </c>
      <c r="N19843" s="3">
        <v>0</v>
      </c>
      <c r="O19843" s="3" t="s">
        <v>10</v>
      </c>
      <c r="P19843" s="3" t="s">
        <v>9</v>
      </c>
      <c r="Q19843" s="3"/>
    </row>
    <row r="19844" spans="1:17" ht="15" x14ac:dyDescent="0.25">
      <c r="A19844" s="3">
        <f>19837</f>
        <v>19837</v>
      </c>
      <c r="B19844" s="3" t="s">
        <v>19846</v>
      </c>
      <c r="C19844" s="3" t="s">
        <v>9</v>
      </c>
      <c r="D19844" s="3" t="s">
        <v>10</v>
      </c>
      <c r="E19844" s="3">
        <v>0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3">
        <v>0</v>
      </c>
      <c r="N19844" s="3">
        <v>0</v>
      </c>
      <c r="O19844" s="3" t="s">
        <v>10</v>
      </c>
      <c r="P19844" s="3" t="s">
        <v>9</v>
      </c>
      <c r="Q19844" s="3"/>
    </row>
    <row r="19845" spans="1:17" ht="15" x14ac:dyDescent="0.25">
      <c r="A19845" s="3">
        <f>19838</f>
        <v>19838</v>
      </c>
      <c r="B19845" s="3" t="s">
        <v>19847</v>
      </c>
      <c r="C19845" s="3" t="s">
        <v>10</v>
      </c>
      <c r="D19845" s="3" t="s">
        <v>9</v>
      </c>
      <c r="E19845" s="3">
        <v>0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0</v>
      </c>
      <c r="N19845" s="3">
        <v>0</v>
      </c>
      <c r="O19845" s="3" t="s">
        <v>10</v>
      </c>
      <c r="P19845" s="3" t="s">
        <v>9</v>
      </c>
      <c r="Q19845" s="3"/>
    </row>
    <row r="19846" spans="1:17" ht="15" x14ac:dyDescent="0.25">
      <c r="A19846" s="3">
        <f>19839</f>
        <v>19839</v>
      </c>
      <c r="B19846" s="3" t="s">
        <v>19848</v>
      </c>
      <c r="C19846" s="3" t="s">
        <v>10</v>
      </c>
      <c r="D19846" s="3" t="s">
        <v>9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 t="s">
        <v>10</v>
      </c>
      <c r="P19846" s="3" t="s">
        <v>9</v>
      </c>
      <c r="Q19846" s="3"/>
    </row>
    <row r="19847" spans="1:17" ht="15" x14ac:dyDescent="0.25">
      <c r="A19847" s="3">
        <f>19840</f>
        <v>19840</v>
      </c>
      <c r="B19847" s="3" t="s">
        <v>19849</v>
      </c>
      <c r="C19847" s="3" t="s">
        <v>10</v>
      </c>
      <c r="D19847" s="3" t="s">
        <v>9</v>
      </c>
      <c r="E19847" s="3">
        <v>0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3">
        <v>0</v>
      </c>
      <c r="N19847" s="3">
        <v>0</v>
      </c>
      <c r="O19847" s="3" t="s">
        <v>10</v>
      </c>
      <c r="P19847" s="3" t="s">
        <v>9</v>
      </c>
      <c r="Q19847" s="3"/>
    </row>
    <row r="19848" spans="1:17" ht="15" x14ac:dyDescent="0.25">
      <c r="A19848" s="3">
        <f>19841</f>
        <v>19841</v>
      </c>
      <c r="B19848" s="3" t="s">
        <v>19850</v>
      </c>
      <c r="C19848" s="3" t="s">
        <v>10</v>
      </c>
      <c r="D19848" s="3" t="s">
        <v>9</v>
      </c>
      <c r="E19848" s="3">
        <v>0</v>
      </c>
      <c r="F19848" s="3">
        <v>0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3">
        <v>0</v>
      </c>
      <c r="N19848" s="3">
        <v>0</v>
      </c>
      <c r="O19848" s="3" t="s">
        <v>10</v>
      </c>
      <c r="P19848" s="3" t="s">
        <v>9</v>
      </c>
      <c r="Q19848" s="3"/>
    </row>
    <row r="19849" spans="1:17" ht="15" x14ac:dyDescent="0.25">
      <c r="A19849" s="3">
        <f>19842</f>
        <v>19842</v>
      </c>
      <c r="B19849" s="3" t="s">
        <v>19851</v>
      </c>
      <c r="C19849" s="3" t="s">
        <v>10</v>
      </c>
      <c r="D19849" s="3" t="s">
        <v>9</v>
      </c>
      <c r="E19849" s="3">
        <v>0</v>
      </c>
      <c r="F19849" s="3">
        <v>0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3">
        <v>0</v>
      </c>
      <c r="N19849" s="3">
        <v>0</v>
      </c>
      <c r="O19849" s="3" t="s">
        <v>10</v>
      </c>
      <c r="P19849" s="3" t="s">
        <v>9</v>
      </c>
      <c r="Q19849" s="3"/>
    </row>
    <row r="19850" spans="1:17" ht="15" x14ac:dyDescent="0.25">
      <c r="A19850" s="3">
        <f>19843</f>
        <v>19843</v>
      </c>
      <c r="B19850" s="3" t="s">
        <v>19852</v>
      </c>
      <c r="C19850" s="3" t="s">
        <v>10</v>
      </c>
      <c r="D19850" s="3" t="s">
        <v>9</v>
      </c>
      <c r="E19850" s="3">
        <v>0</v>
      </c>
      <c r="F19850" s="3">
        <v>0</v>
      </c>
      <c r="G19850" s="3">
        <v>0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3">
        <v>0</v>
      </c>
      <c r="N19850" s="3">
        <v>0</v>
      </c>
      <c r="O19850" s="3" t="s">
        <v>10</v>
      </c>
      <c r="P19850" s="3" t="s">
        <v>9</v>
      </c>
      <c r="Q19850" s="3"/>
    </row>
    <row r="19851" spans="1:17" ht="15" x14ac:dyDescent="0.25">
      <c r="A19851" s="3">
        <f>19844</f>
        <v>19844</v>
      </c>
      <c r="B19851" s="3" t="s">
        <v>19853</v>
      </c>
      <c r="C19851" s="3" t="s">
        <v>10</v>
      </c>
      <c r="D19851" s="3" t="s">
        <v>9</v>
      </c>
      <c r="E19851" s="3">
        <v>0</v>
      </c>
      <c r="F19851" s="3">
        <v>0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3">
        <v>0</v>
      </c>
      <c r="N19851" s="3">
        <v>0</v>
      </c>
      <c r="O19851" s="3" t="s">
        <v>10</v>
      </c>
      <c r="P19851" s="3" t="s">
        <v>9</v>
      </c>
      <c r="Q19851" s="3"/>
    </row>
    <row r="19852" spans="1:17" ht="15" x14ac:dyDescent="0.25">
      <c r="A19852" s="3">
        <f>19845</f>
        <v>19845</v>
      </c>
      <c r="B19852" s="3" t="s">
        <v>19854</v>
      </c>
      <c r="C19852" s="3" t="s">
        <v>10</v>
      </c>
      <c r="D19852" s="3" t="s">
        <v>9</v>
      </c>
      <c r="E19852" s="3">
        <v>0</v>
      </c>
      <c r="F19852" s="3">
        <v>0</v>
      </c>
      <c r="G19852" s="3">
        <v>0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3">
        <v>0</v>
      </c>
      <c r="N19852" s="3">
        <v>0</v>
      </c>
      <c r="O19852" s="3" t="s">
        <v>10</v>
      </c>
      <c r="P19852" s="3" t="s">
        <v>9</v>
      </c>
      <c r="Q19852" s="3"/>
    </row>
    <row r="19853" spans="1:17" ht="15" x14ac:dyDescent="0.25">
      <c r="A19853" s="3">
        <f>19846</f>
        <v>19846</v>
      </c>
      <c r="B19853" s="3" t="s">
        <v>19855</v>
      </c>
      <c r="C19853" s="3" t="s">
        <v>10</v>
      </c>
      <c r="D19853" s="3" t="s">
        <v>9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3">
        <v>0</v>
      </c>
      <c r="N19853" s="3">
        <v>0</v>
      </c>
      <c r="O19853" s="3" t="s">
        <v>10</v>
      </c>
      <c r="P19853" s="3" t="s">
        <v>9</v>
      </c>
      <c r="Q19853" s="3"/>
    </row>
    <row r="19854" spans="1:17" ht="15" x14ac:dyDescent="0.25">
      <c r="A19854" s="3">
        <f>19847</f>
        <v>19847</v>
      </c>
      <c r="B19854" s="3" t="s">
        <v>19856</v>
      </c>
      <c r="C19854" s="3" t="s">
        <v>10</v>
      </c>
      <c r="D19854" s="3" t="s">
        <v>9</v>
      </c>
      <c r="E19854" s="3">
        <v>0</v>
      </c>
      <c r="F19854" s="3">
        <v>0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3">
        <v>0</v>
      </c>
      <c r="N19854" s="3">
        <v>0</v>
      </c>
      <c r="O19854" s="3" t="s">
        <v>10</v>
      </c>
      <c r="P19854" s="3" t="s">
        <v>9</v>
      </c>
      <c r="Q19854" s="3"/>
    </row>
    <row r="19855" spans="1:17" ht="15" x14ac:dyDescent="0.25">
      <c r="A19855" s="3">
        <f>19848</f>
        <v>19848</v>
      </c>
      <c r="B19855" s="3" t="s">
        <v>19857</v>
      </c>
      <c r="C19855" s="3" t="s">
        <v>10</v>
      </c>
      <c r="D19855" s="3" t="s">
        <v>9</v>
      </c>
      <c r="E19855" s="3">
        <v>0</v>
      </c>
      <c r="F19855" s="3">
        <v>0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3">
        <v>0</v>
      </c>
      <c r="N19855" s="3">
        <v>0</v>
      </c>
      <c r="O19855" s="3" t="s">
        <v>10</v>
      </c>
      <c r="P19855" s="3" t="s">
        <v>9</v>
      </c>
      <c r="Q19855" s="3"/>
    </row>
    <row r="19856" spans="1:17" ht="15" x14ac:dyDescent="0.25">
      <c r="A19856" s="3">
        <f>19849</f>
        <v>19849</v>
      </c>
      <c r="B19856" s="3" t="s">
        <v>19858</v>
      </c>
      <c r="C19856" s="3" t="s">
        <v>10</v>
      </c>
      <c r="D19856" s="3" t="s">
        <v>9</v>
      </c>
      <c r="E19856" s="3">
        <v>0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3">
        <v>0</v>
      </c>
      <c r="N19856" s="3">
        <v>0</v>
      </c>
      <c r="O19856" s="3" t="s">
        <v>10</v>
      </c>
      <c r="P19856" s="3" t="s">
        <v>9</v>
      </c>
      <c r="Q19856" s="3"/>
    </row>
    <row r="19857" spans="1:17" ht="15" x14ac:dyDescent="0.25">
      <c r="A19857" s="3">
        <f>19850</f>
        <v>19850</v>
      </c>
      <c r="B19857" s="3" t="s">
        <v>19859</v>
      </c>
      <c r="C19857" s="3" t="s">
        <v>10</v>
      </c>
      <c r="D19857" s="3" t="s">
        <v>9</v>
      </c>
      <c r="E19857" s="3">
        <v>0</v>
      </c>
      <c r="F19857" s="3">
        <v>0</v>
      </c>
      <c r="G19857" s="3">
        <v>0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3">
        <v>0</v>
      </c>
      <c r="N19857" s="3">
        <v>0</v>
      </c>
      <c r="O19857" s="3" t="s">
        <v>10</v>
      </c>
      <c r="P19857" s="3" t="s">
        <v>9</v>
      </c>
      <c r="Q19857" s="3"/>
    </row>
    <row r="19858" spans="1:17" ht="15" x14ac:dyDescent="0.25">
      <c r="A19858" s="3">
        <f>19851</f>
        <v>19851</v>
      </c>
      <c r="B19858" s="3" t="s">
        <v>19860</v>
      </c>
      <c r="C19858" s="3" t="s">
        <v>10</v>
      </c>
      <c r="D19858" s="3" t="s">
        <v>9</v>
      </c>
      <c r="E19858" s="3">
        <v>0</v>
      </c>
      <c r="F19858" s="3">
        <v>0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3">
        <v>0</v>
      </c>
      <c r="N19858" s="3">
        <v>0</v>
      </c>
      <c r="O19858" s="3" t="s">
        <v>10</v>
      </c>
      <c r="P19858" s="3" t="s">
        <v>9</v>
      </c>
      <c r="Q19858" s="3"/>
    </row>
    <row r="19859" spans="1:17" ht="15" x14ac:dyDescent="0.25">
      <c r="A19859" s="3">
        <f>19852</f>
        <v>19852</v>
      </c>
      <c r="B19859" s="3" t="s">
        <v>19861</v>
      </c>
      <c r="C19859" s="3" t="s">
        <v>10</v>
      </c>
      <c r="D19859" s="3" t="s">
        <v>9</v>
      </c>
      <c r="E19859" s="3">
        <v>0</v>
      </c>
      <c r="F19859" s="3">
        <v>0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3">
        <v>0</v>
      </c>
      <c r="N19859" s="3">
        <v>0</v>
      </c>
      <c r="O19859" s="3" t="s">
        <v>10</v>
      </c>
      <c r="P19859" s="3" t="s">
        <v>9</v>
      </c>
      <c r="Q19859" s="3"/>
    </row>
    <row r="19860" spans="1:17" ht="15" x14ac:dyDescent="0.25">
      <c r="A19860" s="3">
        <f>19853</f>
        <v>19853</v>
      </c>
      <c r="B19860" s="3" t="s">
        <v>19862</v>
      </c>
      <c r="C19860" s="3" t="s">
        <v>10</v>
      </c>
      <c r="D19860" s="3" t="s">
        <v>9</v>
      </c>
      <c r="E19860" s="3">
        <v>0</v>
      </c>
      <c r="F19860" s="3">
        <v>0</v>
      </c>
      <c r="G19860" s="3">
        <v>0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3">
        <v>0</v>
      </c>
      <c r="N19860" s="3">
        <v>0</v>
      </c>
      <c r="O19860" s="3" t="s">
        <v>10</v>
      </c>
      <c r="P19860" s="3" t="s">
        <v>9</v>
      </c>
      <c r="Q19860" s="3"/>
    </row>
    <row r="19861" spans="1:17" ht="15" x14ac:dyDescent="0.25">
      <c r="A19861" s="3">
        <f>19854</f>
        <v>19854</v>
      </c>
      <c r="B19861" s="3" t="s">
        <v>19863</v>
      </c>
      <c r="C19861" s="3" t="s">
        <v>10</v>
      </c>
      <c r="D19861" s="3" t="s">
        <v>9</v>
      </c>
      <c r="E19861" s="3">
        <v>0</v>
      </c>
      <c r="F19861" s="3">
        <v>0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3">
        <v>0</v>
      </c>
      <c r="N19861" s="3">
        <v>0</v>
      </c>
      <c r="O19861" s="3" t="s">
        <v>10</v>
      </c>
      <c r="P19861" s="3" t="s">
        <v>9</v>
      </c>
      <c r="Q19861" s="3"/>
    </row>
    <row r="19862" spans="1:17" ht="15" x14ac:dyDescent="0.25">
      <c r="A19862" s="3">
        <f>19855</f>
        <v>19855</v>
      </c>
      <c r="B19862" s="3" t="s">
        <v>19864</v>
      </c>
      <c r="C19862" s="3" t="s">
        <v>10</v>
      </c>
      <c r="D19862" s="3" t="s">
        <v>9</v>
      </c>
      <c r="E19862" s="3">
        <v>0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3">
        <v>0</v>
      </c>
      <c r="N19862" s="3">
        <v>0</v>
      </c>
      <c r="O19862" s="3" t="s">
        <v>10</v>
      </c>
      <c r="P19862" s="3" t="s">
        <v>9</v>
      </c>
      <c r="Q19862" s="3"/>
    </row>
    <row r="19863" spans="1:17" ht="15" x14ac:dyDescent="0.25">
      <c r="A19863" s="3">
        <f>19856</f>
        <v>19856</v>
      </c>
      <c r="B19863" s="3" t="s">
        <v>19865</v>
      </c>
      <c r="C19863" s="3" t="s">
        <v>10</v>
      </c>
      <c r="D19863" s="3" t="s">
        <v>9</v>
      </c>
      <c r="E19863" s="3">
        <v>0</v>
      </c>
      <c r="F19863" s="3">
        <v>0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>
        <v>0</v>
      </c>
      <c r="O19863" s="3" t="s">
        <v>10</v>
      </c>
      <c r="P19863" s="3" t="s">
        <v>9</v>
      </c>
      <c r="Q19863" s="3"/>
    </row>
    <row r="19864" spans="1:17" ht="15" x14ac:dyDescent="0.25">
      <c r="A19864" s="3">
        <f>19857</f>
        <v>19857</v>
      </c>
      <c r="B19864" s="3" t="s">
        <v>19866</v>
      </c>
      <c r="C19864" s="3" t="s">
        <v>10</v>
      </c>
      <c r="D19864" s="3" t="s">
        <v>9</v>
      </c>
      <c r="E19864" s="3">
        <v>0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>
        <v>0</v>
      </c>
      <c r="O19864" s="3" t="s">
        <v>10</v>
      </c>
      <c r="P19864" s="3" t="s">
        <v>9</v>
      </c>
      <c r="Q19864" s="3"/>
    </row>
    <row r="19865" spans="1:17" ht="15" x14ac:dyDescent="0.25">
      <c r="A19865" s="3">
        <f>19858</f>
        <v>19858</v>
      </c>
      <c r="B19865" s="3" t="s">
        <v>19867</v>
      </c>
      <c r="C19865" s="3" t="s">
        <v>10</v>
      </c>
      <c r="D19865" s="3" t="s">
        <v>9</v>
      </c>
      <c r="E19865" s="3">
        <v>0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>
        <v>0</v>
      </c>
      <c r="O19865" s="3" t="s">
        <v>10</v>
      </c>
      <c r="P19865" s="3" t="s">
        <v>9</v>
      </c>
      <c r="Q19865" s="3"/>
    </row>
    <row r="19866" spans="1:17" ht="15" x14ac:dyDescent="0.25">
      <c r="A19866" s="3">
        <f>19859</f>
        <v>19859</v>
      </c>
      <c r="B19866" s="3" t="s">
        <v>19868</v>
      </c>
      <c r="C19866" s="3" t="s">
        <v>10</v>
      </c>
      <c r="D19866" s="3" t="s">
        <v>9</v>
      </c>
      <c r="E19866" s="3">
        <v>0</v>
      </c>
      <c r="F19866" s="3">
        <v>0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3">
        <v>0</v>
      </c>
      <c r="N19866" s="3">
        <v>0</v>
      </c>
      <c r="O19866" s="3" t="s">
        <v>10</v>
      </c>
      <c r="P19866" s="3" t="s">
        <v>9</v>
      </c>
      <c r="Q19866" s="3"/>
    </row>
    <row r="19867" spans="1:17" ht="15" x14ac:dyDescent="0.25">
      <c r="A19867" s="3">
        <f>19860</f>
        <v>19860</v>
      </c>
      <c r="B19867" s="3" t="s">
        <v>19869</v>
      </c>
      <c r="C19867" s="3" t="s">
        <v>10</v>
      </c>
      <c r="D19867" s="3" t="s">
        <v>9</v>
      </c>
      <c r="E19867" s="3">
        <v>0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3">
        <v>0</v>
      </c>
      <c r="N19867" s="3">
        <v>0</v>
      </c>
      <c r="O19867" s="3" t="s">
        <v>10</v>
      </c>
      <c r="P19867" s="3" t="s">
        <v>9</v>
      </c>
      <c r="Q19867" s="3"/>
    </row>
    <row r="19868" spans="1:17" ht="15" x14ac:dyDescent="0.25">
      <c r="A19868" s="3">
        <f>19861</f>
        <v>19861</v>
      </c>
      <c r="B19868" s="3" t="s">
        <v>19870</v>
      </c>
      <c r="C19868" s="3" t="s">
        <v>10</v>
      </c>
      <c r="D19868" s="3" t="s">
        <v>9</v>
      </c>
      <c r="E19868" s="3">
        <v>0</v>
      </c>
      <c r="F19868" s="3">
        <v>0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3">
        <v>0</v>
      </c>
      <c r="N19868" s="3">
        <v>0</v>
      </c>
      <c r="O19868" s="3" t="s">
        <v>10</v>
      </c>
      <c r="P19868" s="3" t="s">
        <v>9</v>
      </c>
      <c r="Q19868" s="3"/>
    </row>
    <row r="19869" spans="1:17" ht="15" x14ac:dyDescent="0.25">
      <c r="A19869" s="3">
        <f>19862</f>
        <v>19862</v>
      </c>
      <c r="B19869" s="3" t="s">
        <v>19871</v>
      </c>
      <c r="C19869" s="3" t="s">
        <v>10</v>
      </c>
      <c r="D19869" s="3" t="s">
        <v>9</v>
      </c>
      <c r="E19869" s="3">
        <v>0</v>
      </c>
      <c r="F19869" s="3">
        <v>0</v>
      </c>
      <c r="G19869" s="3">
        <v>0</v>
      </c>
      <c r="H19869" s="3">
        <v>0</v>
      </c>
      <c r="I19869" s="3">
        <v>0</v>
      </c>
      <c r="J19869" s="3">
        <v>0</v>
      </c>
      <c r="K19869" s="3">
        <v>0</v>
      </c>
      <c r="L19869" s="3">
        <v>0</v>
      </c>
      <c r="M19869" s="3">
        <v>0</v>
      </c>
      <c r="N19869" s="3">
        <v>0</v>
      </c>
      <c r="O19869" s="3" t="s">
        <v>10</v>
      </c>
      <c r="P19869" s="3" t="s">
        <v>9</v>
      </c>
      <c r="Q19869" s="3"/>
    </row>
    <row r="19870" spans="1:17" ht="15" x14ac:dyDescent="0.25">
      <c r="A19870" s="3">
        <f>19863</f>
        <v>19863</v>
      </c>
      <c r="B19870" s="3" t="s">
        <v>19872</v>
      </c>
      <c r="C19870" s="3" t="s">
        <v>10</v>
      </c>
      <c r="D19870" s="3" t="s">
        <v>9</v>
      </c>
      <c r="E19870" s="3">
        <v>0</v>
      </c>
      <c r="F19870" s="3">
        <v>0</v>
      </c>
      <c r="G19870" s="3">
        <v>0</v>
      </c>
      <c r="H19870" s="3">
        <v>0</v>
      </c>
      <c r="I19870" s="3">
        <v>0</v>
      </c>
      <c r="J19870" s="3">
        <v>0</v>
      </c>
      <c r="K19870" s="3">
        <v>0</v>
      </c>
      <c r="L19870" s="3">
        <v>0</v>
      </c>
      <c r="M19870" s="3">
        <v>0</v>
      </c>
      <c r="N19870" s="3">
        <v>0</v>
      </c>
      <c r="O19870" s="3" t="s">
        <v>10</v>
      </c>
      <c r="P19870" s="3" t="s">
        <v>9</v>
      </c>
      <c r="Q19870" s="3"/>
    </row>
    <row r="19871" spans="1:17" ht="15" x14ac:dyDescent="0.25">
      <c r="A19871" s="3">
        <f>19864</f>
        <v>19864</v>
      </c>
      <c r="B19871" s="3" t="s">
        <v>19873</v>
      </c>
      <c r="C19871" s="3" t="s">
        <v>10</v>
      </c>
      <c r="D19871" s="3" t="s">
        <v>9</v>
      </c>
      <c r="E19871" s="3">
        <v>0</v>
      </c>
      <c r="F19871" s="3">
        <v>0</v>
      </c>
      <c r="G19871" s="3">
        <v>0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3">
        <v>0</v>
      </c>
      <c r="N19871" s="3">
        <v>0</v>
      </c>
      <c r="O19871" s="3" t="s">
        <v>10</v>
      </c>
      <c r="P19871" s="3" t="s">
        <v>9</v>
      </c>
      <c r="Q19871" s="3"/>
    </row>
    <row r="19872" spans="1:17" ht="15" x14ac:dyDescent="0.25">
      <c r="A19872" s="3">
        <f>19865</f>
        <v>19865</v>
      </c>
      <c r="B19872" s="3" t="s">
        <v>19874</v>
      </c>
      <c r="C19872" s="3" t="s">
        <v>10</v>
      </c>
      <c r="D19872" s="3" t="s">
        <v>9</v>
      </c>
      <c r="E19872" s="3">
        <v>0</v>
      </c>
      <c r="F19872" s="3">
        <v>0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0</v>
      </c>
      <c r="M19872" s="3">
        <v>0</v>
      </c>
      <c r="N19872" s="3">
        <v>0</v>
      </c>
      <c r="O19872" s="3" t="s">
        <v>10</v>
      </c>
      <c r="P19872" s="3" t="s">
        <v>9</v>
      </c>
      <c r="Q19872" s="3"/>
    </row>
    <row r="19873" spans="1:17" ht="15" x14ac:dyDescent="0.25">
      <c r="A19873" s="3">
        <f>19866</f>
        <v>19866</v>
      </c>
      <c r="B19873" s="3" t="s">
        <v>19875</v>
      </c>
      <c r="C19873" s="3" t="s">
        <v>9</v>
      </c>
      <c r="D19873" s="3" t="s">
        <v>10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  <c r="L19873" s="3">
        <v>0</v>
      </c>
      <c r="M19873" s="3">
        <v>0</v>
      </c>
      <c r="N19873" s="3">
        <v>0</v>
      </c>
      <c r="O19873" s="3" t="s">
        <v>10</v>
      </c>
      <c r="P19873" s="3" t="s">
        <v>9</v>
      </c>
      <c r="Q19873" s="3"/>
    </row>
    <row r="19874" spans="1:17" ht="15" x14ac:dyDescent="0.25">
      <c r="A19874" s="3">
        <f>19867</f>
        <v>19867</v>
      </c>
      <c r="B19874" s="3" t="s">
        <v>19876</v>
      </c>
      <c r="C19874" s="3" t="s">
        <v>10</v>
      </c>
      <c r="D19874" s="3" t="s">
        <v>9</v>
      </c>
      <c r="E19874" s="3">
        <v>0</v>
      </c>
      <c r="F19874" s="3">
        <v>0</v>
      </c>
      <c r="G19874" s="3">
        <v>0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3">
        <v>0</v>
      </c>
      <c r="N19874" s="3">
        <v>0</v>
      </c>
      <c r="O19874" s="3" t="s">
        <v>10</v>
      </c>
      <c r="P19874" s="3" t="s">
        <v>9</v>
      </c>
      <c r="Q19874" s="3"/>
    </row>
    <row r="19875" spans="1:17" ht="15" x14ac:dyDescent="0.25">
      <c r="A19875" s="3">
        <f>19868</f>
        <v>19868</v>
      </c>
      <c r="B19875" s="3" t="s">
        <v>19877</v>
      </c>
      <c r="C19875" s="3" t="s">
        <v>10</v>
      </c>
      <c r="D19875" s="3" t="s">
        <v>9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  <c r="L19875" s="3">
        <v>0</v>
      </c>
      <c r="M19875" s="3">
        <v>0</v>
      </c>
      <c r="N19875" s="3">
        <v>0</v>
      </c>
      <c r="O19875" s="3" t="s">
        <v>10</v>
      </c>
      <c r="P19875" s="3" t="s">
        <v>9</v>
      </c>
      <c r="Q19875" s="3"/>
    </row>
    <row r="19876" spans="1:17" ht="15" x14ac:dyDescent="0.25">
      <c r="A19876" s="3">
        <f>19869</f>
        <v>19869</v>
      </c>
      <c r="B19876" s="3" t="s">
        <v>19878</v>
      </c>
      <c r="C19876" s="3" t="s">
        <v>10</v>
      </c>
      <c r="D19876" s="3" t="s">
        <v>9</v>
      </c>
      <c r="E19876" s="3">
        <v>0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3">
        <v>0</v>
      </c>
      <c r="N19876" s="3">
        <v>0</v>
      </c>
      <c r="O19876" s="3" t="s">
        <v>10</v>
      </c>
      <c r="P19876" s="3" t="s">
        <v>9</v>
      </c>
      <c r="Q19876" s="3"/>
    </row>
    <row r="19877" spans="1:17" ht="15" x14ac:dyDescent="0.25">
      <c r="A19877" s="3">
        <f>19870</f>
        <v>19870</v>
      </c>
      <c r="B19877" s="3" t="s">
        <v>19879</v>
      </c>
      <c r="C19877" s="3" t="s">
        <v>10</v>
      </c>
      <c r="D19877" s="3" t="s">
        <v>9</v>
      </c>
      <c r="E19877" s="3">
        <v>0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3">
        <v>0</v>
      </c>
      <c r="N19877" s="3">
        <v>0</v>
      </c>
      <c r="O19877" s="3" t="s">
        <v>10</v>
      </c>
      <c r="P19877" s="3" t="s">
        <v>9</v>
      </c>
      <c r="Q19877" s="3"/>
    </row>
    <row r="19878" spans="1:17" ht="15" x14ac:dyDescent="0.25">
      <c r="A19878" s="3">
        <f>19871</f>
        <v>19871</v>
      </c>
      <c r="B19878" s="3" t="s">
        <v>19880</v>
      </c>
      <c r="C19878" s="3" t="s">
        <v>10</v>
      </c>
      <c r="D19878" s="3" t="s">
        <v>9</v>
      </c>
      <c r="E19878" s="3">
        <v>0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3">
        <v>0</v>
      </c>
      <c r="N19878" s="3">
        <v>0</v>
      </c>
      <c r="O19878" s="3" t="s">
        <v>10</v>
      </c>
      <c r="P19878" s="3" t="s">
        <v>9</v>
      </c>
      <c r="Q19878" s="3"/>
    </row>
    <row r="19879" spans="1:17" ht="15" x14ac:dyDescent="0.25">
      <c r="A19879" s="3">
        <f>19872</f>
        <v>19872</v>
      </c>
      <c r="B19879" s="3" t="s">
        <v>19881</v>
      </c>
      <c r="C19879" s="3" t="s">
        <v>10</v>
      </c>
      <c r="D19879" s="3" t="s">
        <v>9</v>
      </c>
      <c r="E19879" s="3">
        <v>0</v>
      </c>
      <c r="F19879" s="3">
        <v>0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3">
        <v>0</v>
      </c>
      <c r="N19879" s="3">
        <v>0</v>
      </c>
      <c r="O19879" s="3" t="s">
        <v>10</v>
      </c>
      <c r="P19879" s="3" t="s">
        <v>9</v>
      </c>
      <c r="Q19879" s="3"/>
    </row>
    <row r="19880" spans="1:17" ht="15" x14ac:dyDescent="0.25">
      <c r="A19880" s="3">
        <f>19873</f>
        <v>19873</v>
      </c>
      <c r="B19880" s="3" t="s">
        <v>19882</v>
      </c>
      <c r="C19880" s="3" t="s">
        <v>10</v>
      </c>
      <c r="D19880" s="3" t="s">
        <v>9</v>
      </c>
      <c r="E19880" s="3">
        <v>0</v>
      </c>
      <c r="F19880" s="3">
        <v>0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0</v>
      </c>
      <c r="M19880" s="3">
        <v>0</v>
      </c>
      <c r="N19880" s="3">
        <v>0</v>
      </c>
      <c r="O19880" s="3" t="s">
        <v>10</v>
      </c>
      <c r="P19880" s="3" t="s">
        <v>9</v>
      </c>
      <c r="Q19880" s="3"/>
    </row>
    <row r="19881" spans="1:17" ht="15" x14ac:dyDescent="0.25">
      <c r="A19881" s="3">
        <f>19874</f>
        <v>19874</v>
      </c>
      <c r="B19881" s="3" t="s">
        <v>19883</v>
      </c>
      <c r="C19881" s="3" t="s">
        <v>10</v>
      </c>
      <c r="D19881" s="3" t="s">
        <v>9</v>
      </c>
      <c r="E19881" s="3">
        <v>0</v>
      </c>
      <c r="F19881" s="3">
        <v>0</v>
      </c>
      <c r="G19881" s="3">
        <v>0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3">
        <v>0</v>
      </c>
      <c r="N19881" s="3">
        <v>0</v>
      </c>
      <c r="O19881" s="3" t="s">
        <v>10</v>
      </c>
      <c r="P19881" s="3" t="s">
        <v>9</v>
      </c>
      <c r="Q19881" s="3"/>
    </row>
    <row r="19882" spans="1:17" ht="15" x14ac:dyDescent="0.25">
      <c r="A19882" s="3">
        <f>19875</f>
        <v>19875</v>
      </c>
      <c r="B19882" s="3" t="s">
        <v>19884</v>
      </c>
      <c r="C19882" s="3" t="s">
        <v>10</v>
      </c>
      <c r="D19882" s="3" t="s">
        <v>9</v>
      </c>
      <c r="E19882" s="3">
        <v>0</v>
      </c>
      <c r="F19882" s="3">
        <v>0</v>
      </c>
      <c r="G19882" s="3">
        <v>0</v>
      </c>
      <c r="H19882" s="3">
        <v>0</v>
      </c>
      <c r="I19882" s="3">
        <v>0</v>
      </c>
      <c r="J19882" s="3">
        <v>0</v>
      </c>
      <c r="K19882" s="3">
        <v>0</v>
      </c>
      <c r="L19882" s="3">
        <v>0</v>
      </c>
      <c r="M19882" s="3">
        <v>0</v>
      </c>
      <c r="N19882" s="3">
        <v>0</v>
      </c>
      <c r="O19882" s="3" t="s">
        <v>10</v>
      </c>
      <c r="P19882" s="3" t="s">
        <v>9</v>
      </c>
      <c r="Q19882" s="3"/>
    </row>
    <row r="19883" spans="1:17" ht="15" x14ac:dyDescent="0.25">
      <c r="A19883" s="3">
        <f>19876</f>
        <v>19876</v>
      </c>
      <c r="B19883" s="3" t="s">
        <v>19885</v>
      </c>
      <c r="C19883" s="3" t="s">
        <v>10</v>
      </c>
      <c r="D19883" s="3" t="s">
        <v>9</v>
      </c>
      <c r="E19883" s="3">
        <v>0</v>
      </c>
      <c r="F19883" s="3">
        <v>0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0</v>
      </c>
      <c r="M19883" s="3">
        <v>0</v>
      </c>
      <c r="N19883" s="3">
        <v>0</v>
      </c>
      <c r="O19883" s="3" t="s">
        <v>10</v>
      </c>
      <c r="P19883" s="3" t="s">
        <v>9</v>
      </c>
      <c r="Q19883" s="3"/>
    </row>
    <row r="19884" spans="1:17" ht="15" x14ac:dyDescent="0.25">
      <c r="A19884" s="3">
        <f>19877</f>
        <v>19877</v>
      </c>
      <c r="B19884" s="3" t="s">
        <v>19886</v>
      </c>
      <c r="C19884" s="3" t="s">
        <v>10</v>
      </c>
      <c r="D19884" s="3" t="s">
        <v>9</v>
      </c>
      <c r="E19884" s="3">
        <v>0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  <c r="L19884" s="3">
        <v>0</v>
      </c>
      <c r="M19884" s="3">
        <v>0</v>
      </c>
      <c r="N19884" s="3">
        <v>0</v>
      </c>
      <c r="O19884" s="3" t="s">
        <v>10</v>
      </c>
      <c r="P19884" s="3" t="s">
        <v>9</v>
      </c>
      <c r="Q19884" s="3"/>
    </row>
    <row r="19885" spans="1:17" ht="15" x14ac:dyDescent="0.25">
      <c r="A19885" s="3">
        <f>19878</f>
        <v>19878</v>
      </c>
      <c r="B19885" s="3" t="s">
        <v>19887</v>
      </c>
      <c r="C19885" s="3" t="s">
        <v>10</v>
      </c>
      <c r="D19885" s="3" t="s">
        <v>9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3">
        <v>0</v>
      </c>
      <c r="N19885" s="3">
        <v>0</v>
      </c>
      <c r="O19885" s="3" t="s">
        <v>10</v>
      </c>
      <c r="P19885" s="3" t="s">
        <v>9</v>
      </c>
      <c r="Q19885" s="3"/>
    </row>
    <row r="19886" spans="1:17" ht="15" x14ac:dyDescent="0.25">
      <c r="A19886" s="3">
        <f>19879</f>
        <v>19879</v>
      </c>
      <c r="B19886" s="3" t="s">
        <v>19888</v>
      </c>
      <c r="C19886" s="3" t="s">
        <v>10</v>
      </c>
      <c r="D19886" s="3" t="s">
        <v>9</v>
      </c>
      <c r="E19886" s="3">
        <v>0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3">
        <v>0</v>
      </c>
      <c r="N19886" s="3">
        <v>0</v>
      </c>
      <c r="O19886" s="3" t="s">
        <v>10</v>
      </c>
      <c r="P19886" s="3" t="s">
        <v>9</v>
      </c>
      <c r="Q19886" s="3"/>
    </row>
    <row r="19887" spans="1:17" ht="15" x14ac:dyDescent="0.25">
      <c r="A19887" s="3">
        <f>19880</f>
        <v>19880</v>
      </c>
      <c r="B19887" s="3" t="s">
        <v>19889</v>
      </c>
      <c r="C19887" s="3" t="s">
        <v>10</v>
      </c>
      <c r="D19887" s="3" t="s">
        <v>9</v>
      </c>
      <c r="E19887" s="3">
        <v>0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3">
        <v>0</v>
      </c>
      <c r="N19887" s="3">
        <v>0</v>
      </c>
      <c r="O19887" s="3" t="s">
        <v>10</v>
      </c>
      <c r="P19887" s="3" t="s">
        <v>9</v>
      </c>
      <c r="Q19887" s="3"/>
    </row>
    <row r="19888" spans="1:17" ht="15" x14ac:dyDescent="0.25">
      <c r="A19888" s="3">
        <f>19881</f>
        <v>19881</v>
      </c>
      <c r="B19888" s="3" t="s">
        <v>19890</v>
      </c>
      <c r="C19888" s="3" t="s">
        <v>10</v>
      </c>
      <c r="D19888" s="3" t="s">
        <v>9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>
        <v>0</v>
      </c>
      <c r="O19888" s="3" t="s">
        <v>10</v>
      </c>
      <c r="P19888" s="3" t="s">
        <v>9</v>
      </c>
      <c r="Q19888" s="3"/>
    </row>
    <row r="19889" spans="1:17" ht="15" x14ac:dyDescent="0.25">
      <c r="A19889" s="3">
        <f>19882</f>
        <v>19882</v>
      </c>
      <c r="B19889" s="3" t="s">
        <v>19891</v>
      </c>
      <c r="C19889" s="3" t="s">
        <v>10</v>
      </c>
      <c r="D19889" s="3" t="s">
        <v>9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 t="s">
        <v>10</v>
      </c>
      <c r="P19889" s="3" t="s">
        <v>9</v>
      </c>
      <c r="Q19889" s="3"/>
    </row>
    <row r="19890" spans="1:17" ht="15" x14ac:dyDescent="0.25">
      <c r="A19890" s="3">
        <f>19883</f>
        <v>19883</v>
      </c>
      <c r="B19890" s="3" t="s">
        <v>19892</v>
      </c>
      <c r="C19890" s="3" t="s">
        <v>10</v>
      </c>
      <c r="D19890" s="3" t="s">
        <v>9</v>
      </c>
      <c r="E19890" s="3">
        <v>0</v>
      </c>
      <c r="F19890" s="3">
        <v>0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3">
        <v>0</v>
      </c>
      <c r="N19890" s="3">
        <v>0</v>
      </c>
      <c r="O19890" s="3" t="s">
        <v>10</v>
      </c>
      <c r="P19890" s="3" t="s">
        <v>9</v>
      </c>
      <c r="Q19890" s="3"/>
    </row>
    <row r="19891" spans="1:17" ht="15" x14ac:dyDescent="0.25">
      <c r="A19891" s="3">
        <f>19884</f>
        <v>19884</v>
      </c>
      <c r="B19891" s="3" t="s">
        <v>19893</v>
      </c>
      <c r="C19891" s="3" t="s">
        <v>10</v>
      </c>
      <c r="D19891" s="3" t="s">
        <v>9</v>
      </c>
      <c r="E19891" s="3">
        <v>0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3">
        <v>0</v>
      </c>
      <c r="N19891" s="3">
        <v>0</v>
      </c>
      <c r="O19891" s="3" t="s">
        <v>10</v>
      </c>
      <c r="P19891" s="3" t="s">
        <v>9</v>
      </c>
      <c r="Q19891" s="3"/>
    </row>
    <row r="19892" spans="1:17" ht="15" x14ac:dyDescent="0.25">
      <c r="A19892" s="3">
        <f>19885</f>
        <v>19885</v>
      </c>
      <c r="B19892" s="3" t="s">
        <v>19894</v>
      </c>
      <c r="C19892" s="3" t="s">
        <v>10</v>
      </c>
      <c r="D19892" s="3" t="s">
        <v>9</v>
      </c>
      <c r="E19892" s="3">
        <v>0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3">
        <v>0</v>
      </c>
      <c r="N19892" s="3">
        <v>0</v>
      </c>
      <c r="O19892" s="3" t="s">
        <v>10</v>
      </c>
      <c r="P19892" s="3" t="s">
        <v>9</v>
      </c>
      <c r="Q19892" s="3"/>
    </row>
    <row r="19893" spans="1:17" ht="15" x14ac:dyDescent="0.25">
      <c r="A19893" s="3">
        <f>19886</f>
        <v>19886</v>
      </c>
      <c r="B19893" s="3" t="s">
        <v>19895</v>
      </c>
      <c r="C19893" s="3" t="s">
        <v>10</v>
      </c>
      <c r="D19893" s="3" t="s">
        <v>9</v>
      </c>
      <c r="E19893" s="3">
        <v>0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0</v>
      </c>
      <c r="M19893" s="3">
        <v>0</v>
      </c>
      <c r="N19893" s="3">
        <v>0</v>
      </c>
      <c r="O19893" s="3" t="s">
        <v>10</v>
      </c>
      <c r="P19893" s="3" t="s">
        <v>9</v>
      </c>
      <c r="Q19893" s="3"/>
    </row>
    <row r="19894" spans="1:17" ht="15" x14ac:dyDescent="0.25">
      <c r="A19894" s="3">
        <f>19887</f>
        <v>19887</v>
      </c>
      <c r="B19894" s="3" t="s">
        <v>19896</v>
      </c>
      <c r="C19894" s="3" t="s">
        <v>10</v>
      </c>
      <c r="D19894" s="3" t="s">
        <v>9</v>
      </c>
      <c r="E19894" s="3">
        <v>0</v>
      </c>
      <c r="F19894" s="3">
        <v>0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0</v>
      </c>
      <c r="M19894" s="3">
        <v>0</v>
      </c>
      <c r="N19894" s="3">
        <v>0</v>
      </c>
      <c r="O19894" s="3" t="s">
        <v>10</v>
      </c>
      <c r="P19894" s="3" t="s">
        <v>9</v>
      </c>
      <c r="Q19894" s="3"/>
    </row>
    <row r="19895" spans="1:17" ht="15" x14ac:dyDescent="0.25">
      <c r="A19895" s="3">
        <f>19888</f>
        <v>19888</v>
      </c>
      <c r="B19895" s="3" t="s">
        <v>19897</v>
      </c>
      <c r="C19895" s="3" t="s">
        <v>10</v>
      </c>
      <c r="D19895" s="3" t="s">
        <v>9</v>
      </c>
      <c r="E19895" s="3">
        <v>0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3">
        <v>0</v>
      </c>
      <c r="N19895" s="3">
        <v>0</v>
      </c>
      <c r="O19895" s="3" t="s">
        <v>10</v>
      </c>
      <c r="P19895" s="3" t="s">
        <v>9</v>
      </c>
      <c r="Q19895" s="3"/>
    </row>
    <row r="19896" spans="1:17" ht="15" x14ac:dyDescent="0.25">
      <c r="A19896" s="3">
        <f>19889</f>
        <v>19889</v>
      </c>
      <c r="B19896" s="3" t="s">
        <v>19898</v>
      </c>
      <c r="C19896" s="3" t="s">
        <v>10</v>
      </c>
      <c r="D19896" s="3" t="s">
        <v>9</v>
      </c>
      <c r="E19896" s="3">
        <v>0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3">
        <v>0</v>
      </c>
      <c r="N19896" s="3">
        <v>0</v>
      </c>
      <c r="O19896" s="3" t="s">
        <v>10</v>
      </c>
      <c r="P19896" s="3" t="s">
        <v>9</v>
      </c>
      <c r="Q19896" s="3"/>
    </row>
    <row r="19897" spans="1:17" ht="15" x14ac:dyDescent="0.25">
      <c r="A19897" s="3">
        <f>19890</f>
        <v>19890</v>
      </c>
      <c r="B19897" s="3" t="s">
        <v>19899</v>
      </c>
      <c r="C19897" s="3" t="s">
        <v>10</v>
      </c>
      <c r="D19897" s="3" t="s">
        <v>9</v>
      </c>
      <c r="E19897" s="3">
        <v>0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0</v>
      </c>
      <c r="M19897" s="3">
        <v>0</v>
      </c>
      <c r="N19897" s="3">
        <v>0</v>
      </c>
      <c r="O19897" s="3" t="s">
        <v>10</v>
      </c>
      <c r="P19897" s="3" t="s">
        <v>9</v>
      </c>
      <c r="Q19897" s="3"/>
    </row>
    <row r="19898" spans="1:17" ht="15" x14ac:dyDescent="0.25">
      <c r="A19898" s="3">
        <f>19891</f>
        <v>19891</v>
      </c>
      <c r="B19898" s="3" t="s">
        <v>19900</v>
      </c>
      <c r="C19898" s="3" t="s">
        <v>10</v>
      </c>
      <c r="D19898" s="3" t="s">
        <v>9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0</v>
      </c>
      <c r="M19898" s="3">
        <v>0</v>
      </c>
      <c r="N19898" s="3">
        <v>0</v>
      </c>
      <c r="O19898" s="3" t="s">
        <v>10</v>
      </c>
      <c r="P19898" s="3" t="s">
        <v>9</v>
      </c>
      <c r="Q19898" s="3"/>
    </row>
    <row r="19899" spans="1:17" ht="15" x14ac:dyDescent="0.25">
      <c r="A19899" s="3">
        <f>19892</f>
        <v>19892</v>
      </c>
      <c r="B19899" s="3" t="s">
        <v>19901</v>
      </c>
      <c r="C19899" s="3" t="s">
        <v>10</v>
      </c>
      <c r="D19899" s="3" t="s">
        <v>9</v>
      </c>
      <c r="E19899" s="3">
        <v>0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3">
        <v>0</v>
      </c>
      <c r="N19899" s="3">
        <v>0</v>
      </c>
      <c r="O19899" s="3" t="s">
        <v>10</v>
      </c>
      <c r="P19899" s="3" t="s">
        <v>9</v>
      </c>
      <c r="Q19899" s="3"/>
    </row>
    <row r="19900" spans="1:17" ht="15" x14ac:dyDescent="0.25">
      <c r="A19900" s="3">
        <f>19893</f>
        <v>19893</v>
      </c>
      <c r="B19900" s="3" t="s">
        <v>19902</v>
      </c>
      <c r="C19900" s="3" t="s">
        <v>10</v>
      </c>
      <c r="D19900" s="3" t="s">
        <v>9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3">
        <v>0</v>
      </c>
      <c r="N19900" s="3">
        <v>0</v>
      </c>
      <c r="O19900" s="3" t="s">
        <v>10</v>
      </c>
      <c r="P19900" s="3" t="s">
        <v>9</v>
      </c>
      <c r="Q19900" s="3"/>
    </row>
    <row r="19901" spans="1:17" ht="15" x14ac:dyDescent="0.25">
      <c r="A19901" s="3">
        <f>19894</f>
        <v>19894</v>
      </c>
      <c r="B19901" s="3" t="s">
        <v>19903</v>
      </c>
      <c r="C19901" s="3" t="s">
        <v>10</v>
      </c>
      <c r="D19901" s="3" t="s">
        <v>9</v>
      </c>
      <c r="E19901" s="3">
        <v>0</v>
      </c>
      <c r="F19901" s="3">
        <v>0</v>
      </c>
      <c r="G19901" s="3">
        <v>0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3">
        <v>0</v>
      </c>
      <c r="N19901" s="3">
        <v>0</v>
      </c>
      <c r="O19901" s="3" t="s">
        <v>10</v>
      </c>
      <c r="P19901" s="3" t="s">
        <v>9</v>
      </c>
      <c r="Q19901" s="3"/>
    </row>
    <row r="19902" spans="1:17" ht="15" x14ac:dyDescent="0.25">
      <c r="A19902" s="3">
        <f>19895</f>
        <v>19895</v>
      </c>
      <c r="B19902" s="3" t="s">
        <v>19904</v>
      </c>
      <c r="C19902" s="3" t="s">
        <v>10</v>
      </c>
      <c r="D19902" s="3" t="s">
        <v>9</v>
      </c>
      <c r="E19902" s="3">
        <v>0</v>
      </c>
      <c r="F19902" s="3">
        <v>0</v>
      </c>
      <c r="G19902" s="3">
        <v>0</v>
      </c>
      <c r="H19902" s="3">
        <v>0</v>
      </c>
      <c r="I19902" s="3">
        <v>0</v>
      </c>
      <c r="J19902" s="3">
        <v>0</v>
      </c>
      <c r="K19902" s="3">
        <v>0</v>
      </c>
      <c r="L19902" s="3">
        <v>0</v>
      </c>
      <c r="M19902" s="3">
        <v>0</v>
      </c>
      <c r="N19902" s="3">
        <v>0</v>
      </c>
      <c r="O19902" s="3" t="s">
        <v>10</v>
      </c>
      <c r="P19902" s="3" t="s">
        <v>9</v>
      </c>
      <c r="Q19902" s="3"/>
    </row>
    <row r="19903" spans="1:17" ht="15" x14ac:dyDescent="0.25">
      <c r="A19903" s="3">
        <f>19896</f>
        <v>19896</v>
      </c>
      <c r="B19903" s="3" t="s">
        <v>19905</v>
      </c>
      <c r="C19903" s="3" t="s">
        <v>10</v>
      </c>
      <c r="D19903" s="3" t="s">
        <v>9</v>
      </c>
      <c r="E19903" s="3">
        <v>0</v>
      </c>
      <c r="F19903" s="3">
        <v>0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0</v>
      </c>
      <c r="M19903" s="3">
        <v>0</v>
      </c>
      <c r="N19903" s="3">
        <v>0</v>
      </c>
      <c r="O19903" s="3" t="s">
        <v>10</v>
      </c>
      <c r="P19903" s="3" t="s">
        <v>9</v>
      </c>
      <c r="Q19903" s="3"/>
    </row>
    <row r="19904" spans="1:17" ht="15" x14ac:dyDescent="0.25">
      <c r="A19904" s="3">
        <f>19897</f>
        <v>19897</v>
      </c>
      <c r="B19904" s="3" t="s">
        <v>19906</v>
      </c>
      <c r="C19904" s="3" t="s">
        <v>10</v>
      </c>
      <c r="D19904" s="3" t="s">
        <v>9</v>
      </c>
      <c r="E19904" s="3">
        <v>0</v>
      </c>
      <c r="F19904" s="3">
        <v>0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3">
        <v>0</v>
      </c>
      <c r="N19904" s="3">
        <v>0</v>
      </c>
      <c r="O19904" s="3" t="s">
        <v>10</v>
      </c>
      <c r="P19904" s="3" t="s">
        <v>9</v>
      </c>
      <c r="Q19904" s="3"/>
    </row>
    <row r="19905" spans="1:17" ht="15" x14ac:dyDescent="0.25">
      <c r="A19905" s="3">
        <f>19898</f>
        <v>19898</v>
      </c>
      <c r="B19905" s="3" t="s">
        <v>19907</v>
      </c>
      <c r="C19905" s="3" t="s">
        <v>10</v>
      </c>
      <c r="D19905" s="3" t="s">
        <v>9</v>
      </c>
      <c r="E19905" s="3">
        <v>0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3">
        <v>0</v>
      </c>
      <c r="N19905" s="3">
        <v>0</v>
      </c>
      <c r="O19905" s="3" t="s">
        <v>10</v>
      </c>
      <c r="P19905" s="3" t="s">
        <v>9</v>
      </c>
      <c r="Q19905" s="3"/>
    </row>
    <row r="19906" spans="1:17" ht="15" x14ac:dyDescent="0.25">
      <c r="A19906" s="3">
        <f>19899</f>
        <v>19899</v>
      </c>
      <c r="B19906" s="3" t="s">
        <v>19908</v>
      </c>
      <c r="C19906" s="3" t="s">
        <v>10</v>
      </c>
      <c r="D19906" s="3" t="s">
        <v>9</v>
      </c>
      <c r="E19906" s="3">
        <v>0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3">
        <v>0</v>
      </c>
      <c r="N19906" s="3">
        <v>0</v>
      </c>
      <c r="O19906" s="3" t="s">
        <v>10</v>
      </c>
      <c r="P19906" s="3" t="s">
        <v>9</v>
      </c>
      <c r="Q19906" s="3"/>
    </row>
    <row r="19907" spans="1:17" ht="15" x14ac:dyDescent="0.25">
      <c r="A19907" s="3">
        <f>19900</f>
        <v>19900</v>
      </c>
      <c r="B19907" s="3" t="s">
        <v>19909</v>
      </c>
      <c r="C19907" s="3" t="s">
        <v>10</v>
      </c>
      <c r="D19907" s="3" t="s">
        <v>9</v>
      </c>
      <c r="E19907" s="3">
        <v>0</v>
      </c>
      <c r="F19907" s="3">
        <v>0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3">
        <v>0</v>
      </c>
      <c r="N19907" s="3">
        <v>0</v>
      </c>
      <c r="O19907" s="3" t="s">
        <v>10</v>
      </c>
      <c r="P19907" s="3" t="s">
        <v>9</v>
      </c>
      <c r="Q19907" s="3"/>
    </row>
    <row r="19908" spans="1:17" ht="15" x14ac:dyDescent="0.25">
      <c r="A19908" s="3">
        <f>19901</f>
        <v>19901</v>
      </c>
      <c r="B19908" s="3" t="s">
        <v>19910</v>
      </c>
      <c r="C19908" s="3" t="s">
        <v>10</v>
      </c>
      <c r="D19908" s="3" t="s">
        <v>9</v>
      </c>
      <c r="E19908" s="3">
        <v>0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  <c r="L19908" s="3">
        <v>0</v>
      </c>
      <c r="M19908" s="3">
        <v>0</v>
      </c>
      <c r="N19908" s="3">
        <v>0</v>
      </c>
      <c r="O19908" s="3" t="s">
        <v>10</v>
      </c>
      <c r="P19908" s="3" t="s">
        <v>9</v>
      </c>
      <c r="Q19908" s="3"/>
    </row>
    <row r="19909" spans="1:17" ht="15" x14ac:dyDescent="0.25">
      <c r="A19909" s="3">
        <f>19902</f>
        <v>19902</v>
      </c>
      <c r="B19909" s="3" t="s">
        <v>19911</v>
      </c>
      <c r="C19909" s="3" t="s">
        <v>10</v>
      </c>
      <c r="D19909" s="3" t="s">
        <v>9</v>
      </c>
      <c r="E19909" s="3">
        <v>0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3">
        <v>0</v>
      </c>
      <c r="N19909" s="3">
        <v>0</v>
      </c>
      <c r="O19909" s="3" t="s">
        <v>10</v>
      </c>
      <c r="P19909" s="3" t="s">
        <v>9</v>
      </c>
      <c r="Q19909" s="3"/>
    </row>
    <row r="19910" spans="1:17" ht="15" x14ac:dyDescent="0.25">
      <c r="A19910" s="3">
        <f>19903</f>
        <v>19903</v>
      </c>
      <c r="B19910" s="3" t="s">
        <v>19912</v>
      </c>
      <c r="C19910" s="3" t="s">
        <v>10</v>
      </c>
      <c r="D19910" s="3" t="s">
        <v>9</v>
      </c>
      <c r="E19910" s="3">
        <v>0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3">
        <v>0</v>
      </c>
      <c r="N19910" s="3">
        <v>0</v>
      </c>
      <c r="O19910" s="3" t="s">
        <v>10</v>
      </c>
      <c r="P19910" s="3" t="s">
        <v>9</v>
      </c>
      <c r="Q19910" s="3"/>
    </row>
    <row r="19911" spans="1:17" ht="15" x14ac:dyDescent="0.25">
      <c r="A19911" s="3">
        <f>19904</f>
        <v>19904</v>
      </c>
      <c r="B19911" s="3" t="s">
        <v>19913</v>
      </c>
      <c r="C19911" s="3" t="s">
        <v>10</v>
      </c>
      <c r="D19911" s="3" t="s">
        <v>9</v>
      </c>
      <c r="E19911" s="3">
        <v>0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3">
        <v>0</v>
      </c>
      <c r="N19911" s="3">
        <v>0</v>
      </c>
      <c r="O19911" s="3" t="s">
        <v>10</v>
      </c>
      <c r="P19911" s="3" t="s">
        <v>9</v>
      </c>
      <c r="Q19911" s="3"/>
    </row>
    <row r="19912" spans="1:17" ht="15" x14ac:dyDescent="0.25">
      <c r="A19912" s="3">
        <f>19905</f>
        <v>19905</v>
      </c>
      <c r="B19912" s="3" t="s">
        <v>19914</v>
      </c>
      <c r="C19912" s="3" t="s">
        <v>10</v>
      </c>
      <c r="D19912" s="3" t="s">
        <v>9</v>
      </c>
      <c r="E19912" s="3">
        <v>0</v>
      </c>
      <c r="F19912" s="3">
        <v>0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3">
        <v>0</v>
      </c>
      <c r="N19912" s="3">
        <v>0</v>
      </c>
      <c r="O19912" s="3" t="s">
        <v>10</v>
      </c>
      <c r="P19912" s="3" t="s">
        <v>9</v>
      </c>
      <c r="Q19912" s="3"/>
    </row>
    <row r="19913" spans="1:17" ht="15" x14ac:dyDescent="0.25">
      <c r="A19913" s="3">
        <f>19906</f>
        <v>19906</v>
      </c>
      <c r="B19913" s="3" t="s">
        <v>19915</v>
      </c>
      <c r="C19913" s="3" t="s">
        <v>10</v>
      </c>
      <c r="D19913" s="3" t="s">
        <v>9</v>
      </c>
      <c r="E19913" s="3">
        <v>0</v>
      </c>
      <c r="F19913" s="3">
        <v>0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3">
        <v>0</v>
      </c>
      <c r="N19913" s="3">
        <v>0</v>
      </c>
      <c r="O19913" s="3" t="s">
        <v>10</v>
      </c>
      <c r="P19913" s="3" t="s">
        <v>9</v>
      </c>
      <c r="Q19913" s="3"/>
    </row>
    <row r="19914" spans="1:17" ht="15" x14ac:dyDescent="0.25">
      <c r="A19914" s="3">
        <f>19907</f>
        <v>19907</v>
      </c>
      <c r="B19914" s="3" t="s">
        <v>19916</v>
      </c>
      <c r="C19914" s="3" t="s">
        <v>10</v>
      </c>
      <c r="D19914" s="3" t="s">
        <v>9</v>
      </c>
      <c r="E19914" s="3">
        <v>0</v>
      </c>
      <c r="F19914" s="3">
        <v>0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3">
        <v>0</v>
      </c>
      <c r="N19914" s="3">
        <v>0</v>
      </c>
      <c r="O19914" s="3" t="s">
        <v>10</v>
      </c>
      <c r="P19914" s="3" t="s">
        <v>9</v>
      </c>
      <c r="Q19914" s="3"/>
    </row>
    <row r="19915" spans="1:17" ht="15" x14ac:dyDescent="0.25">
      <c r="A19915" s="3">
        <f>19908</f>
        <v>19908</v>
      </c>
      <c r="B19915" s="3" t="s">
        <v>19917</v>
      </c>
      <c r="C19915" s="3" t="s">
        <v>10</v>
      </c>
      <c r="D19915" s="3" t="s">
        <v>9</v>
      </c>
      <c r="E19915" s="3">
        <v>0</v>
      </c>
      <c r="F19915" s="3">
        <v>0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0</v>
      </c>
      <c r="M19915" s="3">
        <v>0</v>
      </c>
      <c r="N19915" s="3">
        <v>0</v>
      </c>
      <c r="O19915" s="3" t="s">
        <v>10</v>
      </c>
      <c r="P19915" s="3" t="s">
        <v>9</v>
      </c>
      <c r="Q19915" s="3"/>
    </row>
    <row r="19916" spans="1:17" ht="15" x14ac:dyDescent="0.25">
      <c r="A19916" s="3">
        <f>19909</f>
        <v>19909</v>
      </c>
      <c r="B19916" s="3" t="s">
        <v>19918</v>
      </c>
      <c r="C19916" s="3" t="s">
        <v>10</v>
      </c>
      <c r="D19916" s="3" t="s">
        <v>9</v>
      </c>
      <c r="E19916" s="3">
        <v>0</v>
      </c>
      <c r="F19916" s="3">
        <v>0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0</v>
      </c>
      <c r="M19916" s="3">
        <v>0</v>
      </c>
      <c r="N19916" s="3">
        <v>0</v>
      </c>
      <c r="O19916" s="3" t="s">
        <v>10</v>
      </c>
      <c r="P19916" s="3" t="s">
        <v>9</v>
      </c>
      <c r="Q19916" s="3"/>
    </row>
    <row r="19917" spans="1:17" ht="15" x14ac:dyDescent="0.25">
      <c r="A19917" s="3">
        <f>19910</f>
        <v>19910</v>
      </c>
      <c r="B19917" s="3" t="s">
        <v>19919</v>
      </c>
      <c r="C19917" s="3" t="s">
        <v>10</v>
      </c>
      <c r="D19917" s="3" t="s">
        <v>9</v>
      </c>
      <c r="E19917" s="3">
        <v>0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3">
        <v>0</v>
      </c>
      <c r="N19917" s="3">
        <v>0</v>
      </c>
      <c r="O19917" s="3" t="s">
        <v>10</v>
      </c>
      <c r="P19917" s="3" t="s">
        <v>9</v>
      </c>
      <c r="Q19917" s="3"/>
    </row>
    <row r="19918" spans="1:17" ht="15" x14ac:dyDescent="0.25">
      <c r="A19918" s="3">
        <f>19911</f>
        <v>19911</v>
      </c>
      <c r="B19918" s="3" t="s">
        <v>19920</v>
      </c>
      <c r="C19918" s="3" t="s">
        <v>10</v>
      </c>
      <c r="D19918" s="3" t="s">
        <v>9</v>
      </c>
      <c r="E19918" s="3">
        <v>0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0</v>
      </c>
      <c r="O19918" s="3" t="s">
        <v>10</v>
      </c>
      <c r="P19918" s="3" t="s">
        <v>9</v>
      </c>
      <c r="Q19918" s="3"/>
    </row>
    <row r="19919" spans="1:17" ht="15" x14ac:dyDescent="0.25">
      <c r="A19919" s="3">
        <f>19912</f>
        <v>19912</v>
      </c>
      <c r="B19919" s="3" t="s">
        <v>19921</v>
      </c>
      <c r="C19919" s="3" t="s">
        <v>10</v>
      </c>
      <c r="D19919" s="3" t="s">
        <v>9</v>
      </c>
      <c r="E19919" s="3">
        <v>0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3">
        <v>0</v>
      </c>
      <c r="N19919" s="3">
        <v>0</v>
      </c>
      <c r="O19919" s="3" t="s">
        <v>10</v>
      </c>
      <c r="P19919" s="3" t="s">
        <v>9</v>
      </c>
      <c r="Q19919" s="3"/>
    </row>
    <row r="19920" spans="1:17" ht="15" x14ac:dyDescent="0.25">
      <c r="A19920" s="3">
        <f>19913</f>
        <v>19913</v>
      </c>
      <c r="B19920" s="3" t="s">
        <v>19922</v>
      </c>
      <c r="C19920" s="3" t="s">
        <v>10</v>
      </c>
      <c r="D19920" s="3" t="s">
        <v>9</v>
      </c>
      <c r="E19920" s="3">
        <v>0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3">
        <v>0</v>
      </c>
      <c r="N19920" s="3">
        <v>0</v>
      </c>
      <c r="O19920" s="3" t="s">
        <v>10</v>
      </c>
      <c r="P19920" s="3" t="s">
        <v>9</v>
      </c>
      <c r="Q19920" s="3"/>
    </row>
    <row r="19921" spans="1:17" ht="15" x14ac:dyDescent="0.25">
      <c r="A19921" s="3">
        <f>19914</f>
        <v>19914</v>
      </c>
      <c r="B19921" s="3" t="s">
        <v>19923</v>
      </c>
      <c r="C19921" s="3" t="s">
        <v>10</v>
      </c>
      <c r="D19921" s="3" t="s">
        <v>9</v>
      </c>
      <c r="E19921" s="3">
        <v>0</v>
      </c>
      <c r="F19921" s="3">
        <v>0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0</v>
      </c>
      <c r="M19921" s="3">
        <v>0</v>
      </c>
      <c r="N19921" s="3">
        <v>0</v>
      </c>
      <c r="O19921" s="3" t="s">
        <v>10</v>
      </c>
      <c r="P19921" s="3" t="s">
        <v>9</v>
      </c>
      <c r="Q19921" s="3"/>
    </row>
    <row r="19922" spans="1:17" ht="15" x14ac:dyDescent="0.25">
      <c r="A19922" s="3">
        <f>19915</f>
        <v>19915</v>
      </c>
      <c r="B19922" s="3" t="s">
        <v>19924</v>
      </c>
      <c r="C19922" s="3" t="s">
        <v>10</v>
      </c>
      <c r="D19922" s="3" t="s">
        <v>9</v>
      </c>
      <c r="E19922" s="3">
        <v>0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3">
        <v>0</v>
      </c>
      <c r="N19922" s="3">
        <v>0</v>
      </c>
      <c r="O19922" s="3" t="s">
        <v>10</v>
      </c>
      <c r="P19922" s="3" t="s">
        <v>9</v>
      </c>
      <c r="Q19922" s="3"/>
    </row>
    <row r="19923" spans="1:17" ht="15" x14ac:dyDescent="0.25">
      <c r="A19923" s="3">
        <f>19916</f>
        <v>19916</v>
      </c>
      <c r="B19923" s="3" t="s">
        <v>19925</v>
      </c>
      <c r="C19923" s="3" t="s">
        <v>10</v>
      </c>
      <c r="D19923" s="3" t="s">
        <v>9</v>
      </c>
      <c r="E19923" s="3">
        <v>0</v>
      </c>
      <c r="F19923" s="3">
        <v>0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3">
        <v>0</v>
      </c>
      <c r="N19923" s="3">
        <v>0</v>
      </c>
      <c r="O19923" s="3" t="s">
        <v>10</v>
      </c>
      <c r="P19923" s="3" t="s">
        <v>9</v>
      </c>
      <c r="Q19923" s="3"/>
    </row>
    <row r="19924" spans="1:17" ht="15" x14ac:dyDescent="0.25">
      <c r="A19924" s="3">
        <f>19917</f>
        <v>19917</v>
      </c>
      <c r="B19924" s="3" t="s">
        <v>19926</v>
      </c>
      <c r="C19924" s="3" t="s">
        <v>10</v>
      </c>
      <c r="D19924" s="3" t="s">
        <v>9</v>
      </c>
      <c r="E19924" s="3">
        <v>0</v>
      </c>
      <c r="F19924" s="3">
        <v>0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3">
        <v>0</v>
      </c>
      <c r="N19924" s="3">
        <v>0</v>
      </c>
      <c r="O19924" s="3" t="s">
        <v>10</v>
      </c>
      <c r="P19924" s="3" t="s">
        <v>9</v>
      </c>
      <c r="Q19924" s="3"/>
    </row>
    <row r="19925" spans="1:17" ht="15" x14ac:dyDescent="0.25">
      <c r="A19925" s="3">
        <f>19918</f>
        <v>19918</v>
      </c>
      <c r="B19925" s="3" t="s">
        <v>19927</v>
      </c>
      <c r="C19925" s="3" t="s">
        <v>10</v>
      </c>
      <c r="D19925" s="3" t="s">
        <v>9</v>
      </c>
      <c r="E19925" s="3">
        <v>0</v>
      </c>
      <c r="F19925" s="3">
        <v>0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3">
        <v>0</v>
      </c>
      <c r="N19925" s="3">
        <v>0</v>
      </c>
      <c r="O19925" s="3" t="s">
        <v>10</v>
      </c>
      <c r="P19925" s="3" t="s">
        <v>9</v>
      </c>
      <c r="Q19925" s="3"/>
    </row>
    <row r="19926" spans="1:17" ht="15" x14ac:dyDescent="0.25">
      <c r="A19926" s="3">
        <f>19919</f>
        <v>19919</v>
      </c>
      <c r="B19926" s="3" t="s">
        <v>19928</v>
      </c>
      <c r="C19926" s="3" t="s">
        <v>10</v>
      </c>
      <c r="D19926" s="3" t="s">
        <v>9</v>
      </c>
      <c r="E19926" s="3">
        <v>0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3">
        <v>0</v>
      </c>
      <c r="N19926" s="3">
        <v>0</v>
      </c>
      <c r="O19926" s="3" t="s">
        <v>10</v>
      </c>
      <c r="P19926" s="3" t="s">
        <v>9</v>
      </c>
      <c r="Q19926" s="3"/>
    </row>
    <row r="19927" spans="1:17" ht="15" x14ac:dyDescent="0.25">
      <c r="A19927" s="3">
        <f>19920</f>
        <v>19920</v>
      </c>
      <c r="B19927" s="3" t="s">
        <v>19929</v>
      </c>
      <c r="C19927" s="3" t="s">
        <v>10</v>
      </c>
      <c r="D19927" s="3" t="s">
        <v>9</v>
      </c>
      <c r="E19927" s="3">
        <v>0</v>
      </c>
      <c r="F19927" s="3">
        <v>0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0</v>
      </c>
      <c r="M19927" s="3">
        <v>0</v>
      </c>
      <c r="N19927" s="3">
        <v>0</v>
      </c>
      <c r="O19927" s="3" t="s">
        <v>10</v>
      </c>
      <c r="P19927" s="3" t="s">
        <v>9</v>
      </c>
      <c r="Q19927" s="3"/>
    </row>
    <row r="19928" spans="1:17" ht="15" x14ac:dyDescent="0.25">
      <c r="A19928" s="3">
        <f>19921</f>
        <v>19921</v>
      </c>
      <c r="B19928" s="3" t="s">
        <v>19930</v>
      </c>
      <c r="C19928" s="3" t="s">
        <v>10</v>
      </c>
      <c r="D19928" s="3" t="s">
        <v>9</v>
      </c>
      <c r="E19928" s="3">
        <v>0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3">
        <v>0</v>
      </c>
      <c r="N19928" s="3">
        <v>0</v>
      </c>
      <c r="O19928" s="3" t="s">
        <v>10</v>
      </c>
      <c r="P19928" s="3" t="s">
        <v>9</v>
      </c>
      <c r="Q19928" s="3"/>
    </row>
    <row r="19929" spans="1:17" ht="15" x14ac:dyDescent="0.25">
      <c r="A19929" s="3">
        <f>19922</f>
        <v>19922</v>
      </c>
      <c r="B19929" s="3" t="s">
        <v>19931</v>
      </c>
      <c r="C19929" s="3" t="s">
        <v>10</v>
      </c>
      <c r="D19929" s="3" t="s">
        <v>9</v>
      </c>
      <c r="E19929" s="3">
        <v>0</v>
      </c>
      <c r="F19929" s="3">
        <v>0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3">
        <v>0</v>
      </c>
      <c r="N19929" s="3">
        <v>0</v>
      </c>
      <c r="O19929" s="3" t="s">
        <v>10</v>
      </c>
      <c r="P19929" s="3" t="s">
        <v>9</v>
      </c>
      <c r="Q19929" s="3"/>
    </row>
    <row r="19930" spans="1:17" ht="15" x14ac:dyDescent="0.25">
      <c r="A19930" s="3">
        <f>19923</f>
        <v>19923</v>
      </c>
      <c r="B19930" s="3" t="s">
        <v>19932</v>
      </c>
      <c r="C19930" s="3" t="s">
        <v>10</v>
      </c>
      <c r="D19930" s="3" t="s">
        <v>9</v>
      </c>
      <c r="E19930" s="3">
        <v>0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3">
        <v>0</v>
      </c>
      <c r="N19930" s="3">
        <v>0</v>
      </c>
      <c r="O19930" s="3" t="s">
        <v>10</v>
      </c>
      <c r="P19930" s="3" t="s">
        <v>9</v>
      </c>
      <c r="Q19930" s="3"/>
    </row>
    <row r="19931" spans="1:17" ht="15" x14ac:dyDescent="0.25">
      <c r="A19931" s="3">
        <f>19924</f>
        <v>19924</v>
      </c>
      <c r="B19931" s="3" t="s">
        <v>19933</v>
      </c>
      <c r="C19931" s="3" t="s">
        <v>10</v>
      </c>
      <c r="D19931" s="3" t="s">
        <v>9</v>
      </c>
      <c r="E19931" s="3">
        <v>0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3">
        <v>0</v>
      </c>
      <c r="N19931" s="3">
        <v>0</v>
      </c>
      <c r="O19931" s="3" t="s">
        <v>10</v>
      </c>
      <c r="P19931" s="3" t="s">
        <v>9</v>
      </c>
      <c r="Q19931" s="3"/>
    </row>
    <row r="19932" spans="1:17" ht="15" x14ac:dyDescent="0.25">
      <c r="A19932" s="3">
        <f>19925</f>
        <v>19925</v>
      </c>
      <c r="B19932" s="3" t="s">
        <v>19934</v>
      </c>
      <c r="C19932" s="3" t="s">
        <v>10</v>
      </c>
      <c r="D19932" s="3" t="s">
        <v>9</v>
      </c>
      <c r="E19932" s="3">
        <v>0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3">
        <v>0</v>
      </c>
      <c r="N19932" s="3">
        <v>0</v>
      </c>
      <c r="O19932" s="3" t="s">
        <v>10</v>
      </c>
      <c r="P19932" s="3" t="s">
        <v>9</v>
      </c>
      <c r="Q19932" s="3"/>
    </row>
    <row r="19933" spans="1:17" ht="15" x14ac:dyDescent="0.25">
      <c r="A19933" s="3">
        <f>19926</f>
        <v>19926</v>
      </c>
      <c r="B19933" s="3" t="s">
        <v>19935</v>
      </c>
      <c r="C19933" s="3" t="s">
        <v>10</v>
      </c>
      <c r="D19933" s="3" t="s">
        <v>9</v>
      </c>
      <c r="E19933" s="3">
        <v>0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3">
        <v>0</v>
      </c>
      <c r="N19933" s="3">
        <v>0</v>
      </c>
      <c r="O19933" s="3" t="s">
        <v>10</v>
      </c>
      <c r="P19933" s="3" t="s">
        <v>9</v>
      </c>
      <c r="Q19933" s="3"/>
    </row>
    <row r="19934" spans="1:17" ht="15" x14ac:dyDescent="0.25">
      <c r="A19934" s="3">
        <f>19927</f>
        <v>19927</v>
      </c>
      <c r="B19934" s="3" t="s">
        <v>19936</v>
      </c>
      <c r="C19934" s="3" t="s">
        <v>10</v>
      </c>
      <c r="D19934" s="3" t="s">
        <v>9</v>
      </c>
      <c r="E19934" s="3">
        <v>0</v>
      </c>
      <c r="F19934" s="3">
        <v>0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3">
        <v>0</v>
      </c>
      <c r="N19934" s="3">
        <v>0</v>
      </c>
      <c r="O19934" s="3" t="s">
        <v>10</v>
      </c>
      <c r="P19934" s="3" t="s">
        <v>9</v>
      </c>
      <c r="Q19934" s="3"/>
    </row>
    <row r="19935" spans="1:17" ht="15" x14ac:dyDescent="0.25">
      <c r="A19935" s="3">
        <f>19928</f>
        <v>19928</v>
      </c>
      <c r="B19935" s="3" t="s">
        <v>19937</v>
      </c>
      <c r="C19935" s="3" t="s">
        <v>10</v>
      </c>
      <c r="D19935" s="3" t="s">
        <v>9</v>
      </c>
      <c r="E19935" s="3">
        <v>0</v>
      </c>
      <c r="F19935" s="3">
        <v>0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3">
        <v>0</v>
      </c>
      <c r="N19935" s="3">
        <v>0</v>
      </c>
      <c r="O19935" s="3" t="s">
        <v>10</v>
      </c>
      <c r="P19935" s="3" t="s">
        <v>9</v>
      </c>
      <c r="Q19935" s="3"/>
    </row>
    <row r="19936" spans="1:17" ht="15" x14ac:dyDescent="0.25">
      <c r="A19936" s="3">
        <f>19929</f>
        <v>19929</v>
      </c>
      <c r="B19936" s="3" t="s">
        <v>19938</v>
      </c>
      <c r="C19936" s="3" t="s">
        <v>10</v>
      </c>
      <c r="D19936" s="3" t="s">
        <v>9</v>
      </c>
      <c r="E19936" s="3">
        <v>0</v>
      </c>
      <c r="F19936" s="3">
        <v>0</v>
      </c>
      <c r="G19936" s="3">
        <v>0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3">
        <v>0</v>
      </c>
      <c r="N19936" s="3">
        <v>0</v>
      </c>
      <c r="O19936" s="3" t="s">
        <v>10</v>
      </c>
      <c r="P19936" s="3" t="s">
        <v>9</v>
      </c>
      <c r="Q19936" s="3"/>
    </row>
    <row r="19937" spans="1:17" ht="15" x14ac:dyDescent="0.25">
      <c r="A19937" s="3">
        <f>19930</f>
        <v>19930</v>
      </c>
      <c r="B19937" s="3" t="s">
        <v>19939</v>
      </c>
      <c r="C19937" s="3" t="s">
        <v>10</v>
      </c>
      <c r="D19937" s="3" t="s">
        <v>9</v>
      </c>
      <c r="E19937" s="3">
        <v>0</v>
      </c>
      <c r="F19937" s="3">
        <v>0</v>
      </c>
      <c r="G19937" s="3">
        <v>0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3">
        <v>0</v>
      </c>
      <c r="N19937" s="3">
        <v>0</v>
      </c>
      <c r="O19937" s="3" t="s">
        <v>10</v>
      </c>
      <c r="P19937" s="3" t="s">
        <v>9</v>
      </c>
      <c r="Q19937" s="3"/>
    </row>
    <row r="19938" spans="1:17" ht="15" x14ac:dyDescent="0.25">
      <c r="A19938" s="3">
        <f>19931</f>
        <v>19931</v>
      </c>
      <c r="B19938" s="3" t="s">
        <v>19940</v>
      </c>
      <c r="C19938" s="3" t="s">
        <v>10</v>
      </c>
      <c r="D19938" s="3" t="s">
        <v>9</v>
      </c>
      <c r="E19938" s="3">
        <v>0</v>
      </c>
      <c r="F19938" s="3">
        <v>0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3">
        <v>0</v>
      </c>
      <c r="N19938" s="3">
        <v>0</v>
      </c>
      <c r="O19938" s="3" t="s">
        <v>10</v>
      </c>
      <c r="P19938" s="3" t="s">
        <v>9</v>
      </c>
      <c r="Q19938" s="3"/>
    </row>
    <row r="19939" spans="1:17" ht="15" x14ac:dyDescent="0.25">
      <c r="A19939" s="3">
        <f>19932</f>
        <v>19932</v>
      </c>
      <c r="B19939" s="3" t="s">
        <v>19941</v>
      </c>
      <c r="C19939" s="3" t="s">
        <v>10</v>
      </c>
      <c r="D19939" s="3" t="s">
        <v>9</v>
      </c>
      <c r="E19939" s="3">
        <v>0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0</v>
      </c>
      <c r="M19939" s="3">
        <v>0</v>
      </c>
      <c r="N19939" s="3">
        <v>0</v>
      </c>
      <c r="O19939" s="3" t="s">
        <v>10</v>
      </c>
      <c r="P19939" s="3" t="s">
        <v>9</v>
      </c>
      <c r="Q19939" s="3"/>
    </row>
    <row r="19940" spans="1:17" ht="15" x14ac:dyDescent="0.25">
      <c r="A19940" s="3">
        <f>19933</f>
        <v>19933</v>
      </c>
      <c r="B19940" s="3" t="s">
        <v>19942</v>
      </c>
      <c r="C19940" s="3" t="s">
        <v>10</v>
      </c>
      <c r="D19940" s="3" t="s">
        <v>9</v>
      </c>
      <c r="E19940" s="3">
        <v>0</v>
      </c>
      <c r="F19940" s="3">
        <v>0</v>
      </c>
      <c r="G19940" s="3">
        <v>0</v>
      </c>
      <c r="H19940" s="3">
        <v>0</v>
      </c>
      <c r="I19940" s="3">
        <v>0</v>
      </c>
      <c r="J19940" s="3">
        <v>0</v>
      </c>
      <c r="K19940" s="3">
        <v>0</v>
      </c>
      <c r="L19940" s="3">
        <v>0</v>
      </c>
      <c r="M19940" s="3">
        <v>0</v>
      </c>
      <c r="N19940" s="3">
        <v>0</v>
      </c>
      <c r="O19940" s="3" t="s">
        <v>10</v>
      </c>
      <c r="P19940" s="3" t="s">
        <v>9</v>
      </c>
      <c r="Q19940" s="3"/>
    </row>
    <row r="19941" spans="1:17" ht="15" x14ac:dyDescent="0.25">
      <c r="A19941" s="3">
        <f>19934</f>
        <v>19934</v>
      </c>
      <c r="B19941" s="3" t="s">
        <v>19943</v>
      </c>
      <c r="C19941" s="3" t="s">
        <v>10</v>
      </c>
      <c r="D19941" s="3" t="s">
        <v>9</v>
      </c>
      <c r="E19941" s="3">
        <v>0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  <c r="L19941" s="3">
        <v>0</v>
      </c>
      <c r="M19941" s="3">
        <v>0</v>
      </c>
      <c r="N19941" s="3">
        <v>0</v>
      </c>
      <c r="O19941" s="3" t="s">
        <v>10</v>
      </c>
      <c r="P19941" s="3" t="s">
        <v>9</v>
      </c>
      <c r="Q19941" s="3"/>
    </row>
    <row r="19942" spans="1:17" ht="15" x14ac:dyDescent="0.25">
      <c r="A19942" s="3">
        <f>19935</f>
        <v>19935</v>
      </c>
      <c r="B19942" s="3" t="s">
        <v>19944</v>
      </c>
      <c r="C19942" s="3" t="s">
        <v>10</v>
      </c>
      <c r="D19942" s="3" t="s">
        <v>9</v>
      </c>
      <c r="E19942" s="3">
        <v>0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0</v>
      </c>
      <c r="M19942" s="3">
        <v>0</v>
      </c>
      <c r="N19942" s="3">
        <v>0</v>
      </c>
      <c r="O19942" s="3" t="s">
        <v>10</v>
      </c>
      <c r="P19942" s="3" t="s">
        <v>9</v>
      </c>
      <c r="Q19942" s="3"/>
    </row>
    <row r="19943" spans="1:17" ht="15" x14ac:dyDescent="0.25">
      <c r="A19943" s="3">
        <f>19936</f>
        <v>19936</v>
      </c>
      <c r="B19943" s="3" t="s">
        <v>19945</v>
      </c>
      <c r="C19943" s="3" t="s">
        <v>10</v>
      </c>
      <c r="D19943" s="3" t="s">
        <v>9</v>
      </c>
      <c r="E19943" s="3">
        <v>0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  <c r="L19943" s="3">
        <v>0</v>
      </c>
      <c r="M19943" s="3">
        <v>0</v>
      </c>
      <c r="N19943" s="3">
        <v>0</v>
      </c>
      <c r="O19943" s="3" t="s">
        <v>10</v>
      </c>
      <c r="P19943" s="3" t="s">
        <v>9</v>
      </c>
      <c r="Q19943" s="3"/>
    </row>
    <row r="19944" spans="1:17" ht="15" x14ac:dyDescent="0.25">
      <c r="A19944" s="3">
        <f>19937</f>
        <v>19937</v>
      </c>
      <c r="B19944" s="3" t="s">
        <v>19946</v>
      </c>
      <c r="C19944" s="3" t="s">
        <v>9</v>
      </c>
      <c r="D19944" s="3" t="s">
        <v>10</v>
      </c>
      <c r="E19944" s="3">
        <v>0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3">
        <v>0</v>
      </c>
      <c r="N19944" s="3">
        <v>0</v>
      </c>
      <c r="O19944" s="3" t="s">
        <v>10</v>
      </c>
      <c r="P19944" s="3" t="s">
        <v>9</v>
      </c>
      <c r="Q19944" s="3"/>
    </row>
    <row r="19945" spans="1:17" ht="15" x14ac:dyDescent="0.25">
      <c r="A19945" s="3">
        <f>19938</f>
        <v>19938</v>
      </c>
      <c r="B19945" s="3" t="s">
        <v>19947</v>
      </c>
      <c r="C19945" s="3" t="s">
        <v>10</v>
      </c>
      <c r="D19945" s="3" t="s">
        <v>9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 t="s">
        <v>10</v>
      </c>
      <c r="P19945" s="3" t="s">
        <v>9</v>
      </c>
      <c r="Q19945" s="3"/>
    </row>
    <row r="19946" spans="1:17" ht="15" x14ac:dyDescent="0.25">
      <c r="A19946" s="3">
        <f>19939</f>
        <v>19939</v>
      </c>
      <c r="B19946" s="3" t="s">
        <v>19948</v>
      </c>
      <c r="C19946" s="3" t="s">
        <v>10</v>
      </c>
      <c r="D19946" s="3" t="s">
        <v>9</v>
      </c>
      <c r="E19946" s="3">
        <v>0</v>
      </c>
      <c r="F19946" s="3">
        <v>0</v>
      </c>
      <c r="G19946" s="3">
        <v>0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3">
        <v>0</v>
      </c>
      <c r="N19946" s="3">
        <v>0</v>
      </c>
      <c r="O19946" s="3" t="s">
        <v>10</v>
      </c>
      <c r="P19946" s="3" t="s">
        <v>9</v>
      </c>
      <c r="Q19946" s="3"/>
    </row>
    <row r="19947" spans="1:17" ht="15" x14ac:dyDescent="0.25">
      <c r="A19947" s="3">
        <f>19940</f>
        <v>19940</v>
      </c>
      <c r="B19947" s="3" t="s">
        <v>19949</v>
      </c>
      <c r="C19947" s="3" t="s">
        <v>10</v>
      </c>
      <c r="D19947" s="3" t="s">
        <v>9</v>
      </c>
      <c r="E19947" s="3">
        <v>0</v>
      </c>
      <c r="F19947" s="3">
        <v>0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0</v>
      </c>
      <c r="M19947" s="3">
        <v>0</v>
      </c>
      <c r="N19947" s="3">
        <v>0</v>
      </c>
      <c r="O19947" s="3" t="s">
        <v>10</v>
      </c>
      <c r="P19947" s="3" t="s">
        <v>9</v>
      </c>
      <c r="Q19947" s="3"/>
    </row>
    <row r="19948" spans="1:17" ht="15" x14ac:dyDescent="0.25">
      <c r="A19948" s="3">
        <f>19941</f>
        <v>19941</v>
      </c>
      <c r="B19948" s="3" t="s">
        <v>19950</v>
      </c>
      <c r="C19948" s="3" t="s">
        <v>9</v>
      </c>
      <c r="D19948" s="3" t="s">
        <v>10</v>
      </c>
      <c r="E19948" s="3">
        <v>0</v>
      </c>
      <c r="F19948" s="3">
        <v>0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3">
        <v>0</v>
      </c>
      <c r="N19948" s="3">
        <v>0</v>
      </c>
      <c r="O19948" s="3" t="s">
        <v>10</v>
      </c>
      <c r="P19948" s="3" t="s">
        <v>9</v>
      </c>
      <c r="Q19948" s="3"/>
    </row>
    <row r="19949" spans="1:17" ht="15" x14ac:dyDescent="0.25">
      <c r="A19949" s="3">
        <f>19942</f>
        <v>19942</v>
      </c>
      <c r="B19949" s="3" t="s">
        <v>19951</v>
      </c>
      <c r="C19949" s="3" t="s">
        <v>10</v>
      </c>
      <c r="D19949" s="3" t="s">
        <v>9</v>
      </c>
      <c r="E19949" s="3">
        <v>0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3">
        <v>0</v>
      </c>
      <c r="M19949" s="3">
        <v>0</v>
      </c>
      <c r="N19949" s="3">
        <v>0</v>
      </c>
      <c r="O19949" s="3" t="s">
        <v>10</v>
      </c>
      <c r="P19949" s="3" t="s">
        <v>9</v>
      </c>
      <c r="Q19949" s="3"/>
    </row>
    <row r="19950" spans="1:17" ht="15" x14ac:dyDescent="0.25">
      <c r="A19950" s="3">
        <f>19943</f>
        <v>19943</v>
      </c>
      <c r="B19950" s="3" t="s">
        <v>19952</v>
      </c>
      <c r="C19950" s="3" t="s">
        <v>10</v>
      </c>
      <c r="D19950" s="3" t="s">
        <v>9</v>
      </c>
      <c r="E19950" s="3">
        <v>0</v>
      </c>
      <c r="F19950" s="3">
        <v>0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3">
        <v>0</v>
      </c>
      <c r="M19950" s="3">
        <v>0</v>
      </c>
      <c r="N19950" s="3">
        <v>0</v>
      </c>
      <c r="O19950" s="3" t="s">
        <v>10</v>
      </c>
      <c r="P19950" s="3" t="s">
        <v>9</v>
      </c>
      <c r="Q19950" s="3"/>
    </row>
    <row r="19951" spans="1:17" ht="15" x14ac:dyDescent="0.25">
      <c r="A19951" s="3">
        <f>19944</f>
        <v>19944</v>
      </c>
      <c r="B19951" s="3" t="s">
        <v>19953</v>
      </c>
      <c r="C19951" s="3" t="s">
        <v>10</v>
      </c>
      <c r="D19951" s="3" t="s">
        <v>9</v>
      </c>
      <c r="E19951" s="3">
        <v>0</v>
      </c>
      <c r="F19951" s="3">
        <v>0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0</v>
      </c>
      <c r="M19951" s="3">
        <v>0</v>
      </c>
      <c r="N19951" s="3">
        <v>0</v>
      </c>
      <c r="O19951" s="3" t="s">
        <v>10</v>
      </c>
      <c r="P19951" s="3" t="s">
        <v>9</v>
      </c>
      <c r="Q19951" s="3"/>
    </row>
    <row r="19952" spans="1:17" ht="15" x14ac:dyDescent="0.25">
      <c r="A19952" s="3">
        <f>19945</f>
        <v>19945</v>
      </c>
      <c r="B19952" s="3" t="s">
        <v>19954</v>
      </c>
      <c r="C19952" s="3" t="s">
        <v>10</v>
      </c>
      <c r="D19952" s="3" t="s">
        <v>9</v>
      </c>
      <c r="E19952" s="3">
        <v>0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0</v>
      </c>
      <c r="M19952" s="3">
        <v>0</v>
      </c>
      <c r="N19952" s="3">
        <v>0</v>
      </c>
      <c r="O19952" s="3" t="s">
        <v>10</v>
      </c>
      <c r="P19952" s="3" t="s">
        <v>9</v>
      </c>
      <c r="Q19952" s="3"/>
    </row>
    <row r="19953" spans="1:17" ht="15" x14ac:dyDescent="0.25">
      <c r="A19953" s="3">
        <f>19946</f>
        <v>19946</v>
      </c>
      <c r="B19953" s="3" t="s">
        <v>19955</v>
      </c>
      <c r="C19953" s="3" t="s">
        <v>10</v>
      </c>
      <c r="D19953" s="3" t="s">
        <v>9</v>
      </c>
      <c r="E19953" s="3">
        <v>0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3">
        <v>0</v>
      </c>
      <c r="N19953" s="3">
        <v>0</v>
      </c>
      <c r="O19953" s="3" t="s">
        <v>10</v>
      </c>
      <c r="P19953" s="3" t="s">
        <v>9</v>
      </c>
      <c r="Q19953" s="3"/>
    </row>
    <row r="19954" spans="1:17" ht="15" x14ac:dyDescent="0.25">
      <c r="A19954" s="3">
        <f>19947</f>
        <v>19947</v>
      </c>
      <c r="B19954" s="3" t="s">
        <v>19956</v>
      </c>
      <c r="C19954" s="3" t="s">
        <v>10</v>
      </c>
      <c r="D19954" s="3" t="s">
        <v>9</v>
      </c>
      <c r="E19954" s="3">
        <v>0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3">
        <v>0</v>
      </c>
      <c r="N19954" s="3">
        <v>0</v>
      </c>
      <c r="O19954" s="3" t="s">
        <v>10</v>
      </c>
      <c r="P19954" s="3" t="s">
        <v>9</v>
      </c>
      <c r="Q19954" s="3"/>
    </row>
    <row r="19955" spans="1:17" ht="15" x14ac:dyDescent="0.25">
      <c r="A19955" s="3">
        <f>19948</f>
        <v>19948</v>
      </c>
      <c r="B19955" s="3" t="s">
        <v>19957</v>
      </c>
      <c r="C19955" s="3" t="s">
        <v>10</v>
      </c>
      <c r="D19955" s="3" t="s">
        <v>9</v>
      </c>
      <c r="E19955" s="3">
        <v>0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3">
        <v>0</v>
      </c>
      <c r="N19955" s="3">
        <v>0</v>
      </c>
      <c r="O19955" s="3" t="s">
        <v>10</v>
      </c>
      <c r="P19955" s="3" t="s">
        <v>9</v>
      </c>
      <c r="Q19955" s="3"/>
    </row>
    <row r="19956" spans="1:17" ht="15" x14ac:dyDescent="0.25">
      <c r="A19956" s="3">
        <f>19949</f>
        <v>19949</v>
      </c>
      <c r="B19956" s="3" t="s">
        <v>19958</v>
      </c>
      <c r="C19956" s="3" t="s">
        <v>10</v>
      </c>
      <c r="D19956" s="3" t="s">
        <v>9</v>
      </c>
      <c r="E19956" s="3">
        <v>0</v>
      </c>
      <c r="F19956" s="3">
        <v>0</v>
      </c>
      <c r="G19956" s="3">
        <v>0</v>
      </c>
      <c r="H19956" s="3">
        <v>0</v>
      </c>
      <c r="I19956" s="3">
        <v>0</v>
      </c>
      <c r="J19956" s="3">
        <v>0</v>
      </c>
      <c r="K19956" s="3">
        <v>0</v>
      </c>
      <c r="L19956" s="3">
        <v>0</v>
      </c>
      <c r="M19956" s="3">
        <v>0</v>
      </c>
      <c r="N19956" s="3">
        <v>0</v>
      </c>
      <c r="O19956" s="3" t="s">
        <v>10</v>
      </c>
      <c r="P19956" s="3" t="s">
        <v>9</v>
      </c>
      <c r="Q19956" s="3"/>
    </row>
    <row r="19957" spans="1:17" ht="15" x14ac:dyDescent="0.25">
      <c r="A19957" s="3">
        <f>19950</f>
        <v>19950</v>
      </c>
      <c r="B19957" s="3" t="s">
        <v>19959</v>
      </c>
      <c r="C19957" s="3" t="s">
        <v>10</v>
      </c>
      <c r="D19957" s="3" t="s">
        <v>9</v>
      </c>
      <c r="E19957" s="3">
        <v>0</v>
      </c>
      <c r="F19957" s="3">
        <v>0</v>
      </c>
      <c r="G19957" s="3">
        <v>0</v>
      </c>
      <c r="H19957" s="3">
        <v>0</v>
      </c>
      <c r="I19957" s="3">
        <v>0</v>
      </c>
      <c r="J19957" s="3">
        <v>0</v>
      </c>
      <c r="K19957" s="3">
        <v>0</v>
      </c>
      <c r="L19957" s="3">
        <v>0</v>
      </c>
      <c r="M19957" s="3">
        <v>0</v>
      </c>
      <c r="N19957" s="3">
        <v>0</v>
      </c>
      <c r="O19957" s="3" t="s">
        <v>10</v>
      </c>
      <c r="P19957" s="3" t="s">
        <v>9</v>
      </c>
      <c r="Q19957" s="3"/>
    </row>
    <row r="19958" spans="1:17" ht="15" x14ac:dyDescent="0.25">
      <c r="A19958" s="3">
        <f>19951</f>
        <v>19951</v>
      </c>
      <c r="B19958" s="3" t="s">
        <v>19960</v>
      </c>
      <c r="C19958" s="3" t="s">
        <v>10</v>
      </c>
      <c r="D19958" s="3" t="s">
        <v>9</v>
      </c>
      <c r="E19958" s="3">
        <v>0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0</v>
      </c>
      <c r="L19958" s="3">
        <v>0</v>
      </c>
      <c r="M19958" s="3">
        <v>0</v>
      </c>
      <c r="N19958" s="3">
        <v>0</v>
      </c>
      <c r="O19958" s="3" t="s">
        <v>10</v>
      </c>
      <c r="P19958" s="3" t="s">
        <v>9</v>
      </c>
      <c r="Q19958" s="3"/>
    </row>
    <row r="19959" spans="1:17" ht="15" x14ac:dyDescent="0.25">
      <c r="A19959" s="3">
        <f>19952</f>
        <v>19952</v>
      </c>
      <c r="B19959" s="3" t="s">
        <v>19961</v>
      </c>
      <c r="C19959" s="3" t="s">
        <v>10</v>
      </c>
      <c r="D19959" s="3" t="s">
        <v>9</v>
      </c>
      <c r="E19959" s="3">
        <v>0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3">
        <v>0</v>
      </c>
      <c r="N19959" s="3">
        <v>0</v>
      </c>
      <c r="O19959" s="3" t="s">
        <v>10</v>
      </c>
      <c r="P19959" s="3" t="s">
        <v>9</v>
      </c>
      <c r="Q19959" s="3"/>
    </row>
    <row r="19960" spans="1:17" ht="15" x14ac:dyDescent="0.25">
      <c r="A19960" s="3">
        <f>19953</f>
        <v>19953</v>
      </c>
      <c r="B19960" s="3" t="s">
        <v>19962</v>
      </c>
      <c r="C19960" s="3" t="s">
        <v>10</v>
      </c>
      <c r="D19960" s="3" t="s">
        <v>9</v>
      </c>
      <c r="E19960" s="3">
        <v>0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3">
        <v>0</v>
      </c>
      <c r="N19960" s="3">
        <v>0</v>
      </c>
      <c r="O19960" s="3" t="s">
        <v>10</v>
      </c>
      <c r="P19960" s="3" t="s">
        <v>9</v>
      </c>
      <c r="Q19960" s="3"/>
    </row>
    <row r="19961" spans="1:17" ht="15" x14ac:dyDescent="0.25">
      <c r="A19961" s="3">
        <f>19954</f>
        <v>19954</v>
      </c>
      <c r="B19961" s="3" t="s">
        <v>19963</v>
      </c>
      <c r="C19961" s="3" t="s">
        <v>10</v>
      </c>
      <c r="D19961" s="3" t="s">
        <v>9</v>
      </c>
      <c r="E19961" s="3">
        <v>0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  <c r="L19961" s="3">
        <v>0</v>
      </c>
      <c r="M19961" s="3">
        <v>0</v>
      </c>
      <c r="N19961" s="3">
        <v>0</v>
      </c>
      <c r="O19961" s="3" t="s">
        <v>10</v>
      </c>
      <c r="P19961" s="3" t="s">
        <v>9</v>
      </c>
      <c r="Q19961" s="3"/>
    </row>
    <row r="19962" spans="1:17" ht="15" x14ac:dyDescent="0.25">
      <c r="A19962" s="3">
        <f>19955</f>
        <v>19955</v>
      </c>
      <c r="B19962" s="3" t="s">
        <v>19964</v>
      </c>
      <c r="C19962" s="3" t="s">
        <v>10</v>
      </c>
      <c r="D19962" s="3" t="s">
        <v>9</v>
      </c>
      <c r="E19962" s="3">
        <v>0</v>
      </c>
      <c r="F19962" s="3">
        <v>0</v>
      </c>
      <c r="G19962" s="3">
        <v>0</v>
      </c>
      <c r="H19962" s="3">
        <v>0</v>
      </c>
      <c r="I19962" s="3">
        <v>0</v>
      </c>
      <c r="J19962" s="3">
        <v>0</v>
      </c>
      <c r="K19962" s="3">
        <v>0</v>
      </c>
      <c r="L19962" s="3">
        <v>0</v>
      </c>
      <c r="M19962" s="3">
        <v>0</v>
      </c>
      <c r="N19962" s="3">
        <v>0</v>
      </c>
      <c r="O19962" s="3" t="s">
        <v>10</v>
      </c>
      <c r="P19962" s="3" t="s">
        <v>9</v>
      </c>
      <c r="Q19962" s="3"/>
    </row>
    <row r="19963" spans="1:17" ht="15" x14ac:dyDescent="0.25">
      <c r="A19963" s="3">
        <f>19956</f>
        <v>19956</v>
      </c>
      <c r="B19963" s="3" t="s">
        <v>19965</v>
      </c>
      <c r="C19963" s="3" t="s">
        <v>10</v>
      </c>
      <c r="D19963" s="3" t="s">
        <v>9</v>
      </c>
      <c r="E19963" s="3">
        <v>0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0</v>
      </c>
      <c r="M19963" s="3">
        <v>0</v>
      </c>
      <c r="N19963" s="3">
        <v>0</v>
      </c>
      <c r="O19963" s="3" t="s">
        <v>10</v>
      </c>
      <c r="P19963" s="3" t="s">
        <v>9</v>
      </c>
      <c r="Q19963" s="3"/>
    </row>
    <row r="19964" spans="1:17" ht="15" x14ac:dyDescent="0.25">
      <c r="A19964" s="3">
        <f>19957</f>
        <v>19957</v>
      </c>
      <c r="B19964" s="3" t="s">
        <v>19966</v>
      </c>
      <c r="C19964" s="3" t="s">
        <v>10</v>
      </c>
      <c r="D19964" s="3" t="s">
        <v>9</v>
      </c>
      <c r="E19964" s="3">
        <v>0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  <c r="L19964" s="3">
        <v>0</v>
      </c>
      <c r="M19964" s="3">
        <v>0</v>
      </c>
      <c r="N19964" s="3">
        <v>0</v>
      </c>
      <c r="O19964" s="3" t="s">
        <v>10</v>
      </c>
      <c r="P19964" s="3" t="s">
        <v>9</v>
      </c>
      <c r="Q19964" s="3"/>
    </row>
    <row r="19965" spans="1:17" ht="15" x14ac:dyDescent="0.25">
      <c r="A19965" s="3">
        <f>19958</f>
        <v>19958</v>
      </c>
      <c r="B19965" s="3" t="s">
        <v>19967</v>
      </c>
      <c r="C19965" s="3" t="s">
        <v>10</v>
      </c>
      <c r="D19965" s="3" t="s">
        <v>9</v>
      </c>
      <c r="E19965" s="3">
        <v>0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  <c r="L19965" s="3">
        <v>0</v>
      </c>
      <c r="M19965" s="3">
        <v>0</v>
      </c>
      <c r="N19965" s="3">
        <v>0</v>
      </c>
      <c r="O19965" s="3" t="s">
        <v>10</v>
      </c>
      <c r="P19965" s="3" t="s">
        <v>9</v>
      </c>
      <c r="Q19965" s="3"/>
    </row>
    <row r="19966" spans="1:17" ht="15" x14ac:dyDescent="0.25">
      <c r="A19966" s="3">
        <f>19959</f>
        <v>19959</v>
      </c>
      <c r="B19966" s="3" t="s">
        <v>19968</v>
      </c>
      <c r="C19966" s="3" t="s">
        <v>10</v>
      </c>
      <c r="D19966" s="3" t="s">
        <v>9</v>
      </c>
      <c r="E19966" s="3">
        <v>0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 s="3">
        <v>0</v>
      </c>
      <c r="M19966" s="3">
        <v>0</v>
      </c>
      <c r="N19966" s="3">
        <v>0</v>
      </c>
      <c r="O19966" s="3" t="s">
        <v>10</v>
      </c>
      <c r="P19966" s="3" t="s">
        <v>9</v>
      </c>
      <c r="Q19966" s="3"/>
    </row>
    <row r="19967" spans="1:17" ht="15" x14ac:dyDescent="0.25">
      <c r="A19967" s="3">
        <f>19960</f>
        <v>19960</v>
      </c>
      <c r="B19967" s="3" t="s">
        <v>19969</v>
      </c>
      <c r="C19967" s="3" t="s">
        <v>10</v>
      </c>
      <c r="D19967" s="3" t="s">
        <v>9</v>
      </c>
      <c r="E19967" s="3">
        <v>0</v>
      </c>
      <c r="F19967" s="3">
        <v>0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3">
        <v>0</v>
      </c>
      <c r="N19967" s="3">
        <v>0</v>
      </c>
      <c r="O19967" s="3" t="s">
        <v>10</v>
      </c>
      <c r="P19967" s="3" t="s">
        <v>9</v>
      </c>
      <c r="Q19967" s="3"/>
    </row>
    <row r="19968" spans="1:17" ht="15" x14ac:dyDescent="0.25">
      <c r="A19968" s="3">
        <f>19961</f>
        <v>19961</v>
      </c>
      <c r="B19968" s="3" t="s">
        <v>19970</v>
      </c>
      <c r="C19968" s="3" t="s">
        <v>10</v>
      </c>
      <c r="D19968" s="3" t="s">
        <v>9</v>
      </c>
      <c r="E19968" s="3">
        <v>0</v>
      </c>
      <c r="F19968" s="3">
        <v>0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 t="s">
        <v>10</v>
      </c>
      <c r="P19968" s="3" t="s">
        <v>9</v>
      </c>
      <c r="Q19968" s="3"/>
    </row>
    <row r="19969" spans="1:17" ht="15" x14ac:dyDescent="0.25">
      <c r="A19969" s="3">
        <f>19962</f>
        <v>19962</v>
      </c>
      <c r="B19969" s="3" t="s">
        <v>19971</v>
      </c>
      <c r="C19969" s="3" t="s">
        <v>10</v>
      </c>
      <c r="D19969" s="3" t="s">
        <v>9</v>
      </c>
      <c r="E19969" s="3">
        <v>0</v>
      </c>
      <c r="F19969" s="3">
        <v>0</v>
      </c>
      <c r="G19969" s="3">
        <v>0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3">
        <v>0</v>
      </c>
      <c r="N19969" s="3">
        <v>0</v>
      </c>
      <c r="O19969" s="3" t="s">
        <v>10</v>
      </c>
      <c r="P19969" s="3" t="s">
        <v>9</v>
      </c>
      <c r="Q19969" s="3"/>
    </row>
    <row r="19970" spans="1:17" ht="15" x14ac:dyDescent="0.25">
      <c r="A19970" s="3">
        <f>19963</f>
        <v>19963</v>
      </c>
      <c r="B19970" s="3" t="s">
        <v>19972</v>
      </c>
      <c r="C19970" s="3" t="s">
        <v>10</v>
      </c>
      <c r="D19970" s="3" t="s">
        <v>9</v>
      </c>
      <c r="E19970" s="3">
        <v>0</v>
      </c>
      <c r="F19970" s="3">
        <v>0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3">
        <v>0</v>
      </c>
      <c r="N19970" s="3">
        <v>0</v>
      </c>
      <c r="O19970" s="3" t="s">
        <v>10</v>
      </c>
      <c r="P19970" s="3" t="s">
        <v>9</v>
      </c>
      <c r="Q19970" s="3"/>
    </row>
    <row r="19971" spans="1:17" ht="15" x14ac:dyDescent="0.25">
      <c r="A19971" s="3">
        <f>19964</f>
        <v>19964</v>
      </c>
      <c r="B19971" s="3" t="s">
        <v>19973</v>
      </c>
      <c r="C19971" s="3" t="s">
        <v>10</v>
      </c>
      <c r="D19971" s="3" t="s">
        <v>9</v>
      </c>
      <c r="E19971" s="3">
        <v>0</v>
      </c>
      <c r="F19971" s="3">
        <v>0</v>
      </c>
      <c r="G19971" s="3">
        <v>0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3">
        <v>0</v>
      </c>
      <c r="N19971" s="3">
        <v>0</v>
      </c>
      <c r="O19971" s="3" t="s">
        <v>10</v>
      </c>
      <c r="P19971" s="3" t="s">
        <v>9</v>
      </c>
      <c r="Q19971" s="3"/>
    </row>
    <row r="19972" spans="1:17" ht="15" x14ac:dyDescent="0.25">
      <c r="A19972" s="3">
        <f>19965</f>
        <v>19965</v>
      </c>
      <c r="B19972" s="3" t="s">
        <v>19974</v>
      </c>
      <c r="C19972" s="3" t="s">
        <v>10</v>
      </c>
      <c r="D19972" s="3" t="s">
        <v>9</v>
      </c>
      <c r="E19972" s="3">
        <v>0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0</v>
      </c>
      <c r="M19972" s="3">
        <v>0</v>
      </c>
      <c r="N19972" s="3">
        <v>0</v>
      </c>
      <c r="O19972" s="3" t="s">
        <v>10</v>
      </c>
      <c r="P19972" s="3" t="s">
        <v>9</v>
      </c>
      <c r="Q19972" s="3"/>
    </row>
    <row r="19973" spans="1:17" ht="15" x14ac:dyDescent="0.25">
      <c r="A19973" s="3">
        <f>19966</f>
        <v>19966</v>
      </c>
      <c r="B19973" s="3" t="s">
        <v>19975</v>
      </c>
      <c r="C19973" s="3" t="s">
        <v>10</v>
      </c>
      <c r="D19973" s="3" t="s">
        <v>9</v>
      </c>
      <c r="E19973" s="3">
        <v>0</v>
      </c>
      <c r="F19973" s="3">
        <v>0</v>
      </c>
      <c r="G19973" s="3">
        <v>0</v>
      </c>
      <c r="H19973" s="3">
        <v>0</v>
      </c>
      <c r="I19973" s="3">
        <v>0</v>
      </c>
      <c r="J19973" s="3">
        <v>0</v>
      </c>
      <c r="K19973" s="3">
        <v>0</v>
      </c>
      <c r="L19973" s="3">
        <v>0</v>
      </c>
      <c r="M19973" s="3">
        <v>0</v>
      </c>
      <c r="N19973" s="3">
        <v>0</v>
      </c>
      <c r="O19973" s="3" t="s">
        <v>10</v>
      </c>
      <c r="P19973" s="3" t="s">
        <v>9</v>
      </c>
      <c r="Q19973" s="3"/>
    </row>
    <row r="19974" spans="1:17" ht="15" x14ac:dyDescent="0.25">
      <c r="A19974" s="3">
        <f>19967</f>
        <v>19967</v>
      </c>
      <c r="B19974" s="3" t="s">
        <v>19976</v>
      </c>
      <c r="C19974" s="3" t="s">
        <v>10</v>
      </c>
      <c r="D19974" s="3" t="s">
        <v>9</v>
      </c>
      <c r="E19974" s="3">
        <v>0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0</v>
      </c>
      <c r="M19974" s="3">
        <v>0</v>
      </c>
      <c r="N19974" s="3">
        <v>0</v>
      </c>
      <c r="O19974" s="3" t="s">
        <v>10</v>
      </c>
      <c r="P19974" s="3" t="s">
        <v>9</v>
      </c>
      <c r="Q19974" s="3"/>
    </row>
    <row r="19975" spans="1:17" ht="15" x14ac:dyDescent="0.25">
      <c r="A19975" s="3">
        <f>19968</f>
        <v>19968</v>
      </c>
      <c r="B19975" s="3" t="s">
        <v>19977</v>
      </c>
      <c r="C19975" s="3" t="s">
        <v>10</v>
      </c>
      <c r="D19975" s="3" t="s">
        <v>9</v>
      </c>
      <c r="E19975" s="3">
        <v>0</v>
      </c>
      <c r="F19975" s="3">
        <v>0</v>
      </c>
      <c r="G19975" s="3">
        <v>0</v>
      </c>
      <c r="H19975" s="3">
        <v>0</v>
      </c>
      <c r="I19975" s="3">
        <v>0</v>
      </c>
      <c r="J19975" s="3">
        <v>0</v>
      </c>
      <c r="K19975" s="3">
        <v>0</v>
      </c>
      <c r="L19975" s="3">
        <v>0</v>
      </c>
      <c r="M19975" s="3">
        <v>0</v>
      </c>
      <c r="N19975" s="3">
        <v>0</v>
      </c>
      <c r="O19975" s="3" t="s">
        <v>10</v>
      </c>
      <c r="P19975" s="3" t="s">
        <v>9</v>
      </c>
      <c r="Q19975" s="3"/>
    </row>
    <row r="19976" spans="1:17" ht="15" x14ac:dyDescent="0.25">
      <c r="A19976" s="3">
        <f>19969</f>
        <v>19969</v>
      </c>
      <c r="B19976" s="3" t="s">
        <v>19978</v>
      </c>
      <c r="C19976" s="3" t="s">
        <v>10</v>
      </c>
      <c r="D19976" s="3" t="s">
        <v>9</v>
      </c>
      <c r="E19976" s="3">
        <v>0</v>
      </c>
      <c r="F19976" s="3">
        <v>0</v>
      </c>
      <c r="G19976" s="3">
        <v>0</v>
      </c>
      <c r="H19976" s="3">
        <v>0</v>
      </c>
      <c r="I19976" s="3">
        <v>0</v>
      </c>
      <c r="J19976" s="3">
        <v>0</v>
      </c>
      <c r="K19976" s="3">
        <v>0</v>
      </c>
      <c r="L19976" s="3">
        <v>0</v>
      </c>
      <c r="M19976" s="3">
        <v>0</v>
      </c>
      <c r="N19976" s="3">
        <v>0</v>
      </c>
      <c r="O19976" s="3" t="s">
        <v>10</v>
      </c>
      <c r="P19976" s="3" t="s">
        <v>9</v>
      </c>
      <c r="Q19976" s="3"/>
    </row>
    <row r="19977" spans="1:17" ht="15" x14ac:dyDescent="0.25">
      <c r="A19977" s="3">
        <f>19970</f>
        <v>19970</v>
      </c>
      <c r="B19977" s="3" t="s">
        <v>19979</v>
      </c>
      <c r="C19977" s="3" t="s">
        <v>10</v>
      </c>
      <c r="D19977" s="3" t="s">
        <v>9</v>
      </c>
      <c r="E19977" s="3">
        <v>0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 s="3">
        <v>0</v>
      </c>
      <c r="M19977" s="3">
        <v>0</v>
      </c>
      <c r="N19977" s="3">
        <v>0</v>
      </c>
      <c r="O19977" s="3" t="s">
        <v>10</v>
      </c>
      <c r="P19977" s="3" t="s">
        <v>9</v>
      </c>
      <c r="Q19977" s="3"/>
    </row>
    <row r="19978" spans="1:17" ht="15" x14ac:dyDescent="0.25">
      <c r="A19978" s="3">
        <f>19971</f>
        <v>19971</v>
      </c>
      <c r="B19978" s="3" t="s">
        <v>19980</v>
      </c>
      <c r="C19978" s="3" t="s">
        <v>10</v>
      </c>
      <c r="D19978" s="3" t="s">
        <v>9</v>
      </c>
      <c r="E19978" s="3">
        <v>0</v>
      </c>
      <c r="F19978" s="3">
        <v>0</v>
      </c>
      <c r="G19978" s="3">
        <v>0</v>
      </c>
      <c r="H19978" s="3">
        <v>0</v>
      </c>
      <c r="I19978" s="3">
        <v>0</v>
      </c>
      <c r="J19978" s="3">
        <v>0</v>
      </c>
      <c r="K19978" s="3">
        <v>0</v>
      </c>
      <c r="L19978" s="3">
        <v>0</v>
      </c>
      <c r="M19978" s="3">
        <v>0</v>
      </c>
      <c r="N19978" s="3">
        <v>0</v>
      </c>
      <c r="O19978" s="3" t="s">
        <v>10</v>
      </c>
      <c r="P19978" s="3" t="s">
        <v>9</v>
      </c>
      <c r="Q19978" s="3"/>
    </row>
    <row r="19979" spans="1:17" ht="15" x14ac:dyDescent="0.25">
      <c r="A19979" s="3">
        <f>19972</f>
        <v>19972</v>
      </c>
      <c r="B19979" s="3" t="s">
        <v>19981</v>
      </c>
      <c r="C19979" s="3" t="s">
        <v>10</v>
      </c>
      <c r="D19979" s="3" t="s">
        <v>9</v>
      </c>
      <c r="E19979" s="3">
        <v>0</v>
      </c>
      <c r="F19979" s="3">
        <v>0</v>
      </c>
      <c r="G19979" s="3">
        <v>0</v>
      </c>
      <c r="H19979" s="3">
        <v>0</v>
      </c>
      <c r="I19979" s="3">
        <v>0</v>
      </c>
      <c r="J19979" s="3">
        <v>0</v>
      </c>
      <c r="K19979" s="3">
        <v>0</v>
      </c>
      <c r="L19979" s="3">
        <v>0</v>
      </c>
      <c r="M19979" s="3">
        <v>0</v>
      </c>
      <c r="N19979" s="3">
        <v>0</v>
      </c>
      <c r="O19979" s="3" t="s">
        <v>10</v>
      </c>
      <c r="P19979" s="3" t="s">
        <v>9</v>
      </c>
      <c r="Q19979" s="3"/>
    </row>
    <row r="19980" spans="1:17" ht="15" x14ac:dyDescent="0.25">
      <c r="A19980" s="3">
        <f>19973</f>
        <v>19973</v>
      </c>
      <c r="B19980" s="3" t="s">
        <v>19982</v>
      </c>
      <c r="C19980" s="3" t="s">
        <v>10</v>
      </c>
      <c r="D19980" s="3" t="s">
        <v>9</v>
      </c>
      <c r="E19980" s="3">
        <v>0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3">
        <v>0</v>
      </c>
      <c r="N19980" s="3">
        <v>0</v>
      </c>
      <c r="O19980" s="3" t="s">
        <v>10</v>
      </c>
      <c r="P19980" s="3" t="s">
        <v>9</v>
      </c>
      <c r="Q19980" s="3"/>
    </row>
    <row r="19981" spans="1:17" ht="15" x14ac:dyDescent="0.25">
      <c r="A19981" s="3">
        <f>19974</f>
        <v>19974</v>
      </c>
      <c r="B19981" s="3" t="s">
        <v>19983</v>
      </c>
      <c r="C19981" s="3" t="s">
        <v>10</v>
      </c>
      <c r="D19981" s="3" t="s">
        <v>9</v>
      </c>
      <c r="E19981" s="3">
        <v>0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0</v>
      </c>
      <c r="M19981" s="3">
        <v>0</v>
      </c>
      <c r="N19981" s="3">
        <v>0</v>
      </c>
      <c r="O19981" s="3" t="s">
        <v>10</v>
      </c>
      <c r="P19981" s="3" t="s">
        <v>9</v>
      </c>
      <c r="Q19981" s="3"/>
    </row>
    <row r="19982" spans="1:17" ht="15" x14ac:dyDescent="0.25">
      <c r="A19982" s="3">
        <f>19975</f>
        <v>19975</v>
      </c>
      <c r="B19982" s="3" t="s">
        <v>19984</v>
      </c>
      <c r="C19982" s="3" t="s">
        <v>10</v>
      </c>
      <c r="D19982" s="3" t="s">
        <v>9</v>
      </c>
      <c r="E19982" s="3">
        <v>0</v>
      </c>
      <c r="F19982" s="3">
        <v>0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3">
        <v>0</v>
      </c>
      <c r="N19982" s="3">
        <v>0</v>
      </c>
      <c r="O19982" s="3" t="s">
        <v>10</v>
      </c>
      <c r="P19982" s="3" t="s">
        <v>9</v>
      </c>
      <c r="Q19982" s="3"/>
    </row>
    <row r="19983" spans="1:17" ht="15" x14ac:dyDescent="0.25">
      <c r="A19983" s="3">
        <f>19976</f>
        <v>19976</v>
      </c>
      <c r="B19983" s="3" t="s">
        <v>19985</v>
      </c>
      <c r="C19983" s="3" t="s">
        <v>10</v>
      </c>
      <c r="D19983" s="3" t="s">
        <v>9</v>
      </c>
      <c r="E19983" s="3">
        <v>0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3">
        <v>0</v>
      </c>
      <c r="N19983" s="3">
        <v>0</v>
      </c>
      <c r="O19983" s="3" t="s">
        <v>10</v>
      </c>
      <c r="P19983" s="3" t="s">
        <v>9</v>
      </c>
      <c r="Q19983" s="3"/>
    </row>
    <row r="19984" spans="1:17" ht="15" x14ac:dyDescent="0.25">
      <c r="A19984" s="3">
        <f>19977</f>
        <v>19977</v>
      </c>
      <c r="B19984" s="3" t="s">
        <v>19986</v>
      </c>
      <c r="C19984" s="3" t="s">
        <v>10</v>
      </c>
      <c r="D19984" s="3" t="s">
        <v>9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 t="s">
        <v>10</v>
      </c>
      <c r="P19984" s="3" t="s">
        <v>9</v>
      </c>
      <c r="Q19984" s="3"/>
    </row>
    <row r="19985" spans="1:17" ht="15" x14ac:dyDescent="0.25">
      <c r="A19985" s="3">
        <f>19978</f>
        <v>19978</v>
      </c>
      <c r="B19985" s="3" t="s">
        <v>19987</v>
      </c>
      <c r="C19985" s="3" t="s">
        <v>10</v>
      </c>
      <c r="D19985" s="3" t="s">
        <v>9</v>
      </c>
      <c r="E19985" s="3">
        <v>0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3">
        <v>0</v>
      </c>
      <c r="N19985" s="3">
        <v>0</v>
      </c>
      <c r="O19985" s="3" t="s">
        <v>10</v>
      </c>
      <c r="P19985" s="3" t="s">
        <v>9</v>
      </c>
      <c r="Q19985" s="3"/>
    </row>
    <row r="19986" spans="1:17" ht="15" x14ac:dyDescent="0.25">
      <c r="A19986" s="3">
        <f>19979</f>
        <v>19979</v>
      </c>
      <c r="B19986" s="3" t="s">
        <v>19988</v>
      </c>
      <c r="C19986" s="3" t="s">
        <v>10</v>
      </c>
      <c r="D19986" s="3" t="s">
        <v>9</v>
      </c>
      <c r="E19986" s="3">
        <v>0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3">
        <v>0</v>
      </c>
      <c r="N19986" s="3">
        <v>0</v>
      </c>
      <c r="O19986" s="3" t="s">
        <v>10</v>
      </c>
      <c r="P19986" s="3" t="s">
        <v>9</v>
      </c>
      <c r="Q19986" s="3"/>
    </row>
    <row r="19987" spans="1:17" ht="15" x14ac:dyDescent="0.25">
      <c r="A19987" s="3">
        <f>19980</f>
        <v>19980</v>
      </c>
      <c r="B19987" s="3" t="s">
        <v>19989</v>
      </c>
      <c r="C19987" s="3" t="s">
        <v>10</v>
      </c>
      <c r="D19987" s="3" t="s">
        <v>9</v>
      </c>
      <c r="E19987" s="3">
        <v>0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0</v>
      </c>
      <c r="O19987" s="3" t="s">
        <v>10</v>
      </c>
      <c r="P19987" s="3" t="s">
        <v>9</v>
      </c>
      <c r="Q19987" s="3"/>
    </row>
    <row r="19988" spans="1:17" ht="15" x14ac:dyDescent="0.25">
      <c r="A19988" s="3">
        <f>19981</f>
        <v>19981</v>
      </c>
      <c r="B19988" s="3" t="s">
        <v>19990</v>
      </c>
      <c r="C19988" s="3" t="s">
        <v>10</v>
      </c>
      <c r="D19988" s="3" t="s">
        <v>9</v>
      </c>
      <c r="E19988" s="3">
        <v>0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 s="3">
        <v>0</v>
      </c>
      <c r="M19988" s="3">
        <v>0</v>
      </c>
      <c r="N19988" s="3">
        <v>0</v>
      </c>
      <c r="O19988" s="3" t="s">
        <v>10</v>
      </c>
      <c r="P19988" s="3" t="s">
        <v>9</v>
      </c>
      <c r="Q19988" s="3"/>
    </row>
    <row r="19989" spans="1:17" ht="15" x14ac:dyDescent="0.25">
      <c r="A19989" s="3">
        <f>19982</f>
        <v>19982</v>
      </c>
      <c r="B19989" s="3" t="s">
        <v>19991</v>
      </c>
      <c r="C19989" s="3" t="s">
        <v>10</v>
      </c>
      <c r="D19989" s="3" t="s">
        <v>9</v>
      </c>
      <c r="E19989" s="3">
        <v>0</v>
      </c>
      <c r="F19989" s="3">
        <v>0</v>
      </c>
      <c r="G19989" s="3">
        <v>0</v>
      </c>
      <c r="H19989" s="3">
        <v>0</v>
      </c>
      <c r="I19989" s="3">
        <v>0</v>
      </c>
      <c r="J19989" s="3">
        <v>0</v>
      </c>
      <c r="K19989" s="3">
        <v>0</v>
      </c>
      <c r="L19989" s="3">
        <v>0</v>
      </c>
      <c r="M19989" s="3">
        <v>0</v>
      </c>
      <c r="N19989" s="3">
        <v>0</v>
      </c>
      <c r="O19989" s="3" t="s">
        <v>10</v>
      </c>
      <c r="P19989" s="3" t="s">
        <v>9</v>
      </c>
      <c r="Q19989" s="3"/>
    </row>
    <row r="19990" spans="1:17" ht="15" x14ac:dyDescent="0.25">
      <c r="A19990" s="3">
        <f>19983</f>
        <v>19983</v>
      </c>
      <c r="B19990" s="3" t="s">
        <v>19992</v>
      </c>
      <c r="C19990" s="3" t="s">
        <v>10</v>
      </c>
      <c r="D19990" s="3" t="s">
        <v>9</v>
      </c>
      <c r="E19990" s="3">
        <v>0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0</v>
      </c>
      <c r="L19990" s="3">
        <v>0</v>
      </c>
      <c r="M19990" s="3">
        <v>0</v>
      </c>
      <c r="N19990" s="3">
        <v>0</v>
      </c>
      <c r="O19990" s="3" t="s">
        <v>10</v>
      </c>
      <c r="P19990" s="3" t="s">
        <v>9</v>
      </c>
      <c r="Q19990" s="3"/>
    </row>
    <row r="19991" spans="1:17" ht="15" x14ac:dyDescent="0.25">
      <c r="A19991" s="3">
        <f>19984</f>
        <v>19984</v>
      </c>
      <c r="B19991" s="3" t="s">
        <v>19993</v>
      </c>
      <c r="C19991" s="3" t="s">
        <v>10</v>
      </c>
      <c r="D19991" s="3" t="s">
        <v>9</v>
      </c>
      <c r="E19991" s="3">
        <v>0</v>
      </c>
      <c r="F19991" s="3">
        <v>0</v>
      </c>
      <c r="G19991" s="3">
        <v>0</v>
      </c>
      <c r="H19991" s="3">
        <v>0</v>
      </c>
      <c r="I19991" s="3">
        <v>0</v>
      </c>
      <c r="J19991" s="3">
        <v>0</v>
      </c>
      <c r="K19991" s="3">
        <v>0</v>
      </c>
      <c r="L19991" s="3">
        <v>0</v>
      </c>
      <c r="M19991" s="3">
        <v>0</v>
      </c>
      <c r="N19991" s="3">
        <v>0</v>
      </c>
      <c r="O19991" s="3" t="s">
        <v>10</v>
      </c>
      <c r="P19991" s="3" t="s">
        <v>9</v>
      </c>
      <c r="Q19991" s="3"/>
    </row>
    <row r="19992" spans="1:17" ht="15" x14ac:dyDescent="0.25">
      <c r="A19992" s="3">
        <f>19985</f>
        <v>19985</v>
      </c>
      <c r="B19992" s="3" t="s">
        <v>19994</v>
      </c>
      <c r="C19992" s="3" t="s">
        <v>10</v>
      </c>
      <c r="D19992" s="3" t="s">
        <v>9</v>
      </c>
      <c r="E19992" s="3">
        <v>0</v>
      </c>
      <c r="F19992" s="3">
        <v>0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3">
        <v>0</v>
      </c>
      <c r="N19992" s="3">
        <v>0</v>
      </c>
      <c r="O19992" s="3" t="s">
        <v>10</v>
      </c>
      <c r="P19992" s="3" t="s">
        <v>9</v>
      </c>
      <c r="Q19992" s="3"/>
    </row>
    <row r="19993" spans="1:17" ht="15" x14ac:dyDescent="0.25">
      <c r="A19993" s="3">
        <f>19986</f>
        <v>19986</v>
      </c>
      <c r="B19993" s="3" t="s">
        <v>19995</v>
      </c>
      <c r="C19993" s="3" t="s">
        <v>10</v>
      </c>
      <c r="D19993" s="3" t="s">
        <v>9</v>
      </c>
      <c r="E19993" s="3">
        <v>0</v>
      </c>
      <c r="F19993" s="3">
        <v>0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>
        <v>0</v>
      </c>
      <c r="O19993" s="3" t="s">
        <v>10</v>
      </c>
      <c r="P19993" s="3" t="s">
        <v>9</v>
      </c>
      <c r="Q19993" s="3"/>
    </row>
    <row r="19994" spans="1:17" ht="15" x14ac:dyDescent="0.25">
      <c r="A19994" s="3">
        <f>19987</f>
        <v>19987</v>
      </c>
      <c r="B19994" s="3" t="s">
        <v>19996</v>
      </c>
      <c r="C19994" s="3" t="s">
        <v>10</v>
      </c>
      <c r="D19994" s="3" t="s">
        <v>9</v>
      </c>
      <c r="E19994" s="3">
        <v>0</v>
      </c>
      <c r="F19994" s="3">
        <v>0</v>
      </c>
      <c r="G19994" s="3">
        <v>0</v>
      </c>
      <c r="H19994" s="3">
        <v>0</v>
      </c>
      <c r="I19994" s="3">
        <v>0</v>
      </c>
      <c r="J19994" s="3">
        <v>0</v>
      </c>
      <c r="K19994" s="3">
        <v>0</v>
      </c>
      <c r="L19994" s="3">
        <v>0</v>
      </c>
      <c r="M19994" s="3">
        <v>0</v>
      </c>
      <c r="N19994" s="3">
        <v>0</v>
      </c>
      <c r="O19994" s="3" t="s">
        <v>10</v>
      </c>
      <c r="P19994" s="3" t="s">
        <v>9</v>
      </c>
      <c r="Q19994" s="3"/>
    </row>
    <row r="19995" spans="1:17" ht="15" x14ac:dyDescent="0.25">
      <c r="A19995" s="3">
        <f>19988</f>
        <v>19988</v>
      </c>
      <c r="B19995" s="3" t="s">
        <v>19997</v>
      </c>
      <c r="C19995" s="3" t="s">
        <v>10</v>
      </c>
      <c r="D19995" s="3" t="s">
        <v>9</v>
      </c>
      <c r="E19995" s="3">
        <v>0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3">
        <v>0</v>
      </c>
      <c r="N19995" s="3">
        <v>0</v>
      </c>
      <c r="O19995" s="3" t="s">
        <v>10</v>
      </c>
      <c r="P19995" s="3" t="s">
        <v>9</v>
      </c>
      <c r="Q19995" s="3"/>
    </row>
    <row r="19996" spans="1:17" ht="15" x14ac:dyDescent="0.25">
      <c r="A19996" s="3">
        <f>19989</f>
        <v>19989</v>
      </c>
      <c r="B19996" s="3" t="s">
        <v>19998</v>
      </c>
      <c r="C19996" s="3" t="s">
        <v>10</v>
      </c>
      <c r="D19996" s="3" t="s">
        <v>9</v>
      </c>
      <c r="E19996" s="3">
        <v>0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0</v>
      </c>
      <c r="M19996" s="3">
        <v>0</v>
      </c>
      <c r="N19996" s="3">
        <v>0</v>
      </c>
      <c r="O19996" s="3" t="s">
        <v>10</v>
      </c>
      <c r="P19996" s="3" t="s">
        <v>9</v>
      </c>
      <c r="Q19996" s="3"/>
    </row>
    <row r="19997" spans="1:17" ht="15" x14ac:dyDescent="0.25">
      <c r="A19997" s="3">
        <f>19990</f>
        <v>19990</v>
      </c>
      <c r="B19997" s="3" t="s">
        <v>19999</v>
      </c>
      <c r="C19997" s="3" t="s">
        <v>10</v>
      </c>
      <c r="D19997" s="3" t="s">
        <v>9</v>
      </c>
      <c r="E19997" s="3">
        <v>0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>
        <v>0</v>
      </c>
      <c r="O19997" s="3" t="s">
        <v>10</v>
      </c>
      <c r="P19997" s="3" t="s">
        <v>9</v>
      </c>
      <c r="Q19997" s="3"/>
    </row>
    <row r="19998" spans="1:17" ht="15" x14ac:dyDescent="0.25">
      <c r="A19998" s="3">
        <f>19991</f>
        <v>19991</v>
      </c>
      <c r="B19998" s="3" t="s">
        <v>20000</v>
      </c>
      <c r="C19998" s="3" t="s">
        <v>10</v>
      </c>
      <c r="D19998" s="3" t="s">
        <v>9</v>
      </c>
      <c r="E19998" s="3">
        <v>0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3">
        <v>0</v>
      </c>
      <c r="N19998" s="3">
        <v>0</v>
      </c>
      <c r="O19998" s="3" t="s">
        <v>10</v>
      </c>
      <c r="P19998" s="3" t="s">
        <v>9</v>
      </c>
      <c r="Q19998" s="3"/>
    </row>
    <row r="19999" spans="1:17" ht="15" x14ac:dyDescent="0.25">
      <c r="A19999" s="3">
        <f>19992</f>
        <v>19992</v>
      </c>
      <c r="B19999" s="3" t="s">
        <v>20001</v>
      </c>
      <c r="C19999" s="3" t="s">
        <v>10</v>
      </c>
      <c r="D19999" s="3" t="s">
        <v>9</v>
      </c>
      <c r="E19999" s="3">
        <v>0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3">
        <v>0</v>
      </c>
      <c r="N19999" s="3">
        <v>0</v>
      </c>
      <c r="O19999" s="3" t="s">
        <v>10</v>
      </c>
      <c r="P19999" s="3" t="s">
        <v>9</v>
      </c>
      <c r="Q19999" s="3"/>
    </row>
    <row r="20000" spans="1:17" ht="15" x14ac:dyDescent="0.25">
      <c r="A20000" s="3">
        <f>19993</f>
        <v>19993</v>
      </c>
      <c r="B20000" s="3" t="s">
        <v>20002</v>
      </c>
      <c r="C20000" s="3" t="s">
        <v>10</v>
      </c>
      <c r="D20000" s="3" t="s">
        <v>9</v>
      </c>
      <c r="E20000" s="3">
        <v>0</v>
      </c>
      <c r="F20000" s="3">
        <v>0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3">
        <v>0</v>
      </c>
      <c r="N20000" s="3">
        <v>0</v>
      </c>
      <c r="O20000" s="3" t="s">
        <v>10</v>
      </c>
      <c r="P20000" s="3" t="s">
        <v>9</v>
      </c>
      <c r="Q20000" s="3"/>
    </row>
    <row r="20001" spans="1:17" ht="15" x14ac:dyDescent="0.25">
      <c r="A20001" s="3">
        <f>19994</f>
        <v>19994</v>
      </c>
      <c r="B20001" s="3" t="s">
        <v>20003</v>
      </c>
      <c r="C20001" s="3" t="s">
        <v>10</v>
      </c>
      <c r="D20001" s="3" t="s">
        <v>9</v>
      </c>
      <c r="E20001" s="3">
        <v>0</v>
      </c>
      <c r="F20001" s="3">
        <v>0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0</v>
      </c>
      <c r="M20001" s="3">
        <v>0</v>
      </c>
      <c r="N20001" s="3">
        <v>0</v>
      </c>
      <c r="O20001" s="3" t="s">
        <v>10</v>
      </c>
      <c r="P20001" s="3" t="s">
        <v>9</v>
      </c>
      <c r="Q20001" s="3"/>
    </row>
    <row r="20002" spans="1:17" ht="15" x14ac:dyDescent="0.25">
      <c r="A20002" s="3">
        <f>19995</f>
        <v>19995</v>
      </c>
      <c r="B20002" s="3" t="s">
        <v>20004</v>
      </c>
      <c r="C20002" s="3" t="s">
        <v>10</v>
      </c>
      <c r="D20002" s="3" t="s">
        <v>9</v>
      </c>
      <c r="E20002" s="3">
        <v>0</v>
      </c>
      <c r="F20002" s="3">
        <v>0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0</v>
      </c>
      <c r="M20002" s="3">
        <v>0</v>
      </c>
      <c r="N20002" s="3">
        <v>0</v>
      </c>
      <c r="O20002" s="3" t="s">
        <v>10</v>
      </c>
      <c r="P20002" s="3" t="s">
        <v>9</v>
      </c>
      <c r="Q20002" s="3"/>
    </row>
    <row r="20003" spans="1:17" ht="15" x14ac:dyDescent="0.25">
      <c r="A20003" s="3">
        <f>19996</f>
        <v>19996</v>
      </c>
      <c r="B20003" s="3" t="s">
        <v>20005</v>
      </c>
      <c r="C20003" s="3" t="s">
        <v>10</v>
      </c>
      <c r="D20003" s="3" t="s">
        <v>9</v>
      </c>
      <c r="E20003" s="3">
        <v>0</v>
      </c>
      <c r="F20003" s="3">
        <v>0</v>
      </c>
      <c r="G20003" s="3">
        <v>0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3">
        <v>0</v>
      </c>
      <c r="N20003" s="3">
        <v>0</v>
      </c>
      <c r="O20003" s="3" t="s">
        <v>10</v>
      </c>
      <c r="P20003" s="3" t="s">
        <v>9</v>
      </c>
      <c r="Q20003" s="3"/>
    </row>
    <row r="20004" spans="1:17" ht="15" x14ac:dyDescent="0.25">
      <c r="A20004" s="3">
        <f>19997</f>
        <v>19997</v>
      </c>
      <c r="B20004" s="3" t="s">
        <v>20006</v>
      </c>
      <c r="C20004" s="3" t="s">
        <v>10</v>
      </c>
      <c r="D20004" s="3" t="s">
        <v>9</v>
      </c>
      <c r="E20004" s="3">
        <v>0</v>
      </c>
      <c r="F20004" s="3">
        <v>0</v>
      </c>
      <c r="G20004" s="3">
        <v>0</v>
      </c>
      <c r="H20004" s="3">
        <v>0</v>
      </c>
      <c r="I20004" s="3">
        <v>0</v>
      </c>
      <c r="J20004" s="3">
        <v>0</v>
      </c>
      <c r="K20004" s="3">
        <v>0</v>
      </c>
      <c r="L20004" s="3">
        <v>0</v>
      </c>
      <c r="M20004" s="3">
        <v>0</v>
      </c>
      <c r="N20004" s="3">
        <v>0</v>
      </c>
      <c r="O20004" s="3" t="s">
        <v>10</v>
      </c>
      <c r="P20004" s="3" t="s">
        <v>9</v>
      </c>
      <c r="Q20004" s="3"/>
    </row>
    <row r="20005" spans="1:17" ht="15" x14ac:dyDescent="0.25">
      <c r="A20005" s="3">
        <f>19998</f>
        <v>19998</v>
      </c>
      <c r="B20005" s="3" t="s">
        <v>20007</v>
      </c>
      <c r="C20005" s="3" t="s">
        <v>10</v>
      </c>
      <c r="D20005" s="3" t="s">
        <v>9</v>
      </c>
      <c r="E20005" s="3">
        <v>0</v>
      </c>
      <c r="F20005" s="3">
        <v>0</v>
      </c>
      <c r="G20005" s="3">
        <v>0</v>
      </c>
      <c r="H20005" s="3">
        <v>0</v>
      </c>
      <c r="I20005" s="3">
        <v>0</v>
      </c>
      <c r="J20005" s="3">
        <v>0</v>
      </c>
      <c r="K20005" s="3">
        <v>0</v>
      </c>
      <c r="L20005" s="3">
        <v>0</v>
      </c>
      <c r="M20005" s="3">
        <v>0</v>
      </c>
      <c r="N20005" s="3">
        <v>0</v>
      </c>
      <c r="O20005" s="3" t="s">
        <v>10</v>
      </c>
      <c r="P20005" s="3" t="s">
        <v>9</v>
      </c>
      <c r="Q20005" s="3"/>
    </row>
    <row r="20006" spans="1:17" ht="15" x14ac:dyDescent="0.25">
      <c r="A20006" s="3">
        <f>19999</f>
        <v>19999</v>
      </c>
      <c r="B20006" s="3" t="s">
        <v>20008</v>
      </c>
      <c r="C20006" s="3" t="s">
        <v>10</v>
      </c>
      <c r="D20006" s="3" t="s">
        <v>9</v>
      </c>
      <c r="E20006" s="3">
        <v>0</v>
      </c>
      <c r="F20006" s="3">
        <v>0</v>
      </c>
      <c r="G20006" s="3">
        <v>0</v>
      </c>
      <c r="H20006" s="3">
        <v>0</v>
      </c>
      <c r="I20006" s="3">
        <v>0</v>
      </c>
      <c r="J20006" s="3">
        <v>0</v>
      </c>
      <c r="K20006" s="3">
        <v>0</v>
      </c>
      <c r="L20006" s="3">
        <v>0</v>
      </c>
      <c r="M20006" s="3">
        <v>0</v>
      </c>
      <c r="N20006" s="3">
        <v>0</v>
      </c>
      <c r="O20006" s="3" t="s">
        <v>10</v>
      </c>
      <c r="P20006" s="3" t="s">
        <v>9</v>
      </c>
      <c r="Q20006" s="3"/>
    </row>
    <row r="20007" spans="1:17" ht="15" x14ac:dyDescent="0.25">
      <c r="A20007" s="3">
        <f>20000</f>
        <v>20000</v>
      </c>
      <c r="B20007" s="3" t="s">
        <v>20009</v>
      </c>
      <c r="C20007" s="3" t="s">
        <v>10</v>
      </c>
      <c r="D20007" s="3" t="s">
        <v>9</v>
      </c>
      <c r="E20007" s="3">
        <v>0</v>
      </c>
      <c r="F20007" s="3">
        <v>0</v>
      </c>
      <c r="G20007" s="3">
        <v>0</v>
      </c>
      <c r="H20007" s="3">
        <v>0</v>
      </c>
      <c r="I20007" s="3">
        <v>0</v>
      </c>
      <c r="J20007" s="3">
        <v>0</v>
      </c>
      <c r="K20007" s="3">
        <v>0</v>
      </c>
      <c r="L20007" s="3">
        <v>0</v>
      </c>
      <c r="M20007" s="3">
        <v>0</v>
      </c>
      <c r="N20007" s="3">
        <v>0</v>
      </c>
      <c r="O20007" s="3" t="s">
        <v>10</v>
      </c>
      <c r="P20007" s="3" t="s">
        <v>9</v>
      </c>
      <c r="Q20007" s="3"/>
    </row>
    <row r="20008" spans="1:17" ht="15" x14ac:dyDescent="0.25">
      <c r="A20008" s="3">
        <f>20001</f>
        <v>20001</v>
      </c>
      <c r="B20008" s="3" t="s">
        <v>20010</v>
      </c>
      <c r="C20008" s="3" t="s">
        <v>10</v>
      </c>
      <c r="D20008" s="3" t="s">
        <v>9</v>
      </c>
      <c r="E20008" s="3">
        <v>0</v>
      </c>
      <c r="F20008" s="3">
        <v>0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  <c r="L20008" s="3">
        <v>0</v>
      </c>
      <c r="M20008" s="3">
        <v>0</v>
      </c>
      <c r="N20008" s="3">
        <v>0</v>
      </c>
      <c r="O20008" s="3" t="s">
        <v>10</v>
      </c>
      <c r="P20008" s="3" t="s">
        <v>9</v>
      </c>
      <c r="Q20008" s="3"/>
    </row>
    <row r="20009" spans="1:17" ht="15" x14ac:dyDescent="0.25">
      <c r="A20009" s="3">
        <f>20002</f>
        <v>20002</v>
      </c>
      <c r="B20009" s="3" t="s">
        <v>20011</v>
      </c>
      <c r="C20009" s="3" t="s">
        <v>10</v>
      </c>
      <c r="D20009" s="3" t="s">
        <v>9</v>
      </c>
      <c r="E20009" s="3">
        <v>0</v>
      </c>
      <c r="F20009" s="3">
        <v>0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  <c r="L20009" s="3">
        <v>0</v>
      </c>
      <c r="M20009" s="3">
        <v>0</v>
      </c>
      <c r="N20009" s="3">
        <v>0</v>
      </c>
      <c r="O20009" s="3" t="s">
        <v>10</v>
      </c>
      <c r="P20009" s="3" t="s">
        <v>9</v>
      </c>
      <c r="Q20009" s="3"/>
    </row>
    <row r="20010" spans="1:17" ht="15" x14ac:dyDescent="0.25">
      <c r="A20010" s="3">
        <f>20003</f>
        <v>20003</v>
      </c>
      <c r="B20010" s="3" t="s">
        <v>20012</v>
      </c>
      <c r="C20010" s="3" t="s">
        <v>10</v>
      </c>
      <c r="D20010" s="3" t="s">
        <v>9</v>
      </c>
      <c r="E20010" s="3">
        <v>0</v>
      </c>
      <c r="F20010" s="3">
        <v>0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 s="3">
        <v>0</v>
      </c>
      <c r="M20010" s="3">
        <v>0</v>
      </c>
      <c r="N20010" s="3">
        <v>0</v>
      </c>
      <c r="O20010" s="3" t="s">
        <v>10</v>
      </c>
      <c r="P20010" s="3" t="s">
        <v>9</v>
      </c>
      <c r="Q20010" s="3"/>
    </row>
    <row r="20011" spans="1:17" ht="15" x14ac:dyDescent="0.25">
      <c r="A20011" s="3">
        <f>20004</f>
        <v>20004</v>
      </c>
      <c r="B20011" s="3" t="s">
        <v>20013</v>
      </c>
      <c r="C20011" s="3" t="s">
        <v>10</v>
      </c>
      <c r="D20011" s="3" t="s">
        <v>9</v>
      </c>
      <c r="E20011" s="3">
        <v>0</v>
      </c>
      <c r="F20011" s="3">
        <v>0</v>
      </c>
      <c r="G20011" s="3">
        <v>0</v>
      </c>
      <c r="H20011" s="3">
        <v>0</v>
      </c>
      <c r="I20011" s="3">
        <v>0</v>
      </c>
      <c r="J20011" s="3">
        <v>0</v>
      </c>
      <c r="K20011" s="3">
        <v>0</v>
      </c>
      <c r="L20011" s="3">
        <v>0</v>
      </c>
      <c r="M20011" s="3">
        <v>0</v>
      </c>
      <c r="N20011" s="3">
        <v>0</v>
      </c>
      <c r="O20011" s="3" t="s">
        <v>10</v>
      </c>
      <c r="P20011" s="3" t="s">
        <v>9</v>
      </c>
      <c r="Q20011" s="3"/>
    </row>
    <row r="20012" spans="1:17" ht="15" x14ac:dyDescent="0.25">
      <c r="A20012" s="3">
        <f>20005</f>
        <v>20005</v>
      </c>
      <c r="B20012" s="3" t="s">
        <v>20014</v>
      </c>
      <c r="C20012" s="3" t="s">
        <v>10</v>
      </c>
      <c r="D20012" s="3" t="s">
        <v>9</v>
      </c>
      <c r="E20012" s="3">
        <v>0</v>
      </c>
      <c r="F20012" s="3">
        <v>0</v>
      </c>
      <c r="G20012" s="3">
        <v>0</v>
      </c>
      <c r="H20012" s="3">
        <v>0</v>
      </c>
      <c r="I20012" s="3">
        <v>0</v>
      </c>
      <c r="J20012" s="3">
        <v>0</v>
      </c>
      <c r="K20012" s="3">
        <v>0</v>
      </c>
      <c r="L20012" s="3">
        <v>0</v>
      </c>
      <c r="M20012" s="3">
        <v>0</v>
      </c>
      <c r="N20012" s="3">
        <v>0</v>
      </c>
      <c r="O20012" s="3" t="s">
        <v>10</v>
      </c>
      <c r="P20012" s="3" t="s">
        <v>9</v>
      </c>
      <c r="Q20012" s="3"/>
    </row>
    <row r="20013" spans="1:17" ht="15" x14ac:dyDescent="0.25">
      <c r="A20013" s="3">
        <f>20006</f>
        <v>20006</v>
      </c>
      <c r="B20013" s="3" t="s">
        <v>20015</v>
      </c>
      <c r="C20013" s="3" t="s">
        <v>10</v>
      </c>
      <c r="D20013" s="3" t="s">
        <v>9</v>
      </c>
      <c r="E20013" s="3">
        <v>0</v>
      </c>
      <c r="F20013" s="3">
        <v>0</v>
      </c>
      <c r="G20013" s="3">
        <v>0</v>
      </c>
      <c r="H20013" s="3">
        <v>0</v>
      </c>
      <c r="I20013" s="3">
        <v>0</v>
      </c>
      <c r="J20013" s="3">
        <v>0</v>
      </c>
      <c r="K20013" s="3">
        <v>0</v>
      </c>
      <c r="L20013" s="3">
        <v>0</v>
      </c>
      <c r="M20013" s="3">
        <v>0</v>
      </c>
      <c r="N20013" s="3">
        <v>0</v>
      </c>
      <c r="O20013" s="3" t="s">
        <v>10</v>
      </c>
      <c r="P20013" s="3" t="s">
        <v>9</v>
      </c>
      <c r="Q20013" s="3"/>
    </row>
    <row r="20014" spans="1:17" ht="15" x14ac:dyDescent="0.25">
      <c r="A20014" s="3">
        <f>20007</f>
        <v>20007</v>
      </c>
      <c r="B20014" s="3" t="s">
        <v>20016</v>
      </c>
      <c r="C20014" s="3" t="s">
        <v>10</v>
      </c>
      <c r="D20014" s="3" t="s">
        <v>9</v>
      </c>
      <c r="E20014" s="3">
        <v>0</v>
      </c>
      <c r="F20014" s="3">
        <v>0</v>
      </c>
      <c r="G20014" s="3">
        <v>0</v>
      </c>
      <c r="H20014" s="3">
        <v>0</v>
      </c>
      <c r="I20014" s="3">
        <v>0</v>
      </c>
      <c r="J20014" s="3">
        <v>0</v>
      </c>
      <c r="K20014" s="3">
        <v>0</v>
      </c>
      <c r="L20014" s="3">
        <v>0</v>
      </c>
      <c r="M20014" s="3">
        <v>0</v>
      </c>
      <c r="N20014" s="3">
        <v>0</v>
      </c>
      <c r="O20014" s="3" t="s">
        <v>10</v>
      </c>
      <c r="P20014" s="3" t="s">
        <v>9</v>
      </c>
      <c r="Q20014" s="3"/>
    </row>
    <row r="20015" spans="1:17" ht="15" x14ac:dyDescent="0.25">
      <c r="A20015" s="3">
        <f>20008</f>
        <v>20008</v>
      </c>
      <c r="B20015" s="3" t="s">
        <v>20017</v>
      </c>
      <c r="C20015" s="3" t="s">
        <v>10</v>
      </c>
      <c r="D20015" s="3" t="s">
        <v>9</v>
      </c>
      <c r="E20015" s="3">
        <v>0</v>
      </c>
      <c r="F20015" s="3">
        <v>0</v>
      </c>
      <c r="G20015" s="3">
        <v>0</v>
      </c>
      <c r="H20015" s="3">
        <v>0</v>
      </c>
      <c r="I20015" s="3">
        <v>0</v>
      </c>
      <c r="J20015" s="3">
        <v>0</v>
      </c>
      <c r="K20015" s="3">
        <v>0</v>
      </c>
      <c r="L20015" s="3">
        <v>0</v>
      </c>
      <c r="M20015" s="3">
        <v>0</v>
      </c>
      <c r="N20015" s="3">
        <v>0</v>
      </c>
      <c r="O20015" s="3" t="s">
        <v>10</v>
      </c>
      <c r="P20015" s="3" t="s">
        <v>9</v>
      </c>
      <c r="Q20015" s="3"/>
    </row>
    <row r="20016" spans="1:17" ht="15" x14ac:dyDescent="0.25">
      <c r="A20016" s="3">
        <f>20009</f>
        <v>20009</v>
      </c>
      <c r="B20016" s="3" t="s">
        <v>20018</v>
      </c>
      <c r="C20016" s="3" t="s">
        <v>10</v>
      </c>
      <c r="D20016" s="3" t="s">
        <v>9</v>
      </c>
      <c r="E20016" s="3">
        <v>0</v>
      </c>
      <c r="F20016" s="3">
        <v>0</v>
      </c>
      <c r="G20016" s="3">
        <v>0</v>
      </c>
      <c r="H20016" s="3">
        <v>0</v>
      </c>
      <c r="I20016" s="3">
        <v>0</v>
      </c>
      <c r="J20016" s="3">
        <v>0</v>
      </c>
      <c r="K20016" s="3">
        <v>0</v>
      </c>
      <c r="L20016" s="3">
        <v>0</v>
      </c>
      <c r="M20016" s="3">
        <v>0</v>
      </c>
      <c r="N20016" s="3">
        <v>0</v>
      </c>
      <c r="O20016" s="3" t="s">
        <v>10</v>
      </c>
      <c r="P20016" s="3" t="s">
        <v>9</v>
      </c>
      <c r="Q20016" s="3"/>
    </row>
    <row r="20017" spans="1:17" ht="15" x14ac:dyDescent="0.25">
      <c r="A20017" s="3">
        <f>20010</f>
        <v>20010</v>
      </c>
      <c r="B20017" s="3" t="s">
        <v>20019</v>
      </c>
      <c r="C20017" s="3" t="s">
        <v>10</v>
      </c>
      <c r="D20017" s="3" t="s">
        <v>9</v>
      </c>
      <c r="E20017" s="3">
        <v>0</v>
      </c>
      <c r="F20017" s="3">
        <v>0</v>
      </c>
      <c r="G20017" s="3">
        <v>0</v>
      </c>
      <c r="H20017" s="3">
        <v>0</v>
      </c>
      <c r="I20017" s="3">
        <v>0</v>
      </c>
      <c r="J20017" s="3">
        <v>0</v>
      </c>
      <c r="K20017" s="3">
        <v>0</v>
      </c>
      <c r="L20017" s="3">
        <v>0</v>
      </c>
      <c r="M20017" s="3">
        <v>0</v>
      </c>
      <c r="N20017" s="3">
        <v>0</v>
      </c>
      <c r="O20017" s="3" t="s">
        <v>10</v>
      </c>
      <c r="P20017" s="3" t="s">
        <v>9</v>
      </c>
      <c r="Q20017" s="3"/>
    </row>
    <row r="20018" spans="1:17" ht="15" x14ac:dyDescent="0.25">
      <c r="A20018" s="3">
        <f>20011</f>
        <v>20011</v>
      </c>
      <c r="B20018" s="3" t="s">
        <v>20020</v>
      </c>
      <c r="C20018" s="3" t="s">
        <v>10</v>
      </c>
      <c r="D20018" s="3" t="s">
        <v>9</v>
      </c>
      <c r="E20018" s="3">
        <v>0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3">
        <v>0</v>
      </c>
      <c r="N20018" s="3">
        <v>0</v>
      </c>
      <c r="O20018" s="3" t="s">
        <v>10</v>
      </c>
      <c r="P20018" s="3" t="s">
        <v>9</v>
      </c>
      <c r="Q20018" s="3"/>
    </row>
    <row r="20019" spans="1:17" ht="15" x14ac:dyDescent="0.25">
      <c r="A20019" s="3">
        <f>20012</f>
        <v>20012</v>
      </c>
      <c r="B20019" s="3" t="s">
        <v>20021</v>
      </c>
      <c r="C20019" s="3" t="s">
        <v>10</v>
      </c>
      <c r="D20019" s="3" t="s">
        <v>9</v>
      </c>
      <c r="E20019" s="3">
        <v>0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3">
        <v>0</v>
      </c>
      <c r="N20019" s="3">
        <v>0</v>
      </c>
      <c r="O20019" s="3" t="s">
        <v>10</v>
      </c>
      <c r="P20019" s="3" t="s">
        <v>9</v>
      </c>
      <c r="Q20019" s="3"/>
    </row>
    <row r="20020" spans="1:17" ht="15" x14ac:dyDescent="0.25">
      <c r="A20020" s="3">
        <f>20013</f>
        <v>20013</v>
      </c>
      <c r="B20020" s="3" t="s">
        <v>20022</v>
      </c>
      <c r="C20020" s="3" t="s">
        <v>10</v>
      </c>
      <c r="D20020" s="3" t="s">
        <v>9</v>
      </c>
      <c r="E20020" s="3">
        <v>0</v>
      </c>
      <c r="F20020" s="3">
        <v>0</v>
      </c>
      <c r="G20020" s="3">
        <v>0</v>
      </c>
      <c r="H20020" s="3">
        <v>0</v>
      </c>
      <c r="I20020" s="3">
        <v>0</v>
      </c>
      <c r="J20020" s="3">
        <v>0</v>
      </c>
      <c r="K20020" s="3">
        <v>0</v>
      </c>
      <c r="L20020" s="3">
        <v>0</v>
      </c>
      <c r="M20020" s="3">
        <v>0</v>
      </c>
      <c r="N20020" s="3">
        <v>0</v>
      </c>
      <c r="O20020" s="3" t="s">
        <v>10</v>
      </c>
      <c r="P20020" s="3" t="s">
        <v>9</v>
      </c>
      <c r="Q20020" s="3"/>
    </row>
    <row r="20021" spans="1:17" ht="15" x14ac:dyDescent="0.25">
      <c r="A20021" s="3">
        <f>20014</f>
        <v>20014</v>
      </c>
      <c r="B20021" s="3" t="s">
        <v>20023</v>
      </c>
      <c r="C20021" s="3" t="s">
        <v>10</v>
      </c>
      <c r="D20021" s="3" t="s">
        <v>9</v>
      </c>
      <c r="E20021" s="3">
        <v>0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3">
        <v>0</v>
      </c>
      <c r="N20021" s="3">
        <v>0</v>
      </c>
      <c r="O20021" s="3" t="s">
        <v>10</v>
      </c>
      <c r="P20021" s="3" t="s">
        <v>9</v>
      </c>
      <c r="Q20021" s="3"/>
    </row>
    <row r="20022" spans="1:17" ht="15" x14ac:dyDescent="0.25">
      <c r="A20022" s="3">
        <f>20015</f>
        <v>20015</v>
      </c>
      <c r="B20022" s="3" t="s">
        <v>20024</v>
      </c>
      <c r="C20022" s="3" t="s">
        <v>10</v>
      </c>
      <c r="D20022" s="3" t="s">
        <v>9</v>
      </c>
      <c r="E20022" s="3">
        <v>0</v>
      </c>
      <c r="F20022" s="3">
        <v>0</v>
      </c>
      <c r="G20022" s="3">
        <v>0</v>
      </c>
      <c r="H20022" s="3">
        <v>0</v>
      </c>
      <c r="I20022" s="3">
        <v>0</v>
      </c>
      <c r="J20022" s="3">
        <v>0</v>
      </c>
      <c r="K20022" s="3">
        <v>0</v>
      </c>
      <c r="L20022" s="3">
        <v>0</v>
      </c>
      <c r="M20022" s="3">
        <v>0</v>
      </c>
      <c r="N20022" s="3">
        <v>0</v>
      </c>
      <c r="O20022" s="3" t="s">
        <v>10</v>
      </c>
      <c r="P20022" s="3" t="s">
        <v>9</v>
      </c>
      <c r="Q20022" s="3"/>
    </row>
    <row r="20023" spans="1:17" ht="15" x14ac:dyDescent="0.25">
      <c r="A20023" s="3">
        <f>20016</f>
        <v>20016</v>
      </c>
      <c r="B20023" s="3" t="s">
        <v>20025</v>
      </c>
      <c r="C20023" s="3" t="s">
        <v>10</v>
      </c>
      <c r="D20023" s="3" t="s">
        <v>9</v>
      </c>
      <c r="E20023" s="3">
        <v>0</v>
      </c>
      <c r="F20023" s="3">
        <v>0</v>
      </c>
      <c r="G20023" s="3">
        <v>0</v>
      </c>
      <c r="H20023" s="3">
        <v>0</v>
      </c>
      <c r="I20023" s="3">
        <v>0</v>
      </c>
      <c r="J20023" s="3">
        <v>0</v>
      </c>
      <c r="K20023" s="3">
        <v>0</v>
      </c>
      <c r="L20023" s="3">
        <v>0</v>
      </c>
      <c r="M20023" s="3">
        <v>0</v>
      </c>
      <c r="N20023" s="3">
        <v>0</v>
      </c>
      <c r="O20023" s="3" t="s">
        <v>10</v>
      </c>
      <c r="P20023" s="3" t="s">
        <v>9</v>
      </c>
      <c r="Q20023" s="3"/>
    </row>
    <row r="20024" spans="1:17" ht="15" x14ac:dyDescent="0.25">
      <c r="A20024" s="3">
        <f>20017</f>
        <v>20017</v>
      </c>
      <c r="B20024" s="3" t="s">
        <v>20026</v>
      </c>
      <c r="C20024" s="3" t="s">
        <v>10</v>
      </c>
      <c r="D20024" s="3" t="s">
        <v>9</v>
      </c>
      <c r="E20024" s="3">
        <v>0</v>
      </c>
      <c r="F20024" s="3">
        <v>0</v>
      </c>
      <c r="G20024" s="3">
        <v>0</v>
      </c>
      <c r="H20024" s="3">
        <v>0</v>
      </c>
      <c r="I20024" s="3">
        <v>0</v>
      </c>
      <c r="J20024" s="3">
        <v>0</v>
      </c>
      <c r="K20024" s="3">
        <v>0</v>
      </c>
      <c r="L20024" s="3">
        <v>0</v>
      </c>
      <c r="M20024" s="3">
        <v>0</v>
      </c>
      <c r="N20024" s="3">
        <v>0</v>
      </c>
      <c r="O20024" s="3" t="s">
        <v>10</v>
      </c>
      <c r="P20024" s="3" t="s">
        <v>9</v>
      </c>
      <c r="Q20024" s="3"/>
    </row>
    <row r="20025" spans="1:17" ht="15" x14ac:dyDescent="0.25">
      <c r="A20025" s="3">
        <f>20018</f>
        <v>20018</v>
      </c>
      <c r="B20025" s="3" t="s">
        <v>20027</v>
      </c>
      <c r="C20025" s="3" t="s">
        <v>10</v>
      </c>
      <c r="D20025" s="3" t="s">
        <v>9</v>
      </c>
      <c r="E20025" s="3">
        <v>0</v>
      </c>
      <c r="F20025" s="3">
        <v>0</v>
      </c>
      <c r="G20025" s="3">
        <v>0</v>
      </c>
      <c r="H20025" s="3">
        <v>0</v>
      </c>
      <c r="I20025" s="3">
        <v>0</v>
      </c>
      <c r="J20025" s="3">
        <v>0</v>
      </c>
      <c r="K20025" s="3">
        <v>0</v>
      </c>
      <c r="L20025" s="3">
        <v>0</v>
      </c>
      <c r="M20025" s="3">
        <v>0</v>
      </c>
      <c r="N20025" s="3">
        <v>0</v>
      </c>
      <c r="O20025" s="3" t="s">
        <v>10</v>
      </c>
      <c r="P20025" s="3" t="s">
        <v>9</v>
      </c>
      <c r="Q20025" s="3"/>
    </row>
    <row r="20026" spans="1:17" ht="15" x14ac:dyDescent="0.25">
      <c r="A20026" s="3">
        <f>20019</f>
        <v>20019</v>
      </c>
      <c r="B20026" s="3" t="s">
        <v>20028</v>
      </c>
      <c r="C20026" s="3" t="s">
        <v>10</v>
      </c>
      <c r="D20026" s="3" t="s">
        <v>9</v>
      </c>
      <c r="E20026" s="3">
        <v>0</v>
      </c>
      <c r="F20026" s="3">
        <v>0</v>
      </c>
      <c r="G20026" s="3">
        <v>0</v>
      </c>
      <c r="H20026" s="3">
        <v>0</v>
      </c>
      <c r="I20026" s="3">
        <v>0</v>
      </c>
      <c r="J20026" s="3">
        <v>0</v>
      </c>
      <c r="K20026" s="3">
        <v>0</v>
      </c>
      <c r="L20026" s="3">
        <v>0</v>
      </c>
      <c r="M20026" s="3">
        <v>0</v>
      </c>
      <c r="N20026" s="3">
        <v>0</v>
      </c>
      <c r="O20026" s="3" t="s">
        <v>10</v>
      </c>
      <c r="P20026" s="3" t="s">
        <v>9</v>
      </c>
      <c r="Q20026" s="3"/>
    </row>
    <row r="20027" spans="1:17" ht="15" x14ac:dyDescent="0.25">
      <c r="A20027" s="3">
        <f>20020</f>
        <v>20020</v>
      </c>
      <c r="B20027" s="3" t="s">
        <v>20029</v>
      </c>
      <c r="C20027" s="3" t="s">
        <v>10</v>
      </c>
      <c r="D20027" s="3" t="s">
        <v>9</v>
      </c>
      <c r="E20027" s="3">
        <v>0</v>
      </c>
      <c r="F20027" s="3">
        <v>0</v>
      </c>
      <c r="G20027" s="3">
        <v>0</v>
      </c>
      <c r="H20027" s="3">
        <v>0</v>
      </c>
      <c r="I20027" s="3">
        <v>0</v>
      </c>
      <c r="J20027" s="3">
        <v>0</v>
      </c>
      <c r="K20027" s="3">
        <v>0</v>
      </c>
      <c r="L20027" s="3">
        <v>0</v>
      </c>
      <c r="M20027" s="3">
        <v>0</v>
      </c>
      <c r="N20027" s="3">
        <v>0</v>
      </c>
      <c r="O20027" s="3" t="s">
        <v>10</v>
      </c>
      <c r="P20027" s="3" t="s">
        <v>9</v>
      </c>
      <c r="Q20027" s="3"/>
    </row>
    <row r="20028" spans="1:17" ht="15" x14ac:dyDescent="0.25">
      <c r="A20028" s="3">
        <f>20021</f>
        <v>20021</v>
      </c>
      <c r="B20028" s="3" t="s">
        <v>20030</v>
      </c>
      <c r="C20028" s="3" t="s">
        <v>10</v>
      </c>
      <c r="D20028" s="3" t="s">
        <v>9</v>
      </c>
      <c r="E20028" s="3">
        <v>0</v>
      </c>
      <c r="F20028" s="3">
        <v>0</v>
      </c>
      <c r="G20028" s="3">
        <v>0</v>
      </c>
      <c r="H20028" s="3">
        <v>0</v>
      </c>
      <c r="I20028" s="3">
        <v>0</v>
      </c>
      <c r="J20028" s="3">
        <v>0</v>
      </c>
      <c r="K20028" s="3">
        <v>0</v>
      </c>
      <c r="L20028" s="3">
        <v>0</v>
      </c>
      <c r="M20028" s="3">
        <v>0</v>
      </c>
      <c r="N20028" s="3">
        <v>0</v>
      </c>
      <c r="O20028" s="3" t="s">
        <v>10</v>
      </c>
      <c r="P20028" s="3" t="s">
        <v>9</v>
      </c>
      <c r="Q20028" s="3"/>
    </row>
    <row r="20029" spans="1:17" ht="15" x14ac:dyDescent="0.25">
      <c r="A20029" s="3">
        <f>20022</f>
        <v>20022</v>
      </c>
      <c r="B20029" s="3" t="s">
        <v>20031</v>
      </c>
      <c r="C20029" s="3" t="s">
        <v>10</v>
      </c>
      <c r="D20029" s="3" t="s">
        <v>9</v>
      </c>
      <c r="E20029" s="3">
        <v>0</v>
      </c>
      <c r="F20029" s="3">
        <v>0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  <c r="L20029" s="3">
        <v>0</v>
      </c>
      <c r="M20029" s="3">
        <v>0</v>
      </c>
      <c r="N20029" s="3">
        <v>0</v>
      </c>
      <c r="O20029" s="3" t="s">
        <v>10</v>
      </c>
      <c r="P20029" s="3" t="s">
        <v>9</v>
      </c>
      <c r="Q20029" s="3"/>
    </row>
    <row r="20030" spans="1:17" ht="15" x14ac:dyDescent="0.25">
      <c r="A20030" s="3">
        <f>20023</f>
        <v>20023</v>
      </c>
      <c r="B20030" s="3" t="s">
        <v>20032</v>
      </c>
      <c r="C20030" s="3" t="s">
        <v>10</v>
      </c>
      <c r="D20030" s="3" t="s">
        <v>9</v>
      </c>
      <c r="E20030" s="3">
        <v>0</v>
      </c>
      <c r="F20030" s="3">
        <v>0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  <c r="L20030" s="3">
        <v>0</v>
      </c>
      <c r="M20030" s="3">
        <v>0</v>
      </c>
      <c r="N20030" s="3">
        <v>0</v>
      </c>
      <c r="O20030" s="3" t="s">
        <v>10</v>
      </c>
      <c r="P20030" s="3" t="s">
        <v>9</v>
      </c>
      <c r="Q20030" s="3"/>
    </row>
    <row r="20031" spans="1:17" ht="15" x14ac:dyDescent="0.25">
      <c r="A20031" s="3">
        <f>20024</f>
        <v>20024</v>
      </c>
      <c r="B20031" s="3" t="s">
        <v>20033</v>
      </c>
      <c r="C20031" s="3" t="s">
        <v>10</v>
      </c>
      <c r="D20031" s="3" t="s">
        <v>9</v>
      </c>
      <c r="E20031" s="3">
        <v>0</v>
      </c>
      <c r="F20031" s="3">
        <v>0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  <c r="L20031" s="3">
        <v>0</v>
      </c>
      <c r="M20031" s="3">
        <v>0</v>
      </c>
      <c r="N20031" s="3">
        <v>0</v>
      </c>
      <c r="O20031" s="3" t="s">
        <v>10</v>
      </c>
      <c r="P20031" s="3" t="s">
        <v>9</v>
      </c>
      <c r="Q20031" s="3"/>
    </row>
    <row r="20032" spans="1:17" ht="15" x14ac:dyDescent="0.25">
      <c r="A20032" s="3">
        <f>20025</f>
        <v>20025</v>
      </c>
      <c r="B20032" s="3" t="s">
        <v>20034</v>
      </c>
      <c r="C20032" s="3" t="s">
        <v>10</v>
      </c>
      <c r="D20032" s="3" t="s">
        <v>9</v>
      </c>
      <c r="E20032" s="3">
        <v>0</v>
      </c>
      <c r="F20032" s="3">
        <v>0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 s="3">
        <v>0</v>
      </c>
      <c r="M20032" s="3">
        <v>0</v>
      </c>
      <c r="N20032" s="3">
        <v>0</v>
      </c>
      <c r="O20032" s="3" t="s">
        <v>10</v>
      </c>
      <c r="P20032" s="3" t="s">
        <v>9</v>
      </c>
      <c r="Q20032" s="3"/>
    </row>
    <row r="20033" spans="1:17" ht="15" x14ac:dyDescent="0.25">
      <c r="A20033" s="3">
        <f>20026</f>
        <v>20026</v>
      </c>
      <c r="B20033" s="3" t="s">
        <v>20035</v>
      </c>
      <c r="C20033" s="3" t="s">
        <v>10</v>
      </c>
      <c r="D20033" s="3" t="s">
        <v>9</v>
      </c>
      <c r="E20033" s="3">
        <v>0</v>
      </c>
      <c r="F20033" s="3">
        <v>0</v>
      </c>
      <c r="G20033" s="3">
        <v>0</v>
      </c>
      <c r="H20033" s="3">
        <v>0</v>
      </c>
      <c r="I20033" s="3">
        <v>0</v>
      </c>
      <c r="J20033" s="3">
        <v>0</v>
      </c>
      <c r="K20033" s="3">
        <v>0</v>
      </c>
      <c r="L20033" s="3">
        <v>0</v>
      </c>
      <c r="M20033" s="3">
        <v>0</v>
      </c>
      <c r="N20033" s="3">
        <v>0</v>
      </c>
      <c r="O20033" s="3" t="s">
        <v>10</v>
      </c>
      <c r="P20033" s="3" t="s">
        <v>9</v>
      </c>
      <c r="Q20033" s="3"/>
    </row>
    <row r="20034" spans="1:17" ht="15" x14ac:dyDescent="0.25">
      <c r="A20034" s="3">
        <f>20027</f>
        <v>20027</v>
      </c>
      <c r="B20034" s="3" t="s">
        <v>20036</v>
      </c>
      <c r="C20034" s="3" t="s">
        <v>10</v>
      </c>
      <c r="D20034" s="3" t="s">
        <v>9</v>
      </c>
      <c r="E20034" s="3">
        <v>0</v>
      </c>
      <c r="F20034" s="3">
        <v>0</v>
      </c>
      <c r="G20034" s="3">
        <v>0</v>
      </c>
      <c r="H20034" s="3">
        <v>0</v>
      </c>
      <c r="I20034" s="3">
        <v>0</v>
      </c>
      <c r="J20034" s="3">
        <v>0</v>
      </c>
      <c r="K20034" s="3">
        <v>0</v>
      </c>
      <c r="L20034" s="3">
        <v>0</v>
      </c>
      <c r="M20034" s="3">
        <v>0</v>
      </c>
      <c r="N20034" s="3">
        <v>0</v>
      </c>
      <c r="O20034" s="3" t="s">
        <v>10</v>
      </c>
      <c r="P20034" s="3" t="s">
        <v>9</v>
      </c>
      <c r="Q20034" s="3"/>
    </row>
    <row r="20035" spans="1:17" ht="15" x14ac:dyDescent="0.25">
      <c r="A20035" s="3">
        <f>20028</f>
        <v>20028</v>
      </c>
      <c r="B20035" s="3" t="s">
        <v>20037</v>
      </c>
      <c r="C20035" s="3" t="s">
        <v>10</v>
      </c>
      <c r="D20035" s="3" t="s">
        <v>9</v>
      </c>
      <c r="E20035" s="3">
        <v>0</v>
      </c>
      <c r="F20035" s="3">
        <v>0</v>
      </c>
      <c r="G20035" s="3">
        <v>0</v>
      </c>
      <c r="H20035" s="3">
        <v>0</v>
      </c>
      <c r="I20035" s="3">
        <v>0</v>
      </c>
      <c r="J20035" s="3">
        <v>0</v>
      </c>
      <c r="K20035" s="3">
        <v>0</v>
      </c>
      <c r="L20035" s="3">
        <v>0</v>
      </c>
      <c r="M20035" s="3">
        <v>0</v>
      </c>
      <c r="N20035" s="3">
        <v>0</v>
      </c>
      <c r="O20035" s="3" t="s">
        <v>10</v>
      </c>
      <c r="P20035" s="3" t="s">
        <v>9</v>
      </c>
      <c r="Q20035" s="3"/>
    </row>
    <row r="20036" spans="1:17" ht="15" x14ac:dyDescent="0.25">
      <c r="A20036" s="3">
        <f>20029</f>
        <v>20029</v>
      </c>
      <c r="B20036" s="3" t="s">
        <v>20038</v>
      </c>
      <c r="C20036" s="3" t="s">
        <v>10</v>
      </c>
      <c r="D20036" s="3" t="s">
        <v>9</v>
      </c>
      <c r="E20036" s="3">
        <v>0</v>
      </c>
      <c r="F20036" s="3">
        <v>0</v>
      </c>
      <c r="G20036" s="3">
        <v>0</v>
      </c>
      <c r="H20036" s="3">
        <v>0</v>
      </c>
      <c r="I20036" s="3">
        <v>0</v>
      </c>
      <c r="J20036" s="3">
        <v>0</v>
      </c>
      <c r="K20036" s="3">
        <v>0</v>
      </c>
      <c r="L20036" s="3">
        <v>0</v>
      </c>
      <c r="M20036" s="3">
        <v>0</v>
      </c>
      <c r="N20036" s="3">
        <v>0</v>
      </c>
      <c r="O20036" s="3" t="s">
        <v>10</v>
      </c>
      <c r="P20036" s="3" t="s">
        <v>9</v>
      </c>
      <c r="Q20036" s="3"/>
    </row>
    <row r="20037" spans="1:17" ht="15" x14ac:dyDescent="0.25">
      <c r="A20037" s="3">
        <f>20030</f>
        <v>20030</v>
      </c>
      <c r="B20037" s="3" t="s">
        <v>20039</v>
      </c>
      <c r="C20037" s="3" t="s">
        <v>10</v>
      </c>
      <c r="D20037" s="3" t="s">
        <v>9</v>
      </c>
      <c r="E20037" s="3">
        <v>0</v>
      </c>
      <c r="F20037" s="3">
        <v>0</v>
      </c>
      <c r="G20037" s="3">
        <v>0</v>
      </c>
      <c r="H20037" s="3">
        <v>0</v>
      </c>
      <c r="I20037" s="3">
        <v>0</v>
      </c>
      <c r="J20037" s="3">
        <v>0</v>
      </c>
      <c r="K20037" s="3">
        <v>0</v>
      </c>
      <c r="L20037" s="3">
        <v>0</v>
      </c>
      <c r="M20037" s="3">
        <v>0</v>
      </c>
      <c r="N20037" s="3">
        <v>0</v>
      </c>
      <c r="O20037" s="3" t="s">
        <v>10</v>
      </c>
      <c r="P20037" s="3" t="s">
        <v>9</v>
      </c>
      <c r="Q20037" s="3"/>
    </row>
    <row r="20038" spans="1:17" ht="15" x14ac:dyDescent="0.25">
      <c r="A20038" s="3">
        <f>20031</f>
        <v>20031</v>
      </c>
      <c r="B20038" s="3" t="s">
        <v>20040</v>
      </c>
      <c r="C20038" s="3" t="s">
        <v>10</v>
      </c>
      <c r="D20038" s="3" t="s">
        <v>9</v>
      </c>
      <c r="E20038" s="3">
        <v>0</v>
      </c>
      <c r="F20038" s="3">
        <v>0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  <c r="L20038" s="3">
        <v>0</v>
      </c>
      <c r="M20038" s="3">
        <v>0</v>
      </c>
      <c r="N20038" s="3">
        <v>0</v>
      </c>
      <c r="O20038" s="3" t="s">
        <v>10</v>
      </c>
      <c r="P20038" s="3" t="s">
        <v>9</v>
      </c>
      <c r="Q20038" s="3"/>
    </row>
    <row r="20039" spans="1:17" ht="15" x14ac:dyDescent="0.25">
      <c r="A20039" s="3">
        <f>20032</f>
        <v>20032</v>
      </c>
      <c r="B20039" s="3" t="s">
        <v>20041</v>
      </c>
      <c r="C20039" s="3" t="s">
        <v>10</v>
      </c>
      <c r="D20039" s="3" t="s">
        <v>9</v>
      </c>
      <c r="E20039" s="3">
        <v>0</v>
      </c>
      <c r="F20039" s="3">
        <v>0</v>
      </c>
      <c r="G20039" s="3">
        <v>0</v>
      </c>
      <c r="H20039" s="3">
        <v>0</v>
      </c>
      <c r="I20039" s="3">
        <v>0</v>
      </c>
      <c r="J20039" s="3">
        <v>0</v>
      </c>
      <c r="K20039" s="3">
        <v>0</v>
      </c>
      <c r="L20039" s="3">
        <v>0</v>
      </c>
      <c r="M20039" s="3">
        <v>0</v>
      </c>
      <c r="N20039" s="3">
        <v>0</v>
      </c>
      <c r="O20039" s="3" t="s">
        <v>10</v>
      </c>
      <c r="P20039" s="3" t="s">
        <v>9</v>
      </c>
      <c r="Q20039" s="3"/>
    </row>
    <row r="20040" spans="1:17" ht="15" x14ac:dyDescent="0.25">
      <c r="A20040" s="3">
        <f>20033</f>
        <v>20033</v>
      </c>
      <c r="B20040" s="3" t="s">
        <v>20042</v>
      </c>
      <c r="C20040" s="3" t="s">
        <v>10</v>
      </c>
      <c r="D20040" s="3" t="s">
        <v>9</v>
      </c>
      <c r="E20040" s="3">
        <v>0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  <c r="L20040" s="3">
        <v>0</v>
      </c>
      <c r="M20040" s="3">
        <v>0</v>
      </c>
      <c r="N20040" s="3">
        <v>0</v>
      </c>
      <c r="O20040" s="3" t="s">
        <v>10</v>
      </c>
      <c r="P20040" s="3" t="s">
        <v>9</v>
      </c>
      <c r="Q20040" s="3"/>
    </row>
    <row r="20041" spans="1:17" ht="15" x14ac:dyDescent="0.25">
      <c r="A20041" s="3">
        <f>20034</f>
        <v>20034</v>
      </c>
      <c r="B20041" s="3" t="s">
        <v>20043</v>
      </c>
      <c r="C20041" s="3" t="s">
        <v>10</v>
      </c>
      <c r="D20041" s="3" t="s">
        <v>9</v>
      </c>
      <c r="E20041" s="3">
        <v>0</v>
      </c>
      <c r="F20041" s="3">
        <v>0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3">
        <v>0</v>
      </c>
      <c r="N20041" s="3">
        <v>0</v>
      </c>
      <c r="O20041" s="3" t="s">
        <v>10</v>
      </c>
      <c r="P20041" s="3" t="s">
        <v>9</v>
      </c>
      <c r="Q20041" s="3"/>
    </row>
    <row r="20042" spans="1:17" ht="15" x14ac:dyDescent="0.25">
      <c r="A20042" s="3">
        <f>20035</f>
        <v>20035</v>
      </c>
      <c r="B20042" s="3" t="s">
        <v>20044</v>
      </c>
      <c r="C20042" s="3" t="s">
        <v>10</v>
      </c>
      <c r="D20042" s="3" t="s">
        <v>9</v>
      </c>
      <c r="E20042" s="3">
        <v>0</v>
      </c>
      <c r="F20042" s="3">
        <v>0</v>
      </c>
      <c r="G20042" s="3">
        <v>0</v>
      </c>
      <c r="H20042" s="3">
        <v>0</v>
      </c>
      <c r="I20042" s="3">
        <v>0</v>
      </c>
      <c r="J20042" s="3">
        <v>0</v>
      </c>
      <c r="K20042" s="3">
        <v>0</v>
      </c>
      <c r="L20042" s="3">
        <v>0</v>
      </c>
      <c r="M20042" s="3">
        <v>0</v>
      </c>
      <c r="N20042" s="3">
        <v>0</v>
      </c>
      <c r="O20042" s="3" t="s">
        <v>10</v>
      </c>
      <c r="P20042" s="3" t="s">
        <v>9</v>
      </c>
      <c r="Q20042" s="3"/>
    </row>
    <row r="20043" spans="1:17" ht="15" x14ac:dyDescent="0.25">
      <c r="A20043" s="3">
        <f>20036</f>
        <v>20036</v>
      </c>
      <c r="B20043" s="3" t="s">
        <v>20045</v>
      </c>
      <c r="C20043" s="3" t="s">
        <v>10</v>
      </c>
      <c r="D20043" s="3" t="s">
        <v>9</v>
      </c>
      <c r="E20043" s="3">
        <v>0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 s="3">
        <v>0</v>
      </c>
      <c r="M20043" s="3">
        <v>0</v>
      </c>
      <c r="N20043" s="3">
        <v>0</v>
      </c>
      <c r="O20043" s="3" t="s">
        <v>10</v>
      </c>
      <c r="P20043" s="3" t="s">
        <v>9</v>
      </c>
      <c r="Q20043" s="3"/>
    </row>
    <row r="20044" spans="1:17" ht="15" x14ac:dyDescent="0.25">
      <c r="A20044" s="3">
        <f>20037</f>
        <v>20037</v>
      </c>
      <c r="B20044" s="3" t="s">
        <v>20046</v>
      </c>
      <c r="C20044" s="3" t="s">
        <v>10</v>
      </c>
      <c r="D20044" s="3" t="s">
        <v>9</v>
      </c>
      <c r="E20044" s="3">
        <v>0</v>
      </c>
      <c r="F20044" s="3">
        <v>0</v>
      </c>
      <c r="G20044" s="3">
        <v>0</v>
      </c>
      <c r="H20044" s="3">
        <v>0</v>
      </c>
      <c r="I20044" s="3">
        <v>0</v>
      </c>
      <c r="J20044" s="3">
        <v>0</v>
      </c>
      <c r="K20044" s="3">
        <v>0</v>
      </c>
      <c r="L20044" s="3">
        <v>0</v>
      </c>
      <c r="M20044" s="3">
        <v>0</v>
      </c>
      <c r="N20044" s="3">
        <v>0</v>
      </c>
      <c r="O20044" s="3" t="s">
        <v>10</v>
      </c>
      <c r="P20044" s="3" t="s">
        <v>9</v>
      </c>
      <c r="Q20044" s="3"/>
    </row>
    <row r="20045" spans="1:17" ht="15" x14ac:dyDescent="0.25">
      <c r="A20045" s="3">
        <f>20038</f>
        <v>20038</v>
      </c>
      <c r="B20045" s="3" t="s">
        <v>20047</v>
      </c>
      <c r="C20045" s="3" t="s">
        <v>10</v>
      </c>
      <c r="D20045" s="3" t="s">
        <v>9</v>
      </c>
      <c r="E20045" s="3">
        <v>0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  <c r="L20045" s="3">
        <v>0</v>
      </c>
      <c r="M20045" s="3">
        <v>0</v>
      </c>
      <c r="N20045" s="3">
        <v>0</v>
      </c>
      <c r="O20045" s="3" t="s">
        <v>10</v>
      </c>
      <c r="P20045" s="3" t="s">
        <v>9</v>
      </c>
      <c r="Q20045" s="3"/>
    </row>
    <row r="20046" spans="1:17" ht="15" x14ac:dyDescent="0.25">
      <c r="A20046" s="3">
        <f>20039</f>
        <v>20039</v>
      </c>
      <c r="B20046" s="3" t="s">
        <v>20048</v>
      </c>
      <c r="C20046" s="3" t="s">
        <v>10</v>
      </c>
      <c r="D20046" s="3" t="s">
        <v>9</v>
      </c>
      <c r="E20046" s="3">
        <v>0</v>
      </c>
      <c r="F20046" s="3">
        <v>0</v>
      </c>
      <c r="G20046" s="3">
        <v>0</v>
      </c>
      <c r="H20046" s="3">
        <v>0</v>
      </c>
      <c r="I20046" s="3">
        <v>0</v>
      </c>
      <c r="J20046" s="3">
        <v>0</v>
      </c>
      <c r="K20046" s="3">
        <v>0</v>
      </c>
      <c r="L20046" s="3">
        <v>0</v>
      </c>
      <c r="M20046" s="3">
        <v>0</v>
      </c>
      <c r="N20046" s="3">
        <v>0</v>
      </c>
      <c r="O20046" s="3" t="s">
        <v>10</v>
      </c>
      <c r="P20046" s="3" t="s">
        <v>9</v>
      </c>
      <c r="Q20046" s="3"/>
    </row>
    <row r="20047" spans="1:17" ht="15" x14ac:dyDescent="0.25">
      <c r="A20047" s="3">
        <f>20040</f>
        <v>20040</v>
      </c>
      <c r="B20047" s="3" t="s">
        <v>20049</v>
      </c>
      <c r="C20047" s="3" t="s">
        <v>10</v>
      </c>
      <c r="D20047" s="3" t="s">
        <v>9</v>
      </c>
      <c r="E20047" s="3">
        <v>0</v>
      </c>
      <c r="F20047" s="3">
        <v>0</v>
      </c>
      <c r="G20047" s="3">
        <v>0</v>
      </c>
      <c r="H20047" s="3">
        <v>0</v>
      </c>
      <c r="I20047" s="3">
        <v>0</v>
      </c>
      <c r="J20047" s="3">
        <v>0</v>
      </c>
      <c r="K20047" s="3">
        <v>0</v>
      </c>
      <c r="L20047" s="3">
        <v>0</v>
      </c>
      <c r="M20047" s="3">
        <v>0</v>
      </c>
      <c r="N20047" s="3">
        <v>0</v>
      </c>
      <c r="O20047" s="3" t="s">
        <v>10</v>
      </c>
      <c r="P20047" s="3" t="s">
        <v>9</v>
      </c>
      <c r="Q20047" s="3"/>
    </row>
    <row r="20048" spans="1:17" ht="15" x14ac:dyDescent="0.25">
      <c r="A20048" s="3">
        <f>20041</f>
        <v>20041</v>
      </c>
      <c r="B20048" s="3" t="s">
        <v>20050</v>
      </c>
      <c r="C20048" s="3" t="s">
        <v>10</v>
      </c>
      <c r="D20048" s="3" t="s">
        <v>9</v>
      </c>
      <c r="E20048" s="3">
        <v>0</v>
      </c>
      <c r="F20048" s="3">
        <v>0</v>
      </c>
      <c r="G20048" s="3">
        <v>0</v>
      </c>
      <c r="H20048" s="3">
        <v>0</v>
      </c>
      <c r="I20048" s="3">
        <v>0</v>
      </c>
      <c r="J20048" s="3">
        <v>0</v>
      </c>
      <c r="K20048" s="3">
        <v>0</v>
      </c>
      <c r="L20048" s="3">
        <v>0</v>
      </c>
      <c r="M20048" s="3">
        <v>0</v>
      </c>
      <c r="N20048" s="3">
        <v>0</v>
      </c>
      <c r="O20048" s="3" t="s">
        <v>10</v>
      </c>
      <c r="P20048" s="3" t="s">
        <v>9</v>
      </c>
      <c r="Q20048" s="3"/>
    </row>
    <row r="20049" spans="1:17" ht="15" x14ac:dyDescent="0.25">
      <c r="A20049" s="3">
        <f>20042</f>
        <v>20042</v>
      </c>
      <c r="B20049" s="3" t="s">
        <v>20051</v>
      </c>
      <c r="C20049" s="3" t="s">
        <v>10</v>
      </c>
      <c r="D20049" s="3" t="s">
        <v>9</v>
      </c>
      <c r="E20049" s="3">
        <v>0</v>
      </c>
      <c r="F20049" s="3">
        <v>0</v>
      </c>
      <c r="G20049" s="3">
        <v>0</v>
      </c>
      <c r="H20049" s="3">
        <v>0</v>
      </c>
      <c r="I20049" s="3">
        <v>0</v>
      </c>
      <c r="J20049" s="3">
        <v>0</v>
      </c>
      <c r="K20049" s="3">
        <v>0</v>
      </c>
      <c r="L20049" s="3">
        <v>0</v>
      </c>
      <c r="M20049" s="3">
        <v>0</v>
      </c>
      <c r="N20049" s="3">
        <v>0</v>
      </c>
      <c r="O20049" s="3" t="s">
        <v>10</v>
      </c>
      <c r="P20049" s="3" t="s">
        <v>9</v>
      </c>
      <c r="Q20049" s="3"/>
    </row>
    <row r="20050" spans="1:17" ht="15" x14ac:dyDescent="0.25">
      <c r="A20050" s="3">
        <f>20043</f>
        <v>20043</v>
      </c>
      <c r="B20050" s="3" t="s">
        <v>20052</v>
      </c>
      <c r="C20050" s="3" t="s">
        <v>10</v>
      </c>
      <c r="D20050" s="3" t="s">
        <v>9</v>
      </c>
      <c r="E20050" s="3">
        <v>0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 t="s">
        <v>10</v>
      </c>
      <c r="P20050" s="3" t="s">
        <v>9</v>
      </c>
      <c r="Q20050" s="3"/>
    </row>
    <row r="20051" spans="1:17" ht="15" x14ac:dyDescent="0.25">
      <c r="A20051" s="3">
        <f>20044</f>
        <v>20044</v>
      </c>
      <c r="B20051" s="3" t="s">
        <v>20053</v>
      </c>
      <c r="C20051" s="3" t="s">
        <v>10</v>
      </c>
      <c r="D20051" s="3" t="s">
        <v>9</v>
      </c>
      <c r="E20051" s="3">
        <v>0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  <c r="L20051" s="3">
        <v>0</v>
      </c>
      <c r="M20051" s="3">
        <v>0</v>
      </c>
      <c r="N20051" s="3">
        <v>0</v>
      </c>
      <c r="O20051" s="3" t="s">
        <v>10</v>
      </c>
      <c r="P20051" s="3" t="s">
        <v>9</v>
      </c>
      <c r="Q20051" s="3"/>
    </row>
    <row r="20052" spans="1:17" ht="15" x14ac:dyDescent="0.25">
      <c r="A20052" s="3">
        <f>20045</f>
        <v>20045</v>
      </c>
      <c r="B20052" s="3" t="s">
        <v>20054</v>
      </c>
      <c r="C20052" s="3" t="s">
        <v>10</v>
      </c>
      <c r="D20052" s="3" t="s">
        <v>9</v>
      </c>
      <c r="E20052" s="3">
        <v>0</v>
      </c>
      <c r="F20052" s="3">
        <v>0</v>
      </c>
      <c r="G20052" s="3">
        <v>0</v>
      </c>
      <c r="H20052" s="3">
        <v>0</v>
      </c>
      <c r="I20052" s="3">
        <v>0</v>
      </c>
      <c r="J20052" s="3">
        <v>0</v>
      </c>
      <c r="K20052" s="3">
        <v>0</v>
      </c>
      <c r="L20052" s="3">
        <v>0</v>
      </c>
      <c r="M20052" s="3">
        <v>0</v>
      </c>
      <c r="N20052" s="3">
        <v>0</v>
      </c>
      <c r="O20052" s="3" t="s">
        <v>10</v>
      </c>
      <c r="P20052" s="3" t="s">
        <v>9</v>
      </c>
      <c r="Q20052" s="3"/>
    </row>
    <row r="20053" spans="1:17" ht="15" x14ac:dyDescent="0.25">
      <c r="A20053" s="3">
        <f>20046</f>
        <v>20046</v>
      </c>
      <c r="B20053" s="3" t="s">
        <v>20055</v>
      </c>
      <c r="C20053" s="3" t="s">
        <v>10</v>
      </c>
      <c r="D20053" s="3" t="s">
        <v>9</v>
      </c>
      <c r="E20053" s="3">
        <v>0</v>
      </c>
      <c r="F20053" s="3">
        <v>0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  <c r="L20053" s="3">
        <v>0</v>
      </c>
      <c r="M20053" s="3">
        <v>0</v>
      </c>
      <c r="N20053" s="3">
        <v>0</v>
      </c>
      <c r="O20053" s="3" t="s">
        <v>10</v>
      </c>
      <c r="P20053" s="3" t="s">
        <v>9</v>
      </c>
      <c r="Q20053" s="3"/>
    </row>
    <row r="20054" spans="1:17" ht="15" x14ac:dyDescent="0.25">
      <c r="A20054" s="3">
        <f>20047</f>
        <v>20047</v>
      </c>
      <c r="B20054" s="3" t="s">
        <v>20056</v>
      </c>
      <c r="C20054" s="3" t="s">
        <v>10</v>
      </c>
      <c r="D20054" s="3" t="s">
        <v>9</v>
      </c>
      <c r="E20054" s="3">
        <v>0</v>
      </c>
      <c r="F20054" s="3">
        <v>0</v>
      </c>
      <c r="G20054" s="3">
        <v>0</v>
      </c>
      <c r="H20054" s="3">
        <v>0</v>
      </c>
      <c r="I20054" s="3">
        <v>0</v>
      </c>
      <c r="J20054" s="3">
        <v>0</v>
      </c>
      <c r="K20054" s="3">
        <v>0</v>
      </c>
      <c r="L20054" s="3">
        <v>0</v>
      </c>
      <c r="M20054" s="3">
        <v>0</v>
      </c>
      <c r="N20054" s="3">
        <v>0</v>
      </c>
      <c r="O20054" s="3" t="s">
        <v>10</v>
      </c>
      <c r="P20054" s="3" t="s">
        <v>9</v>
      </c>
      <c r="Q20054" s="3"/>
    </row>
    <row r="20055" spans="1:17" ht="15" x14ac:dyDescent="0.25">
      <c r="A20055" s="3">
        <f>20048</f>
        <v>20048</v>
      </c>
      <c r="B20055" s="3" t="s">
        <v>20057</v>
      </c>
      <c r="C20055" s="3" t="s">
        <v>10</v>
      </c>
      <c r="D20055" s="3" t="s">
        <v>9</v>
      </c>
      <c r="E20055" s="3">
        <v>0</v>
      </c>
      <c r="F20055" s="3">
        <v>0</v>
      </c>
      <c r="G20055" s="3">
        <v>0</v>
      </c>
      <c r="H20055" s="3">
        <v>0</v>
      </c>
      <c r="I20055" s="3">
        <v>0</v>
      </c>
      <c r="J20055" s="3">
        <v>0</v>
      </c>
      <c r="K20055" s="3">
        <v>0</v>
      </c>
      <c r="L20055" s="3">
        <v>0</v>
      </c>
      <c r="M20055" s="3">
        <v>0</v>
      </c>
      <c r="N20055" s="3">
        <v>0</v>
      </c>
      <c r="O20055" s="3" t="s">
        <v>10</v>
      </c>
      <c r="P20055" s="3" t="s">
        <v>9</v>
      </c>
      <c r="Q20055" s="3"/>
    </row>
    <row r="20056" spans="1:17" ht="15" x14ac:dyDescent="0.25">
      <c r="A20056" s="3">
        <f>20049</f>
        <v>20049</v>
      </c>
      <c r="B20056" s="3" t="s">
        <v>20058</v>
      </c>
      <c r="C20056" s="3" t="s">
        <v>10</v>
      </c>
      <c r="D20056" s="3" t="s">
        <v>9</v>
      </c>
      <c r="E20056" s="3">
        <v>0</v>
      </c>
      <c r="F20056" s="3">
        <v>0</v>
      </c>
      <c r="G20056" s="3">
        <v>0</v>
      </c>
      <c r="H20056" s="3">
        <v>0</v>
      </c>
      <c r="I20056" s="3">
        <v>0</v>
      </c>
      <c r="J20056" s="3">
        <v>0</v>
      </c>
      <c r="K20056" s="3">
        <v>0</v>
      </c>
      <c r="L20056" s="3">
        <v>0</v>
      </c>
      <c r="M20056" s="3">
        <v>0</v>
      </c>
      <c r="N20056" s="3">
        <v>0</v>
      </c>
      <c r="O20056" s="3" t="s">
        <v>10</v>
      </c>
      <c r="P20056" s="3" t="s">
        <v>9</v>
      </c>
      <c r="Q20056" s="3"/>
    </row>
    <row r="20057" spans="1:17" ht="15" x14ac:dyDescent="0.25">
      <c r="A20057" s="3">
        <f>20050</f>
        <v>20050</v>
      </c>
      <c r="B20057" s="3" t="s">
        <v>20059</v>
      </c>
      <c r="C20057" s="3" t="s">
        <v>10</v>
      </c>
      <c r="D20057" s="3" t="s">
        <v>9</v>
      </c>
      <c r="E20057" s="3">
        <v>0</v>
      </c>
      <c r="F20057" s="3">
        <v>0</v>
      </c>
      <c r="G20057" s="3">
        <v>0</v>
      </c>
      <c r="H20057" s="3">
        <v>0</v>
      </c>
      <c r="I20057" s="3">
        <v>0</v>
      </c>
      <c r="J20057" s="3">
        <v>0</v>
      </c>
      <c r="K20057" s="3">
        <v>0</v>
      </c>
      <c r="L20057" s="3">
        <v>0</v>
      </c>
      <c r="M20057" s="3">
        <v>0</v>
      </c>
      <c r="N20057" s="3">
        <v>0</v>
      </c>
      <c r="O20057" s="3" t="s">
        <v>10</v>
      </c>
      <c r="P20057" s="3" t="s">
        <v>9</v>
      </c>
      <c r="Q20057" s="3"/>
    </row>
    <row r="20058" spans="1:17" ht="15" x14ac:dyDescent="0.25">
      <c r="A20058" s="3">
        <f>20051</f>
        <v>20051</v>
      </c>
      <c r="B20058" s="3" t="s">
        <v>20060</v>
      </c>
      <c r="C20058" s="3" t="s">
        <v>10</v>
      </c>
      <c r="D20058" s="3" t="s">
        <v>9</v>
      </c>
      <c r="E20058" s="3">
        <v>0</v>
      </c>
      <c r="F20058" s="3">
        <v>0</v>
      </c>
      <c r="G20058" s="3">
        <v>0</v>
      </c>
      <c r="H20058" s="3">
        <v>0</v>
      </c>
      <c r="I20058" s="3">
        <v>0</v>
      </c>
      <c r="J20058" s="3">
        <v>0</v>
      </c>
      <c r="K20058" s="3">
        <v>0</v>
      </c>
      <c r="L20058" s="3">
        <v>0</v>
      </c>
      <c r="M20058" s="3">
        <v>0</v>
      </c>
      <c r="N20058" s="3">
        <v>0</v>
      </c>
      <c r="O20058" s="3" t="s">
        <v>10</v>
      </c>
      <c r="P20058" s="3" t="s">
        <v>9</v>
      </c>
      <c r="Q20058" s="3"/>
    </row>
    <row r="20059" spans="1:17" ht="15" x14ac:dyDescent="0.25">
      <c r="A20059" s="3">
        <f>20052</f>
        <v>20052</v>
      </c>
      <c r="B20059" s="3" t="s">
        <v>20061</v>
      </c>
      <c r="C20059" s="3" t="s">
        <v>10</v>
      </c>
      <c r="D20059" s="3" t="s">
        <v>9</v>
      </c>
      <c r="E20059" s="3">
        <v>0</v>
      </c>
      <c r="F20059" s="3">
        <v>0</v>
      </c>
      <c r="G20059" s="3">
        <v>0</v>
      </c>
      <c r="H20059" s="3">
        <v>0</v>
      </c>
      <c r="I20059" s="3">
        <v>0</v>
      </c>
      <c r="J20059" s="3">
        <v>0</v>
      </c>
      <c r="K20059" s="3">
        <v>0</v>
      </c>
      <c r="L20059" s="3">
        <v>0</v>
      </c>
      <c r="M20059" s="3">
        <v>0</v>
      </c>
      <c r="N20059" s="3">
        <v>0</v>
      </c>
      <c r="O20059" s="3" t="s">
        <v>10</v>
      </c>
      <c r="P20059" s="3" t="s">
        <v>9</v>
      </c>
      <c r="Q20059" s="3"/>
    </row>
    <row r="20060" spans="1:17" ht="15" x14ac:dyDescent="0.25">
      <c r="A20060" s="3">
        <f>20053</f>
        <v>20053</v>
      </c>
      <c r="B20060" s="3" t="s">
        <v>20062</v>
      </c>
      <c r="C20060" s="3" t="s">
        <v>10</v>
      </c>
      <c r="D20060" s="3" t="s">
        <v>9</v>
      </c>
      <c r="E20060" s="3">
        <v>0</v>
      </c>
      <c r="F20060" s="3">
        <v>0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  <c r="L20060" s="3">
        <v>0</v>
      </c>
      <c r="M20060" s="3">
        <v>0</v>
      </c>
      <c r="N20060" s="3">
        <v>0</v>
      </c>
      <c r="O20060" s="3" t="s">
        <v>10</v>
      </c>
      <c r="P20060" s="3" t="s">
        <v>9</v>
      </c>
      <c r="Q20060" s="3"/>
    </row>
    <row r="20061" spans="1:17" ht="15" x14ac:dyDescent="0.25">
      <c r="A20061" s="3">
        <f>20054</f>
        <v>20054</v>
      </c>
      <c r="B20061" s="3" t="s">
        <v>20063</v>
      </c>
      <c r="C20061" s="3" t="s">
        <v>10</v>
      </c>
      <c r="D20061" s="3" t="s">
        <v>9</v>
      </c>
      <c r="E20061" s="3">
        <v>0</v>
      </c>
      <c r="F20061" s="3">
        <v>0</v>
      </c>
      <c r="G20061" s="3">
        <v>0</v>
      </c>
      <c r="H20061" s="3">
        <v>0</v>
      </c>
      <c r="I20061" s="3">
        <v>0</v>
      </c>
      <c r="J20061" s="3">
        <v>0</v>
      </c>
      <c r="K20061" s="3">
        <v>0</v>
      </c>
      <c r="L20061" s="3">
        <v>0</v>
      </c>
      <c r="M20061" s="3">
        <v>0</v>
      </c>
      <c r="N20061" s="3">
        <v>0</v>
      </c>
      <c r="O20061" s="3" t="s">
        <v>10</v>
      </c>
      <c r="P20061" s="3" t="s">
        <v>9</v>
      </c>
      <c r="Q20061" s="3"/>
    </row>
    <row r="20062" spans="1:17" ht="15" x14ac:dyDescent="0.25">
      <c r="A20062" s="3">
        <f>20055</f>
        <v>20055</v>
      </c>
      <c r="B20062" s="3" t="s">
        <v>20064</v>
      </c>
      <c r="C20062" s="3" t="s">
        <v>10</v>
      </c>
      <c r="D20062" s="3" t="s">
        <v>9</v>
      </c>
      <c r="E20062" s="3">
        <v>0</v>
      </c>
      <c r="F20062" s="3">
        <v>0</v>
      </c>
      <c r="G20062" s="3">
        <v>0</v>
      </c>
      <c r="H20062" s="3">
        <v>0</v>
      </c>
      <c r="I20062" s="3">
        <v>0</v>
      </c>
      <c r="J20062" s="3">
        <v>0</v>
      </c>
      <c r="K20062" s="3">
        <v>0</v>
      </c>
      <c r="L20062" s="3">
        <v>0</v>
      </c>
      <c r="M20062" s="3">
        <v>0</v>
      </c>
      <c r="N20062" s="3">
        <v>0</v>
      </c>
      <c r="O20062" s="3" t="s">
        <v>10</v>
      </c>
      <c r="P20062" s="3" t="s">
        <v>9</v>
      </c>
      <c r="Q20062" s="3"/>
    </row>
    <row r="20063" spans="1:17" ht="15" x14ac:dyDescent="0.25">
      <c r="A20063" s="3">
        <f>20056</f>
        <v>20056</v>
      </c>
      <c r="B20063" s="3" t="s">
        <v>20065</v>
      </c>
      <c r="C20063" s="3" t="s">
        <v>10</v>
      </c>
      <c r="D20063" s="3" t="s">
        <v>9</v>
      </c>
      <c r="E20063" s="3">
        <v>0</v>
      </c>
      <c r="F20063" s="3">
        <v>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  <c r="L20063" s="3">
        <v>0</v>
      </c>
      <c r="M20063" s="3">
        <v>0</v>
      </c>
      <c r="N20063" s="3">
        <v>0</v>
      </c>
      <c r="O20063" s="3" t="s">
        <v>10</v>
      </c>
      <c r="P20063" s="3" t="s">
        <v>9</v>
      </c>
      <c r="Q20063" s="3"/>
    </row>
    <row r="20064" spans="1:17" ht="15" x14ac:dyDescent="0.25">
      <c r="A20064" s="3">
        <f>20057</f>
        <v>20057</v>
      </c>
      <c r="B20064" s="3" t="s">
        <v>20066</v>
      </c>
      <c r="C20064" s="3" t="s">
        <v>10</v>
      </c>
      <c r="D20064" s="3" t="s">
        <v>9</v>
      </c>
      <c r="E20064" s="3">
        <v>0</v>
      </c>
      <c r="F20064" s="3">
        <v>0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  <c r="L20064" s="3">
        <v>0</v>
      </c>
      <c r="M20064" s="3">
        <v>0</v>
      </c>
      <c r="N20064" s="3">
        <v>0</v>
      </c>
      <c r="O20064" s="3" t="s">
        <v>10</v>
      </c>
      <c r="P20064" s="3" t="s">
        <v>9</v>
      </c>
      <c r="Q20064" s="3"/>
    </row>
    <row r="20065" spans="1:17" ht="15" x14ac:dyDescent="0.25">
      <c r="A20065" s="3">
        <f>20058</f>
        <v>20058</v>
      </c>
      <c r="B20065" s="3" t="s">
        <v>20067</v>
      </c>
      <c r="C20065" s="3" t="s">
        <v>10</v>
      </c>
      <c r="D20065" s="3" t="s">
        <v>9</v>
      </c>
      <c r="E20065" s="3">
        <v>0</v>
      </c>
      <c r="F20065" s="3">
        <v>0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  <c r="L20065" s="3">
        <v>0</v>
      </c>
      <c r="M20065" s="3">
        <v>0</v>
      </c>
      <c r="N20065" s="3">
        <v>0</v>
      </c>
      <c r="O20065" s="3" t="s">
        <v>10</v>
      </c>
      <c r="P20065" s="3" t="s">
        <v>9</v>
      </c>
      <c r="Q20065" s="3"/>
    </row>
    <row r="20066" spans="1:17" ht="15" x14ac:dyDescent="0.25">
      <c r="A20066" s="3">
        <f>20059</f>
        <v>20059</v>
      </c>
      <c r="B20066" s="3" t="s">
        <v>20068</v>
      </c>
      <c r="C20066" s="3" t="s">
        <v>10</v>
      </c>
      <c r="D20066" s="3" t="s">
        <v>9</v>
      </c>
      <c r="E20066" s="3">
        <v>0</v>
      </c>
      <c r="F20066" s="3">
        <v>0</v>
      </c>
      <c r="G20066" s="3">
        <v>0</v>
      </c>
      <c r="H20066" s="3">
        <v>0</v>
      </c>
      <c r="I20066" s="3">
        <v>0</v>
      </c>
      <c r="J20066" s="3">
        <v>0</v>
      </c>
      <c r="K20066" s="3">
        <v>0</v>
      </c>
      <c r="L20066" s="3">
        <v>0</v>
      </c>
      <c r="M20066" s="3">
        <v>0</v>
      </c>
      <c r="N20066" s="3">
        <v>0</v>
      </c>
      <c r="O20066" s="3" t="s">
        <v>10</v>
      </c>
      <c r="P20066" s="3" t="s">
        <v>9</v>
      </c>
      <c r="Q20066" s="3"/>
    </row>
    <row r="20067" spans="1:17" ht="15" x14ac:dyDescent="0.25">
      <c r="A20067" s="3">
        <f>20060</f>
        <v>20060</v>
      </c>
      <c r="B20067" s="3" t="s">
        <v>20069</v>
      </c>
      <c r="C20067" s="3" t="s">
        <v>10</v>
      </c>
      <c r="D20067" s="3" t="s">
        <v>9</v>
      </c>
      <c r="E20067" s="3">
        <v>0</v>
      </c>
      <c r="F20067" s="3">
        <v>0</v>
      </c>
      <c r="G20067" s="3">
        <v>0</v>
      </c>
      <c r="H20067" s="3">
        <v>0</v>
      </c>
      <c r="I20067" s="3">
        <v>0</v>
      </c>
      <c r="J20067" s="3">
        <v>0</v>
      </c>
      <c r="K20067" s="3">
        <v>0</v>
      </c>
      <c r="L20067" s="3">
        <v>0</v>
      </c>
      <c r="M20067" s="3">
        <v>0</v>
      </c>
      <c r="N20067" s="3">
        <v>0</v>
      </c>
      <c r="O20067" s="3" t="s">
        <v>10</v>
      </c>
      <c r="P20067" s="3" t="s">
        <v>9</v>
      </c>
      <c r="Q20067" s="3"/>
    </row>
    <row r="20068" spans="1:17" ht="15" x14ac:dyDescent="0.25">
      <c r="A20068" s="3">
        <f>20061</f>
        <v>20061</v>
      </c>
      <c r="B20068" s="3" t="s">
        <v>20070</v>
      </c>
      <c r="C20068" s="3" t="s">
        <v>10</v>
      </c>
      <c r="D20068" s="3" t="s">
        <v>9</v>
      </c>
      <c r="E20068" s="3">
        <v>0</v>
      </c>
      <c r="F20068" s="3">
        <v>0</v>
      </c>
      <c r="G20068" s="3">
        <v>0</v>
      </c>
      <c r="H20068" s="3">
        <v>0</v>
      </c>
      <c r="I20068" s="3">
        <v>0</v>
      </c>
      <c r="J20068" s="3">
        <v>0</v>
      </c>
      <c r="K20068" s="3">
        <v>0</v>
      </c>
      <c r="L20068" s="3">
        <v>0</v>
      </c>
      <c r="M20068" s="3">
        <v>0</v>
      </c>
      <c r="N20068" s="3">
        <v>0</v>
      </c>
      <c r="O20068" s="3" t="s">
        <v>10</v>
      </c>
      <c r="P20068" s="3" t="s">
        <v>9</v>
      </c>
      <c r="Q20068" s="3"/>
    </row>
    <row r="20069" spans="1:17" ht="15" x14ac:dyDescent="0.25">
      <c r="A20069" s="3">
        <f>20062</f>
        <v>20062</v>
      </c>
      <c r="B20069" s="3" t="s">
        <v>20071</v>
      </c>
      <c r="C20069" s="3" t="s">
        <v>10</v>
      </c>
      <c r="D20069" s="3" t="s">
        <v>9</v>
      </c>
      <c r="E20069" s="3">
        <v>0</v>
      </c>
      <c r="F20069" s="3">
        <v>0</v>
      </c>
      <c r="G20069" s="3">
        <v>0</v>
      </c>
      <c r="H20069" s="3">
        <v>0</v>
      </c>
      <c r="I20069" s="3">
        <v>0</v>
      </c>
      <c r="J20069" s="3">
        <v>0</v>
      </c>
      <c r="K20069" s="3">
        <v>0</v>
      </c>
      <c r="L20069" s="3">
        <v>0</v>
      </c>
      <c r="M20069" s="3">
        <v>0</v>
      </c>
      <c r="N20069" s="3">
        <v>0</v>
      </c>
      <c r="O20069" s="3" t="s">
        <v>10</v>
      </c>
      <c r="P20069" s="3" t="s">
        <v>9</v>
      </c>
      <c r="Q20069" s="3"/>
    </row>
    <row r="20070" spans="1:17" ht="15" x14ac:dyDescent="0.25">
      <c r="A20070" s="3">
        <f>20063</f>
        <v>20063</v>
      </c>
      <c r="B20070" s="3" t="s">
        <v>20072</v>
      </c>
      <c r="C20070" s="3" t="s">
        <v>10</v>
      </c>
      <c r="D20070" s="3" t="s">
        <v>9</v>
      </c>
      <c r="E20070" s="3">
        <v>0</v>
      </c>
      <c r="F20070" s="3">
        <v>0</v>
      </c>
      <c r="G20070" s="3">
        <v>0</v>
      </c>
      <c r="H20070" s="3">
        <v>0</v>
      </c>
      <c r="I20070" s="3">
        <v>0</v>
      </c>
      <c r="J20070" s="3">
        <v>0</v>
      </c>
      <c r="K20070" s="3">
        <v>0</v>
      </c>
      <c r="L20070" s="3">
        <v>0</v>
      </c>
      <c r="M20070" s="3">
        <v>0</v>
      </c>
      <c r="N20070" s="3">
        <v>0</v>
      </c>
      <c r="O20070" s="3" t="s">
        <v>10</v>
      </c>
      <c r="P20070" s="3" t="s">
        <v>9</v>
      </c>
      <c r="Q20070" s="3"/>
    </row>
    <row r="20071" spans="1:17" ht="15" x14ac:dyDescent="0.25">
      <c r="A20071" s="3">
        <f>20064</f>
        <v>20064</v>
      </c>
      <c r="B20071" s="3" t="s">
        <v>20073</v>
      </c>
      <c r="C20071" s="3" t="s">
        <v>10</v>
      </c>
      <c r="D20071" s="3" t="s">
        <v>9</v>
      </c>
      <c r="E20071" s="3">
        <v>0</v>
      </c>
      <c r="F20071" s="3">
        <v>0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  <c r="L20071" s="3">
        <v>0</v>
      </c>
      <c r="M20071" s="3">
        <v>0</v>
      </c>
      <c r="N20071" s="3">
        <v>0</v>
      </c>
      <c r="O20071" s="3" t="s">
        <v>10</v>
      </c>
      <c r="P20071" s="3" t="s">
        <v>9</v>
      </c>
      <c r="Q20071" s="3"/>
    </row>
    <row r="20072" spans="1:17" ht="15" x14ac:dyDescent="0.25">
      <c r="A20072" s="3">
        <f>20065</f>
        <v>20065</v>
      </c>
      <c r="B20072" s="3" t="s">
        <v>20074</v>
      </c>
      <c r="C20072" s="3" t="s">
        <v>10</v>
      </c>
      <c r="D20072" s="3" t="s">
        <v>9</v>
      </c>
      <c r="E20072" s="3">
        <v>0</v>
      </c>
      <c r="F20072" s="3">
        <v>0</v>
      </c>
      <c r="G20072" s="3">
        <v>0</v>
      </c>
      <c r="H20072" s="3">
        <v>0</v>
      </c>
      <c r="I20072" s="3">
        <v>0</v>
      </c>
      <c r="J20072" s="3">
        <v>0</v>
      </c>
      <c r="K20072" s="3">
        <v>0</v>
      </c>
      <c r="L20072" s="3">
        <v>0</v>
      </c>
      <c r="M20072" s="3">
        <v>0</v>
      </c>
      <c r="N20072" s="3">
        <v>0</v>
      </c>
      <c r="O20072" s="3" t="s">
        <v>10</v>
      </c>
      <c r="P20072" s="3" t="s">
        <v>9</v>
      </c>
      <c r="Q20072" s="3"/>
    </row>
    <row r="20073" spans="1:17" ht="15" x14ac:dyDescent="0.25">
      <c r="A20073" s="3">
        <f>20066</f>
        <v>20066</v>
      </c>
      <c r="B20073" s="3" t="s">
        <v>20075</v>
      </c>
      <c r="C20073" s="3" t="s">
        <v>10</v>
      </c>
      <c r="D20073" s="3" t="s">
        <v>9</v>
      </c>
      <c r="E20073" s="3">
        <v>0</v>
      </c>
      <c r="F20073" s="3">
        <v>0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  <c r="L20073" s="3">
        <v>0</v>
      </c>
      <c r="M20073" s="3">
        <v>0</v>
      </c>
      <c r="N20073" s="3">
        <v>0</v>
      </c>
      <c r="O20073" s="3" t="s">
        <v>10</v>
      </c>
      <c r="P20073" s="3" t="s">
        <v>9</v>
      </c>
      <c r="Q20073" s="3"/>
    </row>
    <row r="20074" spans="1:17" ht="15" x14ac:dyDescent="0.25">
      <c r="A20074" s="3">
        <f>20067</f>
        <v>20067</v>
      </c>
      <c r="B20074" s="3" t="s">
        <v>20076</v>
      </c>
      <c r="C20074" s="3" t="s">
        <v>10</v>
      </c>
      <c r="D20074" s="3" t="s">
        <v>9</v>
      </c>
      <c r="E20074" s="3">
        <v>0</v>
      </c>
      <c r="F20074" s="3">
        <v>0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  <c r="L20074" s="3">
        <v>0</v>
      </c>
      <c r="M20074" s="3">
        <v>0</v>
      </c>
      <c r="N20074" s="3">
        <v>0</v>
      </c>
      <c r="O20074" s="3" t="s">
        <v>10</v>
      </c>
      <c r="P20074" s="3" t="s">
        <v>9</v>
      </c>
      <c r="Q20074" s="3"/>
    </row>
    <row r="20075" spans="1:17" ht="15" x14ac:dyDescent="0.25">
      <c r="A20075" s="3">
        <f>20068</f>
        <v>20068</v>
      </c>
      <c r="B20075" s="3" t="s">
        <v>20077</v>
      </c>
      <c r="C20075" s="3" t="s">
        <v>10</v>
      </c>
      <c r="D20075" s="3" t="s">
        <v>9</v>
      </c>
      <c r="E20075" s="3">
        <v>0</v>
      </c>
      <c r="F20075" s="3">
        <v>0</v>
      </c>
      <c r="G20075" s="3">
        <v>0</v>
      </c>
      <c r="H20075" s="3">
        <v>0</v>
      </c>
      <c r="I20075" s="3">
        <v>0</v>
      </c>
      <c r="J20075" s="3">
        <v>0</v>
      </c>
      <c r="K20075" s="3">
        <v>0</v>
      </c>
      <c r="L20075" s="3">
        <v>0</v>
      </c>
      <c r="M20075" s="3">
        <v>0</v>
      </c>
      <c r="N20075" s="3">
        <v>0</v>
      </c>
      <c r="O20075" s="3" t="s">
        <v>10</v>
      </c>
      <c r="P20075" s="3" t="s">
        <v>9</v>
      </c>
      <c r="Q20075" s="3"/>
    </row>
    <row r="20076" spans="1:17" ht="15" x14ac:dyDescent="0.25">
      <c r="A20076" s="3">
        <f>20069</f>
        <v>20069</v>
      </c>
      <c r="B20076" s="3" t="s">
        <v>20078</v>
      </c>
      <c r="C20076" s="3" t="s">
        <v>10</v>
      </c>
      <c r="D20076" s="3" t="s">
        <v>9</v>
      </c>
      <c r="E20076" s="3">
        <v>0</v>
      </c>
      <c r="F20076" s="3">
        <v>0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  <c r="L20076" s="3">
        <v>0</v>
      </c>
      <c r="M20076" s="3">
        <v>0</v>
      </c>
      <c r="N20076" s="3">
        <v>0</v>
      </c>
      <c r="O20076" s="3" t="s">
        <v>10</v>
      </c>
      <c r="P20076" s="3" t="s">
        <v>9</v>
      </c>
      <c r="Q20076" s="3"/>
    </row>
    <row r="20077" spans="1:17" ht="15" x14ac:dyDescent="0.25">
      <c r="A20077" s="3">
        <f>20070</f>
        <v>20070</v>
      </c>
      <c r="B20077" s="3" t="s">
        <v>20079</v>
      </c>
      <c r="C20077" s="3" t="s">
        <v>10</v>
      </c>
      <c r="D20077" s="3" t="s">
        <v>9</v>
      </c>
      <c r="E20077" s="3">
        <v>0</v>
      </c>
      <c r="F20077" s="3">
        <v>0</v>
      </c>
      <c r="G20077" s="3">
        <v>0</v>
      </c>
      <c r="H20077" s="3">
        <v>0</v>
      </c>
      <c r="I20077" s="3">
        <v>0</v>
      </c>
      <c r="J20077" s="3">
        <v>0</v>
      </c>
      <c r="K20077" s="3">
        <v>0</v>
      </c>
      <c r="L20077" s="3">
        <v>0</v>
      </c>
      <c r="M20077" s="3">
        <v>0</v>
      </c>
      <c r="N20077" s="3">
        <v>0</v>
      </c>
      <c r="O20077" s="3" t="s">
        <v>10</v>
      </c>
      <c r="P20077" s="3" t="s">
        <v>9</v>
      </c>
      <c r="Q20077" s="3"/>
    </row>
    <row r="20078" spans="1:17" ht="15" x14ac:dyDescent="0.25">
      <c r="A20078" s="3">
        <f>20071</f>
        <v>20071</v>
      </c>
      <c r="B20078" s="3" t="s">
        <v>20080</v>
      </c>
      <c r="C20078" s="3" t="s">
        <v>10</v>
      </c>
      <c r="D20078" s="3" t="s">
        <v>9</v>
      </c>
      <c r="E20078" s="3">
        <v>0</v>
      </c>
      <c r="F20078" s="3">
        <v>0</v>
      </c>
      <c r="G20078" s="3">
        <v>0</v>
      </c>
      <c r="H20078" s="3">
        <v>0</v>
      </c>
      <c r="I20078" s="3">
        <v>0</v>
      </c>
      <c r="J20078" s="3">
        <v>0</v>
      </c>
      <c r="K20078" s="3">
        <v>0</v>
      </c>
      <c r="L20078" s="3">
        <v>0</v>
      </c>
      <c r="M20078" s="3">
        <v>0</v>
      </c>
      <c r="N20078" s="3">
        <v>0</v>
      </c>
      <c r="O20078" s="3" t="s">
        <v>10</v>
      </c>
      <c r="P20078" s="3" t="s">
        <v>9</v>
      </c>
      <c r="Q20078" s="3"/>
    </row>
    <row r="20079" spans="1:17" ht="15" x14ac:dyDescent="0.25">
      <c r="A20079" s="3">
        <f>20072</f>
        <v>20072</v>
      </c>
      <c r="B20079" s="3" t="s">
        <v>20081</v>
      </c>
      <c r="C20079" s="3" t="s">
        <v>10</v>
      </c>
      <c r="D20079" s="3" t="s">
        <v>9</v>
      </c>
      <c r="E20079" s="3">
        <v>0</v>
      </c>
      <c r="F20079" s="3">
        <v>0</v>
      </c>
      <c r="G20079" s="3">
        <v>0</v>
      </c>
      <c r="H20079" s="3">
        <v>0</v>
      </c>
      <c r="I20079" s="3">
        <v>0</v>
      </c>
      <c r="J20079" s="3">
        <v>0</v>
      </c>
      <c r="K20079" s="3">
        <v>0</v>
      </c>
      <c r="L20079" s="3">
        <v>0</v>
      </c>
      <c r="M20079" s="3">
        <v>0</v>
      </c>
      <c r="N20079" s="3">
        <v>0</v>
      </c>
      <c r="O20079" s="3" t="s">
        <v>10</v>
      </c>
      <c r="P20079" s="3" t="s">
        <v>9</v>
      </c>
      <c r="Q20079" s="3"/>
    </row>
    <row r="20080" spans="1:17" ht="15" x14ac:dyDescent="0.25">
      <c r="A20080" s="3">
        <f>20073</f>
        <v>20073</v>
      </c>
      <c r="B20080" s="3" t="s">
        <v>20082</v>
      </c>
      <c r="C20080" s="3" t="s">
        <v>10</v>
      </c>
      <c r="D20080" s="3" t="s">
        <v>9</v>
      </c>
      <c r="E20080" s="3">
        <v>0</v>
      </c>
      <c r="F20080" s="3">
        <v>0</v>
      </c>
      <c r="G20080" s="3">
        <v>0</v>
      </c>
      <c r="H20080" s="3">
        <v>0</v>
      </c>
      <c r="I20080" s="3">
        <v>0</v>
      </c>
      <c r="J20080" s="3">
        <v>0</v>
      </c>
      <c r="K20080" s="3">
        <v>0</v>
      </c>
      <c r="L20080" s="3">
        <v>0</v>
      </c>
      <c r="M20080" s="3">
        <v>0</v>
      </c>
      <c r="N20080" s="3">
        <v>0</v>
      </c>
      <c r="O20080" s="3" t="s">
        <v>10</v>
      </c>
      <c r="P20080" s="3" t="s">
        <v>9</v>
      </c>
      <c r="Q20080" s="3"/>
    </row>
    <row r="20081" spans="1:17" ht="15" x14ac:dyDescent="0.25">
      <c r="A20081" s="3">
        <f>20074</f>
        <v>20074</v>
      </c>
      <c r="B20081" s="3" t="s">
        <v>20083</v>
      </c>
      <c r="C20081" s="3" t="s">
        <v>10</v>
      </c>
      <c r="D20081" s="3" t="s">
        <v>9</v>
      </c>
      <c r="E20081" s="3">
        <v>0</v>
      </c>
      <c r="F20081" s="3">
        <v>0</v>
      </c>
      <c r="G20081" s="3">
        <v>0</v>
      </c>
      <c r="H20081" s="3">
        <v>0</v>
      </c>
      <c r="I20081" s="3">
        <v>0</v>
      </c>
      <c r="J20081" s="3">
        <v>0</v>
      </c>
      <c r="K20081" s="3">
        <v>0</v>
      </c>
      <c r="L20081" s="3">
        <v>0</v>
      </c>
      <c r="M20081" s="3">
        <v>0</v>
      </c>
      <c r="N20081" s="3">
        <v>0</v>
      </c>
      <c r="O20081" s="3" t="s">
        <v>10</v>
      </c>
      <c r="P20081" s="3" t="s">
        <v>9</v>
      </c>
      <c r="Q20081" s="3"/>
    </row>
    <row r="20082" spans="1:17" ht="15" x14ac:dyDescent="0.25">
      <c r="A20082" s="3">
        <f>20075</f>
        <v>20075</v>
      </c>
      <c r="B20082" s="3" t="s">
        <v>20084</v>
      </c>
      <c r="C20082" s="3" t="s">
        <v>10</v>
      </c>
      <c r="D20082" s="3" t="s">
        <v>9</v>
      </c>
      <c r="E20082" s="3">
        <v>0</v>
      </c>
      <c r="F20082" s="3">
        <v>0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  <c r="L20082" s="3">
        <v>0</v>
      </c>
      <c r="M20082" s="3">
        <v>0</v>
      </c>
      <c r="N20082" s="3">
        <v>0</v>
      </c>
      <c r="O20082" s="3" t="s">
        <v>10</v>
      </c>
      <c r="P20082" s="3" t="s">
        <v>9</v>
      </c>
      <c r="Q20082" s="3"/>
    </row>
    <row r="20083" spans="1:17" ht="15" x14ac:dyDescent="0.25">
      <c r="A20083" s="3">
        <f>20076</f>
        <v>20076</v>
      </c>
      <c r="B20083" s="3" t="s">
        <v>20085</v>
      </c>
      <c r="C20083" s="3" t="s">
        <v>10</v>
      </c>
      <c r="D20083" s="3" t="s">
        <v>9</v>
      </c>
      <c r="E20083" s="3">
        <v>0</v>
      </c>
      <c r="F20083" s="3">
        <v>0</v>
      </c>
      <c r="G20083" s="3">
        <v>0</v>
      </c>
      <c r="H20083" s="3">
        <v>0</v>
      </c>
      <c r="I20083" s="3">
        <v>0</v>
      </c>
      <c r="J20083" s="3">
        <v>0</v>
      </c>
      <c r="K20083" s="3">
        <v>0</v>
      </c>
      <c r="L20083" s="3">
        <v>0</v>
      </c>
      <c r="M20083" s="3">
        <v>0</v>
      </c>
      <c r="N20083" s="3">
        <v>0</v>
      </c>
      <c r="O20083" s="3" t="s">
        <v>10</v>
      </c>
      <c r="P20083" s="3" t="s">
        <v>9</v>
      </c>
      <c r="Q20083" s="3"/>
    </row>
    <row r="20084" spans="1:17" ht="15" x14ac:dyDescent="0.25">
      <c r="A20084" s="3">
        <f>20077</f>
        <v>20077</v>
      </c>
      <c r="B20084" s="3" t="s">
        <v>20086</v>
      </c>
      <c r="C20084" s="3" t="s">
        <v>10</v>
      </c>
      <c r="D20084" s="3" t="s">
        <v>9</v>
      </c>
      <c r="E20084" s="3">
        <v>0</v>
      </c>
      <c r="F20084" s="3">
        <v>0</v>
      </c>
      <c r="G20084" s="3">
        <v>0</v>
      </c>
      <c r="H20084" s="3">
        <v>0</v>
      </c>
      <c r="I20084" s="3">
        <v>0</v>
      </c>
      <c r="J20084" s="3">
        <v>0</v>
      </c>
      <c r="K20084" s="3">
        <v>0</v>
      </c>
      <c r="L20084" s="3">
        <v>0</v>
      </c>
      <c r="M20084" s="3">
        <v>0</v>
      </c>
      <c r="N20084" s="3">
        <v>0</v>
      </c>
      <c r="O20084" s="3" t="s">
        <v>10</v>
      </c>
      <c r="P20084" s="3" t="s">
        <v>9</v>
      </c>
      <c r="Q20084" s="3"/>
    </row>
    <row r="20085" spans="1:17" ht="15" x14ac:dyDescent="0.25">
      <c r="A20085" s="3">
        <f>20078</f>
        <v>20078</v>
      </c>
      <c r="B20085" s="3" t="s">
        <v>20087</v>
      </c>
      <c r="C20085" s="3" t="s">
        <v>10</v>
      </c>
      <c r="D20085" s="3" t="s">
        <v>9</v>
      </c>
      <c r="E20085" s="3">
        <v>0</v>
      </c>
      <c r="F20085" s="3">
        <v>0</v>
      </c>
      <c r="G20085" s="3">
        <v>0</v>
      </c>
      <c r="H20085" s="3">
        <v>0</v>
      </c>
      <c r="I20085" s="3">
        <v>0</v>
      </c>
      <c r="J20085" s="3">
        <v>0</v>
      </c>
      <c r="K20085" s="3">
        <v>0</v>
      </c>
      <c r="L20085" s="3">
        <v>0</v>
      </c>
      <c r="M20085" s="3">
        <v>0</v>
      </c>
      <c r="N20085" s="3">
        <v>0</v>
      </c>
      <c r="O20085" s="3" t="s">
        <v>10</v>
      </c>
      <c r="P20085" s="3" t="s">
        <v>9</v>
      </c>
      <c r="Q20085" s="3"/>
    </row>
    <row r="20086" spans="1:17" ht="15" x14ac:dyDescent="0.25">
      <c r="A20086" s="3">
        <f>20079</f>
        <v>20079</v>
      </c>
      <c r="B20086" s="3" t="s">
        <v>20088</v>
      </c>
      <c r="C20086" s="3" t="s">
        <v>10</v>
      </c>
      <c r="D20086" s="3" t="s">
        <v>9</v>
      </c>
      <c r="E20086" s="3">
        <v>0</v>
      </c>
      <c r="F20086" s="3">
        <v>0</v>
      </c>
      <c r="G20086" s="3">
        <v>0</v>
      </c>
      <c r="H20086" s="3">
        <v>0</v>
      </c>
      <c r="I20086" s="3">
        <v>0</v>
      </c>
      <c r="J20086" s="3">
        <v>0</v>
      </c>
      <c r="K20086" s="3">
        <v>0</v>
      </c>
      <c r="L20086" s="3">
        <v>0</v>
      </c>
      <c r="M20086" s="3">
        <v>0</v>
      </c>
      <c r="N20086" s="3">
        <v>0</v>
      </c>
      <c r="O20086" s="3" t="s">
        <v>10</v>
      </c>
      <c r="P20086" s="3" t="s">
        <v>9</v>
      </c>
      <c r="Q20086" s="3"/>
    </row>
    <row r="20087" spans="1:17" ht="15" x14ac:dyDescent="0.25">
      <c r="A20087" s="3">
        <f>20080</f>
        <v>20080</v>
      </c>
      <c r="B20087" s="3" t="s">
        <v>20089</v>
      </c>
      <c r="C20087" s="3" t="s">
        <v>10</v>
      </c>
      <c r="D20087" s="3" t="s">
        <v>9</v>
      </c>
      <c r="E20087" s="3">
        <v>0</v>
      </c>
      <c r="F20087" s="3">
        <v>0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  <c r="L20087" s="3">
        <v>0</v>
      </c>
      <c r="M20087" s="3">
        <v>0</v>
      </c>
      <c r="N20087" s="3">
        <v>0</v>
      </c>
      <c r="O20087" s="3" t="s">
        <v>10</v>
      </c>
      <c r="P20087" s="3" t="s">
        <v>9</v>
      </c>
      <c r="Q20087" s="3"/>
    </row>
    <row r="20088" spans="1:17" ht="15" x14ac:dyDescent="0.25">
      <c r="A20088" s="3">
        <f>20081</f>
        <v>20081</v>
      </c>
      <c r="B20088" s="3" t="s">
        <v>20090</v>
      </c>
      <c r="C20088" s="3" t="s">
        <v>10</v>
      </c>
      <c r="D20088" s="3" t="s">
        <v>9</v>
      </c>
      <c r="E20088" s="3">
        <v>0</v>
      </c>
      <c r="F20088" s="3">
        <v>0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  <c r="L20088" s="3">
        <v>0</v>
      </c>
      <c r="M20088" s="3">
        <v>0</v>
      </c>
      <c r="N20088" s="3">
        <v>0</v>
      </c>
      <c r="O20088" s="3" t="s">
        <v>10</v>
      </c>
      <c r="P20088" s="3" t="s">
        <v>9</v>
      </c>
      <c r="Q20088" s="3"/>
    </row>
    <row r="20089" spans="1:17" ht="15" x14ac:dyDescent="0.25">
      <c r="A20089" s="3">
        <f>20082</f>
        <v>20082</v>
      </c>
      <c r="B20089" s="3" t="s">
        <v>20091</v>
      </c>
      <c r="C20089" s="3" t="s">
        <v>10</v>
      </c>
      <c r="D20089" s="3" t="s">
        <v>9</v>
      </c>
      <c r="E20089" s="3">
        <v>0</v>
      </c>
      <c r="F20089" s="3">
        <v>0</v>
      </c>
      <c r="G20089" s="3">
        <v>0</v>
      </c>
      <c r="H20089" s="3">
        <v>0</v>
      </c>
      <c r="I20089" s="3">
        <v>0</v>
      </c>
      <c r="J20089" s="3">
        <v>0</v>
      </c>
      <c r="K20089" s="3">
        <v>0</v>
      </c>
      <c r="L20089" s="3">
        <v>0</v>
      </c>
      <c r="M20089" s="3">
        <v>0</v>
      </c>
      <c r="N20089" s="3">
        <v>0</v>
      </c>
      <c r="O20089" s="3" t="s">
        <v>10</v>
      </c>
      <c r="P20089" s="3" t="s">
        <v>9</v>
      </c>
      <c r="Q20089" s="3"/>
    </row>
    <row r="20090" spans="1:17" ht="15" x14ac:dyDescent="0.25">
      <c r="A20090" s="3">
        <f>20083</f>
        <v>20083</v>
      </c>
      <c r="B20090" s="3" t="s">
        <v>20092</v>
      </c>
      <c r="C20090" s="3" t="s">
        <v>10</v>
      </c>
      <c r="D20090" s="3" t="s">
        <v>9</v>
      </c>
      <c r="E20090" s="3">
        <v>0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0</v>
      </c>
      <c r="O20090" s="3" t="s">
        <v>10</v>
      </c>
      <c r="P20090" s="3" t="s">
        <v>9</v>
      </c>
      <c r="Q20090" s="3"/>
    </row>
    <row r="20091" spans="1:17" ht="15" x14ac:dyDescent="0.25">
      <c r="A20091" s="3">
        <f>20084</f>
        <v>20084</v>
      </c>
      <c r="B20091" s="3" t="s">
        <v>20093</v>
      </c>
      <c r="C20091" s="3" t="s">
        <v>10</v>
      </c>
      <c r="D20091" s="3" t="s">
        <v>9</v>
      </c>
      <c r="E20091" s="3">
        <v>0</v>
      </c>
      <c r="F20091" s="3">
        <v>0</v>
      </c>
      <c r="G20091" s="3">
        <v>0</v>
      </c>
      <c r="H20091" s="3">
        <v>0</v>
      </c>
      <c r="I20091" s="3">
        <v>0</v>
      </c>
      <c r="J20091" s="3">
        <v>0</v>
      </c>
      <c r="K20091" s="3">
        <v>0</v>
      </c>
      <c r="L20091" s="3">
        <v>0</v>
      </c>
      <c r="M20091" s="3">
        <v>0</v>
      </c>
      <c r="N20091" s="3">
        <v>0</v>
      </c>
      <c r="O20091" s="3" t="s">
        <v>10</v>
      </c>
      <c r="P20091" s="3" t="s">
        <v>9</v>
      </c>
      <c r="Q20091" s="3"/>
    </row>
    <row r="20092" spans="1:17" ht="15" x14ac:dyDescent="0.25">
      <c r="A20092" s="3">
        <f>20085</f>
        <v>20085</v>
      </c>
      <c r="B20092" s="3" t="s">
        <v>20094</v>
      </c>
      <c r="C20092" s="3" t="s">
        <v>10</v>
      </c>
      <c r="D20092" s="3" t="s">
        <v>9</v>
      </c>
      <c r="E20092" s="3">
        <v>0</v>
      </c>
      <c r="F20092" s="3">
        <v>0</v>
      </c>
      <c r="G20092" s="3">
        <v>0</v>
      </c>
      <c r="H20092" s="3">
        <v>0</v>
      </c>
      <c r="I20092" s="3">
        <v>0</v>
      </c>
      <c r="J20092" s="3">
        <v>0</v>
      </c>
      <c r="K20092" s="3">
        <v>0</v>
      </c>
      <c r="L20092" s="3">
        <v>0</v>
      </c>
      <c r="M20092" s="3">
        <v>0</v>
      </c>
      <c r="N20092" s="3">
        <v>0</v>
      </c>
      <c r="O20092" s="3" t="s">
        <v>10</v>
      </c>
      <c r="P20092" s="3" t="s">
        <v>9</v>
      </c>
      <c r="Q20092" s="3"/>
    </row>
    <row r="20093" spans="1:17" ht="15" x14ac:dyDescent="0.25">
      <c r="A20093" s="3">
        <f>20086</f>
        <v>20086</v>
      </c>
      <c r="B20093" s="3" t="s">
        <v>20095</v>
      </c>
      <c r="C20093" s="3" t="s">
        <v>10</v>
      </c>
      <c r="D20093" s="3" t="s">
        <v>9</v>
      </c>
      <c r="E20093" s="3">
        <v>0</v>
      </c>
      <c r="F20093" s="3">
        <v>0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  <c r="L20093" s="3">
        <v>0</v>
      </c>
      <c r="M20093" s="3">
        <v>0</v>
      </c>
      <c r="N20093" s="3">
        <v>0</v>
      </c>
      <c r="O20093" s="3" t="s">
        <v>10</v>
      </c>
      <c r="P20093" s="3" t="s">
        <v>9</v>
      </c>
      <c r="Q20093" s="3"/>
    </row>
    <row r="20094" spans="1:17" ht="15" x14ac:dyDescent="0.25">
      <c r="A20094" s="3">
        <f>20087</f>
        <v>20087</v>
      </c>
      <c r="B20094" s="3" t="s">
        <v>20096</v>
      </c>
      <c r="C20094" s="3" t="s">
        <v>10</v>
      </c>
      <c r="D20094" s="3" t="s">
        <v>9</v>
      </c>
      <c r="E20094" s="3">
        <v>0</v>
      </c>
      <c r="F20094" s="3">
        <v>0</v>
      </c>
      <c r="G20094" s="3">
        <v>0</v>
      </c>
      <c r="H20094" s="3">
        <v>0</v>
      </c>
      <c r="I20094" s="3">
        <v>0</v>
      </c>
      <c r="J20094" s="3">
        <v>0</v>
      </c>
      <c r="K20094" s="3">
        <v>0</v>
      </c>
      <c r="L20094" s="3">
        <v>0</v>
      </c>
      <c r="M20094" s="3">
        <v>0</v>
      </c>
      <c r="N20094" s="3">
        <v>0</v>
      </c>
      <c r="O20094" s="3" t="s">
        <v>10</v>
      </c>
      <c r="P20094" s="3" t="s">
        <v>9</v>
      </c>
      <c r="Q20094" s="3"/>
    </row>
    <row r="20095" spans="1:17" ht="15" x14ac:dyDescent="0.25">
      <c r="A20095" s="3">
        <f>20088</f>
        <v>20088</v>
      </c>
      <c r="B20095" s="3" t="s">
        <v>20097</v>
      </c>
      <c r="C20095" s="3" t="s">
        <v>10</v>
      </c>
      <c r="D20095" s="3" t="s">
        <v>9</v>
      </c>
      <c r="E20095" s="3">
        <v>0</v>
      </c>
      <c r="F20095" s="3">
        <v>0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  <c r="L20095" s="3">
        <v>0</v>
      </c>
      <c r="M20095" s="3">
        <v>0</v>
      </c>
      <c r="N20095" s="3">
        <v>0</v>
      </c>
      <c r="O20095" s="3" t="s">
        <v>10</v>
      </c>
      <c r="P20095" s="3" t="s">
        <v>9</v>
      </c>
      <c r="Q20095" s="3"/>
    </row>
    <row r="20096" spans="1:17" ht="15" x14ac:dyDescent="0.25">
      <c r="A20096" s="3">
        <f>20089</f>
        <v>20089</v>
      </c>
      <c r="B20096" s="3" t="s">
        <v>20098</v>
      </c>
      <c r="C20096" s="3" t="s">
        <v>10</v>
      </c>
      <c r="D20096" s="3" t="s">
        <v>9</v>
      </c>
      <c r="E20096" s="3">
        <v>0</v>
      </c>
      <c r="F20096" s="3">
        <v>0</v>
      </c>
      <c r="G20096" s="3">
        <v>0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3">
        <v>0</v>
      </c>
      <c r="N20096" s="3">
        <v>0</v>
      </c>
      <c r="O20096" s="3" t="s">
        <v>10</v>
      </c>
      <c r="P20096" s="3" t="s">
        <v>9</v>
      </c>
      <c r="Q20096" s="3"/>
    </row>
    <row r="20097" spans="1:17" ht="15" x14ac:dyDescent="0.25">
      <c r="A20097" s="3">
        <f>20090</f>
        <v>20090</v>
      </c>
      <c r="B20097" s="3" t="s">
        <v>20099</v>
      </c>
      <c r="C20097" s="3" t="s">
        <v>10</v>
      </c>
      <c r="D20097" s="3" t="s">
        <v>9</v>
      </c>
      <c r="E20097" s="3">
        <v>0</v>
      </c>
      <c r="F20097" s="3">
        <v>0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  <c r="L20097" s="3">
        <v>0</v>
      </c>
      <c r="M20097" s="3">
        <v>0</v>
      </c>
      <c r="N20097" s="3">
        <v>0</v>
      </c>
      <c r="O20097" s="3" t="s">
        <v>10</v>
      </c>
      <c r="P20097" s="3" t="s">
        <v>9</v>
      </c>
      <c r="Q20097" s="3"/>
    </row>
    <row r="20098" spans="1:17" ht="15" x14ac:dyDescent="0.25">
      <c r="A20098" s="3">
        <f>20091</f>
        <v>20091</v>
      </c>
      <c r="B20098" s="3" t="s">
        <v>20100</v>
      </c>
      <c r="C20098" s="3" t="s">
        <v>10</v>
      </c>
      <c r="D20098" s="3" t="s">
        <v>9</v>
      </c>
      <c r="E20098" s="3">
        <v>0</v>
      </c>
      <c r="F20098" s="3">
        <v>0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 s="3">
        <v>0</v>
      </c>
      <c r="M20098" s="3">
        <v>0</v>
      </c>
      <c r="N20098" s="3">
        <v>0</v>
      </c>
      <c r="O20098" s="3" t="s">
        <v>10</v>
      </c>
      <c r="P20098" s="3" t="s">
        <v>9</v>
      </c>
      <c r="Q20098" s="3"/>
    </row>
    <row r="20099" spans="1:17" ht="15" x14ac:dyDescent="0.25">
      <c r="A20099" s="3">
        <f>20092</f>
        <v>20092</v>
      </c>
      <c r="B20099" s="3" t="s">
        <v>20101</v>
      </c>
      <c r="C20099" s="3" t="s">
        <v>10</v>
      </c>
      <c r="D20099" s="3" t="s">
        <v>9</v>
      </c>
      <c r="E20099" s="3">
        <v>0</v>
      </c>
      <c r="F20099" s="3">
        <v>0</v>
      </c>
      <c r="G20099" s="3">
        <v>0</v>
      </c>
      <c r="H20099" s="3">
        <v>0</v>
      </c>
      <c r="I20099" s="3">
        <v>0</v>
      </c>
      <c r="J20099" s="3">
        <v>0</v>
      </c>
      <c r="K20099" s="3">
        <v>0</v>
      </c>
      <c r="L20099" s="3">
        <v>0</v>
      </c>
      <c r="M20099" s="3">
        <v>0</v>
      </c>
      <c r="N20099" s="3">
        <v>0</v>
      </c>
      <c r="O20099" s="3" t="s">
        <v>10</v>
      </c>
      <c r="P20099" s="3" t="s">
        <v>9</v>
      </c>
      <c r="Q20099" s="3"/>
    </row>
    <row r="20100" spans="1:17" ht="15" x14ac:dyDescent="0.25">
      <c r="A20100" s="3">
        <f>20093</f>
        <v>20093</v>
      </c>
      <c r="B20100" s="3" t="s">
        <v>20102</v>
      </c>
      <c r="C20100" s="3" t="s">
        <v>10</v>
      </c>
      <c r="D20100" s="3" t="s">
        <v>9</v>
      </c>
      <c r="E20100" s="3">
        <v>0</v>
      </c>
      <c r="F20100" s="3">
        <v>0</v>
      </c>
      <c r="G20100" s="3">
        <v>0</v>
      </c>
      <c r="H20100" s="3">
        <v>0</v>
      </c>
      <c r="I20100" s="3">
        <v>0</v>
      </c>
      <c r="J20100" s="3">
        <v>0</v>
      </c>
      <c r="K20100" s="3">
        <v>0</v>
      </c>
      <c r="L20100" s="3">
        <v>0</v>
      </c>
      <c r="M20100" s="3">
        <v>0</v>
      </c>
      <c r="N20100" s="3">
        <v>0</v>
      </c>
      <c r="O20100" s="3" t="s">
        <v>10</v>
      </c>
      <c r="P20100" s="3" t="s">
        <v>9</v>
      </c>
      <c r="Q20100" s="3"/>
    </row>
    <row r="20101" spans="1:17" ht="15" x14ac:dyDescent="0.25">
      <c r="A20101" s="3">
        <f>20094</f>
        <v>20094</v>
      </c>
      <c r="B20101" s="3" t="s">
        <v>20103</v>
      </c>
      <c r="C20101" s="3" t="s">
        <v>10</v>
      </c>
      <c r="D20101" s="3" t="s">
        <v>9</v>
      </c>
      <c r="E20101" s="3">
        <v>0</v>
      </c>
      <c r="F20101" s="3">
        <v>0</v>
      </c>
      <c r="G20101" s="3">
        <v>0</v>
      </c>
      <c r="H20101" s="3">
        <v>0</v>
      </c>
      <c r="I20101" s="3">
        <v>0</v>
      </c>
      <c r="J20101" s="3">
        <v>0</v>
      </c>
      <c r="K20101" s="3">
        <v>0</v>
      </c>
      <c r="L20101" s="3">
        <v>0</v>
      </c>
      <c r="M20101" s="3">
        <v>0</v>
      </c>
      <c r="N20101" s="3">
        <v>0</v>
      </c>
      <c r="O20101" s="3" t="s">
        <v>10</v>
      </c>
      <c r="P20101" s="3" t="s">
        <v>9</v>
      </c>
      <c r="Q20101" s="3"/>
    </row>
    <row r="20102" spans="1:17" ht="15" x14ac:dyDescent="0.25">
      <c r="A20102" s="3">
        <f>20095</f>
        <v>20095</v>
      </c>
      <c r="B20102" s="3" t="s">
        <v>20104</v>
      </c>
      <c r="C20102" s="3" t="s">
        <v>10</v>
      </c>
      <c r="D20102" s="3" t="s">
        <v>9</v>
      </c>
      <c r="E20102" s="3">
        <v>0</v>
      </c>
      <c r="F20102" s="3">
        <v>0</v>
      </c>
      <c r="G20102" s="3">
        <v>0</v>
      </c>
      <c r="H20102" s="3">
        <v>0</v>
      </c>
      <c r="I20102" s="3">
        <v>0</v>
      </c>
      <c r="J20102" s="3">
        <v>0</v>
      </c>
      <c r="K20102" s="3">
        <v>0</v>
      </c>
      <c r="L20102" s="3">
        <v>0</v>
      </c>
      <c r="M20102" s="3">
        <v>0</v>
      </c>
      <c r="N20102" s="3">
        <v>0</v>
      </c>
      <c r="O20102" s="3" t="s">
        <v>10</v>
      </c>
      <c r="P20102" s="3" t="s">
        <v>9</v>
      </c>
      <c r="Q20102" s="3"/>
    </row>
    <row r="20103" spans="1:17" ht="15" x14ac:dyDescent="0.25">
      <c r="A20103" s="3">
        <f>20096</f>
        <v>20096</v>
      </c>
      <c r="B20103" s="3" t="s">
        <v>20105</v>
      </c>
      <c r="C20103" s="3" t="s">
        <v>10</v>
      </c>
      <c r="D20103" s="3" t="s">
        <v>9</v>
      </c>
      <c r="E20103" s="3">
        <v>0</v>
      </c>
      <c r="F20103" s="3">
        <v>0</v>
      </c>
      <c r="G20103" s="3">
        <v>0</v>
      </c>
      <c r="H20103" s="3">
        <v>0</v>
      </c>
      <c r="I20103" s="3">
        <v>0</v>
      </c>
      <c r="J20103" s="3">
        <v>0</v>
      </c>
      <c r="K20103" s="3">
        <v>0</v>
      </c>
      <c r="L20103" s="3">
        <v>0</v>
      </c>
      <c r="M20103" s="3">
        <v>0</v>
      </c>
      <c r="N20103" s="3">
        <v>0</v>
      </c>
      <c r="O20103" s="3" t="s">
        <v>10</v>
      </c>
      <c r="P20103" s="3" t="s">
        <v>9</v>
      </c>
      <c r="Q20103" s="3"/>
    </row>
    <row r="20104" spans="1:17" ht="15" x14ac:dyDescent="0.25">
      <c r="A20104" s="3">
        <f>20097</f>
        <v>20097</v>
      </c>
      <c r="B20104" s="3" t="s">
        <v>20106</v>
      </c>
      <c r="C20104" s="3" t="s">
        <v>10</v>
      </c>
      <c r="D20104" s="3" t="s">
        <v>9</v>
      </c>
      <c r="E20104" s="3">
        <v>0</v>
      </c>
      <c r="F20104" s="3">
        <v>0</v>
      </c>
      <c r="G20104" s="3">
        <v>0</v>
      </c>
      <c r="H20104" s="3">
        <v>0</v>
      </c>
      <c r="I20104" s="3">
        <v>0</v>
      </c>
      <c r="J20104" s="3">
        <v>0</v>
      </c>
      <c r="K20104" s="3">
        <v>0</v>
      </c>
      <c r="L20104" s="3">
        <v>0</v>
      </c>
      <c r="M20104" s="3">
        <v>0</v>
      </c>
      <c r="N20104" s="3">
        <v>0</v>
      </c>
      <c r="O20104" s="3" t="s">
        <v>10</v>
      </c>
      <c r="P20104" s="3" t="s">
        <v>9</v>
      </c>
      <c r="Q20104" s="3"/>
    </row>
    <row r="20105" spans="1:17" ht="15" x14ac:dyDescent="0.25">
      <c r="A20105" s="3">
        <f>20098</f>
        <v>20098</v>
      </c>
      <c r="B20105" s="3" t="s">
        <v>20107</v>
      </c>
      <c r="C20105" s="3" t="s">
        <v>10</v>
      </c>
      <c r="D20105" s="3" t="s">
        <v>9</v>
      </c>
      <c r="E20105" s="3">
        <v>0</v>
      </c>
      <c r="F20105" s="3">
        <v>0</v>
      </c>
      <c r="G20105" s="3">
        <v>0</v>
      </c>
      <c r="H20105" s="3">
        <v>0</v>
      </c>
      <c r="I20105" s="3">
        <v>0</v>
      </c>
      <c r="J20105" s="3">
        <v>0</v>
      </c>
      <c r="K20105" s="3">
        <v>0</v>
      </c>
      <c r="L20105" s="3">
        <v>0</v>
      </c>
      <c r="M20105" s="3">
        <v>0</v>
      </c>
      <c r="N20105" s="3">
        <v>0</v>
      </c>
      <c r="O20105" s="3" t="s">
        <v>10</v>
      </c>
      <c r="P20105" s="3" t="s">
        <v>9</v>
      </c>
      <c r="Q20105" s="3"/>
    </row>
    <row r="20106" spans="1:17" ht="15" x14ac:dyDescent="0.25">
      <c r="A20106" s="3">
        <f>20099</f>
        <v>20099</v>
      </c>
      <c r="B20106" s="3" t="s">
        <v>20108</v>
      </c>
      <c r="C20106" s="3" t="s">
        <v>10</v>
      </c>
      <c r="D20106" s="3" t="s">
        <v>9</v>
      </c>
      <c r="E20106" s="3">
        <v>0</v>
      </c>
      <c r="F20106" s="3">
        <v>0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  <c r="L20106" s="3">
        <v>0</v>
      </c>
      <c r="M20106" s="3">
        <v>0</v>
      </c>
      <c r="N20106" s="3">
        <v>0</v>
      </c>
      <c r="O20106" s="3" t="s">
        <v>10</v>
      </c>
      <c r="P20106" s="3" t="s">
        <v>9</v>
      </c>
      <c r="Q20106" s="3"/>
    </row>
    <row r="20107" spans="1:17" ht="15" x14ac:dyDescent="0.25">
      <c r="A20107" s="3">
        <f>20100</f>
        <v>20100</v>
      </c>
      <c r="B20107" s="3" t="s">
        <v>20109</v>
      </c>
      <c r="C20107" s="3" t="s">
        <v>10</v>
      </c>
      <c r="D20107" s="3" t="s">
        <v>9</v>
      </c>
      <c r="E20107" s="3">
        <v>0</v>
      </c>
      <c r="F20107" s="3">
        <v>0</v>
      </c>
      <c r="G20107" s="3">
        <v>0</v>
      </c>
      <c r="H20107" s="3">
        <v>0</v>
      </c>
      <c r="I20107" s="3">
        <v>0</v>
      </c>
      <c r="J20107" s="3">
        <v>0</v>
      </c>
      <c r="K20107" s="3">
        <v>0</v>
      </c>
      <c r="L20107" s="3">
        <v>0</v>
      </c>
      <c r="M20107" s="3">
        <v>0</v>
      </c>
      <c r="N20107" s="3">
        <v>0</v>
      </c>
      <c r="O20107" s="3" t="s">
        <v>10</v>
      </c>
      <c r="P20107" s="3" t="s">
        <v>9</v>
      </c>
      <c r="Q20107" s="3"/>
    </row>
    <row r="20108" spans="1:17" ht="15" x14ac:dyDescent="0.25">
      <c r="A20108" s="3">
        <f>20101</f>
        <v>20101</v>
      </c>
      <c r="B20108" s="3" t="s">
        <v>20110</v>
      </c>
      <c r="C20108" s="3" t="s">
        <v>10</v>
      </c>
      <c r="D20108" s="3" t="s">
        <v>9</v>
      </c>
      <c r="E20108" s="3">
        <v>0</v>
      </c>
      <c r="F20108" s="3">
        <v>0</v>
      </c>
      <c r="G20108" s="3">
        <v>0</v>
      </c>
      <c r="H20108" s="3">
        <v>0</v>
      </c>
      <c r="I20108" s="3">
        <v>0</v>
      </c>
      <c r="J20108" s="3">
        <v>0</v>
      </c>
      <c r="K20108" s="3">
        <v>0</v>
      </c>
      <c r="L20108" s="3">
        <v>0</v>
      </c>
      <c r="M20108" s="3">
        <v>0</v>
      </c>
      <c r="N20108" s="3">
        <v>0</v>
      </c>
      <c r="O20108" s="3" t="s">
        <v>10</v>
      </c>
      <c r="P20108" s="3" t="s">
        <v>9</v>
      </c>
      <c r="Q20108" s="3"/>
    </row>
    <row r="20109" spans="1:17" ht="15" x14ac:dyDescent="0.25">
      <c r="A20109" s="3">
        <f>20102</f>
        <v>20102</v>
      </c>
      <c r="B20109" s="3" t="s">
        <v>20111</v>
      </c>
      <c r="C20109" s="3" t="s">
        <v>10</v>
      </c>
      <c r="D20109" s="3" t="s">
        <v>9</v>
      </c>
      <c r="E20109" s="3">
        <v>0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 s="3">
        <v>0</v>
      </c>
      <c r="M20109" s="3">
        <v>0</v>
      </c>
      <c r="N20109" s="3">
        <v>0</v>
      </c>
      <c r="O20109" s="3" t="s">
        <v>10</v>
      </c>
      <c r="P20109" s="3" t="s">
        <v>9</v>
      </c>
      <c r="Q20109" s="3"/>
    </row>
    <row r="20110" spans="1:17" ht="15" x14ac:dyDescent="0.25">
      <c r="A20110" s="3">
        <f>20103</f>
        <v>20103</v>
      </c>
      <c r="B20110" s="3" t="s">
        <v>20112</v>
      </c>
      <c r="C20110" s="3" t="s">
        <v>10</v>
      </c>
      <c r="D20110" s="3" t="s">
        <v>9</v>
      </c>
      <c r="E20110" s="3">
        <v>0</v>
      </c>
      <c r="F20110" s="3">
        <v>0</v>
      </c>
      <c r="G20110" s="3">
        <v>0</v>
      </c>
      <c r="H20110" s="3">
        <v>0</v>
      </c>
      <c r="I20110" s="3">
        <v>0</v>
      </c>
      <c r="J20110" s="3">
        <v>0</v>
      </c>
      <c r="K20110" s="3">
        <v>0</v>
      </c>
      <c r="L20110" s="3">
        <v>0</v>
      </c>
      <c r="M20110" s="3">
        <v>0</v>
      </c>
      <c r="N20110" s="3">
        <v>0</v>
      </c>
      <c r="O20110" s="3" t="s">
        <v>10</v>
      </c>
      <c r="P20110" s="3" t="s">
        <v>9</v>
      </c>
      <c r="Q20110" s="3"/>
    </row>
    <row r="20111" spans="1:17" ht="15" x14ac:dyDescent="0.25">
      <c r="A20111" s="3">
        <f>20104</f>
        <v>20104</v>
      </c>
      <c r="B20111" s="3" t="s">
        <v>20113</v>
      </c>
      <c r="C20111" s="3" t="s">
        <v>10</v>
      </c>
      <c r="D20111" s="3" t="s">
        <v>9</v>
      </c>
      <c r="E20111" s="3">
        <v>0</v>
      </c>
      <c r="F20111" s="3">
        <v>0</v>
      </c>
      <c r="G20111" s="3">
        <v>0</v>
      </c>
      <c r="H20111" s="3">
        <v>0</v>
      </c>
      <c r="I20111" s="3">
        <v>0</v>
      </c>
      <c r="J20111" s="3">
        <v>0</v>
      </c>
      <c r="K20111" s="3">
        <v>0</v>
      </c>
      <c r="L20111" s="3">
        <v>0</v>
      </c>
      <c r="M20111" s="3">
        <v>0</v>
      </c>
      <c r="N20111" s="3">
        <v>0</v>
      </c>
      <c r="O20111" s="3" t="s">
        <v>10</v>
      </c>
      <c r="P20111" s="3" t="s">
        <v>9</v>
      </c>
      <c r="Q20111" s="3"/>
    </row>
    <row r="20112" spans="1:17" ht="15" x14ac:dyDescent="0.25">
      <c r="A20112" s="3">
        <f>20105</f>
        <v>20105</v>
      </c>
      <c r="B20112" s="3" t="s">
        <v>20114</v>
      </c>
      <c r="C20112" s="3" t="s">
        <v>10</v>
      </c>
      <c r="D20112" s="3" t="s">
        <v>9</v>
      </c>
      <c r="E20112" s="3">
        <v>0</v>
      </c>
      <c r="F20112" s="3">
        <v>0</v>
      </c>
      <c r="G20112" s="3">
        <v>0</v>
      </c>
      <c r="H20112" s="3">
        <v>0</v>
      </c>
      <c r="I20112" s="3">
        <v>0</v>
      </c>
      <c r="J20112" s="3">
        <v>0</v>
      </c>
      <c r="K20112" s="3">
        <v>0</v>
      </c>
      <c r="L20112" s="3">
        <v>0</v>
      </c>
      <c r="M20112" s="3">
        <v>0</v>
      </c>
      <c r="N20112" s="3">
        <v>0</v>
      </c>
      <c r="O20112" s="3" t="s">
        <v>10</v>
      </c>
      <c r="P20112" s="3" t="s">
        <v>9</v>
      </c>
      <c r="Q20112" s="3"/>
    </row>
    <row r="20113" spans="1:17" ht="15" x14ac:dyDescent="0.25">
      <c r="A20113" s="3">
        <f>20106</f>
        <v>20106</v>
      </c>
      <c r="B20113" s="3" t="s">
        <v>20115</v>
      </c>
      <c r="C20113" s="3" t="s">
        <v>10</v>
      </c>
      <c r="D20113" s="3" t="s">
        <v>9</v>
      </c>
      <c r="E20113" s="3">
        <v>0</v>
      </c>
      <c r="F20113" s="3">
        <v>0</v>
      </c>
      <c r="G20113" s="3">
        <v>0</v>
      </c>
      <c r="H20113" s="3">
        <v>0</v>
      </c>
      <c r="I20113" s="3">
        <v>0</v>
      </c>
      <c r="J20113" s="3">
        <v>0</v>
      </c>
      <c r="K20113" s="3">
        <v>0</v>
      </c>
      <c r="L20113" s="3">
        <v>0</v>
      </c>
      <c r="M20113" s="3">
        <v>0</v>
      </c>
      <c r="N20113" s="3">
        <v>0</v>
      </c>
      <c r="O20113" s="3" t="s">
        <v>10</v>
      </c>
      <c r="P20113" s="3" t="s">
        <v>9</v>
      </c>
      <c r="Q20113" s="3"/>
    </row>
    <row r="20114" spans="1:17" ht="15" x14ac:dyDescent="0.25">
      <c r="A20114" s="3">
        <f>20107</f>
        <v>20107</v>
      </c>
      <c r="B20114" s="3" t="s">
        <v>20116</v>
      </c>
      <c r="C20114" s="3" t="s">
        <v>10</v>
      </c>
      <c r="D20114" s="3" t="s">
        <v>9</v>
      </c>
      <c r="E20114" s="3">
        <v>0</v>
      </c>
      <c r="F20114" s="3">
        <v>0</v>
      </c>
      <c r="G20114" s="3">
        <v>0</v>
      </c>
      <c r="H20114" s="3">
        <v>0</v>
      </c>
      <c r="I20114" s="3">
        <v>0</v>
      </c>
      <c r="J20114" s="3">
        <v>0</v>
      </c>
      <c r="K20114" s="3">
        <v>0</v>
      </c>
      <c r="L20114" s="3">
        <v>0</v>
      </c>
      <c r="M20114" s="3">
        <v>0</v>
      </c>
      <c r="N20114" s="3">
        <v>0</v>
      </c>
      <c r="O20114" s="3" t="s">
        <v>10</v>
      </c>
      <c r="P20114" s="3" t="s">
        <v>9</v>
      </c>
      <c r="Q20114" s="3"/>
    </row>
    <row r="20115" spans="1:17" ht="15" x14ac:dyDescent="0.25">
      <c r="A20115" s="3">
        <f>20108</f>
        <v>20108</v>
      </c>
      <c r="B20115" s="3" t="s">
        <v>20117</v>
      </c>
      <c r="C20115" s="3" t="s">
        <v>10</v>
      </c>
      <c r="D20115" s="3" t="s">
        <v>9</v>
      </c>
      <c r="E20115" s="3">
        <v>0</v>
      </c>
      <c r="F20115" s="3">
        <v>0</v>
      </c>
      <c r="G20115" s="3">
        <v>0</v>
      </c>
      <c r="H20115" s="3">
        <v>0</v>
      </c>
      <c r="I20115" s="3">
        <v>0</v>
      </c>
      <c r="J20115" s="3">
        <v>0</v>
      </c>
      <c r="K20115" s="3">
        <v>0</v>
      </c>
      <c r="L20115" s="3">
        <v>0</v>
      </c>
      <c r="M20115" s="3">
        <v>0</v>
      </c>
      <c r="N20115" s="3">
        <v>0</v>
      </c>
      <c r="O20115" s="3" t="s">
        <v>10</v>
      </c>
      <c r="P20115" s="3" t="s">
        <v>9</v>
      </c>
      <c r="Q20115" s="3"/>
    </row>
    <row r="20116" spans="1:17" ht="15" x14ac:dyDescent="0.25">
      <c r="A20116" s="3">
        <f>20109</f>
        <v>20109</v>
      </c>
      <c r="B20116" s="3" t="s">
        <v>20118</v>
      </c>
      <c r="C20116" s="3" t="s">
        <v>10</v>
      </c>
      <c r="D20116" s="3" t="s">
        <v>9</v>
      </c>
      <c r="E20116" s="3">
        <v>0</v>
      </c>
      <c r="F20116" s="3">
        <v>0</v>
      </c>
      <c r="G20116" s="3">
        <v>0</v>
      </c>
      <c r="H20116" s="3">
        <v>0</v>
      </c>
      <c r="I20116" s="3">
        <v>0</v>
      </c>
      <c r="J20116" s="3">
        <v>0</v>
      </c>
      <c r="K20116" s="3">
        <v>0</v>
      </c>
      <c r="L20116" s="3">
        <v>0</v>
      </c>
      <c r="M20116" s="3">
        <v>0</v>
      </c>
      <c r="N20116" s="3">
        <v>0</v>
      </c>
      <c r="O20116" s="3" t="s">
        <v>10</v>
      </c>
      <c r="P20116" s="3" t="s">
        <v>9</v>
      </c>
      <c r="Q20116" s="3"/>
    </row>
    <row r="20117" spans="1:17" ht="15" x14ac:dyDescent="0.25">
      <c r="A20117" s="3">
        <f>20110</f>
        <v>20110</v>
      </c>
      <c r="B20117" s="3" t="s">
        <v>20119</v>
      </c>
      <c r="C20117" s="3" t="s">
        <v>10</v>
      </c>
      <c r="D20117" s="3" t="s">
        <v>9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3">
        <v>0</v>
      </c>
      <c r="N20117" s="3">
        <v>0</v>
      </c>
      <c r="O20117" s="3" t="s">
        <v>10</v>
      </c>
      <c r="P20117" s="3" t="s">
        <v>9</v>
      </c>
      <c r="Q20117" s="3"/>
    </row>
    <row r="20118" spans="1:17" ht="15" x14ac:dyDescent="0.25">
      <c r="A20118" s="3">
        <f>20111</f>
        <v>20111</v>
      </c>
      <c r="B20118" s="3" t="s">
        <v>20120</v>
      </c>
      <c r="C20118" s="3" t="s">
        <v>10</v>
      </c>
      <c r="D20118" s="3" t="s">
        <v>9</v>
      </c>
      <c r="E20118" s="3">
        <v>0</v>
      </c>
      <c r="F20118" s="3">
        <v>0</v>
      </c>
      <c r="G20118" s="3">
        <v>0</v>
      </c>
      <c r="H20118" s="3">
        <v>0</v>
      </c>
      <c r="I20118" s="3">
        <v>0</v>
      </c>
      <c r="J20118" s="3">
        <v>0</v>
      </c>
      <c r="K20118" s="3">
        <v>0</v>
      </c>
      <c r="L20118" s="3">
        <v>0</v>
      </c>
      <c r="M20118" s="3">
        <v>0</v>
      </c>
      <c r="N20118" s="3">
        <v>0</v>
      </c>
      <c r="O20118" s="3" t="s">
        <v>10</v>
      </c>
      <c r="P20118" s="3" t="s">
        <v>9</v>
      </c>
      <c r="Q20118" s="3"/>
    </row>
    <row r="20119" spans="1:17" ht="15" x14ac:dyDescent="0.25">
      <c r="A20119" s="3">
        <f>20112</f>
        <v>20112</v>
      </c>
      <c r="B20119" s="3" t="s">
        <v>20121</v>
      </c>
      <c r="C20119" s="3" t="s">
        <v>10</v>
      </c>
      <c r="D20119" s="3" t="s">
        <v>9</v>
      </c>
      <c r="E20119" s="3">
        <v>0</v>
      </c>
      <c r="F20119" s="3">
        <v>0</v>
      </c>
      <c r="G20119" s="3">
        <v>0</v>
      </c>
      <c r="H20119" s="3">
        <v>0</v>
      </c>
      <c r="I20119" s="3">
        <v>0</v>
      </c>
      <c r="J20119" s="3">
        <v>0</v>
      </c>
      <c r="K20119" s="3">
        <v>0</v>
      </c>
      <c r="L20119" s="3">
        <v>0</v>
      </c>
      <c r="M20119" s="3">
        <v>0</v>
      </c>
      <c r="N20119" s="3">
        <v>0</v>
      </c>
      <c r="O20119" s="3" t="s">
        <v>10</v>
      </c>
      <c r="P20119" s="3" t="s">
        <v>9</v>
      </c>
      <c r="Q20119" s="3"/>
    </row>
    <row r="20120" spans="1:17" ht="15" x14ac:dyDescent="0.25">
      <c r="A20120" s="3">
        <f>20113</f>
        <v>20113</v>
      </c>
      <c r="B20120" s="3" t="s">
        <v>20122</v>
      </c>
      <c r="C20120" s="3" t="s">
        <v>10</v>
      </c>
      <c r="D20120" s="3" t="s">
        <v>9</v>
      </c>
      <c r="E20120" s="3">
        <v>0</v>
      </c>
      <c r="F20120" s="3">
        <v>0</v>
      </c>
      <c r="G20120" s="3">
        <v>0</v>
      </c>
      <c r="H20120" s="3">
        <v>0</v>
      </c>
      <c r="I20120" s="3">
        <v>0</v>
      </c>
      <c r="J20120" s="3">
        <v>0</v>
      </c>
      <c r="K20120" s="3">
        <v>0</v>
      </c>
      <c r="L20120" s="3">
        <v>0</v>
      </c>
      <c r="M20120" s="3">
        <v>0</v>
      </c>
      <c r="N20120" s="3">
        <v>0</v>
      </c>
      <c r="O20120" s="3" t="s">
        <v>10</v>
      </c>
      <c r="P20120" s="3" t="s">
        <v>9</v>
      </c>
      <c r="Q20120" s="3"/>
    </row>
    <row r="20121" spans="1:17" ht="15" x14ac:dyDescent="0.25">
      <c r="A20121" s="3">
        <f>20114</f>
        <v>20114</v>
      </c>
      <c r="B20121" s="3" t="s">
        <v>20123</v>
      </c>
      <c r="C20121" s="3" t="s">
        <v>10</v>
      </c>
      <c r="D20121" s="3" t="s">
        <v>9</v>
      </c>
      <c r="E20121" s="3">
        <v>0</v>
      </c>
      <c r="F20121" s="3">
        <v>0</v>
      </c>
      <c r="G20121" s="3">
        <v>0</v>
      </c>
      <c r="H20121" s="3">
        <v>0</v>
      </c>
      <c r="I20121" s="3">
        <v>0</v>
      </c>
      <c r="J20121" s="3">
        <v>0</v>
      </c>
      <c r="K20121" s="3">
        <v>0</v>
      </c>
      <c r="L20121" s="3">
        <v>0</v>
      </c>
      <c r="M20121" s="3">
        <v>0</v>
      </c>
      <c r="N20121" s="3">
        <v>0</v>
      </c>
      <c r="O20121" s="3" t="s">
        <v>10</v>
      </c>
      <c r="P20121" s="3" t="s">
        <v>9</v>
      </c>
      <c r="Q20121" s="3"/>
    </row>
    <row r="20122" spans="1:17" ht="15" x14ac:dyDescent="0.25">
      <c r="A20122" s="3">
        <f>20115</f>
        <v>20115</v>
      </c>
      <c r="B20122" s="3" t="s">
        <v>20124</v>
      </c>
      <c r="C20122" s="3" t="s">
        <v>10</v>
      </c>
      <c r="D20122" s="3" t="s">
        <v>9</v>
      </c>
      <c r="E20122" s="3">
        <v>0</v>
      </c>
      <c r="F20122" s="3">
        <v>0</v>
      </c>
      <c r="G20122" s="3">
        <v>0</v>
      </c>
      <c r="H20122" s="3">
        <v>0</v>
      </c>
      <c r="I20122" s="3">
        <v>0</v>
      </c>
      <c r="J20122" s="3">
        <v>0</v>
      </c>
      <c r="K20122" s="3">
        <v>0</v>
      </c>
      <c r="L20122" s="3">
        <v>0</v>
      </c>
      <c r="M20122" s="3">
        <v>0</v>
      </c>
      <c r="N20122" s="3">
        <v>0</v>
      </c>
      <c r="O20122" s="3" t="s">
        <v>10</v>
      </c>
      <c r="P20122" s="3" t="s">
        <v>9</v>
      </c>
      <c r="Q20122" s="3"/>
    </row>
    <row r="20123" spans="1:17" ht="15" x14ac:dyDescent="0.25">
      <c r="A20123" s="3">
        <f>20116</f>
        <v>20116</v>
      </c>
      <c r="B20123" s="3" t="s">
        <v>20125</v>
      </c>
      <c r="C20123" s="3" t="s">
        <v>10</v>
      </c>
      <c r="D20123" s="3" t="s">
        <v>9</v>
      </c>
      <c r="E20123" s="3">
        <v>0</v>
      </c>
      <c r="F20123" s="3">
        <v>0</v>
      </c>
      <c r="G20123" s="3">
        <v>0</v>
      </c>
      <c r="H20123" s="3">
        <v>0</v>
      </c>
      <c r="I20123" s="3">
        <v>0</v>
      </c>
      <c r="J20123" s="3">
        <v>0</v>
      </c>
      <c r="K20123" s="3">
        <v>0</v>
      </c>
      <c r="L20123" s="3">
        <v>0</v>
      </c>
      <c r="M20123" s="3">
        <v>0</v>
      </c>
      <c r="N20123" s="3">
        <v>0</v>
      </c>
      <c r="O20123" s="3" t="s">
        <v>10</v>
      </c>
      <c r="P20123" s="3" t="s">
        <v>9</v>
      </c>
      <c r="Q20123" s="3"/>
    </row>
    <row r="20124" spans="1:17" ht="15" x14ac:dyDescent="0.25">
      <c r="A20124" s="3">
        <f>20117</f>
        <v>20117</v>
      </c>
      <c r="B20124" s="3" t="s">
        <v>20126</v>
      </c>
      <c r="C20124" s="3" t="s">
        <v>10</v>
      </c>
      <c r="D20124" s="3" t="s">
        <v>9</v>
      </c>
      <c r="E20124" s="3">
        <v>0</v>
      </c>
      <c r="F20124" s="3">
        <v>0</v>
      </c>
      <c r="G20124" s="3">
        <v>0</v>
      </c>
      <c r="H20124" s="3">
        <v>0</v>
      </c>
      <c r="I20124" s="3">
        <v>0</v>
      </c>
      <c r="J20124" s="3">
        <v>0</v>
      </c>
      <c r="K20124" s="3">
        <v>0</v>
      </c>
      <c r="L20124" s="3">
        <v>0</v>
      </c>
      <c r="M20124" s="3">
        <v>0</v>
      </c>
      <c r="N20124" s="3">
        <v>0</v>
      </c>
      <c r="O20124" s="3" t="s">
        <v>10</v>
      </c>
      <c r="P20124" s="3" t="s">
        <v>9</v>
      </c>
      <c r="Q20124" s="3"/>
    </row>
    <row r="20125" spans="1:17" ht="15" x14ac:dyDescent="0.25">
      <c r="A20125" s="3">
        <f>20118</f>
        <v>20118</v>
      </c>
      <c r="B20125" s="3" t="s">
        <v>20127</v>
      </c>
      <c r="C20125" s="3" t="s">
        <v>10</v>
      </c>
      <c r="D20125" s="3" t="s">
        <v>9</v>
      </c>
      <c r="E20125" s="3">
        <v>0</v>
      </c>
      <c r="F20125" s="3">
        <v>0</v>
      </c>
      <c r="G20125" s="3">
        <v>0</v>
      </c>
      <c r="H20125" s="3">
        <v>0</v>
      </c>
      <c r="I20125" s="3">
        <v>0</v>
      </c>
      <c r="J20125" s="3">
        <v>0</v>
      </c>
      <c r="K20125" s="3">
        <v>0</v>
      </c>
      <c r="L20125" s="3">
        <v>0</v>
      </c>
      <c r="M20125" s="3">
        <v>0</v>
      </c>
      <c r="N20125" s="3">
        <v>0</v>
      </c>
      <c r="O20125" s="3" t="s">
        <v>10</v>
      </c>
      <c r="P20125" s="3" t="s">
        <v>9</v>
      </c>
      <c r="Q20125" s="3"/>
    </row>
    <row r="20126" spans="1:17" ht="15" x14ac:dyDescent="0.25">
      <c r="A20126" s="3">
        <f>20119</f>
        <v>20119</v>
      </c>
      <c r="B20126" s="3" t="s">
        <v>20128</v>
      </c>
      <c r="C20126" s="3" t="s">
        <v>10</v>
      </c>
      <c r="D20126" s="3" t="s">
        <v>9</v>
      </c>
      <c r="E20126" s="3">
        <v>0</v>
      </c>
      <c r="F20126" s="3">
        <v>0</v>
      </c>
      <c r="G20126" s="3">
        <v>0</v>
      </c>
      <c r="H20126" s="3">
        <v>0</v>
      </c>
      <c r="I20126" s="3">
        <v>0</v>
      </c>
      <c r="J20126" s="3">
        <v>0</v>
      </c>
      <c r="K20126" s="3">
        <v>0</v>
      </c>
      <c r="L20126" s="3">
        <v>0</v>
      </c>
      <c r="M20126" s="3">
        <v>0</v>
      </c>
      <c r="N20126" s="3">
        <v>0</v>
      </c>
      <c r="O20126" s="3" t="s">
        <v>10</v>
      </c>
      <c r="P20126" s="3" t="s">
        <v>9</v>
      </c>
      <c r="Q20126" s="3"/>
    </row>
    <row r="20127" spans="1:17" ht="15" x14ac:dyDescent="0.25">
      <c r="A20127" s="3">
        <f>20120</f>
        <v>20120</v>
      </c>
      <c r="B20127" s="3" t="s">
        <v>20129</v>
      </c>
      <c r="C20127" s="3" t="s">
        <v>10</v>
      </c>
      <c r="D20127" s="3" t="s">
        <v>9</v>
      </c>
      <c r="E20127" s="3">
        <v>0</v>
      </c>
      <c r="F20127" s="3">
        <v>0</v>
      </c>
      <c r="G20127" s="3">
        <v>0</v>
      </c>
      <c r="H20127" s="3">
        <v>0</v>
      </c>
      <c r="I20127" s="3">
        <v>0</v>
      </c>
      <c r="J20127" s="3">
        <v>0</v>
      </c>
      <c r="K20127" s="3">
        <v>0</v>
      </c>
      <c r="L20127" s="3">
        <v>0</v>
      </c>
      <c r="M20127" s="3">
        <v>0</v>
      </c>
      <c r="N20127" s="3">
        <v>0</v>
      </c>
      <c r="O20127" s="3" t="s">
        <v>10</v>
      </c>
      <c r="P20127" s="3" t="s">
        <v>9</v>
      </c>
      <c r="Q20127" s="3"/>
    </row>
    <row r="20128" spans="1:17" ht="15" x14ac:dyDescent="0.25">
      <c r="A20128" s="3">
        <f>20121</f>
        <v>20121</v>
      </c>
      <c r="B20128" s="3" t="s">
        <v>20130</v>
      </c>
      <c r="C20128" s="3" t="s">
        <v>10</v>
      </c>
      <c r="D20128" s="3" t="s">
        <v>9</v>
      </c>
      <c r="E20128" s="3">
        <v>0</v>
      </c>
      <c r="F20128" s="3">
        <v>0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  <c r="L20128" s="3">
        <v>0</v>
      </c>
      <c r="M20128" s="3">
        <v>0</v>
      </c>
      <c r="N20128" s="3">
        <v>0</v>
      </c>
      <c r="O20128" s="3" t="s">
        <v>10</v>
      </c>
      <c r="P20128" s="3" t="s">
        <v>9</v>
      </c>
      <c r="Q20128" s="3"/>
    </row>
    <row r="20129" spans="1:17" ht="15" x14ac:dyDescent="0.25">
      <c r="A20129" s="3">
        <f>20122</f>
        <v>20122</v>
      </c>
      <c r="B20129" s="3" t="s">
        <v>20131</v>
      </c>
      <c r="C20129" s="3" t="s">
        <v>10</v>
      </c>
      <c r="D20129" s="3" t="s">
        <v>9</v>
      </c>
      <c r="E20129" s="3">
        <v>0</v>
      </c>
      <c r="F20129" s="3">
        <v>0</v>
      </c>
      <c r="G20129" s="3">
        <v>0</v>
      </c>
      <c r="H20129" s="3">
        <v>0</v>
      </c>
      <c r="I20129" s="3">
        <v>0</v>
      </c>
      <c r="J20129" s="3">
        <v>0</v>
      </c>
      <c r="K20129" s="3">
        <v>0</v>
      </c>
      <c r="L20129" s="3">
        <v>0</v>
      </c>
      <c r="M20129" s="3">
        <v>0</v>
      </c>
      <c r="N20129" s="3">
        <v>0</v>
      </c>
      <c r="O20129" s="3" t="s">
        <v>10</v>
      </c>
      <c r="P20129" s="3" t="s">
        <v>9</v>
      </c>
      <c r="Q20129" s="3"/>
    </row>
    <row r="20130" spans="1:17" ht="15" x14ac:dyDescent="0.25">
      <c r="A20130" s="3">
        <f>20123</f>
        <v>20123</v>
      </c>
      <c r="B20130" s="3" t="s">
        <v>20132</v>
      </c>
      <c r="C20130" s="3" t="s">
        <v>10</v>
      </c>
      <c r="D20130" s="3" t="s">
        <v>9</v>
      </c>
      <c r="E20130" s="3">
        <v>0</v>
      </c>
      <c r="F20130" s="3">
        <v>0</v>
      </c>
      <c r="G20130" s="3">
        <v>0</v>
      </c>
      <c r="H20130" s="3">
        <v>0</v>
      </c>
      <c r="I20130" s="3">
        <v>0</v>
      </c>
      <c r="J20130" s="3">
        <v>0</v>
      </c>
      <c r="K20130" s="3">
        <v>0</v>
      </c>
      <c r="L20130" s="3">
        <v>0</v>
      </c>
      <c r="M20130" s="3">
        <v>0</v>
      </c>
      <c r="N20130" s="3">
        <v>0</v>
      </c>
      <c r="O20130" s="3" t="s">
        <v>10</v>
      </c>
      <c r="P20130" s="3" t="s">
        <v>9</v>
      </c>
      <c r="Q20130" s="3"/>
    </row>
    <row r="20131" spans="1:17" ht="15" x14ac:dyDescent="0.25">
      <c r="A20131" s="3">
        <f>20124</f>
        <v>20124</v>
      </c>
      <c r="B20131" s="3" t="s">
        <v>20133</v>
      </c>
      <c r="C20131" s="3" t="s">
        <v>10</v>
      </c>
      <c r="D20131" s="3" t="s">
        <v>9</v>
      </c>
      <c r="E20131" s="3">
        <v>0</v>
      </c>
      <c r="F20131" s="3">
        <v>0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 s="3">
        <v>0</v>
      </c>
      <c r="M20131" s="3">
        <v>0</v>
      </c>
      <c r="N20131" s="3">
        <v>0</v>
      </c>
      <c r="O20131" s="3" t="s">
        <v>10</v>
      </c>
      <c r="P20131" s="3" t="s">
        <v>9</v>
      </c>
      <c r="Q20131" s="3"/>
    </row>
    <row r="20132" spans="1:17" ht="15" x14ac:dyDescent="0.25">
      <c r="A20132" s="3">
        <f>20125</f>
        <v>20125</v>
      </c>
      <c r="B20132" s="3" t="s">
        <v>20134</v>
      </c>
      <c r="C20132" s="3" t="s">
        <v>10</v>
      </c>
      <c r="D20132" s="3" t="s">
        <v>9</v>
      </c>
      <c r="E20132" s="3">
        <v>0</v>
      </c>
      <c r="F20132" s="3">
        <v>0</v>
      </c>
      <c r="G20132" s="3">
        <v>0</v>
      </c>
      <c r="H20132" s="3">
        <v>0</v>
      </c>
      <c r="I20132" s="3">
        <v>0</v>
      </c>
      <c r="J20132" s="3">
        <v>0</v>
      </c>
      <c r="K20132" s="3">
        <v>0</v>
      </c>
      <c r="L20132" s="3">
        <v>0</v>
      </c>
      <c r="M20132" s="3">
        <v>0</v>
      </c>
      <c r="N20132" s="3">
        <v>0</v>
      </c>
      <c r="O20132" s="3" t="s">
        <v>10</v>
      </c>
      <c r="P20132" s="3" t="s">
        <v>9</v>
      </c>
      <c r="Q20132" s="3"/>
    </row>
    <row r="20133" spans="1:17" ht="15" x14ac:dyDescent="0.25">
      <c r="A20133" s="3">
        <f>20126</f>
        <v>20126</v>
      </c>
      <c r="B20133" s="3" t="s">
        <v>20135</v>
      </c>
      <c r="C20133" s="3" t="s">
        <v>10</v>
      </c>
      <c r="D20133" s="3" t="s">
        <v>9</v>
      </c>
      <c r="E20133" s="3">
        <v>0</v>
      </c>
      <c r="F20133" s="3">
        <v>0</v>
      </c>
      <c r="G20133" s="3">
        <v>0</v>
      </c>
      <c r="H20133" s="3">
        <v>0</v>
      </c>
      <c r="I20133" s="3">
        <v>0</v>
      </c>
      <c r="J20133" s="3">
        <v>0</v>
      </c>
      <c r="K20133" s="3">
        <v>0</v>
      </c>
      <c r="L20133" s="3">
        <v>0</v>
      </c>
      <c r="M20133" s="3">
        <v>0</v>
      </c>
      <c r="N20133" s="3">
        <v>0</v>
      </c>
      <c r="O20133" s="3" t="s">
        <v>10</v>
      </c>
      <c r="P20133" s="3" t="s">
        <v>9</v>
      </c>
      <c r="Q20133" s="3"/>
    </row>
    <row r="20134" spans="1:17" ht="15" x14ac:dyDescent="0.25">
      <c r="A20134" s="3">
        <f>20127</f>
        <v>20127</v>
      </c>
      <c r="B20134" s="3" t="s">
        <v>20136</v>
      </c>
      <c r="C20134" s="3" t="s">
        <v>10</v>
      </c>
      <c r="D20134" s="3" t="s">
        <v>9</v>
      </c>
      <c r="E20134" s="3">
        <v>0</v>
      </c>
      <c r="F20134" s="3">
        <v>0</v>
      </c>
      <c r="G20134" s="3">
        <v>0</v>
      </c>
      <c r="H20134" s="3">
        <v>0</v>
      </c>
      <c r="I20134" s="3">
        <v>0</v>
      </c>
      <c r="J20134" s="3">
        <v>0</v>
      </c>
      <c r="K20134" s="3">
        <v>0</v>
      </c>
      <c r="L20134" s="3">
        <v>0</v>
      </c>
      <c r="M20134" s="3">
        <v>0</v>
      </c>
      <c r="N20134" s="3">
        <v>0</v>
      </c>
      <c r="O20134" s="3" t="s">
        <v>10</v>
      </c>
      <c r="P20134" s="3" t="s">
        <v>9</v>
      </c>
      <c r="Q20134" s="3"/>
    </row>
    <row r="20135" spans="1:17" ht="15" x14ac:dyDescent="0.25">
      <c r="A20135" s="3">
        <f>20128</f>
        <v>20128</v>
      </c>
      <c r="B20135" s="3" t="s">
        <v>20137</v>
      </c>
      <c r="C20135" s="3" t="s">
        <v>10</v>
      </c>
      <c r="D20135" s="3" t="s">
        <v>9</v>
      </c>
      <c r="E20135" s="3">
        <v>0</v>
      </c>
      <c r="F20135" s="3">
        <v>0</v>
      </c>
      <c r="G20135" s="3">
        <v>0</v>
      </c>
      <c r="H20135" s="3">
        <v>0</v>
      </c>
      <c r="I20135" s="3">
        <v>0</v>
      </c>
      <c r="J20135" s="3">
        <v>0</v>
      </c>
      <c r="K20135" s="3">
        <v>0</v>
      </c>
      <c r="L20135" s="3">
        <v>0</v>
      </c>
      <c r="M20135" s="3">
        <v>0</v>
      </c>
      <c r="N20135" s="3">
        <v>0</v>
      </c>
      <c r="O20135" s="3" t="s">
        <v>10</v>
      </c>
      <c r="P20135" s="3" t="s">
        <v>9</v>
      </c>
      <c r="Q20135" s="3"/>
    </row>
    <row r="20136" spans="1:17" ht="15" x14ac:dyDescent="0.25">
      <c r="A20136" s="3">
        <f>20129</f>
        <v>20129</v>
      </c>
      <c r="B20136" s="3" t="s">
        <v>20138</v>
      </c>
      <c r="C20136" s="3" t="s">
        <v>10</v>
      </c>
      <c r="D20136" s="3" t="s">
        <v>9</v>
      </c>
      <c r="E20136" s="3">
        <v>0</v>
      </c>
      <c r="F20136" s="3">
        <v>0</v>
      </c>
      <c r="G20136" s="3">
        <v>0</v>
      </c>
      <c r="H20136" s="3">
        <v>0</v>
      </c>
      <c r="I20136" s="3">
        <v>0</v>
      </c>
      <c r="J20136" s="3">
        <v>0</v>
      </c>
      <c r="K20136" s="3">
        <v>0</v>
      </c>
      <c r="L20136" s="3">
        <v>0</v>
      </c>
      <c r="M20136" s="3">
        <v>0</v>
      </c>
      <c r="N20136" s="3">
        <v>0</v>
      </c>
      <c r="O20136" s="3" t="s">
        <v>10</v>
      </c>
      <c r="P20136" s="3" t="s">
        <v>9</v>
      </c>
      <c r="Q20136" s="3"/>
    </row>
    <row r="20137" spans="1:17" ht="15" x14ac:dyDescent="0.25">
      <c r="A20137" s="3">
        <f>20130</f>
        <v>20130</v>
      </c>
      <c r="B20137" s="3" t="s">
        <v>20139</v>
      </c>
      <c r="C20137" s="3" t="s">
        <v>10</v>
      </c>
      <c r="D20137" s="3" t="s">
        <v>9</v>
      </c>
      <c r="E20137" s="3">
        <v>0</v>
      </c>
      <c r="F20137" s="3">
        <v>0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  <c r="L20137" s="3">
        <v>0</v>
      </c>
      <c r="M20137" s="3">
        <v>0</v>
      </c>
      <c r="N20137" s="3">
        <v>0</v>
      </c>
      <c r="O20137" s="3" t="s">
        <v>10</v>
      </c>
      <c r="P20137" s="3" t="s">
        <v>9</v>
      </c>
      <c r="Q20137" s="3"/>
    </row>
    <row r="20138" spans="1:17" ht="15" x14ac:dyDescent="0.25">
      <c r="A20138" s="3">
        <f>20131</f>
        <v>20131</v>
      </c>
      <c r="B20138" s="3" t="s">
        <v>20140</v>
      </c>
      <c r="C20138" s="3" t="s">
        <v>10</v>
      </c>
      <c r="D20138" s="3" t="s">
        <v>9</v>
      </c>
      <c r="E20138" s="3">
        <v>0</v>
      </c>
      <c r="F20138" s="3">
        <v>0</v>
      </c>
      <c r="G20138" s="3">
        <v>0</v>
      </c>
      <c r="H20138" s="3">
        <v>0</v>
      </c>
      <c r="I20138" s="3">
        <v>0</v>
      </c>
      <c r="J20138" s="3">
        <v>0</v>
      </c>
      <c r="K20138" s="3">
        <v>0</v>
      </c>
      <c r="L20138" s="3">
        <v>0</v>
      </c>
      <c r="M20138" s="3">
        <v>0</v>
      </c>
      <c r="N20138" s="3">
        <v>0</v>
      </c>
      <c r="O20138" s="3" t="s">
        <v>10</v>
      </c>
      <c r="P20138" s="3" t="s">
        <v>9</v>
      </c>
      <c r="Q20138" s="3"/>
    </row>
    <row r="20139" spans="1:17" ht="15" x14ac:dyDescent="0.25">
      <c r="A20139" s="3">
        <f>20132</f>
        <v>20132</v>
      </c>
      <c r="B20139" s="3" t="s">
        <v>20141</v>
      </c>
      <c r="C20139" s="3" t="s">
        <v>10</v>
      </c>
      <c r="D20139" s="3" t="s">
        <v>9</v>
      </c>
      <c r="E20139" s="3">
        <v>0</v>
      </c>
      <c r="F20139" s="3">
        <v>0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  <c r="L20139" s="3">
        <v>0</v>
      </c>
      <c r="M20139" s="3">
        <v>0</v>
      </c>
      <c r="N20139" s="3">
        <v>0</v>
      </c>
      <c r="O20139" s="3" t="s">
        <v>10</v>
      </c>
      <c r="P20139" s="3" t="s">
        <v>9</v>
      </c>
      <c r="Q20139" s="3"/>
    </row>
    <row r="20140" spans="1:17" ht="15" x14ac:dyDescent="0.25">
      <c r="A20140" s="3">
        <f>20133</f>
        <v>20133</v>
      </c>
      <c r="B20140" s="3" t="s">
        <v>20142</v>
      </c>
      <c r="C20140" s="3" t="s">
        <v>10</v>
      </c>
      <c r="D20140" s="3" t="s">
        <v>9</v>
      </c>
      <c r="E20140" s="3">
        <v>0</v>
      </c>
      <c r="F20140" s="3">
        <v>0</v>
      </c>
      <c r="G20140" s="3">
        <v>0</v>
      </c>
      <c r="H20140" s="3">
        <v>0</v>
      </c>
      <c r="I20140" s="3">
        <v>0</v>
      </c>
      <c r="J20140" s="3">
        <v>0</v>
      </c>
      <c r="K20140" s="3">
        <v>0</v>
      </c>
      <c r="L20140" s="3">
        <v>0</v>
      </c>
      <c r="M20140" s="3">
        <v>0</v>
      </c>
      <c r="N20140" s="3">
        <v>0</v>
      </c>
      <c r="O20140" s="3" t="s">
        <v>10</v>
      </c>
      <c r="P20140" s="3" t="s">
        <v>9</v>
      </c>
      <c r="Q20140" s="3"/>
    </row>
    <row r="20141" spans="1:17" ht="15" x14ac:dyDescent="0.25">
      <c r="A20141" s="3">
        <f>20134</f>
        <v>20134</v>
      </c>
      <c r="B20141" s="3" t="s">
        <v>20143</v>
      </c>
      <c r="C20141" s="3" t="s">
        <v>10</v>
      </c>
      <c r="D20141" s="3" t="s">
        <v>9</v>
      </c>
      <c r="E20141" s="3">
        <v>0</v>
      </c>
      <c r="F20141" s="3">
        <v>0</v>
      </c>
      <c r="G20141" s="3">
        <v>0</v>
      </c>
      <c r="H20141" s="3">
        <v>0</v>
      </c>
      <c r="I20141" s="3">
        <v>0</v>
      </c>
      <c r="J20141" s="3">
        <v>0</v>
      </c>
      <c r="K20141" s="3">
        <v>0</v>
      </c>
      <c r="L20141" s="3">
        <v>0</v>
      </c>
      <c r="M20141" s="3">
        <v>0</v>
      </c>
      <c r="N20141" s="3">
        <v>0</v>
      </c>
      <c r="O20141" s="3" t="s">
        <v>10</v>
      </c>
      <c r="P20141" s="3" t="s">
        <v>9</v>
      </c>
      <c r="Q20141" s="3"/>
    </row>
    <row r="20142" spans="1:17" ht="15" x14ac:dyDescent="0.25">
      <c r="A20142" s="3">
        <f>20135</f>
        <v>20135</v>
      </c>
      <c r="B20142" s="3" t="s">
        <v>20144</v>
      </c>
      <c r="C20142" s="3" t="s">
        <v>10</v>
      </c>
      <c r="D20142" s="3" t="s">
        <v>9</v>
      </c>
      <c r="E20142" s="3">
        <v>0</v>
      </c>
      <c r="F20142" s="3">
        <v>0</v>
      </c>
      <c r="G20142" s="3">
        <v>0</v>
      </c>
      <c r="H20142" s="3">
        <v>0</v>
      </c>
      <c r="I20142" s="3">
        <v>0</v>
      </c>
      <c r="J20142" s="3">
        <v>0</v>
      </c>
      <c r="K20142" s="3">
        <v>0</v>
      </c>
      <c r="L20142" s="3">
        <v>0</v>
      </c>
      <c r="M20142" s="3">
        <v>0</v>
      </c>
      <c r="N20142" s="3">
        <v>0</v>
      </c>
      <c r="O20142" s="3" t="s">
        <v>10</v>
      </c>
      <c r="P20142" s="3" t="s">
        <v>9</v>
      </c>
      <c r="Q20142" s="3"/>
    </row>
    <row r="20143" spans="1:17" ht="15" x14ac:dyDescent="0.25">
      <c r="A20143" s="3">
        <f>20136</f>
        <v>20136</v>
      </c>
      <c r="B20143" s="3" t="s">
        <v>20145</v>
      </c>
      <c r="C20143" s="3" t="s">
        <v>10</v>
      </c>
      <c r="D20143" s="3" t="s">
        <v>9</v>
      </c>
      <c r="E20143" s="3">
        <v>0</v>
      </c>
      <c r="F20143" s="3">
        <v>0</v>
      </c>
      <c r="G20143" s="3">
        <v>0</v>
      </c>
      <c r="H20143" s="3">
        <v>0</v>
      </c>
      <c r="I20143" s="3">
        <v>0</v>
      </c>
      <c r="J20143" s="3">
        <v>0</v>
      </c>
      <c r="K20143" s="3">
        <v>0</v>
      </c>
      <c r="L20143" s="3">
        <v>0</v>
      </c>
      <c r="M20143" s="3">
        <v>0</v>
      </c>
      <c r="N20143" s="3">
        <v>0</v>
      </c>
      <c r="O20143" s="3" t="s">
        <v>10</v>
      </c>
      <c r="P20143" s="3" t="s">
        <v>9</v>
      </c>
      <c r="Q20143" s="3"/>
    </row>
    <row r="20144" spans="1:17" ht="15" x14ac:dyDescent="0.25">
      <c r="A20144" s="3">
        <f>20137</f>
        <v>20137</v>
      </c>
      <c r="B20144" s="3" t="s">
        <v>20146</v>
      </c>
      <c r="C20144" s="3" t="s">
        <v>10</v>
      </c>
      <c r="D20144" s="3" t="s">
        <v>9</v>
      </c>
      <c r="E20144" s="3">
        <v>0</v>
      </c>
      <c r="F20144" s="3">
        <v>0</v>
      </c>
      <c r="G20144" s="3">
        <v>0</v>
      </c>
      <c r="H20144" s="3">
        <v>0</v>
      </c>
      <c r="I20144" s="3">
        <v>0</v>
      </c>
      <c r="J20144" s="3">
        <v>0</v>
      </c>
      <c r="K20144" s="3">
        <v>0</v>
      </c>
      <c r="L20144" s="3">
        <v>0</v>
      </c>
      <c r="M20144" s="3">
        <v>0</v>
      </c>
      <c r="N20144" s="3">
        <v>0</v>
      </c>
      <c r="O20144" s="3" t="s">
        <v>10</v>
      </c>
      <c r="P20144" s="3" t="s">
        <v>9</v>
      </c>
      <c r="Q20144" s="3"/>
    </row>
    <row r="20145" spans="1:17" ht="15" x14ac:dyDescent="0.25">
      <c r="A20145" s="3">
        <f>20138</f>
        <v>20138</v>
      </c>
      <c r="B20145" s="3" t="s">
        <v>20147</v>
      </c>
      <c r="C20145" s="3" t="s">
        <v>10</v>
      </c>
      <c r="D20145" s="3" t="s">
        <v>9</v>
      </c>
      <c r="E20145" s="3">
        <v>0</v>
      </c>
      <c r="F20145" s="3">
        <v>0</v>
      </c>
      <c r="G20145" s="3">
        <v>0</v>
      </c>
      <c r="H20145" s="3">
        <v>0</v>
      </c>
      <c r="I20145" s="3">
        <v>0</v>
      </c>
      <c r="J20145" s="3">
        <v>0</v>
      </c>
      <c r="K20145" s="3">
        <v>0</v>
      </c>
      <c r="L20145" s="3">
        <v>0</v>
      </c>
      <c r="M20145" s="3">
        <v>0</v>
      </c>
      <c r="N20145" s="3">
        <v>0</v>
      </c>
      <c r="O20145" s="3" t="s">
        <v>10</v>
      </c>
      <c r="P20145" s="3" t="s">
        <v>9</v>
      </c>
      <c r="Q20145" s="3"/>
    </row>
    <row r="20146" spans="1:17" ht="15" x14ac:dyDescent="0.25">
      <c r="A20146" s="3">
        <f>20139</f>
        <v>20139</v>
      </c>
      <c r="B20146" s="3" t="s">
        <v>20148</v>
      </c>
      <c r="C20146" s="3" t="s">
        <v>10</v>
      </c>
      <c r="D20146" s="3" t="s">
        <v>9</v>
      </c>
      <c r="E20146" s="3">
        <v>0</v>
      </c>
      <c r="F20146" s="3">
        <v>0</v>
      </c>
      <c r="G20146" s="3">
        <v>0</v>
      </c>
      <c r="H20146" s="3">
        <v>0</v>
      </c>
      <c r="I20146" s="3">
        <v>0</v>
      </c>
      <c r="J20146" s="3">
        <v>0</v>
      </c>
      <c r="K20146" s="3">
        <v>0</v>
      </c>
      <c r="L20146" s="3">
        <v>0</v>
      </c>
      <c r="M20146" s="3">
        <v>0</v>
      </c>
      <c r="N20146" s="3">
        <v>0</v>
      </c>
      <c r="O20146" s="3" t="s">
        <v>10</v>
      </c>
      <c r="P20146" s="3" t="s">
        <v>9</v>
      </c>
      <c r="Q20146" s="3"/>
    </row>
    <row r="20147" spans="1:17" ht="15" x14ac:dyDescent="0.25">
      <c r="A20147" s="3">
        <f>20140</f>
        <v>20140</v>
      </c>
      <c r="B20147" s="3" t="s">
        <v>20149</v>
      </c>
      <c r="C20147" s="3" t="s">
        <v>10</v>
      </c>
      <c r="D20147" s="3" t="s">
        <v>9</v>
      </c>
      <c r="E20147" s="3">
        <v>0</v>
      </c>
      <c r="F20147" s="3">
        <v>0</v>
      </c>
      <c r="G20147" s="3">
        <v>0</v>
      </c>
      <c r="H20147" s="3">
        <v>0</v>
      </c>
      <c r="I20147" s="3">
        <v>0</v>
      </c>
      <c r="J20147" s="3">
        <v>0</v>
      </c>
      <c r="K20147" s="3">
        <v>0</v>
      </c>
      <c r="L20147" s="3">
        <v>0</v>
      </c>
      <c r="M20147" s="3">
        <v>0</v>
      </c>
      <c r="N20147" s="3">
        <v>0</v>
      </c>
      <c r="O20147" s="3" t="s">
        <v>10</v>
      </c>
      <c r="P20147" s="3" t="s">
        <v>9</v>
      </c>
      <c r="Q20147" s="3"/>
    </row>
    <row r="20148" spans="1:17" ht="15" x14ac:dyDescent="0.25">
      <c r="A20148" s="3">
        <f>20141</f>
        <v>20141</v>
      </c>
      <c r="B20148" s="3" t="s">
        <v>20150</v>
      </c>
      <c r="C20148" s="3" t="s">
        <v>10</v>
      </c>
      <c r="D20148" s="3" t="s">
        <v>9</v>
      </c>
      <c r="E20148" s="3">
        <v>0</v>
      </c>
      <c r="F20148" s="3">
        <v>0</v>
      </c>
      <c r="G20148" s="3">
        <v>0</v>
      </c>
      <c r="H20148" s="3">
        <v>0</v>
      </c>
      <c r="I20148" s="3">
        <v>0</v>
      </c>
      <c r="J20148" s="3">
        <v>0</v>
      </c>
      <c r="K20148" s="3">
        <v>0</v>
      </c>
      <c r="L20148" s="3">
        <v>0</v>
      </c>
      <c r="M20148" s="3">
        <v>0</v>
      </c>
      <c r="N20148" s="3">
        <v>0</v>
      </c>
      <c r="O20148" s="3" t="s">
        <v>10</v>
      </c>
      <c r="P20148" s="3" t="s">
        <v>9</v>
      </c>
      <c r="Q20148" s="3"/>
    </row>
    <row r="20149" spans="1:17" ht="15" x14ac:dyDescent="0.25">
      <c r="A20149" s="3">
        <f>20142</f>
        <v>20142</v>
      </c>
      <c r="B20149" s="3" t="s">
        <v>20151</v>
      </c>
      <c r="C20149" s="3" t="s">
        <v>10</v>
      </c>
      <c r="D20149" s="3" t="s">
        <v>9</v>
      </c>
      <c r="E20149" s="3">
        <v>0</v>
      </c>
      <c r="F20149" s="3">
        <v>0</v>
      </c>
      <c r="G20149" s="3">
        <v>0</v>
      </c>
      <c r="H20149" s="3">
        <v>0</v>
      </c>
      <c r="I20149" s="3">
        <v>0</v>
      </c>
      <c r="J20149" s="3">
        <v>0</v>
      </c>
      <c r="K20149" s="3">
        <v>0</v>
      </c>
      <c r="L20149" s="3">
        <v>0</v>
      </c>
      <c r="M20149" s="3">
        <v>0</v>
      </c>
      <c r="N20149" s="3">
        <v>0</v>
      </c>
      <c r="O20149" s="3" t="s">
        <v>10</v>
      </c>
      <c r="P20149" s="3" t="s">
        <v>9</v>
      </c>
      <c r="Q20149" s="3"/>
    </row>
    <row r="20150" spans="1:17" ht="15" x14ac:dyDescent="0.25">
      <c r="A20150" s="3">
        <f>20143</f>
        <v>20143</v>
      </c>
      <c r="B20150" s="3" t="s">
        <v>20152</v>
      </c>
      <c r="C20150" s="3" t="s">
        <v>10</v>
      </c>
      <c r="D20150" s="3" t="s">
        <v>9</v>
      </c>
      <c r="E20150" s="3">
        <v>0</v>
      </c>
      <c r="F20150" s="3">
        <v>0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  <c r="L20150" s="3">
        <v>0</v>
      </c>
      <c r="M20150" s="3">
        <v>0</v>
      </c>
      <c r="N20150" s="3">
        <v>0</v>
      </c>
      <c r="O20150" s="3" t="s">
        <v>10</v>
      </c>
      <c r="P20150" s="3" t="s">
        <v>9</v>
      </c>
      <c r="Q20150" s="3"/>
    </row>
    <row r="20151" spans="1:17" ht="15" x14ac:dyDescent="0.25">
      <c r="A20151" s="3">
        <f>20144</f>
        <v>20144</v>
      </c>
      <c r="B20151" s="3" t="s">
        <v>20153</v>
      </c>
      <c r="C20151" s="3" t="s">
        <v>10</v>
      </c>
      <c r="D20151" s="3" t="s">
        <v>9</v>
      </c>
      <c r="E20151" s="3">
        <v>0</v>
      </c>
      <c r="F20151" s="3">
        <v>0</v>
      </c>
      <c r="G20151" s="3">
        <v>0</v>
      </c>
      <c r="H20151" s="3">
        <v>0</v>
      </c>
      <c r="I20151" s="3">
        <v>0</v>
      </c>
      <c r="J20151" s="3">
        <v>0</v>
      </c>
      <c r="K20151" s="3">
        <v>0</v>
      </c>
      <c r="L20151" s="3">
        <v>0</v>
      </c>
      <c r="M20151" s="3">
        <v>0</v>
      </c>
      <c r="N20151" s="3">
        <v>0</v>
      </c>
      <c r="O20151" s="3" t="s">
        <v>10</v>
      </c>
      <c r="P20151" s="3" t="s">
        <v>9</v>
      </c>
      <c r="Q20151" s="3"/>
    </row>
    <row r="20152" spans="1:17" ht="15" x14ac:dyDescent="0.25">
      <c r="A20152" s="3">
        <f>20145</f>
        <v>20145</v>
      </c>
      <c r="B20152" s="3" t="s">
        <v>20154</v>
      </c>
      <c r="C20152" s="3" t="s">
        <v>10</v>
      </c>
      <c r="D20152" s="3" t="s">
        <v>9</v>
      </c>
      <c r="E20152" s="3">
        <v>0</v>
      </c>
      <c r="F20152" s="3">
        <v>0</v>
      </c>
      <c r="G20152" s="3">
        <v>0</v>
      </c>
      <c r="H20152" s="3">
        <v>0</v>
      </c>
      <c r="I20152" s="3">
        <v>0</v>
      </c>
      <c r="J20152" s="3">
        <v>0</v>
      </c>
      <c r="K20152" s="3">
        <v>0</v>
      </c>
      <c r="L20152" s="3">
        <v>0</v>
      </c>
      <c r="M20152" s="3">
        <v>0</v>
      </c>
      <c r="N20152" s="3">
        <v>0</v>
      </c>
      <c r="O20152" s="3" t="s">
        <v>10</v>
      </c>
      <c r="P20152" s="3" t="s">
        <v>9</v>
      </c>
      <c r="Q20152" s="3"/>
    </row>
    <row r="20153" spans="1:17" ht="15" x14ac:dyDescent="0.25">
      <c r="A20153" s="3">
        <f>20146</f>
        <v>20146</v>
      </c>
      <c r="B20153" s="3" t="s">
        <v>20155</v>
      </c>
      <c r="C20153" s="3" t="s">
        <v>10</v>
      </c>
      <c r="D20153" s="3" t="s">
        <v>9</v>
      </c>
      <c r="E20153" s="3">
        <v>0</v>
      </c>
      <c r="F20153" s="3">
        <v>0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 s="3">
        <v>0</v>
      </c>
      <c r="M20153" s="3">
        <v>0</v>
      </c>
      <c r="N20153" s="3">
        <v>0</v>
      </c>
      <c r="O20153" s="3" t="s">
        <v>10</v>
      </c>
      <c r="P20153" s="3" t="s">
        <v>9</v>
      </c>
      <c r="Q20153" s="3"/>
    </row>
    <row r="20154" spans="1:17" ht="15" x14ac:dyDescent="0.25">
      <c r="A20154" s="3">
        <f>20147</f>
        <v>20147</v>
      </c>
      <c r="B20154" s="3" t="s">
        <v>20156</v>
      </c>
      <c r="C20154" s="3" t="s">
        <v>10</v>
      </c>
      <c r="D20154" s="3" t="s">
        <v>9</v>
      </c>
      <c r="E20154" s="3">
        <v>0</v>
      </c>
      <c r="F20154" s="3">
        <v>0</v>
      </c>
      <c r="G20154" s="3">
        <v>0</v>
      </c>
      <c r="H20154" s="3">
        <v>0</v>
      </c>
      <c r="I20154" s="3">
        <v>0</v>
      </c>
      <c r="J20154" s="3">
        <v>0</v>
      </c>
      <c r="K20154" s="3">
        <v>0</v>
      </c>
      <c r="L20154" s="3">
        <v>0</v>
      </c>
      <c r="M20154" s="3">
        <v>0</v>
      </c>
      <c r="N20154" s="3">
        <v>0</v>
      </c>
      <c r="O20154" s="3" t="s">
        <v>10</v>
      </c>
      <c r="P20154" s="3" t="s">
        <v>9</v>
      </c>
      <c r="Q20154" s="3"/>
    </row>
    <row r="20155" spans="1:17" ht="15" x14ac:dyDescent="0.25">
      <c r="A20155" s="3">
        <f>20148</f>
        <v>20148</v>
      </c>
      <c r="B20155" s="3" t="s">
        <v>20157</v>
      </c>
      <c r="C20155" s="3" t="s">
        <v>10</v>
      </c>
      <c r="D20155" s="3" t="s">
        <v>9</v>
      </c>
      <c r="E20155" s="3">
        <v>0</v>
      </c>
      <c r="F20155" s="3">
        <v>0</v>
      </c>
      <c r="G20155" s="3">
        <v>0</v>
      </c>
      <c r="H20155" s="3">
        <v>0</v>
      </c>
      <c r="I20155" s="3">
        <v>0</v>
      </c>
      <c r="J20155" s="3">
        <v>0</v>
      </c>
      <c r="K20155" s="3">
        <v>0</v>
      </c>
      <c r="L20155" s="3">
        <v>0</v>
      </c>
      <c r="M20155" s="3">
        <v>0</v>
      </c>
      <c r="N20155" s="3">
        <v>0</v>
      </c>
      <c r="O20155" s="3" t="s">
        <v>10</v>
      </c>
      <c r="P20155" s="3" t="s">
        <v>9</v>
      </c>
      <c r="Q20155" s="3"/>
    </row>
    <row r="20156" spans="1:17" ht="15" x14ac:dyDescent="0.25">
      <c r="A20156" s="3">
        <f>20149</f>
        <v>20149</v>
      </c>
      <c r="B20156" s="3" t="s">
        <v>20158</v>
      </c>
      <c r="C20156" s="3" t="s">
        <v>10</v>
      </c>
      <c r="D20156" s="3" t="s">
        <v>9</v>
      </c>
      <c r="E20156" s="3">
        <v>0</v>
      </c>
      <c r="F20156" s="3">
        <v>0</v>
      </c>
      <c r="G20156" s="3">
        <v>0</v>
      </c>
      <c r="H20156" s="3">
        <v>0</v>
      </c>
      <c r="I20156" s="3">
        <v>0</v>
      </c>
      <c r="J20156" s="3">
        <v>0</v>
      </c>
      <c r="K20156" s="3">
        <v>0</v>
      </c>
      <c r="L20156" s="3">
        <v>0</v>
      </c>
      <c r="M20156" s="3">
        <v>0</v>
      </c>
      <c r="N20156" s="3">
        <v>0</v>
      </c>
      <c r="O20156" s="3" t="s">
        <v>10</v>
      </c>
      <c r="P20156" s="3" t="s">
        <v>9</v>
      </c>
      <c r="Q20156" s="3"/>
    </row>
    <row r="20157" spans="1:17" ht="15" x14ac:dyDescent="0.25">
      <c r="A20157" s="3">
        <f>20150</f>
        <v>20150</v>
      </c>
      <c r="B20157" s="3" t="s">
        <v>20159</v>
      </c>
      <c r="C20157" s="3" t="s">
        <v>10</v>
      </c>
      <c r="D20157" s="3" t="s">
        <v>9</v>
      </c>
      <c r="E20157" s="3">
        <v>0</v>
      </c>
      <c r="F20157" s="3">
        <v>0</v>
      </c>
      <c r="G20157" s="3">
        <v>0</v>
      </c>
      <c r="H20157" s="3">
        <v>0</v>
      </c>
      <c r="I20157" s="3">
        <v>0</v>
      </c>
      <c r="J20157" s="3">
        <v>0</v>
      </c>
      <c r="K20157" s="3">
        <v>0</v>
      </c>
      <c r="L20157" s="3">
        <v>0</v>
      </c>
      <c r="M20157" s="3">
        <v>0</v>
      </c>
      <c r="N20157" s="3">
        <v>0</v>
      </c>
      <c r="O20157" s="3" t="s">
        <v>10</v>
      </c>
      <c r="P20157" s="3" t="s">
        <v>9</v>
      </c>
      <c r="Q20157" s="3"/>
    </row>
    <row r="20158" spans="1:17" ht="15" x14ac:dyDescent="0.25">
      <c r="A20158" s="3">
        <f>20151</f>
        <v>20151</v>
      </c>
      <c r="B20158" s="3" t="s">
        <v>20160</v>
      </c>
      <c r="C20158" s="3" t="s">
        <v>10</v>
      </c>
      <c r="D20158" s="3" t="s">
        <v>9</v>
      </c>
      <c r="E20158" s="3">
        <v>0</v>
      </c>
      <c r="F20158" s="3">
        <v>0</v>
      </c>
      <c r="G20158" s="3">
        <v>0</v>
      </c>
      <c r="H20158" s="3">
        <v>0</v>
      </c>
      <c r="I20158" s="3">
        <v>0</v>
      </c>
      <c r="J20158" s="3">
        <v>0</v>
      </c>
      <c r="K20158" s="3">
        <v>0</v>
      </c>
      <c r="L20158" s="3">
        <v>0</v>
      </c>
      <c r="M20158" s="3">
        <v>0</v>
      </c>
      <c r="N20158" s="3">
        <v>0</v>
      </c>
      <c r="O20158" s="3" t="s">
        <v>10</v>
      </c>
      <c r="P20158" s="3" t="s">
        <v>9</v>
      </c>
      <c r="Q20158" s="3"/>
    </row>
    <row r="20159" spans="1:17" ht="15" x14ac:dyDescent="0.25">
      <c r="A20159" s="3">
        <f>20152</f>
        <v>20152</v>
      </c>
      <c r="B20159" s="3" t="s">
        <v>20161</v>
      </c>
      <c r="C20159" s="3" t="s">
        <v>10</v>
      </c>
      <c r="D20159" s="3" t="s">
        <v>9</v>
      </c>
      <c r="E20159" s="3">
        <v>0</v>
      </c>
      <c r="F20159" s="3">
        <v>0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  <c r="L20159" s="3">
        <v>0</v>
      </c>
      <c r="M20159" s="3">
        <v>0</v>
      </c>
      <c r="N20159" s="3">
        <v>0</v>
      </c>
      <c r="O20159" s="3" t="s">
        <v>10</v>
      </c>
      <c r="P20159" s="3" t="s">
        <v>9</v>
      </c>
      <c r="Q20159" s="3"/>
    </row>
    <row r="20160" spans="1:17" ht="15" x14ac:dyDescent="0.25">
      <c r="A20160" s="3">
        <f>20153</f>
        <v>20153</v>
      </c>
      <c r="B20160" s="3" t="s">
        <v>20162</v>
      </c>
      <c r="C20160" s="3" t="s">
        <v>10</v>
      </c>
      <c r="D20160" s="3" t="s">
        <v>9</v>
      </c>
      <c r="E20160" s="3">
        <v>0</v>
      </c>
      <c r="F20160" s="3">
        <v>0</v>
      </c>
      <c r="G20160" s="3">
        <v>0</v>
      </c>
      <c r="H20160" s="3">
        <v>0</v>
      </c>
      <c r="I20160" s="3">
        <v>0</v>
      </c>
      <c r="J20160" s="3">
        <v>0</v>
      </c>
      <c r="K20160" s="3">
        <v>0</v>
      </c>
      <c r="L20160" s="3">
        <v>0</v>
      </c>
      <c r="M20160" s="3">
        <v>0</v>
      </c>
      <c r="N20160" s="3">
        <v>0</v>
      </c>
      <c r="O20160" s="3" t="s">
        <v>10</v>
      </c>
      <c r="P20160" s="3" t="s">
        <v>9</v>
      </c>
      <c r="Q20160" s="3"/>
    </row>
    <row r="20161" spans="1:17" ht="15" x14ac:dyDescent="0.25">
      <c r="A20161" s="3">
        <f>20154</f>
        <v>20154</v>
      </c>
      <c r="B20161" s="3" t="s">
        <v>20163</v>
      </c>
      <c r="C20161" s="3" t="s">
        <v>10</v>
      </c>
      <c r="D20161" s="3" t="s">
        <v>9</v>
      </c>
      <c r="E20161" s="3">
        <v>0</v>
      </c>
      <c r="F20161" s="3">
        <v>0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  <c r="L20161" s="3">
        <v>0</v>
      </c>
      <c r="M20161" s="3">
        <v>0</v>
      </c>
      <c r="N20161" s="3">
        <v>0</v>
      </c>
      <c r="O20161" s="3" t="s">
        <v>10</v>
      </c>
      <c r="P20161" s="3" t="s">
        <v>9</v>
      </c>
      <c r="Q20161" s="3"/>
    </row>
    <row r="20162" spans="1:17" ht="15" x14ac:dyDescent="0.25">
      <c r="A20162" s="3">
        <f>20155</f>
        <v>20155</v>
      </c>
      <c r="B20162" s="3" t="s">
        <v>20164</v>
      </c>
      <c r="C20162" s="3" t="s">
        <v>10</v>
      </c>
      <c r="D20162" s="3" t="s">
        <v>9</v>
      </c>
      <c r="E20162" s="3">
        <v>0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  <c r="O20162" s="3" t="s">
        <v>10</v>
      </c>
      <c r="P20162" s="3" t="s">
        <v>9</v>
      </c>
      <c r="Q20162" s="3"/>
    </row>
    <row r="20163" spans="1:17" ht="15" x14ac:dyDescent="0.25">
      <c r="A20163" s="3">
        <f>20156</f>
        <v>20156</v>
      </c>
      <c r="B20163" s="3" t="s">
        <v>20165</v>
      </c>
      <c r="C20163" s="3" t="s">
        <v>10</v>
      </c>
      <c r="D20163" s="3" t="s">
        <v>9</v>
      </c>
      <c r="E20163" s="3">
        <v>0</v>
      </c>
      <c r="F20163" s="3">
        <v>0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  <c r="L20163" s="3">
        <v>0</v>
      </c>
      <c r="M20163" s="3">
        <v>0</v>
      </c>
      <c r="N20163" s="3">
        <v>0</v>
      </c>
      <c r="O20163" s="3" t="s">
        <v>10</v>
      </c>
      <c r="P20163" s="3" t="s">
        <v>9</v>
      </c>
      <c r="Q20163" s="3"/>
    </row>
    <row r="20164" spans="1:17" ht="15" x14ac:dyDescent="0.25">
      <c r="A20164" s="3">
        <f>20157</f>
        <v>20157</v>
      </c>
      <c r="B20164" s="3" t="s">
        <v>20166</v>
      </c>
      <c r="C20164" s="3" t="s">
        <v>10</v>
      </c>
      <c r="D20164" s="3" t="s">
        <v>9</v>
      </c>
      <c r="E20164" s="3">
        <v>0</v>
      </c>
      <c r="F20164" s="3">
        <v>0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  <c r="L20164" s="3">
        <v>0</v>
      </c>
      <c r="M20164" s="3">
        <v>0</v>
      </c>
      <c r="N20164" s="3">
        <v>0</v>
      </c>
      <c r="O20164" s="3" t="s">
        <v>10</v>
      </c>
      <c r="P20164" s="3" t="s">
        <v>9</v>
      </c>
      <c r="Q20164" s="3"/>
    </row>
    <row r="20165" spans="1:17" ht="15" x14ac:dyDescent="0.25">
      <c r="A20165" s="3">
        <f>20158</f>
        <v>20158</v>
      </c>
      <c r="B20165" s="3" t="s">
        <v>20167</v>
      </c>
      <c r="C20165" s="3" t="s">
        <v>10</v>
      </c>
      <c r="D20165" s="3" t="s">
        <v>9</v>
      </c>
      <c r="E20165" s="3">
        <v>0</v>
      </c>
      <c r="F20165" s="3">
        <v>0</v>
      </c>
      <c r="G20165" s="3">
        <v>0</v>
      </c>
      <c r="H20165" s="3">
        <v>0</v>
      </c>
      <c r="I20165" s="3">
        <v>0</v>
      </c>
      <c r="J20165" s="3">
        <v>0</v>
      </c>
      <c r="K20165" s="3">
        <v>0</v>
      </c>
      <c r="L20165" s="3">
        <v>0</v>
      </c>
      <c r="M20165" s="3">
        <v>0</v>
      </c>
      <c r="N20165" s="3">
        <v>0</v>
      </c>
      <c r="O20165" s="3" t="s">
        <v>10</v>
      </c>
      <c r="P20165" s="3" t="s">
        <v>9</v>
      </c>
      <c r="Q20165" s="3"/>
    </row>
    <row r="20166" spans="1:17" ht="15" x14ac:dyDescent="0.25">
      <c r="A20166" s="3">
        <f>20159</f>
        <v>20159</v>
      </c>
      <c r="B20166" s="3" t="s">
        <v>20168</v>
      </c>
      <c r="C20166" s="3" t="s">
        <v>10</v>
      </c>
      <c r="D20166" s="3" t="s">
        <v>9</v>
      </c>
      <c r="E20166" s="3">
        <v>0</v>
      </c>
      <c r="F20166" s="3">
        <v>0</v>
      </c>
      <c r="G20166" s="3">
        <v>0</v>
      </c>
      <c r="H20166" s="3">
        <v>0</v>
      </c>
      <c r="I20166" s="3">
        <v>0</v>
      </c>
      <c r="J20166" s="3">
        <v>0</v>
      </c>
      <c r="K20166" s="3">
        <v>0</v>
      </c>
      <c r="L20166" s="3">
        <v>0</v>
      </c>
      <c r="M20166" s="3">
        <v>0</v>
      </c>
      <c r="N20166" s="3">
        <v>0</v>
      </c>
      <c r="O20166" s="3" t="s">
        <v>10</v>
      </c>
      <c r="P20166" s="3" t="s">
        <v>9</v>
      </c>
      <c r="Q20166" s="3"/>
    </row>
    <row r="20167" spans="1:17" ht="15" x14ac:dyDescent="0.25">
      <c r="A20167" s="3">
        <f>20160</f>
        <v>20160</v>
      </c>
      <c r="B20167" s="3" t="s">
        <v>20169</v>
      </c>
      <c r="C20167" s="3" t="s">
        <v>10</v>
      </c>
      <c r="D20167" s="3" t="s">
        <v>9</v>
      </c>
      <c r="E20167" s="3">
        <v>0</v>
      </c>
      <c r="F20167" s="3">
        <v>0</v>
      </c>
      <c r="G20167" s="3">
        <v>0</v>
      </c>
      <c r="H20167" s="3">
        <v>0</v>
      </c>
      <c r="I20167" s="3">
        <v>0</v>
      </c>
      <c r="J20167" s="3">
        <v>0</v>
      </c>
      <c r="K20167" s="3">
        <v>0</v>
      </c>
      <c r="L20167" s="3">
        <v>0</v>
      </c>
      <c r="M20167" s="3">
        <v>0</v>
      </c>
      <c r="N20167" s="3">
        <v>0</v>
      </c>
      <c r="O20167" s="3" t="s">
        <v>10</v>
      </c>
      <c r="P20167" s="3" t="s">
        <v>9</v>
      </c>
      <c r="Q20167" s="3"/>
    </row>
    <row r="20168" spans="1:17" ht="15" x14ac:dyDescent="0.25">
      <c r="A20168" s="3">
        <f>20161</f>
        <v>20161</v>
      </c>
      <c r="B20168" s="3" t="s">
        <v>20170</v>
      </c>
      <c r="C20168" s="3" t="s">
        <v>10</v>
      </c>
      <c r="D20168" s="3" t="s">
        <v>9</v>
      </c>
      <c r="E20168" s="3">
        <v>0</v>
      </c>
      <c r="F20168" s="3">
        <v>0</v>
      </c>
      <c r="G20168" s="3">
        <v>0</v>
      </c>
      <c r="H20168" s="3">
        <v>0</v>
      </c>
      <c r="I20168" s="3">
        <v>0</v>
      </c>
      <c r="J20168" s="3">
        <v>0</v>
      </c>
      <c r="K20168" s="3">
        <v>0</v>
      </c>
      <c r="L20168" s="3">
        <v>0</v>
      </c>
      <c r="M20168" s="3">
        <v>0</v>
      </c>
      <c r="N20168" s="3">
        <v>0</v>
      </c>
      <c r="O20168" s="3" t="s">
        <v>10</v>
      </c>
      <c r="P20168" s="3" t="s">
        <v>9</v>
      </c>
      <c r="Q20168" s="3"/>
    </row>
    <row r="20169" spans="1:17" ht="15" x14ac:dyDescent="0.25">
      <c r="A20169" s="3">
        <f>20162</f>
        <v>20162</v>
      </c>
      <c r="B20169" s="3" t="s">
        <v>20171</v>
      </c>
      <c r="C20169" s="3" t="s">
        <v>10</v>
      </c>
      <c r="D20169" s="3" t="s">
        <v>9</v>
      </c>
      <c r="E20169" s="3">
        <v>0</v>
      </c>
      <c r="F20169" s="3">
        <v>0</v>
      </c>
      <c r="G20169" s="3">
        <v>0</v>
      </c>
      <c r="H20169" s="3">
        <v>0</v>
      </c>
      <c r="I20169" s="3">
        <v>0</v>
      </c>
      <c r="J20169" s="3">
        <v>0</v>
      </c>
      <c r="K20169" s="3">
        <v>0</v>
      </c>
      <c r="L20169" s="3">
        <v>0</v>
      </c>
      <c r="M20169" s="3">
        <v>0</v>
      </c>
      <c r="N20169" s="3">
        <v>0</v>
      </c>
      <c r="O20169" s="3" t="s">
        <v>10</v>
      </c>
      <c r="P20169" s="3" t="s">
        <v>9</v>
      </c>
      <c r="Q20169" s="3"/>
    </row>
    <row r="20170" spans="1:17" ht="15" x14ac:dyDescent="0.25">
      <c r="A20170" s="3">
        <f>20163</f>
        <v>20163</v>
      </c>
      <c r="B20170" s="3" t="s">
        <v>20172</v>
      </c>
      <c r="C20170" s="3" t="s">
        <v>10</v>
      </c>
      <c r="D20170" s="3" t="s">
        <v>9</v>
      </c>
      <c r="E20170" s="3">
        <v>0</v>
      </c>
      <c r="F20170" s="3">
        <v>0</v>
      </c>
      <c r="G20170" s="3">
        <v>0</v>
      </c>
      <c r="H20170" s="3">
        <v>0</v>
      </c>
      <c r="I20170" s="3">
        <v>0</v>
      </c>
      <c r="J20170" s="3">
        <v>0</v>
      </c>
      <c r="K20170" s="3">
        <v>0</v>
      </c>
      <c r="L20170" s="3">
        <v>0</v>
      </c>
      <c r="M20170" s="3">
        <v>0</v>
      </c>
      <c r="N20170" s="3">
        <v>0</v>
      </c>
      <c r="O20170" s="3" t="s">
        <v>10</v>
      </c>
      <c r="P20170" s="3" t="s">
        <v>9</v>
      </c>
      <c r="Q20170" s="3"/>
    </row>
    <row r="20171" spans="1:17" ht="15" x14ac:dyDescent="0.25">
      <c r="A20171" s="3">
        <f>20164</f>
        <v>20164</v>
      </c>
      <c r="B20171" s="3" t="s">
        <v>20173</v>
      </c>
      <c r="C20171" s="3" t="s">
        <v>10</v>
      </c>
      <c r="D20171" s="3" t="s">
        <v>9</v>
      </c>
      <c r="E20171" s="3">
        <v>0</v>
      </c>
      <c r="F20171" s="3">
        <v>0</v>
      </c>
      <c r="G20171" s="3">
        <v>0</v>
      </c>
      <c r="H20171" s="3">
        <v>0</v>
      </c>
      <c r="I20171" s="3">
        <v>0</v>
      </c>
      <c r="J20171" s="3">
        <v>0</v>
      </c>
      <c r="K20171" s="3">
        <v>0</v>
      </c>
      <c r="L20171" s="3">
        <v>0</v>
      </c>
      <c r="M20171" s="3">
        <v>0</v>
      </c>
      <c r="N20171" s="3">
        <v>0</v>
      </c>
      <c r="O20171" s="3" t="s">
        <v>10</v>
      </c>
      <c r="P20171" s="3" t="s">
        <v>9</v>
      </c>
      <c r="Q20171" s="3"/>
    </row>
    <row r="20172" spans="1:17" ht="15" x14ac:dyDescent="0.25">
      <c r="A20172" s="3">
        <f>20165</f>
        <v>20165</v>
      </c>
      <c r="B20172" s="3" t="s">
        <v>20174</v>
      </c>
      <c r="C20172" s="3" t="s">
        <v>10</v>
      </c>
      <c r="D20172" s="3" t="s">
        <v>9</v>
      </c>
      <c r="E20172" s="3">
        <v>0</v>
      </c>
      <c r="F20172" s="3">
        <v>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  <c r="L20172" s="3">
        <v>0</v>
      </c>
      <c r="M20172" s="3">
        <v>0</v>
      </c>
      <c r="N20172" s="3">
        <v>0</v>
      </c>
      <c r="O20172" s="3" t="s">
        <v>10</v>
      </c>
      <c r="P20172" s="3" t="s">
        <v>9</v>
      </c>
      <c r="Q20172" s="3"/>
    </row>
    <row r="20173" spans="1:17" ht="15" x14ac:dyDescent="0.25">
      <c r="A20173" s="3">
        <f>20166</f>
        <v>20166</v>
      </c>
      <c r="B20173" s="3" t="s">
        <v>20175</v>
      </c>
      <c r="C20173" s="3" t="s">
        <v>10</v>
      </c>
      <c r="D20173" s="3" t="s">
        <v>9</v>
      </c>
      <c r="E20173" s="3">
        <v>0</v>
      </c>
      <c r="F20173" s="3">
        <v>0</v>
      </c>
      <c r="G20173" s="3">
        <v>0</v>
      </c>
      <c r="H20173" s="3">
        <v>0</v>
      </c>
      <c r="I20173" s="3">
        <v>0</v>
      </c>
      <c r="J20173" s="3">
        <v>0</v>
      </c>
      <c r="K20173" s="3">
        <v>0</v>
      </c>
      <c r="L20173" s="3">
        <v>0</v>
      </c>
      <c r="M20173" s="3">
        <v>0</v>
      </c>
      <c r="N20173" s="3">
        <v>0</v>
      </c>
      <c r="O20173" s="3" t="s">
        <v>10</v>
      </c>
      <c r="P20173" s="3" t="s">
        <v>9</v>
      </c>
      <c r="Q20173" s="3"/>
    </row>
    <row r="20174" spans="1:17" ht="15" x14ac:dyDescent="0.25">
      <c r="A20174" s="3">
        <f>20167</f>
        <v>20167</v>
      </c>
      <c r="B20174" s="3" t="s">
        <v>20176</v>
      </c>
      <c r="C20174" s="3" t="s">
        <v>10</v>
      </c>
      <c r="D20174" s="3" t="s">
        <v>9</v>
      </c>
      <c r="E20174" s="3">
        <v>0</v>
      </c>
      <c r="F20174" s="3">
        <v>0</v>
      </c>
      <c r="G20174" s="3">
        <v>0</v>
      </c>
      <c r="H20174" s="3">
        <v>0</v>
      </c>
      <c r="I20174" s="3">
        <v>0</v>
      </c>
      <c r="J20174" s="3">
        <v>0</v>
      </c>
      <c r="K20174" s="3">
        <v>0</v>
      </c>
      <c r="L20174" s="3">
        <v>0</v>
      </c>
      <c r="M20174" s="3">
        <v>0</v>
      </c>
      <c r="N20174" s="3">
        <v>0</v>
      </c>
      <c r="O20174" s="3" t="s">
        <v>10</v>
      </c>
      <c r="P20174" s="3" t="s">
        <v>9</v>
      </c>
      <c r="Q20174" s="3"/>
    </row>
    <row r="20175" spans="1:17" ht="15" x14ac:dyDescent="0.25">
      <c r="A20175" s="3">
        <f>20168</f>
        <v>20168</v>
      </c>
      <c r="B20175" s="3" t="s">
        <v>20177</v>
      </c>
      <c r="C20175" s="3" t="s">
        <v>10</v>
      </c>
      <c r="D20175" s="3" t="s">
        <v>9</v>
      </c>
      <c r="E20175" s="3">
        <v>0</v>
      </c>
      <c r="F20175" s="3">
        <v>0</v>
      </c>
      <c r="G20175" s="3">
        <v>0</v>
      </c>
      <c r="H20175" s="3">
        <v>0</v>
      </c>
      <c r="I20175" s="3">
        <v>0</v>
      </c>
      <c r="J20175" s="3">
        <v>0</v>
      </c>
      <c r="K20175" s="3">
        <v>0</v>
      </c>
      <c r="L20175" s="3">
        <v>0</v>
      </c>
      <c r="M20175" s="3">
        <v>0</v>
      </c>
      <c r="N20175" s="3">
        <v>0</v>
      </c>
      <c r="O20175" s="3" t="s">
        <v>10</v>
      </c>
      <c r="P20175" s="3" t="s">
        <v>9</v>
      </c>
      <c r="Q20175" s="3"/>
    </row>
    <row r="20176" spans="1:17" ht="15" x14ac:dyDescent="0.25">
      <c r="A20176" s="3">
        <f>20169</f>
        <v>20169</v>
      </c>
      <c r="B20176" s="3" t="s">
        <v>20178</v>
      </c>
      <c r="C20176" s="3" t="s">
        <v>10</v>
      </c>
      <c r="D20176" s="3" t="s">
        <v>9</v>
      </c>
      <c r="E20176" s="3">
        <v>0</v>
      </c>
      <c r="F20176" s="3">
        <v>0</v>
      </c>
      <c r="G20176" s="3">
        <v>0</v>
      </c>
      <c r="H20176" s="3">
        <v>0</v>
      </c>
      <c r="I20176" s="3">
        <v>0</v>
      </c>
      <c r="J20176" s="3">
        <v>0</v>
      </c>
      <c r="K20176" s="3">
        <v>0</v>
      </c>
      <c r="L20176" s="3">
        <v>0</v>
      </c>
      <c r="M20176" s="3">
        <v>0</v>
      </c>
      <c r="N20176" s="3">
        <v>0</v>
      </c>
      <c r="O20176" s="3" t="s">
        <v>10</v>
      </c>
      <c r="P20176" s="3" t="s">
        <v>9</v>
      </c>
      <c r="Q20176" s="3"/>
    </row>
    <row r="20177" spans="1:17" ht="15" x14ac:dyDescent="0.25">
      <c r="A20177" s="3">
        <f>20170</f>
        <v>20170</v>
      </c>
      <c r="B20177" s="3" t="s">
        <v>20179</v>
      </c>
      <c r="C20177" s="3" t="s">
        <v>10</v>
      </c>
      <c r="D20177" s="3" t="s">
        <v>9</v>
      </c>
      <c r="E20177" s="3">
        <v>0</v>
      </c>
      <c r="F20177" s="3">
        <v>0</v>
      </c>
      <c r="G20177" s="3">
        <v>0</v>
      </c>
      <c r="H20177" s="3">
        <v>0</v>
      </c>
      <c r="I20177" s="3">
        <v>0</v>
      </c>
      <c r="J20177" s="3">
        <v>0</v>
      </c>
      <c r="K20177" s="3">
        <v>0</v>
      </c>
      <c r="L20177" s="3">
        <v>0</v>
      </c>
      <c r="M20177" s="3">
        <v>0</v>
      </c>
      <c r="N20177" s="3">
        <v>0</v>
      </c>
      <c r="O20177" s="3" t="s">
        <v>10</v>
      </c>
      <c r="P20177" s="3" t="s">
        <v>9</v>
      </c>
      <c r="Q20177" s="3"/>
    </row>
    <row r="20178" spans="1:17" ht="15" x14ac:dyDescent="0.25">
      <c r="A20178" s="3">
        <f>20171</f>
        <v>20171</v>
      </c>
      <c r="B20178" s="3" t="s">
        <v>20180</v>
      </c>
      <c r="C20178" s="3" t="s">
        <v>10</v>
      </c>
      <c r="D20178" s="3" t="s">
        <v>9</v>
      </c>
      <c r="E20178" s="3">
        <v>0</v>
      </c>
      <c r="F20178" s="3">
        <v>0</v>
      </c>
      <c r="G20178" s="3">
        <v>0</v>
      </c>
      <c r="H20178" s="3">
        <v>0</v>
      </c>
      <c r="I20178" s="3">
        <v>0</v>
      </c>
      <c r="J20178" s="3">
        <v>0</v>
      </c>
      <c r="K20178" s="3">
        <v>0</v>
      </c>
      <c r="L20178" s="3">
        <v>0</v>
      </c>
      <c r="M20178" s="3">
        <v>0</v>
      </c>
      <c r="N20178" s="3">
        <v>0</v>
      </c>
      <c r="O20178" s="3" t="s">
        <v>10</v>
      </c>
      <c r="P20178" s="3" t="s">
        <v>9</v>
      </c>
      <c r="Q20178" s="3"/>
    </row>
    <row r="20179" spans="1:17" ht="15" x14ac:dyDescent="0.25">
      <c r="A20179" s="3">
        <f>20172</f>
        <v>20172</v>
      </c>
      <c r="B20179" s="3" t="s">
        <v>20181</v>
      </c>
      <c r="C20179" s="3" t="s">
        <v>10</v>
      </c>
      <c r="D20179" s="3" t="s">
        <v>9</v>
      </c>
      <c r="E20179" s="3">
        <v>0</v>
      </c>
      <c r="F20179" s="3">
        <v>0</v>
      </c>
      <c r="G20179" s="3">
        <v>0</v>
      </c>
      <c r="H20179" s="3">
        <v>0</v>
      </c>
      <c r="I20179" s="3">
        <v>0</v>
      </c>
      <c r="J20179" s="3">
        <v>0</v>
      </c>
      <c r="K20179" s="3">
        <v>0</v>
      </c>
      <c r="L20179" s="3">
        <v>0</v>
      </c>
      <c r="M20179" s="3">
        <v>0</v>
      </c>
      <c r="N20179" s="3">
        <v>0</v>
      </c>
      <c r="O20179" s="3" t="s">
        <v>10</v>
      </c>
      <c r="P20179" s="3" t="s">
        <v>9</v>
      </c>
      <c r="Q20179" s="3"/>
    </row>
    <row r="20180" spans="1:17" ht="15" x14ac:dyDescent="0.25">
      <c r="A20180" s="3">
        <f>20173</f>
        <v>20173</v>
      </c>
      <c r="B20180" s="3" t="s">
        <v>20182</v>
      </c>
      <c r="C20180" s="3" t="s">
        <v>10</v>
      </c>
      <c r="D20180" s="3" t="s">
        <v>9</v>
      </c>
      <c r="E20180" s="3">
        <v>0</v>
      </c>
      <c r="F20180" s="3">
        <v>0</v>
      </c>
      <c r="G20180" s="3">
        <v>0</v>
      </c>
      <c r="H20180" s="3">
        <v>0</v>
      </c>
      <c r="I20180" s="3">
        <v>0</v>
      </c>
      <c r="J20180" s="3">
        <v>0</v>
      </c>
      <c r="K20180" s="3">
        <v>0</v>
      </c>
      <c r="L20180" s="3">
        <v>0</v>
      </c>
      <c r="M20180" s="3">
        <v>0</v>
      </c>
      <c r="N20180" s="3">
        <v>0</v>
      </c>
      <c r="O20180" s="3" t="s">
        <v>10</v>
      </c>
      <c r="P20180" s="3" t="s">
        <v>9</v>
      </c>
      <c r="Q20180" s="3"/>
    </row>
    <row r="20181" spans="1:17" ht="15" x14ac:dyDescent="0.25">
      <c r="A20181" s="3">
        <f>20174</f>
        <v>20174</v>
      </c>
      <c r="B20181" s="3" t="s">
        <v>20183</v>
      </c>
      <c r="C20181" s="3" t="s">
        <v>10</v>
      </c>
      <c r="D20181" s="3" t="s">
        <v>9</v>
      </c>
      <c r="E20181" s="3">
        <v>0</v>
      </c>
      <c r="F20181" s="3">
        <v>0</v>
      </c>
      <c r="G20181" s="3">
        <v>0</v>
      </c>
      <c r="H20181" s="3">
        <v>0</v>
      </c>
      <c r="I20181" s="3">
        <v>0</v>
      </c>
      <c r="J20181" s="3">
        <v>0</v>
      </c>
      <c r="K20181" s="3">
        <v>0</v>
      </c>
      <c r="L20181" s="3">
        <v>0</v>
      </c>
      <c r="M20181" s="3">
        <v>0</v>
      </c>
      <c r="N20181" s="3">
        <v>0</v>
      </c>
      <c r="O20181" s="3" t="s">
        <v>10</v>
      </c>
      <c r="P20181" s="3" t="s">
        <v>9</v>
      </c>
      <c r="Q20181" s="3"/>
    </row>
    <row r="20182" spans="1:17" ht="15" x14ac:dyDescent="0.25">
      <c r="A20182" s="3">
        <f>20175</f>
        <v>20175</v>
      </c>
      <c r="B20182" s="3" t="s">
        <v>20184</v>
      </c>
      <c r="C20182" s="3" t="s">
        <v>10</v>
      </c>
      <c r="D20182" s="3" t="s">
        <v>9</v>
      </c>
      <c r="E20182" s="3">
        <v>0</v>
      </c>
      <c r="F20182" s="3">
        <v>0</v>
      </c>
      <c r="G20182" s="3">
        <v>0</v>
      </c>
      <c r="H20182" s="3">
        <v>0</v>
      </c>
      <c r="I20182" s="3">
        <v>0</v>
      </c>
      <c r="J20182" s="3">
        <v>0</v>
      </c>
      <c r="K20182" s="3">
        <v>0</v>
      </c>
      <c r="L20182" s="3">
        <v>0</v>
      </c>
      <c r="M20182" s="3">
        <v>0</v>
      </c>
      <c r="N20182" s="3">
        <v>0</v>
      </c>
      <c r="O20182" s="3" t="s">
        <v>10</v>
      </c>
      <c r="P20182" s="3" t="s">
        <v>9</v>
      </c>
      <c r="Q20182" s="3"/>
    </row>
    <row r="20183" spans="1:17" ht="15" x14ac:dyDescent="0.25">
      <c r="A20183" s="3">
        <f>20176</f>
        <v>20176</v>
      </c>
      <c r="B20183" s="3" t="s">
        <v>20185</v>
      </c>
      <c r="C20183" s="3" t="s">
        <v>10</v>
      </c>
      <c r="D20183" s="3" t="s">
        <v>9</v>
      </c>
      <c r="E20183" s="3">
        <v>0</v>
      </c>
      <c r="F20183" s="3">
        <v>0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  <c r="L20183" s="3">
        <v>0</v>
      </c>
      <c r="M20183" s="3">
        <v>0</v>
      </c>
      <c r="N20183" s="3">
        <v>0</v>
      </c>
      <c r="O20183" s="3" t="s">
        <v>10</v>
      </c>
      <c r="P20183" s="3" t="s">
        <v>9</v>
      </c>
      <c r="Q20183" s="3"/>
    </row>
    <row r="20184" spans="1:17" ht="15" x14ac:dyDescent="0.25">
      <c r="A20184" s="3">
        <f>20177</f>
        <v>20177</v>
      </c>
      <c r="B20184" s="3" t="s">
        <v>20186</v>
      </c>
      <c r="C20184" s="3" t="s">
        <v>10</v>
      </c>
      <c r="D20184" s="3" t="s">
        <v>9</v>
      </c>
      <c r="E20184" s="3">
        <v>0</v>
      </c>
      <c r="F20184" s="3">
        <v>0</v>
      </c>
      <c r="G20184" s="3">
        <v>0</v>
      </c>
      <c r="H20184" s="3">
        <v>0</v>
      </c>
      <c r="I20184" s="3">
        <v>0</v>
      </c>
      <c r="J20184" s="3">
        <v>0</v>
      </c>
      <c r="K20184" s="3">
        <v>0</v>
      </c>
      <c r="L20184" s="3">
        <v>0</v>
      </c>
      <c r="M20184" s="3">
        <v>0</v>
      </c>
      <c r="N20184" s="3">
        <v>0</v>
      </c>
      <c r="O20184" s="3" t="s">
        <v>10</v>
      </c>
      <c r="P20184" s="3" t="s">
        <v>9</v>
      </c>
      <c r="Q20184" s="3"/>
    </row>
    <row r="20185" spans="1:17" ht="15" x14ac:dyDescent="0.25">
      <c r="A20185" s="3">
        <f>20178</f>
        <v>20178</v>
      </c>
      <c r="B20185" s="3" t="s">
        <v>20187</v>
      </c>
      <c r="C20185" s="3" t="s">
        <v>10</v>
      </c>
      <c r="D20185" s="3" t="s">
        <v>9</v>
      </c>
      <c r="E20185" s="3">
        <v>0</v>
      </c>
      <c r="F20185" s="3">
        <v>0</v>
      </c>
      <c r="G20185" s="3">
        <v>0</v>
      </c>
      <c r="H20185" s="3">
        <v>0</v>
      </c>
      <c r="I20185" s="3">
        <v>0</v>
      </c>
      <c r="J20185" s="3">
        <v>0</v>
      </c>
      <c r="K20185" s="3">
        <v>0</v>
      </c>
      <c r="L20185" s="3">
        <v>0</v>
      </c>
      <c r="M20185" s="3">
        <v>0</v>
      </c>
      <c r="N20185" s="3">
        <v>0</v>
      </c>
      <c r="O20185" s="3" t="s">
        <v>10</v>
      </c>
      <c r="P20185" s="3" t="s">
        <v>9</v>
      </c>
      <c r="Q20185" s="3"/>
    </row>
    <row r="20186" spans="1:17" ht="15" x14ac:dyDescent="0.25">
      <c r="A20186" s="3">
        <f>20179</f>
        <v>20179</v>
      </c>
      <c r="B20186" s="3" t="s">
        <v>20188</v>
      </c>
      <c r="C20186" s="3" t="s">
        <v>10</v>
      </c>
      <c r="D20186" s="3" t="s">
        <v>9</v>
      </c>
      <c r="E20186" s="3">
        <v>0</v>
      </c>
      <c r="F20186" s="3">
        <v>0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 s="3">
        <v>0</v>
      </c>
      <c r="M20186" s="3">
        <v>0</v>
      </c>
      <c r="N20186" s="3">
        <v>0</v>
      </c>
      <c r="O20186" s="3" t="s">
        <v>10</v>
      </c>
      <c r="P20186" s="3" t="s">
        <v>9</v>
      </c>
      <c r="Q20186" s="3"/>
    </row>
    <row r="20187" spans="1:17" ht="15" x14ac:dyDescent="0.25">
      <c r="A20187" s="3">
        <f>20180</f>
        <v>20180</v>
      </c>
      <c r="B20187" s="3" t="s">
        <v>20189</v>
      </c>
      <c r="C20187" s="3" t="s">
        <v>10</v>
      </c>
      <c r="D20187" s="3" t="s">
        <v>9</v>
      </c>
      <c r="E20187" s="3">
        <v>0</v>
      </c>
      <c r="F20187" s="3">
        <v>0</v>
      </c>
      <c r="G20187" s="3">
        <v>0</v>
      </c>
      <c r="H20187" s="3">
        <v>0</v>
      </c>
      <c r="I20187" s="3">
        <v>0</v>
      </c>
      <c r="J20187" s="3">
        <v>0</v>
      </c>
      <c r="K20187" s="3">
        <v>0</v>
      </c>
      <c r="L20187" s="3">
        <v>0</v>
      </c>
      <c r="M20187" s="3">
        <v>0</v>
      </c>
      <c r="N20187" s="3">
        <v>0</v>
      </c>
      <c r="O20187" s="3" t="s">
        <v>10</v>
      </c>
      <c r="P20187" s="3" t="s">
        <v>9</v>
      </c>
      <c r="Q20187" s="3"/>
    </row>
    <row r="20188" spans="1:17" ht="15" x14ac:dyDescent="0.25">
      <c r="A20188" s="3">
        <f>20181</f>
        <v>20181</v>
      </c>
      <c r="B20188" s="3" t="s">
        <v>20190</v>
      </c>
      <c r="C20188" s="3" t="s">
        <v>10</v>
      </c>
      <c r="D20188" s="3" t="s">
        <v>9</v>
      </c>
      <c r="E20188" s="3">
        <v>0</v>
      </c>
      <c r="F20188" s="3">
        <v>0</v>
      </c>
      <c r="G20188" s="3">
        <v>0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3">
        <v>0</v>
      </c>
      <c r="N20188" s="3">
        <v>0</v>
      </c>
      <c r="O20188" s="3" t="s">
        <v>10</v>
      </c>
      <c r="P20188" s="3" t="s">
        <v>9</v>
      </c>
      <c r="Q20188" s="3"/>
    </row>
    <row r="20189" spans="1:17" ht="15" x14ac:dyDescent="0.25">
      <c r="A20189" s="3">
        <f>20182</f>
        <v>20182</v>
      </c>
      <c r="B20189" s="3" t="s">
        <v>20191</v>
      </c>
      <c r="C20189" s="3" t="s">
        <v>10</v>
      </c>
      <c r="D20189" s="3" t="s">
        <v>9</v>
      </c>
      <c r="E20189" s="3">
        <v>0</v>
      </c>
      <c r="F20189" s="3">
        <v>0</v>
      </c>
      <c r="G20189" s="3">
        <v>0</v>
      </c>
      <c r="H20189" s="3">
        <v>0</v>
      </c>
      <c r="I20189" s="3">
        <v>0</v>
      </c>
      <c r="J20189" s="3">
        <v>0</v>
      </c>
      <c r="K20189" s="3">
        <v>0</v>
      </c>
      <c r="L20189" s="3">
        <v>0</v>
      </c>
      <c r="M20189" s="3">
        <v>0</v>
      </c>
      <c r="N20189" s="3">
        <v>0</v>
      </c>
      <c r="O20189" s="3" t="s">
        <v>10</v>
      </c>
      <c r="P20189" s="3" t="s">
        <v>9</v>
      </c>
      <c r="Q20189" s="3"/>
    </row>
    <row r="20190" spans="1:17" ht="15" x14ac:dyDescent="0.25">
      <c r="A20190" s="3">
        <f>20183</f>
        <v>20183</v>
      </c>
      <c r="B20190" s="3" t="s">
        <v>20192</v>
      </c>
      <c r="C20190" s="3" t="s">
        <v>10</v>
      </c>
      <c r="D20190" s="3" t="s">
        <v>9</v>
      </c>
      <c r="E20190" s="3">
        <v>0</v>
      </c>
      <c r="F20190" s="3">
        <v>0</v>
      </c>
      <c r="G20190" s="3">
        <v>0</v>
      </c>
      <c r="H20190" s="3">
        <v>0</v>
      </c>
      <c r="I20190" s="3">
        <v>0</v>
      </c>
      <c r="J20190" s="3">
        <v>0</v>
      </c>
      <c r="K20190" s="3">
        <v>0</v>
      </c>
      <c r="L20190" s="3">
        <v>0</v>
      </c>
      <c r="M20190" s="3">
        <v>0</v>
      </c>
      <c r="N20190" s="3">
        <v>0</v>
      </c>
      <c r="O20190" s="3" t="s">
        <v>10</v>
      </c>
      <c r="P20190" s="3" t="s">
        <v>9</v>
      </c>
      <c r="Q20190" s="3"/>
    </row>
    <row r="20191" spans="1:17" ht="15" x14ac:dyDescent="0.25">
      <c r="A20191" s="3">
        <f>20184</f>
        <v>20184</v>
      </c>
      <c r="B20191" s="3" t="s">
        <v>20193</v>
      </c>
      <c r="C20191" s="3" t="s">
        <v>10</v>
      </c>
      <c r="D20191" s="3" t="s">
        <v>9</v>
      </c>
      <c r="E20191" s="3">
        <v>0</v>
      </c>
      <c r="F20191" s="3">
        <v>0</v>
      </c>
      <c r="G20191" s="3">
        <v>0</v>
      </c>
      <c r="H20191" s="3">
        <v>0</v>
      </c>
      <c r="I20191" s="3">
        <v>0</v>
      </c>
      <c r="J20191" s="3">
        <v>0</v>
      </c>
      <c r="K20191" s="3">
        <v>0</v>
      </c>
      <c r="L20191" s="3">
        <v>0</v>
      </c>
      <c r="M20191" s="3">
        <v>0</v>
      </c>
      <c r="N20191" s="3">
        <v>0</v>
      </c>
      <c r="O20191" s="3" t="s">
        <v>10</v>
      </c>
      <c r="P20191" s="3" t="s">
        <v>9</v>
      </c>
      <c r="Q20191" s="3"/>
    </row>
    <row r="20192" spans="1:17" ht="15" x14ac:dyDescent="0.25">
      <c r="A20192" s="3">
        <f>20185</f>
        <v>20185</v>
      </c>
      <c r="B20192" s="3" t="s">
        <v>20194</v>
      </c>
      <c r="C20192" s="3" t="s">
        <v>10</v>
      </c>
      <c r="D20192" s="3" t="s">
        <v>9</v>
      </c>
      <c r="E20192" s="3">
        <v>0</v>
      </c>
      <c r="F20192" s="3">
        <v>0</v>
      </c>
      <c r="G20192" s="3">
        <v>0</v>
      </c>
      <c r="H20192" s="3">
        <v>0</v>
      </c>
      <c r="I20192" s="3">
        <v>0</v>
      </c>
      <c r="J20192" s="3">
        <v>0</v>
      </c>
      <c r="K20192" s="3">
        <v>0</v>
      </c>
      <c r="L20192" s="3">
        <v>0</v>
      </c>
      <c r="M20192" s="3">
        <v>0</v>
      </c>
      <c r="N20192" s="3">
        <v>0</v>
      </c>
      <c r="O20192" s="3" t="s">
        <v>10</v>
      </c>
      <c r="P20192" s="3" t="s">
        <v>9</v>
      </c>
      <c r="Q20192" s="3"/>
    </row>
    <row r="20193" spans="1:17" ht="15" x14ac:dyDescent="0.25">
      <c r="A20193" s="3">
        <f>20186</f>
        <v>20186</v>
      </c>
      <c r="B20193" s="3" t="s">
        <v>20195</v>
      </c>
      <c r="C20193" s="3" t="s">
        <v>10</v>
      </c>
      <c r="D20193" s="3" t="s">
        <v>9</v>
      </c>
      <c r="E20193" s="3">
        <v>0</v>
      </c>
      <c r="F20193" s="3">
        <v>0</v>
      </c>
      <c r="G20193" s="3">
        <v>0</v>
      </c>
      <c r="H20193" s="3">
        <v>0</v>
      </c>
      <c r="I20193" s="3">
        <v>0</v>
      </c>
      <c r="J20193" s="3">
        <v>0</v>
      </c>
      <c r="K20193" s="3">
        <v>0</v>
      </c>
      <c r="L20193" s="3">
        <v>0</v>
      </c>
      <c r="M20193" s="3">
        <v>0</v>
      </c>
      <c r="N20193" s="3">
        <v>0</v>
      </c>
      <c r="O20193" s="3" t="s">
        <v>10</v>
      </c>
      <c r="P20193" s="3" t="s">
        <v>9</v>
      </c>
      <c r="Q20193" s="3"/>
    </row>
    <row r="20194" spans="1:17" ht="15" x14ac:dyDescent="0.25">
      <c r="A20194" s="3">
        <f>20187</f>
        <v>20187</v>
      </c>
      <c r="B20194" s="3" t="s">
        <v>20196</v>
      </c>
      <c r="C20194" s="3" t="s">
        <v>10</v>
      </c>
      <c r="D20194" s="3" t="s">
        <v>9</v>
      </c>
      <c r="E20194" s="3">
        <v>0</v>
      </c>
      <c r="F20194" s="3">
        <v>0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  <c r="L20194" s="3">
        <v>0</v>
      </c>
      <c r="M20194" s="3">
        <v>0</v>
      </c>
      <c r="N20194" s="3">
        <v>0</v>
      </c>
      <c r="O20194" s="3" t="s">
        <v>10</v>
      </c>
      <c r="P20194" s="3" t="s">
        <v>9</v>
      </c>
      <c r="Q20194" s="3"/>
    </row>
    <row r="20195" spans="1:17" ht="15" x14ac:dyDescent="0.25">
      <c r="A20195" s="3">
        <f>20188</f>
        <v>20188</v>
      </c>
      <c r="B20195" s="3" t="s">
        <v>20197</v>
      </c>
      <c r="C20195" s="3" t="s">
        <v>10</v>
      </c>
      <c r="D20195" s="3" t="s">
        <v>9</v>
      </c>
      <c r="E20195" s="3">
        <v>0</v>
      </c>
      <c r="F20195" s="3">
        <v>0</v>
      </c>
      <c r="G20195" s="3">
        <v>0</v>
      </c>
      <c r="H20195" s="3">
        <v>0</v>
      </c>
      <c r="I20195" s="3">
        <v>0</v>
      </c>
      <c r="J20195" s="3">
        <v>0</v>
      </c>
      <c r="K20195" s="3">
        <v>0</v>
      </c>
      <c r="L20195" s="3">
        <v>0</v>
      </c>
      <c r="M20195" s="3">
        <v>0</v>
      </c>
      <c r="N20195" s="3">
        <v>0</v>
      </c>
      <c r="O20195" s="3" t="s">
        <v>10</v>
      </c>
      <c r="P20195" s="3" t="s">
        <v>9</v>
      </c>
      <c r="Q20195" s="3"/>
    </row>
    <row r="20196" spans="1:17" ht="15" x14ac:dyDescent="0.25">
      <c r="A20196" s="3">
        <f>20189</f>
        <v>20189</v>
      </c>
      <c r="B20196" s="3" t="s">
        <v>20198</v>
      </c>
      <c r="C20196" s="3" t="s">
        <v>10</v>
      </c>
      <c r="D20196" s="3" t="s">
        <v>9</v>
      </c>
      <c r="E20196" s="3">
        <v>0</v>
      </c>
      <c r="F20196" s="3">
        <v>0</v>
      </c>
      <c r="G20196" s="3">
        <v>0</v>
      </c>
      <c r="H20196" s="3">
        <v>0</v>
      </c>
      <c r="I20196" s="3">
        <v>0</v>
      </c>
      <c r="J20196" s="3">
        <v>0</v>
      </c>
      <c r="K20196" s="3">
        <v>0</v>
      </c>
      <c r="L20196" s="3">
        <v>0</v>
      </c>
      <c r="M20196" s="3">
        <v>0</v>
      </c>
      <c r="N20196" s="3">
        <v>0</v>
      </c>
      <c r="O20196" s="3" t="s">
        <v>10</v>
      </c>
      <c r="P20196" s="3" t="s">
        <v>9</v>
      </c>
      <c r="Q20196" s="3"/>
    </row>
    <row r="20197" spans="1:17" ht="15" x14ac:dyDescent="0.25">
      <c r="A20197" s="3">
        <f>20190</f>
        <v>20190</v>
      </c>
      <c r="B20197" s="3" t="s">
        <v>20199</v>
      </c>
      <c r="C20197" s="3" t="s">
        <v>10</v>
      </c>
      <c r="D20197" s="3" t="s">
        <v>9</v>
      </c>
      <c r="E20197" s="3">
        <v>0</v>
      </c>
      <c r="F20197" s="3">
        <v>0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3">
        <v>0</v>
      </c>
      <c r="N20197" s="3">
        <v>0</v>
      </c>
      <c r="O20197" s="3" t="s">
        <v>10</v>
      </c>
      <c r="P20197" s="3" t="s">
        <v>9</v>
      </c>
      <c r="Q20197" s="3"/>
    </row>
    <row r="20198" spans="1:17" ht="15" x14ac:dyDescent="0.25">
      <c r="A20198" s="3">
        <f>20191</f>
        <v>20191</v>
      </c>
      <c r="B20198" s="3" t="s">
        <v>20200</v>
      </c>
      <c r="C20198" s="3" t="s">
        <v>10</v>
      </c>
      <c r="D20198" s="3" t="s">
        <v>9</v>
      </c>
      <c r="E20198" s="3">
        <v>0</v>
      </c>
      <c r="F20198" s="3">
        <v>0</v>
      </c>
      <c r="G20198" s="3">
        <v>0</v>
      </c>
      <c r="H20198" s="3">
        <v>0</v>
      </c>
      <c r="I20198" s="3">
        <v>0</v>
      </c>
      <c r="J20198" s="3">
        <v>0</v>
      </c>
      <c r="K20198" s="3">
        <v>0</v>
      </c>
      <c r="L20198" s="3">
        <v>0</v>
      </c>
      <c r="M20198" s="3">
        <v>0</v>
      </c>
      <c r="N20198" s="3">
        <v>0</v>
      </c>
      <c r="O20198" s="3" t="s">
        <v>10</v>
      </c>
      <c r="P20198" s="3" t="s">
        <v>9</v>
      </c>
      <c r="Q20198" s="3"/>
    </row>
    <row r="20199" spans="1:17" ht="15" x14ac:dyDescent="0.25">
      <c r="A20199" s="3">
        <f>20192</f>
        <v>20192</v>
      </c>
      <c r="B20199" s="3" t="s">
        <v>20201</v>
      </c>
      <c r="C20199" s="3" t="s">
        <v>10</v>
      </c>
      <c r="D20199" s="3" t="s">
        <v>9</v>
      </c>
      <c r="E20199" s="3">
        <v>0</v>
      </c>
      <c r="F20199" s="3">
        <v>0</v>
      </c>
      <c r="G20199" s="3">
        <v>0</v>
      </c>
      <c r="H20199" s="3">
        <v>0</v>
      </c>
      <c r="I20199" s="3">
        <v>0</v>
      </c>
      <c r="J20199" s="3">
        <v>0</v>
      </c>
      <c r="K20199" s="3">
        <v>0</v>
      </c>
      <c r="L20199" s="3">
        <v>0</v>
      </c>
      <c r="M20199" s="3">
        <v>0</v>
      </c>
      <c r="N20199" s="3">
        <v>0</v>
      </c>
      <c r="O20199" s="3" t="s">
        <v>10</v>
      </c>
      <c r="P20199" s="3" t="s">
        <v>9</v>
      </c>
      <c r="Q20199" s="3"/>
    </row>
    <row r="20200" spans="1:17" ht="15" x14ac:dyDescent="0.25">
      <c r="A20200" s="3">
        <f>20193</f>
        <v>20193</v>
      </c>
      <c r="B20200" s="3" t="s">
        <v>20202</v>
      </c>
      <c r="C20200" s="3" t="s">
        <v>10</v>
      </c>
      <c r="D20200" s="3" t="s">
        <v>9</v>
      </c>
      <c r="E20200" s="3">
        <v>0</v>
      </c>
      <c r="F20200" s="3">
        <v>0</v>
      </c>
      <c r="G20200" s="3">
        <v>0</v>
      </c>
      <c r="H20200" s="3">
        <v>0</v>
      </c>
      <c r="I20200" s="3">
        <v>0</v>
      </c>
      <c r="J20200" s="3">
        <v>0</v>
      </c>
      <c r="K20200" s="3">
        <v>0</v>
      </c>
      <c r="L20200" s="3">
        <v>0</v>
      </c>
      <c r="M20200" s="3">
        <v>0</v>
      </c>
      <c r="N20200" s="3">
        <v>0</v>
      </c>
      <c r="O20200" s="3" t="s">
        <v>10</v>
      </c>
      <c r="P20200" s="3" t="s">
        <v>9</v>
      </c>
      <c r="Q20200" s="3"/>
    </row>
    <row r="20201" spans="1:17" ht="15" x14ac:dyDescent="0.25">
      <c r="A20201" s="3">
        <f>20194</f>
        <v>20194</v>
      </c>
      <c r="B20201" s="3" t="s">
        <v>20203</v>
      </c>
      <c r="C20201" s="3" t="s">
        <v>10</v>
      </c>
      <c r="D20201" s="3" t="s">
        <v>9</v>
      </c>
      <c r="E20201" s="3">
        <v>0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  <c r="L20201" s="3">
        <v>0</v>
      </c>
      <c r="M20201" s="3">
        <v>0</v>
      </c>
      <c r="N20201" s="3">
        <v>0</v>
      </c>
      <c r="O20201" s="3" t="s">
        <v>10</v>
      </c>
      <c r="P20201" s="3" t="s">
        <v>9</v>
      </c>
      <c r="Q20201" s="3"/>
    </row>
    <row r="20202" spans="1:17" ht="15" x14ac:dyDescent="0.25">
      <c r="A20202" s="3">
        <f>20195</f>
        <v>20195</v>
      </c>
      <c r="B20202" s="3" t="s">
        <v>20204</v>
      </c>
      <c r="C20202" s="3" t="s">
        <v>10</v>
      </c>
      <c r="D20202" s="3" t="s">
        <v>9</v>
      </c>
      <c r="E20202" s="3">
        <v>0</v>
      </c>
      <c r="F20202" s="3">
        <v>0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  <c r="L20202" s="3">
        <v>0</v>
      </c>
      <c r="M20202" s="3">
        <v>0</v>
      </c>
      <c r="N20202" s="3">
        <v>0</v>
      </c>
      <c r="O20202" s="3" t="s">
        <v>10</v>
      </c>
      <c r="P20202" s="3" t="s">
        <v>9</v>
      </c>
      <c r="Q20202" s="3"/>
    </row>
    <row r="20203" spans="1:17" ht="15" x14ac:dyDescent="0.25">
      <c r="A20203" s="3">
        <f>20196</f>
        <v>20196</v>
      </c>
      <c r="B20203" s="3" t="s">
        <v>20205</v>
      </c>
      <c r="C20203" s="3" t="s">
        <v>10</v>
      </c>
      <c r="D20203" s="3" t="s">
        <v>9</v>
      </c>
      <c r="E20203" s="3">
        <v>0</v>
      </c>
      <c r="F20203" s="3">
        <v>0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  <c r="L20203" s="3">
        <v>0</v>
      </c>
      <c r="M20203" s="3">
        <v>0</v>
      </c>
      <c r="N20203" s="3">
        <v>0</v>
      </c>
      <c r="O20203" s="3" t="s">
        <v>10</v>
      </c>
      <c r="P20203" s="3" t="s">
        <v>9</v>
      </c>
      <c r="Q20203" s="3"/>
    </row>
    <row r="20204" spans="1:17" ht="15" x14ac:dyDescent="0.25">
      <c r="A20204" s="3">
        <f>20197</f>
        <v>20197</v>
      </c>
      <c r="B20204" s="3" t="s">
        <v>20206</v>
      </c>
      <c r="C20204" s="3" t="s">
        <v>10</v>
      </c>
      <c r="D20204" s="3" t="s">
        <v>9</v>
      </c>
      <c r="E20204" s="3">
        <v>0</v>
      </c>
      <c r="F20204" s="3">
        <v>0</v>
      </c>
      <c r="G20204" s="3">
        <v>0</v>
      </c>
      <c r="H20204" s="3">
        <v>0</v>
      </c>
      <c r="I20204" s="3">
        <v>0</v>
      </c>
      <c r="J20204" s="3">
        <v>0</v>
      </c>
      <c r="K20204" s="3">
        <v>0</v>
      </c>
      <c r="L20204" s="3">
        <v>0</v>
      </c>
      <c r="M20204" s="3">
        <v>0</v>
      </c>
      <c r="N20204" s="3">
        <v>0</v>
      </c>
      <c r="O20204" s="3" t="s">
        <v>10</v>
      </c>
      <c r="P20204" s="3" t="s">
        <v>9</v>
      </c>
      <c r="Q20204" s="3"/>
    </row>
    <row r="20205" spans="1:17" ht="15" x14ac:dyDescent="0.25">
      <c r="A20205" s="3">
        <f>20198</f>
        <v>20198</v>
      </c>
      <c r="B20205" s="3" t="s">
        <v>20207</v>
      </c>
      <c r="C20205" s="3" t="s">
        <v>10</v>
      </c>
      <c r="D20205" s="3" t="s">
        <v>9</v>
      </c>
      <c r="E20205" s="3">
        <v>0</v>
      </c>
      <c r="F20205" s="3">
        <v>0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  <c r="L20205" s="3">
        <v>0</v>
      </c>
      <c r="M20205" s="3">
        <v>0</v>
      </c>
      <c r="N20205" s="3">
        <v>0</v>
      </c>
      <c r="O20205" s="3" t="s">
        <v>10</v>
      </c>
      <c r="P20205" s="3" t="s">
        <v>9</v>
      </c>
      <c r="Q20205" s="3"/>
    </row>
    <row r="20206" spans="1:17" ht="15" x14ac:dyDescent="0.25">
      <c r="A20206" s="3">
        <f>20199</f>
        <v>20199</v>
      </c>
      <c r="B20206" s="3" t="s">
        <v>20208</v>
      </c>
      <c r="C20206" s="3" t="s">
        <v>10</v>
      </c>
      <c r="D20206" s="3" t="s">
        <v>9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 t="s">
        <v>10</v>
      </c>
      <c r="P20206" s="3" t="s">
        <v>9</v>
      </c>
      <c r="Q20206" s="3"/>
    </row>
    <row r="20207" spans="1:17" ht="15" x14ac:dyDescent="0.25">
      <c r="A20207" s="3">
        <f>20200</f>
        <v>20200</v>
      </c>
      <c r="B20207" s="3" t="s">
        <v>20209</v>
      </c>
      <c r="C20207" s="3" t="s">
        <v>10</v>
      </c>
      <c r="D20207" s="3" t="s">
        <v>9</v>
      </c>
      <c r="E20207" s="3">
        <v>0</v>
      </c>
      <c r="F20207" s="3">
        <v>0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  <c r="L20207" s="3">
        <v>0</v>
      </c>
      <c r="M20207" s="3">
        <v>0</v>
      </c>
      <c r="N20207" s="3">
        <v>0</v>
      </c>
      <c r="O20207" s="3" t="s">
        <v>10</v>
      </c>
      <c r="P20207" s="3" t="s">
        <v>9</v>
      </c>
      <c r="Q20207" s="3"/>
    </row>
    <row r="20208" spans="1:17" ht="15" x14ac:dyDescent="0.25">
      <c r="A20208" s="3">
        <f>20201</f>
        <v>20201</v>
      </c>
      <c r="B20208" s="3" t="s">
        <v>20210</v>
      </c>
      <c r="C20208" s="3" t="s">
        <v>10</v>
      </c>
      <c r="D20208" s="3" t="s">
        <v>9</v>
      </c>
      <c r="E20208" s="3">
        <v>0</v>
      </c>
      <c r="F20208" s="3">
        <v>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 s="3">
        <v>0</v>
      </c>
      <c r="M20208" s="3">
        <v>0</v>
      </c>
      <c r="N20208" s="3">
        <v>0</v>
      </c>
      <c r="O20208" s="3" t="s">
        <v>10</v>
      </c>
      <c r="P20208" s="3" t="s">
        <v>9</v>
      </c>
      <c r="Q20208" s="3"/>
    </row>
    <row r="20209" spans="1:17" ht="15" x14ac:dyDescent="0.25">
      <c r="A20209" s="3">
        <f>20202</f>
        <v>20202</v>
      </c>
      <c r="B20209" s="3" t="s">
        <v>20211</v>
      </c>
      <c r="C20209" s="3" t="s">
        <v>10</v>
      </c>
      <c r="D20209" s="3" t="s">
        <v>9</v>
      </c>
      <c r="E20209" s="3">
        <v>0</v>
      </c>
      <c r="F20209" s="3">
        <v>0</v>
      </c>
      <c r="G20209" s="3">
        <v>0</v>
      </c>
      <c r="H20209" s="3">
        <v>0</v>
      </c>
      <c r="I20209" s="3">
        <v>0</v>
      </c>
      <c r="J20209" s="3">
        <v>0</v>
      </c>
      <c r="K20209" s="3">
        <v>0</v>
      </c>
      <c r="L20209" s="3">
        <v>0</v>
      </c>
      <c r="M20209" s="3">
        <v>0</v>
      </c>
      <c r="N20209" s="3">
        <v>0</v>
      </c>
      <c r="O20209" s="3" t="s">
        <v>10</v>
      </c>
      <c r="P20209" s="3" t="s">
        <v>9</v>
      </c>
      <c r="Q20209" s="3"/>
    </row>
    <row r="20210" spans="1:17" ht="15" x14ac:dyDescent="0.25">
      <c r="A20210" s="3">
        <f>20203</f>
        <v>20203</v>
      </c>
      <c r="B20210" s="3" t="s">
        <v>20212</v>
      </c>
      <c r="C20210" s="3" t="s">
        <v>10</v>
      </c>
      <c r="D20210" s="3" t="s">
        <v>9</v>
      </c>
      <c r="E20210" s="3">
        <v>0</v>
      </c>
      <c r="F20210" s="3">
        <v>0</v>
      </c>
      <c r="G20210" s="3">
        <v>0</v>
      </c>
      <c r="H20210" s="3">
        <v>0</v>
      </c>
      <c r="I20210" s="3">
        <v>0</v>
      </c>
      <c r="J20210" s="3">
        <v>0</v>
      </c>
      <c r="K20210" s="3">
        <v>0</v>
      </c>
      <c r="L20210" s="3">
        <v>0</v>
      </c>
      <c r="M20210" s="3">
        <v>0</v>
      </c>
      <c r="N20210" s="3">
        <v>0</v>
      </c>
      <c r="O20210" s="3" t="s">
        <v>10</v>
      </c>
      <c r="P20210" s="3" t="s">
        <v>9</v>
      </c>
      <c r="Q20210" s="3"/>
    </row>
    <row r="20211" spans="1:17" ht="15" x14ac:dyDescent="0.25">
      <c r="A20211" s="3">
        <f>20204</f>
        <v>20204</v>
      </c>
      <c r="B20211" s="3" t="s">
        <v>20213</v>
      </c>
      <c r="C20211" s="3" t="s">
        <v>10</v>
      </c>
      <c r="D20211" s="3" t="s">
        <v>9</v>
      </c>
      <c r="E20211" s="3">
        <v>0</v>
      </c>
      <c r="F20211" s="3">
        <v>0</v>
      </c>
      <c r="G20211" s="3">
        <v>0</v>
      </c>
      <c r="H20211" s="3">
        <v>0</v>
      </c>
      <c r="I20211" s="3">
        <v>0</v>
      </c>
      <c r="J20211" s="3">
        <v>0</v>
      </c>
      <c r="K20211" s="3">
        <v>0</v>
      </c>
      <c r="L20211" s="3">
        <v>0</v>
      </c>
      <c r="M20211" s="3">
        <v>0</v>
      </c>
      <c r="N20211" s="3">
        <v>0</v>
      </c>
      <c r="O20211" s="3" t="s">
        <v>10</v>
      </c>
      <c r="P20211" s="3" t="s">
        <v>9</v>
      </c>
      <c r="Q20211" s="3"/>
    </row>
    <row r="20212" spans="1:17" ht="15" x14ac:dyDescent="0.25">
      <c r="A20212" s="3">
        <f>20205</f>
        <v>20205</v>
      </c>
      <c r="B20212" s="3" t="s">
        <v>20214</v>
      </c>
      <c r="C20212" s="3" t="s">
        <v>10</v>
      </c>
      <c r="D20212" s="3" t="s">
        <v>9</v>
      </c>
      <c r="E20212" s="3">
        <v>0</v>
      </c>
      <c r="F20212" s="3">
        <v>0</v>
      </c>
      <c r="G20212" s="3">
        <v>0</v>
      </c>
      <c r="H20212" s="3">
        <v>0</v>
      </c>
      <c r="I20212" s="3">
        <v>0</v>
      </c>
      <c r="J20212" s="3">
        <v>0</v>
      </c>
      <c r="K20212" s="3">
        <v>0</v>
      </c>
      <c r="L20212" s="3">
        <v>0</v>
      </c>
      <c r="M20212" s="3">
        <v>0</v>
      </c>
      <c r="N20212" s="3">
        <v>0</v>
      </c>
      <c r="O20212" s="3" t="s">
        <v>10</v>
      </c>
      <c r="P20212" s="3" t="s">
        <v>9</v>
      </c>
      <c r="Q20212" s="3"/>
    </row>
    <row r="20213" spans="1:17" ht="15" x14ac:dyDescent="0.25">
      <c r="A20213" s="3">
        <f>20206</f>
        <v>20206</v>
      </c>
      <c r="B20213" s="3" t="s">
        <v>20215</v>
      </c>
      <c r="C20213" s="3" t="s">
        <v>10</v>
      </c>
      <c r="D20213" s="3" t="s">
        <v>9</v>
      </c>
      <c r="E20213" s="3">
        <v>0</v>
      </c>
      <c r="F20213" s="3">
        <v>0</v>
      </c>
      <c r="G20213" s="3">
        <v>0</v>
      </c>
      <c r="H20213" s="3">
        <v>0</v>
      </c>
      <c r="I20213" s="3">
        <v>0</v>
      </c>
      <c r="J20213" s="3">
        <v>0</v>
      </c>
      <c r="K20213" s="3">
        <v>0</v>
      </c>
      <c r="L20213" s="3">
        <v>0</v>
      </c>
      <c r="M20213" s="3">
        <v>0</v>
      </c>
      <c r="N20213" s="3">
        <v>0</v>
      </c>
      <c r="O20213" s="3" t="s">
        <v>10</v>
      </c>
      <c r="P20213" s="3" t="s">
        <v>9</v>
      </c>
      <c r="Q20213" s="3"/>
    </row>
    <row r="20214" spans="1:17" ht="15" x14ac:dyDescent="0.25">
      <c r="A20214" s="3">
        <f>20207</f>
        <v>20207</v>
      </c>
      <c r="B20214" s="3" t="s">
        <v>20216</v>
      </c>
      <c r="C20214" s="3" t="s">
        <v>10</v>
      </c>
      <c r="D20214" s="3" t="s">
        <v>9</v>
      </c>
      <c r="E20214" s="3">
        <v>0</v>
      </c>
      <c r="F20214" s="3">
        <v>0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  <c r="L20214" s="3">
        <v>0</v>
      </c>
      <c r="M20214" s="3">
        <v>0</v>
      </c>
      <c r="N20214" s="3">
        <v>0</v>
      </c>
      <c r="O20214" s="3" t="s">
        <v>10</v>
      </c>
      <c r="P20214" s="3" t="s">
        <v>9</v>
      </c>
      <c r="Q20214" s="3"/>
    </row>
    <row r="20215" spans="1:17" ht="15" x14ac:dyDescent="0.25">
      <c r="A20215" s="3">
        <f>20208</f>
        <v>20208</v>
      </c>
      <c r="B20215" s="3" t="s">
        <v>20217</v>
      </c>
      <c r="C20215" s="3" t="s">
        <v>10</v>
      </c>
      <c r="D20215" s="3" t="s">
        <v>9</v>
      </c>
      <c r="E20215" s="3">
        <v>0</v>
      </c>
      <c r="F20215" s="3">
        <v>0</v>
      </c>
      <c r="G20215" s="3">
        <v>0</v>
      </c>
      <c r="H20215" s="3">
        <v>0</v>
      </c>
      <c r="I20215" s="3">
        <v>0</v>
      </c>
      <c r="J20215" s="3">
        <v>0</v>
      </c>
      <c r="K20215" s="3">
        <v>0</v>
      </c>
      <c r="L20215" s="3">
        <v>0</v>
      </c>
      <c r="M20215" s="3">
        <v>0</v>
      </c>
      <c r="N20215" s="3">
        <v>0</v>
      </c>
      <c r="O20215" s="3" t="s">
        <v>10</v>
      </c>
      <c r="P20215" s="3" t="s">
        <v>9</v>
      </c>
      <c r="Q20215" s="3"/>
    </row>
    <row r="20216" spans="1:17" ht="15" x14ac:dyDescent="0.25">
      <c r="A20216" s="3">
        <f>20209</f>
        <v>20209</v>
      </c>
      <c r="B20216" s="3" t="s">
        <v>20218</v>
      </c>
      <c r="C20216" s="3" t="s">
        <v>10</v>
      </c>
      <c r="D20216" s="3" t="s">
        <v>9</v>
      </c>
      <c r="E20216" s="3">
        <v>0</v>
      </c>
      <c r="F20216" s="3">
        <v>0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  <c r="L20216" s="3">
        <v>0</v>
      </c>
      <c r="M20216" s="3">
        <v>0</v>
      </c>
      <c r="N20216" s="3">
        <v>0</v>
      </c>
      <c r="O20216" s="3" t="s">
        <v>10</v>
      </c>
      <c r="P20216" s="3" t="s">
        <v>9</v>
      </c>
      <c r="Q20216" s="3"/>
    </row>
    <row r="20217" spans="1:17" ht="15" x14ac:dyDescent="0.25">
      <c r="A20217" s="3">
        <f>20210</f>
        <v>20210</v>
      </c>
      <c r="B20217" s="3" t="s">
        <v>20219</v>
      </c>
      <c r="C20217" s="3" t="s">
        <v>10</v>
      </c>
      <c r="D20217" s="3" t="s">
        <v>9</v>
      </c>
      <c r="E20217" s="3">
        <v>0</v>
      </c>
      <c r="F20217" s="3">
        <v>0</v>
      </c>
      <c r="G20217" s="3">
        <v>0</v>
      </c>
      <c r="H20217" s="3">
        <v>0</v>
      </c>
      <c r="I20217" s="3">
        <v>0</v>
      </c>
      <c r="J20217" s="3">
        <v>0</v>
      </c>
      <c r="K20217" s="3">
        <v>0</v>
      </c>
      <c r="L20217" s="3">
        <v>0</v>
      </c>
      <c r="M20217" s="3">
        <v>0</v>
      </c>
      <c r="N20217" s="3">
        <v>0</v>
      </c>
      <c r="O20217" s="3" t="s">
        <v>10</v>
      </c>
      <c r="P20217" s="3" t="s">
        <v>9</v>
      </c>
      <c r="Q20217" s="3"/>
    </row>
    <row r="20218" spans="1:17" ht="15" x14ac:dyDescent="0.25">
      <c r="A20218" s="3">
        <f>20211</f>
        <v>20211</v>
      </c>
      <c r="B20218" s="3" t="s">
        <v>20220</v>
      </c>
      <c r="C20218" s="3" t="s">
        <v>10</v>
      </c>
      <c r="D20218" s="3" t="s">
        <v>9</v>
      </c>
      <c r="E20218" s="3">
        <v>0</v>
      </c>
      <c r="F20218" s="3">
        <v>0</v>
      </c>
      <c r="G20218" s="3">
        <v>0</v>
      </c>
      <c r="H20218" s="3">
        <v>0</v>
      </c>
      <c r="I20218" s="3">
        <v>0</v>
      </c>
      <c r="J20218" s="3">
        <v>0</v>
      </c>
      <c r="K20218" s="3">
        <v>0</v>
      </c>
      <c r="L20218" s="3">
        <v>0</v>
      </c>
      <c r="M20218" s="3">
        <v>0</v>
      </c>
      <c r="N20218" s="3">
        <v>0</v>
      </c>
      <c r="O20218" s="3" t="s">
        <v>10</v>
      </c>
      <c r="P20218" s="3" t="s">
        <v>9</v>
      </c>
      <c r="Q20218" s="3"/>
    </row>
    <row r="20219" spans="1:17" ht="15" x14ac:dyDescent="0.25">
      <c r="A20219" s="3">
        <f>20212</f>
        <v>20212</v>
      </c>
      <c r="B20219" s="3" t="s">
        <v>20221</v>
      </c>
      <c r="C20219" s="3" t="s">
        <v>10</v>
      </c>
      <c r="D20219" s="3" t="s">
        <v>9</v>
      </c>
      <c r="E20219" s="3">
        <v>0</v>
      </c>
      <c r="F20219" s="3">
        <v>0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 s="3">
        <v>0</v>
      </c>
      <c r="M20219" s="3">
        <v>0</v>
      </c>
      <c r="N20219" s="3">
        <v>0</v>
      </c>
      <c r="O20219" s="3" t="s">
        <v>10</v>
      </c>
      <c r="P20219" s="3" t="s">
        <v>9</v>
      </c>
      <c r="Q20219" s="3"/>
    </row>
    <row r="20220" spans="1:17" ht="15" x14ac:dyDescent="0.25">
      <c r="A20220" s="3">
        <f>20213</f>
        <v>20213</v>
      </c>
      <c r="B20220" s="3" t="s">
        <v>20222</v>
      </c>
      <c r="C20220" s="3" t="s">
        <v>10</v>
      </c>
      <c r="D20220" s="3" t="s">
        <v>9</v>
      </c>
      <c r="E20220" s="3">
        <v>0</v>
      </c>
      <c r="F20220" s="3">
        <v>0</v>
      </c>
      <c r="G20220" s="3">
        <v>0</v>
      </c>
      <c r="H20220" s="3">
        <v>0</v>
      </c>
      <c r="I20220" s="3">
        <v>0</v>
      </c>
      <c r="J20220" s="3">
        <v>0</v>
      </c>
      <c r="K20220" s="3">
        <v>0</v>
      </c>
      <c r="L20220" s="3">
        <v>0</v>
      </c>
      <c r="M20220" s="3">
        <v>0</v>
      </c>
      <c r="N20220" s="3">
        <v>0</v>
      </c>
      <c r="O20220" s="3" t="s">
        <v>10</v>
      </c>
      <c r="P20220" s="3" t="s">
        <v>9</v>
      </c>
      <c r="Q20220" s="3"/>
    </row>
    <row r="20221" spans="1:17" ht="15" x14ac:dyDescent="0.25">
      <c r="A20221" s="3">
        <f>20214</f>
        <v>20214</v>
      </c>
      <c r="B20221" s="3" t="s">
        <v>20223</v>
      </c>
      <c r="C20221" s="3" t="s">
        <v>10</v>
      </c>
      <c r="D20221" s="3" t="s">
        <v>9</v>
      </c>
      <c r="E20221" s="3">
        <v>0</v>
      </c>
      <c r="F20221" s="3">
        <v>0</v>
      </c>
      <c r="G20221" s="3">
        <v>0</v>
      </c>
      <c r="H20221" s="3">
        <v>0</v>
      </c>
      <c r="I20221" s="3">
        <v>0</v>
      </c>
      <c r="J20221" s="3">
        <v>0</v>
      </c>
      <c r="K20221" s="3">
        <v>0</v>
      </c>
      <c r="L20221" s="3">
        <v>0</v>
      </c>
      <c r="M20221" s="3">
        <v>0</v>
      </c>
      <c r="N20221" s="3">
        <v>0</v>
      </c>
      <c r="O20221" s="3" t="s">
        <v>10</v>
      </c>
      <c r="P20221" s="3" t="s">
        <v>9</v>
      </c>
      <c r="Q20221" s="3"/>
    </row>
    <row r="20222" spans="1:17" ht="15" x14ac:dyDescent="0.25">
      <c r="A20222" s="3">
        <f>20215</f>
        <v>20215</v>
      </c>
      <c r="B20222" s="3" t="s">
        <v>20224</v>
      </c>
      <c r="C20222" s="3" t="s">
        <v>10</v>
      </c>
      <c r="D20222" s="3" t="s">
        <v>9</v>
      </c>
      <c r="E20222" s="3">
        <v>0</v>
      </c>
      <c r="F20222" s="3">
        <v>0</v>
      </c>
      <c r="G20222" s="3">
        <v>0</v>
      </c>
      <c r="H20222" s="3">
        <v>0</v>
      </c>
      <c r="I20222" s="3">
        <v>0</v>
      </c>
      <c r="J20222" s="3">
        <v>0</v>
      </c>
      <c r="K20222" s="3">
        <v>0</v>
      </c>
      <c r="L20222" s="3">
        <v>0</v>
      </c>
      <c r="M20222" s="3">
        <v>0</v>
      </c>
      <c r="N20222" s="3">
        <v>0</v>
      </c>
      <c r="O20222" s="3" t="s">
        <v>10</v>
      </c>
      <c r="P20222" s="3" t="s">
        <v>9</v>
      </c>
      <c r="Q20222" s="3"/>
    </row>
    <row r="20223" spans="1:17" ht="15" x14ac:dyDescent="0.25">
      <c r="A20223" s="3">
        <f>20216</f>
        <v>20216</v>
      </c>
      <c r="B20223" s="3" t="s">
        <v>20225</v>
      </c>
      <c r="C20223" s="3" t="s">
        <v>10</v>
      </c>
      <c r="D20223" s="3" t="s">
        <v>9</v>
      </c>
      <c r="E20223" s="3">
        <v>0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0</v>
      </c>
      <c r="L20223" s="3">
        <v>0</v>
      </c>
      <c r="M20223" s="3">
        <v>0</v>
      </c>
      <c r="N20223" s="3">
        <v>0</v>
      </c>
      <c r="O20223" s="3" t="s">
        <v>10</v>
      </c>
      <c r="P20223" s="3" t="s">
        <v>9</v>
      </c>
      <c r="Q20223" s="3"/>
    </row>
    <row r="20224" spans="1:17" ht="15" x14ac:dyDescent="0.25">
      <c r="A20224" s="3">
        <f>20217</f>
        <v>20217</v>
      </c>
      <c r="B20224" s="3" t="s">
        <v>20226</v>
      </c>
      <c r="C20224" s="3" t="s">
        <v>10</v>
      </c>
      <c r="D20224" s="3" t="s">
        <v>9</v>
      </c>
      <c r="E20224" s="3">
        <v>0</v>
      </c>
      <c r="F20224" s="3">
        <v>0</v>
      </c>
      <c r="G20224" s="3">
        <v>0</v>
      </c>
      <c r="H20224" s="3">
        <v>0</v>
      </c>
      <c r="I20224" s="3">
        <v>0</v>
      </c>
      <c r="J20224" s="3">
        <v>0</v>
      </c>
      <c r="K20224" s="3">
        <v>0</v>
      </c>
      <c r="L20224" s="3">
        <v>0</v>
      </c>
      <c r="M20224" s="3">
        <v>0</v>
      </c>
      <c r="N20224" s="3">
        <v>0</v>
      </c>
      <c r="O20224" s="3" t="s">
        <v>10</v>
      </c>
      <c r="P20224" s="3" t="s">
        <v>9</v>
      </c>
      <c r="Q20224" s="3"/>
    </row>
    <row r="20225" spans="1:17" ht="15" x14ac:dyDescent="0.25">
      <c r="A20225" s="3">
        <f>20218</f>
        <v>20218</v>
      </c>
      <c r="B20225" s="3" t="s">
        <v>20227</v>
      </c>
      <c r="C20225" s="3" t="s">
        <v>10</v>
      </c>
      <c r="D20225" s="3" t="s">
        <v>9</v>
      </c>
      <c r="E20225" s="3">
        <v>0</v>
      </c>
      <c r="F20225" s="3">
        <v>0</v>
      </c>
      <c r="G20225" s="3">
        <v>0</v>
      </c>
      <c r="H20225" s="3">
        <v>0</v>
      </c>
      <c r="I20225" s="3">
        <v>0</v>
      </c>
      <c r="J20225" s="3">
        <v>0</v>
      </c>
      <c r="K20225" s="3">
        <v>0</v>
      </c>
      <c r="L20225" s="3">
        <v>0</v>
      </c>
      <c r="M20225" s="3">
        <v>0</v>
      </c>
      <c r="N20225" s="3">
        <v>0</v>
      </c>
      <c r="O20225" s="3" t="s">
        <v>10</v>
      </c>
      <c r="P20225" s="3" t="s">
        <v>9</v>
      </c>
      <c r="Q20225" s="3"/>
    </row>
    <row r="20226" spans="1:17" ht="15" x14ac:dyDescent="0.25">
      <c r="A20226" s="3">
        <f>20219</f>
        <v>20219</v>
      </c>
      <c r="B20226" s="3" t="s">
        <v>20228</v>
      </c>
      <c r="C20226" s="3" t="s">
        <v>10</v>
      </c>
      <c r="D20226" s="3" t="s">
        <v>9</v>
      </c>
      <c r="E20226" s="3">
        <v>0</v>
      </c>
      <c r="F20226" s="3">
        <v>0</v>
      </c>
      <c r="G20226" s="3">
        <v>0</v>
      </c>
      <c r="H20226" s="3">
        <v>0</v>
      </c>
      <c r="I20226" s="3">
        <v>0</v>
      </c>
      <c r="J20226" s="3">
        <v>0</v>
      </c>
      <c r="K20226" s="3">
        <v>0</v>
      </c>
      <c r="L20226" s="3">
        <v>0</v>
      </c>
      <c r="M20226" s="3">
        <v>0</v>
      </c>
      <c r="N20226" s="3">
        <v>0</v>
      </c>
      <c r="O20226" s="3" t="s">
        <v>10</v>
      </c>
      <c r="P20226" s="3" t="s">
        <v>9</v>
      </c>
      <c r="Q20226" s="3"/>
    </row>
    <row r="20227" spans="1:17" ht="15" x14ac:dyDescent="0.25">
      <c r="A20227" s="3">
        <f>20220</f>
        <v>20220</v>
      </c>
      <c r="B20227" s="3" t="s">
        <v>20229</v>
      </c>
      <c r="C20227" s="3" t="s">
        <v>10</v>
      </c>
      <c r="D20227" s="3" t="s">
        <v>9</v>
      </c>
      <c r="E20227" s="3">
        <v>0</v>
      </c>
      <c r="F20227" s="3">
        <v>0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  <c r="L20227" s="3">
        <v>0</v>
      </c>
      <c r="M20227" s="3">
        <v>0</v>
      </c>
      <c r="N20227" s="3">
        <v>0</v>
      </c>
      <c r="O20227" s="3" t="s">
        <v>10</v>
      </c>
      <c r="P20227" s="3" t="s">
        <v>9</v>
      </c>
      <c r="Q20227" s="3"/>
    </row>
    <row r="20228" spans="1:17" ht="15" x14ac:dyDescent="0.25">
      <c r="A20228" s="3">
        <f>20221</f>
        <v>20221</v>
      </c>
      <c r="B20228" s="3" t="s">
        <v>20230</v>
      </c>
      <c r="C20228" s="3" t="s">
        <v>10</v>
      </c>
      <c r="D20228" s="3" t="s">
        <v>9</v>
      </c>
      <c r="E20228" s="3">
        <v>0</v>
      </c>
      <c r="F20228" s="3">
        <v>0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  <c r="L20228" s="3">
        <v>0</v>
      </c>
      <c r="M20228" s="3">
        <v>0</v>
      </c>
      <c r="N20228" s="3">
        <v>0</v>
      </c>
      <c r="O20228" s="3" t="s">
        <v>10</v>
      </c>
      <c r="P20228" s="3" t="s">
        <v>9</v>
      </c>
      <c r="Q20228" s="3"/>
    </row>
    <row r="20229" spans="1:17" ht="15" x14ac:dyDescent="0.25">
      <c r="A20229" s="3">
        <f>20222</f>
        <v>20222</v>
      </c>
      <c r="B20229" s="3" t="s">
        <v>20231</v>
      </c>
      <c r="C20229" s="3" t="s">
        <v>10</v>
      </c>
      <c r="D20229" s="3" t="s">
        <v>9</v>
      </c>
      <c r="E20229" s="3">
        <v>0</v>
      </c>
      <c r="F20229" s="3">
        <v>0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  <c r="L20229" s="3">
        <v>0</v>
      </c>
      <c r="M20229" s="3">
        <v>0</v>
      </c>
      <c r="N20229" s="3">
        <v>0</v>
      </c>
      <c r="O20229" s="3" t="s">
        <v>10</v>
      </c>
      <c r="P20229" s="3" t="s">
        <v>9</v>
      </c>
      <c r="Q20229" s="3"/>
    </row>
    <row r="20230" spans="1:17" ht="15" x14ac:dyDescent="0.25">
      <c r="A20230" s="3">
        <f>20223</f>
        <v>20223</v>
      </c>
      <c r="B20230" s="3" t="s">
        <v>20232</v>
      </c>
      <c r="C20230" s="3" t="s">
        <v>10</v>
      </c>
      <c r="D20230" s="3" t="s">
        <v>9</v>
      </c>
      <c r="E20230" s="3">
        <v>0</v>
      </c>
      <c r="F20230" s="3">
        <v>0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 s="3">
        <v>0</v>
      </c>
      <c r="M20230" s="3">
        <v>0</v>
      </c>
      <c r="N20230" s="3">
        <v>0</v>
      </c>
      <c r="O20230" s="3" t="s">
        <v>10</v>
      </c>
      <c r="P20230" s="3" t="s">
        <v>9</v>
      </c>
      <c r="Q20230" s="3"/>
    </row>
    <row r="20231" spans="1:17" ht="15" x14ac:dyDescent="0.25">
      <c r="A20231" s="3">
        <f>20224</f>
        <v>20224</v>
      </c>
      <c r="B20231" s="3" t="s">
        <v>20233</v>
      </c>
      <c r="C20231" s="3" t="s">
        <v>10</v>
      </c>
      <c r="D20231" s="3" t="s">
        <v>9</v>
      </c>
      <c r="E20231" s="3">
        <v>0</v>
      </c>
      <c r="F20231" s="3">
        <v>0</v>
      </c>
      <c r="G20231" s="3">
        <v>0</v>
      </c>
      <c r="H20231" s="3">
        <v>0</v>
      </c>
      <c r="I20231" s="3">
        <v>0</v>
      </c>
      <c r="J20231" s="3">
        <v>0</v>
      </c>
      <c r="K20231" s="3">
        <v>0</v>
      </c>
      <c r="L20231" s="3">
        <v>0</v>
      </c>
      <c r="M20231" s="3">
        <v>0</v>
      </c>
      <c r="N20231" s="3">
        <v>0</v>
      </c>
      <c r="O20231" s="3" t="s">
        <v>10</v>
      </c>
      <c r="P20231" s="3" t="s">
        <v>9</v>
      </c>
      <c r="Q20231" s="3"/>
    </row>
    <row r="20232" spans="1:17" ht="15" x14ac:dyDescent="0.25">
      <c r="A20232" s="3">
        <f>20225</f>
        <v>20225</v>
      </c>
      <c r="B20232" s="3" t="s">
        <v>20234</v>
      </c>
      <c r="C20232" s="3" t="s">
        <v>10</v>
      </c>
      <c r="D20232" s="3" t="s">
        <v>9</v>
      </c>
      <c r="E20232" s="3">
        <v>0</v>
      </c>
      <c r="F20232" s="3">
        <v>0</v>
      </c>
      <c r="G20232" s="3">
        <v>0</v>
      </c>
      <c r="H20232" s="3">
        <v>0</v>
      </c>
      <c r="I20232" s="3">
        <v>0</v>
      </c>
      <c r="J20232" s="3">
        <v>0</v>
      </c>
      <c r="K20232" s="3">
        <v>0</v>
      </c>
      <c r="L20232" s="3">
        <v>0</v>
      </c>
      <c r="M20232" s="3">
        <v>0</v>
      </c>
      <c r="N20232" s="3">
        <v>0</v>
      </c>
      <c r="O20232" s="3" t="s">
        <v>10</v>
      </c>
      <c r="P20232" s="3" t="s">
        <v>9</v>
      </c>
      <c r="Q20232" s="3"/>
    </row>
    <row r="20233" spans="1:17" ht="15" x14ac:dyDescent="0.25">
      <c r="A20233" s="3">
        <f>20226</f>
        <v>20226</v>
      </c>
      <c r="B20233" s="3" t="s">
        <v>20235</v>
      </c>
      <c r="C20233" s="3" t="s">
        <v>10</v>
      </c>
      <c r="D20233" s="3" t="s">
        <v>9</v>
      </c>
      <c r="E20233" s="3">
        <v>0</v>
      </c>
      <c r="F20233" s="3">
        <v>0</v>
      </c>
      <c r="G20233" s="3">
        <v>0</v>
      </c>
      <c r="H20233" s="3">
        <v>0</v>
      </c>
      <c r="I20233" s="3">
        <v>0</v>
      </c>
      <c r="J20233" s="3">
        <v>0</v>
      </c>
      <c r="K20233" s="3">
        <v>0</v>
      </c>
      <c r="L20233" s="3">
        <v>0</v>
      </c>
      <c r="M20233" s="3">
        <v>0</v>
      </c>
      <c r="N20233" s="3">
        <v>0</v>
      </c>
      <c r="O20233" s="3" t="s">
        <v>10</v>
      </c>
      <c r="P20233" s="3" t="s">
        <v>9</v>
      </c>
      <c r="Q20233" s="3"/>
    </row>
    <row r="20234" spans="1:17" ht="15" x14ac:dyDescent="0.25">
      <c r="A20234" s="3">
        <f>20227</f>
        <v>20227</v>
      </c>
      <c r="B20234" s="3" t="s">
        <v>20236</v>
      </c>
      <c r="C20234" s="3" t="s">
        <v>10</v>
      </c>
      <c r="D20234" s="3" t="s">
        <v>9</v>
      </c>
      <c r="E20234" s="3">
        <v>0</v>
      </c>
      <c r="F20234" s="3">
        <v>0</v>
      </c>
      <c r="G20234" s="3">
        <v>0</v>
      </c>
      <c r="H20234" s="3">
        <v>0</v>
      </c>
      <c r="I20234" s="3">
        <v>0</v>
      </c>
      <c r="J20234" s="3">
        <v>0</v>
      </c>
      <c r="K20234" s="3">
        <v>0</v>
      </c>
      <c r="L20234" s="3">
        <v>0</v>
      </c>
      <c r="M20234" s="3">
        <v>0</v>
      </c>
      <c r="N20234" s="3">
        <v>0</v>
      </c>
      <c r="O20234" s="3" t="s">
        <v>10</v>
      </c>
      <c r="P20234" s="3" t="s">
        <v>9</v>
      </c>
      <c r="Q20234" s="3"/>
    </row>
    <row r="20235" spans="1:17" ht="15" x14ac:dyDescent="0.25">
      <c r="A20235" s="3">
        <f>20228</f>
        <v>20228</v>
      </c>
      <c r="B20235" s="3" t="s">
        <v>20237</v>
      </c>
      <c r="C20235" s="3" t="s">
        <v>10</v>
      </c>
      <c r="D20235" s="3" t="s">
        <v>9</v>
      </c>
      <c r="E20235" s="3">
        <v>0</v>
      </c>
      <c r="F20235" s="3">
        <v>0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  <c r="L20235" s="3">
        <v>0</v>
      </c>
      <c r="M20235" s="3">
        <v>0</v>
      </c>
      <c r="N20235" s="3">
        <v>0</v>
      </c>
      <c r="O20235" s="3" t="s">
        <v>10</v>
      </c>
      <c r="P20235" s="3" t="s">
        <v>9</v>
      </c>
      <c r="Q20235" s="3"/>
    </row>
    <row r="20236" spans="1:17" ht="15" x14ac:dyDescent="0.25">
      <c r="A20236" s="3">
        <f>20229</f>
        <v>20229</v>
      </c>
      <c r="B20236" s="3" t="s">
        <v>20238</v>
      </c>
      <c r="C20236" s="3" t="s">
        <v>10</v>
      </c>
      <c r="D20236" s="3" t="s">
        <v>9</v>
      </c>
      <c r="E20236" s="3">
        <v>0</v>
      </c>
      <c r="F20236" s="3">
        <v>0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  <c r="L20236" s="3">
        <v>0</v>
      </c>
      <c r="M20236" s="3">
        <v>0</v>
      </c>
      <c r="N20236" s="3">
        <v>0</v>
      </c>
      <c r="O20236" s="3" t="s">
        <v>10</v>
      </c>
      <c r="P20236" s="3" t="s">
        <v>9</v>
      </c>
      <c r="Q20236" s="3"/>
    </row>
    <row r="20237" spans="1:17" ht="15" x14ac:dyDescent="0.25">
      <c r="A20237" s="3">
        <f>20230</f>
        <v>20230</v>
      </c>
      <c r="B20237" s="3" t="s">
        <v>20239</v>
      </c>
      <c r="C20237" s="3" t="s">
        <v>10</v>
      </c>
      <c r="D20237" s="3" t="s">
        <v>9</v>
      </c>
      <c r="E20237" s="3">
        <v>0</v>
      </c>
      <c r="F20237" s="3">
        <v>0</v>
      </c>
      <c r="G20237" s="3">
        <v>0</v>
      </c>
      <c r="H20237" s="3">
        <v>0</v>
      </c>
      <c r="I20237" s="3">
        <v>0</v>
      </c>
      <c r="J20237" s="3">
        <v>0</v>
      </c>
      <c r="K20237" s="3">
        <v>0</v>
      </c>
      <c r="L20237" s="3">
        <v>0</v>
      </c>
      <c r="M20237" s="3">
        <v>0</v>
      </c>
      <c r="N20237" s="3">
        <v>0</v>
      </c>
      <c r="O20237" s="3" t="s">
        <v>10</v>
      </c>
      <c r="P20237" s="3" t="s">
        <v>9</v>
      </c>
      <c r="Q20237" s="3"/>
    </row>
    <row r="20238" spans="1:17" ht="15" x14ac:dyDescent="0.25">
      <c r="A20238" s="3">
        <f>20231</f>
        <v>20231</v>
      </c>
      <c r="B20238" s="3" t="s">
        <v>20240</v>
      </c>
      <c r="C20238" s="3" t="s">
        <v>10</v>
      </c>
      <c r="D20238" s="3" t="s">
        <v>9</v>
      </c>
      <c r="E20238" s="3">
        <v>0</v>
      </c>
      <c r="F20238" s="3">
        <v>0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  <c r="L20238" s="3">
        <v>0</v>
      </c>
      <c r="M20238" s="3">
        <v>0</v>
      </c>
      <c r="N20238" s="3">
        <v>0</v>
      </c>
      <c r="O20238" s="3" t="s">
        <v>10</v>
      </c>
      <c r="P20238" s="3" t="s">
        <v>9</v>
      </c>
      <c r="Q20238" s="3"/>
    </row>
    <row r="20239" spans="1:17" ht="15" x14ac:dyDescent="0.25">
      <c r="A20239" s="3">
        <f>20232</f>
        <v>20232</v>
      </c>
      <c r="B20239" s="3" t="s">
        <v>20241</v>
      </c>
      <c r="C20239" s="3" t="s">
        <v>10</v>
      </c>
      <c r="D20239" s="3" t="s">
        <v>9</v>
      </c>
      <c r="E20239" s="3">
        <v>0</v>
      </c>
      <c r="F20239" s="3">
        <v>0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  <c r="L20239" s="3">
        <v>0</v>
      </c>
      <c r="M20239" s="3">
        <v>0</v>
      </c>
      <c r="N20239" s="3">
        <v>0</v>
      </c>
      <c r="O20239" s="3" t="s">
        <v>10</v>
      </c>
      <c r="P20239" s="3" t="s">
        <v>9</v>
      </c>
      <c r="Q20239" s="3"/>
    </row>
    <row r="20240" spans="1:17" ht="15" x14ac:dyDescent="0.25">
      <c r="A20240" s="3">
        <f>20233</f>
        <v>20233</v>
      </c>
      <c r="B20240" s="3" t="s">
        <v>20242</v>
      </c>
      <c r="C20240" s="3" t="s">
        <v>10</v>
      </c>
      <c r="D20240" s="3" t="s">
        <v>9</v>
      </c>
      <c r="E20240" s="3">
        <v>0</v>
      </c>
      <c r="F20240" s="3">
        <v>0</v>
      </c>
      <c r="G20240" s="3">
        <v>0</v>
      </c>
      <c r="H20240" s="3">
        <v>0</v>
      </c>
      <c r="I20240" s="3">
        <v>0</v>
      </c>
      <c r="J20240" s="3">
        <v>0</v>
      </c>
      <c r="K20240" s="3">
        <v>0</v>
      </c>
      <c r="L20240" s="3">
        <v>0</v>
      </c>
      <c r="M20240" s="3">
        <v>0</v>
      </c>
      <c r="N20240" s="3">
        <v>0</v>
      </c>
      <c r="O20240" s="3" t="s">
        <v>10</v>
      </c>
      <c r="P20240" s="3" t="s">
        <v>9</v>
      </c>
      <c r="Q20240" s="3"/>
    </row>
    <row r="20241" spans="1:17" ht="15" x14ac:dyDescent="0.25">
      <c r="A20241" s="3">
        <f>20234</f>
        <v>20234</v>
      </c>
      <c r="B20241" s="3" t="s">
        <v>20243</v>
      </c>
      <c r="C20241" s="3" t="s">
        <v>10</v>
      </c>
      <c r="D20241" s="3" t="s">
        <v>9</v>
      </c>
      <c r="E20241" s="3">
        <v>0</v>
      </c>
      <c r="F20241" s="3">
        <v>0</v>
      </c>
      <c r="G20241" s="3">
        <v>0</v>
      </c>
      <c r="H20241" s="3">
        <v>0</v>
      </c>
      <c r="I20241" s="3">
        <v>0</v>
      </c>
      <c r="J20241" s="3">
        <v>0</v>
      </c>
      <c r="K20241" s="3">
        <v>0</v>
      </c>
      <c r="L20241" s="3">
        <v>0</v>
      </c>
      <c r="M20241" s="3">
        <v>0</v>
      </c>
      <c r="N20241" s="3">
        <v>0</v>
      </c>
      <c r="O20241" s="3" t="s">
        <v>10</v>
      </c>
      <c r="P20241" s="3" t="s">
        <v>9</v>
      </c>
      <c r="Q20241" s="3"/>
    </row>
    <row r="20242" spans="1:17" ht="15" x14ac:dyDescent="0.25">
      <c r="A20242" s="3">
        <f>20235</f>
        <v>20235</v>
      </c>
      <c r="B20242" s="3" t="s">
        <v>20244</v>
      </c>
      <c r="C20242" s="3" t="s">
        <v>10</v>
      </c>
      <c r="D20242" s="3" t="s">
        <v>9</v>
      </c>
      <c r="E20242" s="3">
        <v>0</v>
      </c>
      <c r="F20242" s="3">
        <v>0</v>
      </c>
      <c r="G20242" s="3">
        <v>0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3">
        <v>0</v>
      </c>
      <c r="N20242" s="3">
        <v>0</v>
      </c>
      <c r="O20242" s="3" t="s">
        <v>10</v>
      </c>
      <c r="P20242" s="3" t="s">
        <v>9</v>
      </c>
      <c r="Q20242" s="3"/>
    </row>
    <row r="20243" spans="1:17" ht="15" x14ac:dyDescent="0.25">
      <c r="A20243" s="3">
        <f>20236</f>
        <v>20236</v>
      </c>
      <c r="B20243" s="3" t="s">
        <v>20245</v>
      </c>
      <c r="C20243" s="3" t="s">
        <v>10</v>
      </c>
      <c r="D20243" s="3" t="s">
        <v>9</v>
      </c>
      <c r="E20243" s="3">
        <v>0</v>
      </c>
      <c r="F20243" s="3">
        <v>0</v>
      </c>
      <c r="G20243" s="3">
        <v>0</v>
      </c>
      <c r="H20243" s="3">
        <v>0</v>
      </c>
      <c r="I20243" s="3">
        <v>0</v>
      </c>
      <c r="J20243" s="3">
        <v>0</v>
      </c>
      <c r="K20243" s="3">
        <v>0</v>
      </c>
      <c r="L20243" s="3">
        <v>0</v>
      </c>
      <c r="M20243" s="3">
        <v>0</v>
      </c>
      <c r="N20243" s="3">
        <v>0</v>
      </c>
      <c r="O20243" s="3" t="s">
        <v>10</v>
      </c>
      <c r="P20243" s="3" t="s">
        <v>9</v>
      </c>
      <c r="Q20243" s="3"/>
    </row>
    <row r="20244" spans="1:17" ht="15" x14ac:dyDescent="0.25">
      <c r="A20244" s="3">
        <f>20237</f>
        <v>20237</v>
      </c>
      <c r="B20244" s="3" t="s">
        <v>20246</v>
      </c>
      <c r="C20244" s="3" t="s">
        <v>10</v>
      </c>
      <c r="D20244" s="3" t="s">
        <v>9</v>
      </c>
      <c r="E20244" s="3">
        <v>0</v>
      </c>
      <c r="F20244" s="3">
        <v>0</v>
      </c>
      <c r="G20244" s="3">
        <v>0</v>
      </c>
      <c r="H20244" s="3">
        <v>0</v>
      </c>
      <c r="I20244" s="3">
        <v>0</v>
      </c>
      <c r="J20244" s="3">
        <v>0</v>
      </c>
      <c r="K20244" s="3">
        <v>0</v>
      </c>
      <c r="L20244" s="3">
        <v>0</v>
      </c>
      <c r="M20244" s="3">
        <v>0</v>
      </c>
      <c r="N20244" s="3">
        <v>0</v>
      </c>
      <c r="O20244" s="3" t="s">
        <v>10</v>
      </c>
      <c r="P20244" s="3" t="s">
        <v>9</v>
      </c>
      <c r="Q20244" s="3"/>
    </row>
    <row r="20245" spans="1:17" ht="15" x14ac:dyDescent="0.25">
      <c r="A20245" s="3">
        <f>20238</f>
        <v>20238</v>
      </c>
      <c r="B20245" s="3" t="s">
        <v>20247</v>
      </c>
      <c r="C20245" s="3" t="s">
        <v>10</v>
      </c>
      <c r="D20245" s="3" t="s">
        <v>9</v>
      </c>
      <c r="E20245" s="3">
        <v>0</v>
      </c>
      <c r="F20245" s="3">
        <v>0</v>
      </c>
      <c r="G20245" s="3">
        <v>0</v>
      </c>
      <c r="H20245" s="3">
        <v>0</v>
      </c>
      <c r="I20245" s="3">
        <v>0</v>
      </c>
      <c r="J20245" s="3">
        <v>0</v>
      </c>
      <c r="K20245" s="3">
        <v>0</v>
      </c>
      <c r="L20245" s="3">
        <v>0</v>
      </c>
      <c r="M20245" s="3">
        <v>0</v>
      </c>
      <c r="N20245" s="3">
        <v>0</v>
      </c>
      <c r="O20245" s="3" t="s">
        <v>10</v>
      </c>
      <c r="P20245" s="3" t="s">
        <v>9</v>
      </c>
      <c r="Q20245" s="3"/>
    </row>
    <row r="20246" spans="1:17" ht="15" x14ac:dyDescent="0.25">
      <c r="A20246" s="3">
        <f>20239</f>
        <v>20239</v>
      </c>
      <c r="B20246" s="3" t="s">
        <v>20248</v>
      </c>
      <c r="C20246" s="3" t="s">
        <v>10</v>
      </c>
      <c r="D20246" s="3" t="s">
        <v>9</v>
      </c>
      <c r="E20246" s="3">
        <v>0</v>
      </c>
      <c r="F20246" s="3">
        <v>0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  <c r="L20246" s="3">
        <v>0</v>
      </c>
      <c r="M20246" s="3">
        <v>0</v>
      </c>
      <c r="N20246" s="3">
        <v>0</v>
      </c>
      <c r="O20246" s="3" t="s">
        <v>10</v>
      </c>
      <c r="P20246" s="3" t="s">
        <v>9</v>
      </c>
      <c r="Q20246" s="3"/>
    </row>
    <row r="20247" spans="1:17" ht="15" x14ac:dyDescent="0.25">
      <c r="A20247" s="3">
        <f>20240</f>
        <v>20240</v>
      </c>
      <c r="B20247" s="3" t="s">
        <v>20249</v>
      </c>
      <c r="C20247" s="3" t="s">
        <v>10</v>
      </c>
      <c r="D20247" s="3" t="s">
        <v>9</v>
      </c>
      <c r="E20247" s="3">
        <v>0</v>
      </c>
      <c r="F20247" s="3">
        <v>0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  <c r="L20247" s="3">
        <v>0</v>
      </c>
      <c r="M20247" s="3">
        <v>0</v>
      </c>
      <c r="N20247" s="3">
        <v>0</v>
      </c>
      <c r="O20247" s="3" t="s">
        <v>10</v>
      </c>
      <c r="P20247" s="3" t="s">
        <v>9</v>
      </c>
      <c r="Q20247" s="3"/>
    </row>
    <row r="20248" spans="1:17" ht="15" x14ac:dyDescent="0.25">
      <c r="A20248" s="3">
        <f>20241</f>
        <v>20241</v>
      </c>
      <c r="B20248" s="3" t="s">
        <v>20250</v>
      </c>
      <c r="C20248" s="3" t="s">
        <v>10</v>
      </c>
      <c r="D20248" s="3" t="s">
        <v>9</v>
      </c>
      <c r="E20248" s="3">
        <v>0</v>
      </c>
      <c r="F20248" s="3">
        <v>0</v>
      </c>
      <c r="G20248" s="3">
        <v>1</v>
      </c>
      <c r="H20248" s="3">
        <v>0</v>
      </c>
      <c r="I20248" s="3">
        <v>0</v>
      </c>
      <c r="J20248" s="3">
        <v>0</v>
      </c>
      <c r="K20248" s="3">
        <v>0</v>
      </c>
      <c r="L20248" s="3">
        <v>0</v>
      </c>
      <c r="M20248" s="3">
        <v>0</v>
      </c>
      <c r="N20248" s="3">
        <v>0</v>
      </c>
      <c r="O20248" s="3" t="s">
        <v>10</v>
      </c>
      <c r="P20248" s="3" t="s">
        <v>9</v>
      </c>
      <c r="Q20248" s="3"/>
    </row>
    <row r="20249" spans="1:17" ht="15" x14ac:dyDescent="0.25">
      <c r="A20249" s="3">
        <f>20242</f>
        <v>20242</v>
      </c>
      <c r="B20249" s="3" t="s">
        <v>20251</v>
      </c>
      <c r="C20249" s="3" t="s">
        <v>10</v>
      </c>
      <c r="D20249" s="3" t="s">
        <v>9</v>
      </c>
      <c r="E20249" s="3">
        <v>0</v>
      </c>
      <c r="F20249" s="3">
        <v>0</v>
      </c>
      <c r="G20249" s="3">
        <v>1</v>
      </c>
      <c r="H20249" s="3">
        <v>0</v>
      </c>
      <c r="I20249" s="3">
        <v>0</v>
      </c>
      <c r="J20249" s="3">
        <v>0</v>
      </c>
      <c r="K20249" s="3">
        <v>0</v>
      </c>
      <c r="L20249" s="3">
        <v>0</v>
      </c>
      <c r="M20249" s="3">
        <v>0</v>
      </c>
      <c r="N20249" s="3">
        <v>0</v>
      </c>
      <c r="O20249" s="3" t="s">
        <v>10</v>
      </c>
      <c r="P20249" s="3" t="s">
        <v>9</v>
      </c>
      <c r="Q20249" s="3"/>
    </row>
    <row r="20250" spans="1:17" ht="15" x14ac:dyDescent="0.25">
      <c r="A20250" s="3">
        <f>20243</f>
        <v>20243</v>
      </c>
      <c r="B20250" s="3" t="s">
        <v>20252</v>
      </c>
      <c r="C20250" s="3" t="s">
        <v>10</v>
      </c>
      <c r="D20250" s="3" t="s">
        <v>9</v>
      </c>
      <c r="E20250" s="3">
        <v>0</v>
      </c>
      <c r="F20250" s="3">
        <v>0</v>
      </c>
      <c r="G20250" s="3">
        <v>1</v>
      </c>
      <c r="H20250" s="3">
        <v>0</v>
      </c>
      <c r="I20250" s="3">
        <v>0</v>
      </c>
      <c r="J20250" s="3">
        <v>0</v>
      </c>
      <c r="K20250" s="3">
        <v>0</v>
      </c>
      <c r="L20250" s="3">
        <v>0</v>
      </c>
      <c r="M20250" s="3">
        <v>0</v>
      </c>
      <c r="N20250" s="3">
        <v>0</v>
      </c>
      <c r="O20250" s="3" t="s">
        <v>10</v>
      </c>
      <c r="P20250" s="3" t="s">
        <v>9</v>
      </c>
      <c r="Q20250" s="3"/>
    </row>
    <row r="20251" spans="1:17" ht="15" x14ac:dyDescent="0.25">
      <c r="A20251" s="3">
        <f>20244</f>
        <v>20244</v>
      </c>
      <c r="B20251" s="3" t="s">
        <v>20253</v>
      </c>
      <c r="C20251" s="3" t="s">
        <v>10</v>
      </c>
      <c r="D20251" s="3" t="s">
        <v>9</v>
      </c>
      <c r="E20251" s="3">
        <v>0</v>
      </c>
      <c r="F20251" s="3">
        <v>0</v>
      </c>
      <c r="G20251" s="3">
        <v>1</v>
      </c>
      <c r="H20251" s="3">
        <v>0</v>
      </c>
      <c r="I20251" s="3">
        <v>20</v>
      </c>
      <c r="J20251" s="3">
        <v>0</v>
      </c>
      <c r="K20251" s="3">
        <v>0</v>
      </c>
      <c r="L20251" s="3">
        <v>0</v>
      </c>
      <c r="M20251" s="3">
        <v>0</v>
      </c>
      <c r="N20251" s="3">
        <v>0</v>
      </c>
      <c r="O20251" s="3" t="s">
        <v>10</v>
      </c>
      <c r="P20251" s="3" t="s">
        <v>9</v>
      </c>
      <c r="Q20251" s="3"/>
    </row>
    <row r="20252" spans="1:17" ht="15" x14ac:dyDescent="0.25">
      <c r="A20252" s="3">
        <f>20245</f>
        <v>20245</v>
      </c>
      <c r="B20252" s="3" t="s">
        <v>20254</v>
      </c>
      <c r="C20252" s="3" t="s">
        <v>10</v>
      </c>
      <c r="D20252" s="3" t="s">
        <v>9</v>
      </c>
      <c r="E20252" s="3">
        <v>21</v>
      </c>
      <c r="F20252" s="3">
        <v>0</v>
      </c>
      <c r="G20252" s="3">
        <v>1</v>
      </c>
      <c r="H20252" s="3">
        <v>0</v>
      </c>
      <c r="I20252" s="3">
        <v>18</v>
      </c>
      <c r="J20252" s="3">
        <v>0</v>
      </c>
      <c r="K20252" s="3">
        <v>24</v>
      </c>
      <c r="L20252" s="3">
        <v>0</v>
      </c>
      <c r="M20252" s="3">
        <v>0</v>
      </c>
      <c r="N20252" s="3">
        <v>25</v>
      </c>
      <c r="O20252" s="3" t="s">
        <v>10</v>
      </c>
      <c r="P20252" s="3" t="s">
        <v>9</v>
      </c>
      <c r="Q20252" s="3"/>
    </row>
    <row r="20253" spans="1:17" ht="15" x14ac:dyDescent="0.25">
      <c r="A20253" s="3">
        <f>20246</f>
        <v>20246</v>
      </c>
      <c r="B20253" s="3" t="s">
        <v>20255</v>
      </c>
      <c r="C20253" s="3" t="s">
        <v>10</v>
      </c>
      <c r="D20253" s="3" t="s">
        <v>9</v>
      </c>
      <c r="E20253" s="3">
        <v>21</v>
      </c>
      <c r="F20253" s="3">
        <v>0</v>
      </c>
      <c r="G20253" s="3">
        <v>1</v>
      </c>
      <c r="H20253" s="3">
        <v>0</v>
      </c>
      <c r="I20253" s="3">
        <v>24</v>
      </c>
      <c r="J20253" s="3">
        <v>0</v>
      </c>
      <c r="K20253" s="3">
        <v>24</v>
      </c>
      <c r="L20253" s="3">
        <v>0</v>
      </c>
      <c r="M20253" s="3">
        <v>0</v>
      </c>
      <c r="N20253" s="3">
        <v>21</v>
      </c>
      <c r="O20253" s="3" t="s">
        <v>10</v>
      </c>
      <c r="P20253" s="3" t="s">
        <v>9</v>
      </c>
      <c r="Q20253" s="3"/>
    </row>
    <row r="20254" spans="1:17" ht="15" x14ac:dyDescent="0.25">
      <c r="A20254" s="3">
        <f>20247</f>
        <v>20247</v>
      </c>
      <c r="B20254" s="3" t="s">
        <v>20256</v>
      </c>
      <c r="C20254" s="3" t="s">
        <v>10</v>
      </c>
      <c r="D20254" s="3" t="s">
        <v>9</v>
      </c>
      <c r="E20254" s="3">
        <v>21</v>
      </c>
      <c r="F20254" s="3">
        <v>0</v>
      </c>
      <c r="G20254" s="3">
        <v>1</v>
      </c>
      <c r="H20254" s="3">
        <v>0</v>
      </c>
      <c r="I20254" s="3">
        <v>24</v>
      </c>
      <c r="J20254" s="3">
        <v>0</v>
      </c>
      <c r="K20254" s="3">
        <v>20</v>
      </c>
      <c r="L20254" s="3">
        <v>0</v>
      </c>
      <c r="M20254" s="3">
        <v>0</v>
      </c>
      <c r="N20254" s="3">
        <v>23</v>
      </c>
      <c r="O20254" s="3" t="s">
        <v>10</v>
      </c>
      <c r="P20254" s="3" t="s">
        <v>9</v>
      </c>
      <c r="Q20254" s="3"/>
    </row>
    <row r="20255" spans="1:17" ht="15" x14ac:dyDescent="0.25">
      <c r="A20255" s="3">
        <f>20248</f>
        <v>20248</v>
      </c>
      <c r="B20255" s="3" t="s">
        <v>20257</v>
      </c>
      <c r="C20255" s="3" t="s">
        <v>10</v>
      </c>
      <c r="D20255" s="3" t="s">
        <v>9</v>
      </c>
      <c r="E20255" s="3">
        <v>21</v>
      </c>
      <c r="F20255" s="3">
        <v>0</v>
      </c>
      <c r="G20255" s="3">
        <v>1</v>
      </c>
      <c r="H20255" s="3">
        <v>0</v>
      </c>
      <c r="I20255" s="3">
        <v>16</v>
      </c>
      <c r="J20255" s="3">
        <v>0</v>
      </c>
      <c r="K20255" s="3">
        <v>24</v>
      </c>
      <c r="L20255" s="3">
        <v>0</v>
      </c>
      <c r="M20255" s="3">
        <v>0</v>
      </c>
      <c r="N20255" s="3">
        <v>20</v>
      </c>
      <c r="O20255" s="3" t="s">
        <v>10</v>
      </c>
      <c r="P20255" s="3" t="s">
        <v>9</v>
      </c>
      <c r="Q20255" s="3"/>
    </row>
    <row r="20256" spans="1:17" ht="15" x14ac:dyDescent="0.25">
      <c r="A20256" s="3">
        <f>20249</f>
        <v>20249</v>
      </c>
      <c r="B20256" s="3" t="s">
        <v>20258</v>
      </c>
      <c r="C20256" s="3" t="s">
        <v>10</v>
      </c>
      <c r="D20256" s="3" t="s">
        <v>9</v>
      </c>
      <c r="E20256" s="3">
        <v>21</v>
      </c>
      <c r="F20256" s="3">
        <v>0</v>
      </c>
      <c r="G20256" s="3">
        <v>1</v>
      </c>
      <c r="H20256" s="3">
        <v>0</v>
      </c>
      <c r="I20256" s="3">
        <v>16</v>
      </c>
      <c r="J20256" s="3">
        <v>0</v>
      </c>
      <c r="K20256" s="3">
        <v>24</v>
      </c>
      <c r="L20256" s="3">
        <v>0</v>
      </c>
      <c r="M20256" s="3">
        <v>0</v>
      </c>
      <c r="N20256" s="3">
        <v>20</v>
      </c>
      <c r="O20256" s="3" t="s">
        <v>10</v>
      </c>
      <c r="P20256" s="3" t="s">
        <v>9</v>
      </c>
      <c r="Q20256" s="3"/>
    </row>
    <row r="20257" spans="1:17" ht="15" x14ac:dyDescent="0.25">
      <c r="A20257" s="3">
        <f>20250</f>
        <v>20250</v>
      </c>
      <c r="B20257" s="3" t="s">
        <v>20259</v>
      </c>
      <c r="C20257" s="3" t="s">
        <v>10</v>
      </c>
      <c r="D20257" s="3" t="s">
        <v>9</v>
      </c>
      <c r="E20257" s="3">
        <v>21</v>
      </c>
      <c r="F20257" s="3">
        <v>0</v>
      </c>
      <c r="G20257" s="3">
        <v>1</v>
      </c>
      <c r="H20257" s="3">
        <v>0</v>
      </c>
      <c r="I20257" s="3">
        <v>16</v>
      </c>
      <c r="J20257" s="3">
        <v>0</v>
      </c>
      <c r="K20257" s="3">
        <v>24</v>
      </c>
      <c r="L20257" s="3">
        <v>0</v>
      </c>
      <c r="M20257" s="3">
        <v>0</v>
      </c>
      <c r="N20257" s="3">
        <v>20</v>
      </c>
      <c r="O20257" s="3" t="s">
        <v>10</v>
      </c>
      <c r="P20257" s="3" t="s">
        <v>9</v>
      </c>
      <c r="Q20257" s="3"/>
    </row>
    <row r="20258" spans="1:17" ht="15" x14ac:dyDescent="0.25">
      <c r="A20258" s="3">
        <f>20251</f>
        <v>20251</v>
      </c>
      <c r="B20258" s="3" t="s">
        <v>20260</v>
      </c>
      <c r="C20258" s="3" t="s">
        <v>10</v>
      </c>
      <c r="D20258" s="3" t="s">
        <v>9</v>
      </c>
      <c r="E20258" s="3">
        <v>21</v>
      </c>
      <c r="F20258" s="3">
        <v>0</v>
      </c>
      <c r="G20258" s="3">
        <v>1</v>
      </c>
      <c r="H20258" s="3">
        <v>0</v>
      </c>
      <c r="I20258" s="3">
        <v>16</v>
      </c>
      <c r="J20258" s="3">
        <v>0</v>
      </c>
      <c r="K20258" s="3">
        <v>24</v>
      </c>
      <c r="L20258" s="3">
        <v>0</v>
      </c>
      <c r="M20258" s="3">
        <v>0</v>
      </c>
      <c r="N20258" s="3">
        <v>20</v>
      </c>
      <c r="O20258" s="3" t="s">
        <v>10</v>
      </c>
      <c r="P20258" s="3" t="s">
        <v>9</v>
      </c>
      <c r="Q20258" s="3"/>
    </row>
    <row r="20259" spans="1:17" ht="15" x14ac:dyDescent="0.25">
      <c r="A20259" s="3">
        <f>20252</f>
        <v>20252</v>
      </c>
      <c r="B20259" s="3" t="s">
        <v>20261</v>
      </c>
      <c r="C20259" s="3" t="s">
        <v>10</v>
      </c>
      <c r="D20259" s="3" t="s">
        <v>9</v>
      </c>
      <c r="E20259" s="3">
        <v>21</v>
      </c>
      <c r="F20259" s="3">
        <v>0</v>
      </c>
      <c r="G20259" s="3">
        <v>1</v>
      </c>
      <c r="H20259" s="3">
        <v>0</v>
      </c>
      <c r="I20259" s="3">
        <v>16</v>
      </c>
      <c r="J20259" s="3">
        <v>0</v>
      </c>
      <c r="K20259" s="3">
        <v>24</v>
      </c>
      <c r="L20259" s="3">
        <v>0</v>
      </c>
      <c r="M20259" s="3">
        <v>0</v>
      </c>
      <c r="N20259" s="3">
        <v>20</v>
      </c>
      <c r="O20259" s="3" t="s">
        <v>10</v>
      </c>
      <c r="P20259" s="3" t="s">
        <v>9</v>
      </c>
      <c r="Q20259" s="3"/>
    </row>
    <row r="20260" spans="1:17" ht="15" x14ac:dyDescent="0.25">
      <c r="A20260" s="3">
        <f>20253</f>
        <v>20253</v>
      </c>
      <c r="B20260" s="3" t="s">
        <v>20262</v>
      </c>
      <c r="C20260" s="3" t="s">
        <v>10</v>
      </c>
      <c r="D20260" s="3" t="s">
        <v>9</v>
      </c>
      <c r="E20260" s="3">
        <v>21</v>
      </c>
      <c r="F20260" s="3">
        <v>0</v>
      </c>
      <c r="G20260" s="3">
        <v>1</v>
      </c>
      <c r="H20260" s="3">
        <v>0</v>
      </c>
      <c r="I20260" s="3">
        <v>16</v>
      </c>
      <c r="J20260" s="3">
        <v>0</v>
      </c>
      <c r="K20260" s="3">
        <v>24</v>
      </c>
      <c r="L20260" s="3">
        <v>0</v>
      </c>
      <c r="M20260" s="3">
        <v>0</v>
      </c>
      <c r="N20260" s="3">
        <v>20</v>
      </c>
      <c r="O20260" s="3" t="s">
        <v>10</v>
      </c>
      <c r="P20260" s="3" t="s">
        <v>9</v>
      </c>
      <c r="Q20260" s="3"/>
    </row>
    <row r="20261" spans="1:17" ht="15" x14ac:dyDescent="0.25">
      <c r="A20261" s="3">
        <f>20254</f>
        <v>20254</v>
      </c>
      <c r="B20261" s="3" t="s">
        <v>20263</v>
      </c>
      <c r="C20261" s="3" t="s">
        <v>10</v>
      </c>
      <c r="D20261" s="3" t="s">
        <v>9</v>
      </c>
      <c r="E20261" s="3">
        <v>21</v>
      </c>
      <c r="F20261" s="3">
        <v>0</v>
      </c>
      <c r="G20261" s="3">
        <v>1</v>
      </c>
      <c r="H20261" s="3">
        <v>0</v>
      </c>
      <c r="I20261" s="3">
        <v>16</v>
      </c>
      <c r="J20261" s="3">
        <v>0</v>
      </c>
      <c r="K20261" s="3">
        <v>24</v>
      </c>
      <c r="L20261" s="3">
        <v>0</v>
      </c>
      <c r="M20261" s="3">
        <v>0</v>
      </c>
      <c r="N20261" s="3">
        <v>20</v>
      </c>
      <c r="O20261" s="3" t="s">
        <v>10</v>
      </c>
      <c r="P20261" s="3" t="s">
        <v>9</v>
      </c>
      <c r="Q20261" s="3"/>
    </row>
    <row r="20262" spans="1:17" ht="15" x14ac:dyDescent="0.25">
      <c r="A20262" s="3">
        <f>20255</f>
        <v>20255</v>
      </c>
      <c r="B20262" s="3" t="s">
        <v>20264</v>
      </c>
      <c r="C20262" s="3" t="s">
        <v>10</v>
      </c>
      <c r="D20262" s="3" t="s">
        <v>9</v>
      </c>
      <c r="E20262" s="3">
        <v>21</v>
      </c>
      <c r="F20262" s="3">
        <v>0</v>
      </c>
      <c r="G20262" s="3">
        <v>1</v>
      </c>
      <c r="H20262" s="3">
        <v>0</v>
      </c>
      <c r="I20262" s="3">
        <v>16</v>
      </c>
      <c r="J20262" s="3">
        <v>0</v>
      </c>
      <c r="K20262" s="3">
        <v>24</v>
      </c>
      <c r="L20262" s="3">
        <v>0</v>
      </c>
      <c r="M20262" s="3">
        <v>0</v>
      </c>
      <c r="N20262" s="3">
        <v>20</v>
      </c>
      <c r="O20262" s="3" t="s">
        <v>10</v>
      </c>
      <c r="P20262" s="3" t="s">
        <v>9</v>
      </c>
      <c r="Q20262" s="3"/>
    </row>
    <row r="20263" spans="1:17" ht="15" x14ac:dyDescent="0.25">
      <c r="A20263" s="3">
        <f>20256</f>
        <v>20256</v>
      </c>
      <c r="B20263" s="3" t="s">
        <v>20265</v>
      </c>
      <c r="C20263" s="3" t="s">
        <v>10</v>
      </c>
      <c r="D20263" s="3" t="s">
        <v>9</v>
      </c>
      <c r="E20263" s="3">
        <v>21</v>
      </c>
      <c r="F20263" s="3">
        <v>0</v>
      </c>
      <c r="G20263" s="3">
        <v>1</v>
      </c>
      <c r="H20263" s="3">
        <v>0</v>
      </c>
      <c r="I20263" s="3">
        <v>16</v>
      </c>
      <c r="J20263" s="3">
        <v>0</v>
      </c>
      <c r="K20263" s="3">
        <v>24</v>
      </c>
      <c r="L20263" s="3">
        <v>0</v>
      </c>
      <c r="M20263" s="3">
        <v>0</v>
      </c>
      <c r="N20263" s="3">
        <v>20</v>
      </c>
      <c r="O20263" s="3" t="s">
        <v>10</v>
      </c>
      <c r="P20263" s="3" t="s">
        <v>9</v>
      </c>
      <c r="Q20263" s="3"/>
    </row>
    <row r="20264" spans="1:17" ht="15" x14ac:dyDescent="0.25">
      <c r="A20264" s="3">
        <f>20257</f>
        <v>20257</v>
      </c>
      <c r="B20264" s="3" t="s">
        <v>20266</v>
      </c>
      <c r="C20264" s="3" t="s">
        <v>10</v>
      </c>
      <c r="D20264" s="3" t="s">
        <v>9</v>
      </c>
      <c r="E20264" s="3">
        <v>21</v>
      </c>
      <c r="F20264" s="3">
        <v>0</v>
      </c>
      <c r="G20264" s="3">
        <v>1</v>
      </c>
      <c r="H20264" s="3">
        <v>0</v>
      </c>
      <c r="I20264" s="3">
        <v>16</v>
      </c>
      <c r="J20264" s="3">
        <v>0</v>
      </c>
      <c r="K20264" s="3">
        <v>24</v>
      </c>
      <c r="L20264" s="3">
        <v>0</v>
      </c>
      <c r="M20264" s="3">
        <v>0</v>
      </c>
      <c r="N20264" s="3">
        <v>20</v>
      </c>
      <c r="O20264" s="3" t="s">
        <v>10</v>
      </c>
      <c r="P20264" s="3" t="s">
        <v>9</v>
      </c>
      <c r="Q20264" s="3"/>
    </row>
    <row r="20265" spans="1:17" ht="15" x14ac:dyDescent="0.25">
      <c r="A20265" s="3">
        <f>20258</f>
        <v>20258</v>
      </c>
      <c r="B20265" s="3" t="s">
        <v>20267</v>
      </c>
      <c r="C20265" s="3" t="s">
        <v>10</v>
      </c>
      <c r="D20265" s="3" t="s">
        <v>9</v>
      </c>
      <c r="E20265" s="3">
        <v>21</v>
      </c>
      <c r="F20265" s="3">
        <v>0</v>
      </c>
      <c r="G20265" s="3">
        <v>1</v>
      </c>
      <c r="H20265" s="3">
        <v>0</v>
      </c>
      <c r="I20265" s="3">
        <v>16</v>
      </c>
      <c r="J20265" s="3">
        <v>0</v>
      </c>
      <c r="K20265" s="3">
        <v>24</v>
      </c>
      <c r="L20265" s="3">
        <v>0</v>
      </c>
      <c r="M20265" s="3">
        <v>0</v>
      </c>
      <c r="N20265" s="3">
        <v>20</v>
      </c>
      <c r="O20265" s="3" t="s">
        <v>10</v>
      </c>
      <c r="P20265" s="3" t="s">
        <v>9</v>
      </c>
      <c r="Q20265" s="3"/>
    </row>
    <row r="20266" spans="1:17" ht="15" x14ac:dyDescent="0.25">
      <c r="A20266" s="3">
        <f>20259</f>
        <v>20259</v>
      </c>
      <c r="B20266" s="3" t="s">
        <v>20268</v>
      </c>
      <c r="C20266" s="3" t="s">
        <v>10</v>
      </c>
      <c r="D20266" s="3" t="s">
        <v>9</v>
      </c>
      <c r="E20266" s="3">
        <v>21</v>
      </c>
      <c r="F20266" s="3">
        <v>0</v>
      </c>
      <c r="G20266" s="3">
        <v>1</v>
      </c>
      <c r="H20266" s="3">
        <v>0</v>
      </c>
      <c r="I20266" s="3">
        <v>16</v>
      </c>
      <c r="J20266" s="3">
        <v>0</v>
      </c>
      <c r="K20266" s="3">
        <v>24</v>
      </c>
      <c r="L20266" s="3">
        <v>0</v>
      </c>
      <c r="M20266" s="3">
        <v>0</v>
      </c>
      <c r="N20266" s="3">
        <v>20</v>
      </c>
      <c r="O20266" s="3" t="s">
        <v>10</v>
      </c>
      <c r="P20266" s="3" t="s">
        <v>9</v>
      </c>
      <c r="Q20266" s="3"/>
    </row>
    <row r="20267" spans="1:17" ht="15" x14ac:dyDescent="0.25">
      <c r="A20267" s="3">
        <f>20260</f>
        <v>20260</v>
      </c>
      <c r="B20267" s="3" t="s">
        <v>20269</v>
      </c>
      <c r="C20267" s="3" t="s">
        <v>10</v>
      </c>
      <c r="D20267" s="3" t="s">
        <v>9</v>
      </c>
      <c r="E20267" s="3">
        <v>21</v>
      </c>
      <c r="F20267" s="3">
        <v>0</v>
      </c>
      <c r="G20267" s="3">
        <v>1</v>
      </c>
      <c r="H20267" s="3">
        <v>0</v>
      </c>
      <c r="I20267" s="3">
        <v>16</v>
      </c>
      <c r="J20267" s="3">
        <v>0</v>
      </c>
      <c r="K20267" s="3">
        <v>24</v>
      </c>
      <c r="L20267" s="3">
        <v>0</v>
      </c>
      <c r="M20267" s="3">
        <v>0</v>
      </c>
      <c r="N20267" s="3">
        <v>20</v>
      </c>
      <c r="O20267" s="3" t="s">
        <v>10</v>
      </c>
      <c r="P20267" s="3" t="s">
        <v>9</v>
      </c>
      <c r="Q20267" s="3"/>
    </row>
    <row r="20268" spans="1:17" ht="15" x14ac:dyDescent="0.25">
      <c r="A20268" s="3">
        <f>20261</f>
        <v>20261</v>
      </c>
      <c r="B20268" s="3" t="s">
        <v>20270</v>
      </c>
      <c r="C20268" s="3" t="s">
        <v>10</v>
      </c>
      <c r="D20268" s="3" t="s">
        <v>9</v>
      </c>
      <c r="E20268" s="3">
        <v>21</v>
      </c>
      <c r="F20268" s="3">
        <v>0</v>
      </c>
      <c r="G20268" s="3">
        <v>1</v>
      </c>
      <c r="H20268" s="3">
        <v>0</v>
      </c>
      <c r="I20268" s="3">
        <v>16</v>
      </c>
      <c r="J20268" s="3">
        <v>0</v>
      </c>
      <c r="K20268" s="3">
        <v>24</v>
      </c>
      <c r="L20268" s="3">
        <v>0</v>
      </c>
      <c r="M20268" s="3">
        <v>0</v>
      </c>
      <c r="N20268" s="3">
        <v>20</v>
      </c>
      <c r="O20268" s="3" t="s">
        <v>10</v>
      </c>
      <c r="P20268" s="3" t="s">
        <v>9</v>
      </c>
      <c r="Q20268" s="3"/>
    </row>
    <row r="20269" spans="1:17" ht="15" x14ac:dyDescent="0.25">
      <c r="A20269" s="3">
        <f>20262</f>
        <v>20262</v>
      </c>
      <c r="B20269" s="3" t="s">
        <v>20271</v>
      </c>
      <c r="C20269" s="3" t="s">
        <v>10</v>
      </c>
      <c r="D20269" s="3" t="s">
        <v>9</v>
      </c>
      <c r="E20269" s="3">
        <v>21</v>
      </c>
      <c r="F20269" s="3">
        <v>0</v>
      </c>
      <c r="G20269" s="3">
        <v>1</v>
      </c>
      <c r="H20269" s="3">
        <v>0</v>
      </c>
      <c r="I20269" s="3">
        <v>16</v>
      </c>
      <c r="J20269" s="3">
        <v>0</v>
      </c>
      <c r="K20269" s="3">
        <v>24</v>
      </c>
      <c r="L20269" s="3">
        <v>0</v>
      </c>
      <c r="M20269" s="3">
        <v>0</v>
      </c>
      <c r="N20269" s="3">
        <v>20</v>
      </c>
      <c r="O20269" s="3" t="s">
        <v>10</v>
      </c>
      <c r="P20269" s="3" t="s">
        <v>9</v>
      </c>
      <c r="Q20269" s="3"/>
    </row>
    <row r="20270" spans="1:17" ht="15" x14ac:dyDescent="0.25">
      <c r="A20270" s="3">
        <f>20263</f>
        <v>20263</v>
      </c>
      <c r="B20270" s="3" t="s">
        <v>20272</v>
      </c>
      <c r="C20270" s="3" t="s">
        <v>10</v>
      </c>
      <c r="D20270" s="3" t="s">
        <v>9</v>
      </c>
      <c r="E20270" s="3">
        <v>21</v>
      </c>
      <c r="F20270" s="3">
        <v>0</v>
      </c>
      <c r="G20270" s="3">
        <v>1</v>
      </c>
      <c r="H20270" s="3">
        <v>0</v>
      </c>
      <c r="I20270" s="3">
        <v>16</v>
      </c>
      <c r="J20270" s="3">
        <v>0</v>
      </c>
      <c r="K20270" s="3">
        <v>24</v>
      </c>
      <c r="L20270" s="3">
        <v>0</v>
      </c>
      <c r="M20270" s="3">
        <v>0</v>
      </c>
      <c r="N20270" s="3">
        <v>20</v>
      </c>
      <c r="O20270" s="3" t="s">
        <v>10</v>
      </c>
      <c r="P20270" s="3" t="s">
        <v>9</v>
      </c>
      <c r="Q20270" s="3"/>
    </row>
    <row r="20271" spans="1:17" ht="15" x14ac:dyDescent="0.25">
      <c r="A20271" s="3">
        <f>20264</f>
        <v>20264</v>
      </c>
      <c r="B20271" s="3" t="s">
        <v>20273</v>
      </c>
      <c r="C20271" s="3" t="s">
        <v>10</v>
      </c>
      <c r="D20271" s="3" t="s">
        <v>9</v>
      </c>
      <c r="E20271" s="3">
        <v>21</v>
      </c>
      <c r="F20271" s="3">
        <v>0</v>
      </c>
      <c r="G20271" s="3">
        <v>1</v>
      </c>
      <c r="H20271" s="3">
        <v>0</v>
      </c>
      <c r="I20271" s="3">
        <v>16</v>
      </c>
      <c r="J20271" s="3">
        <v>0</v>
      </c>
      <c r="K20271" s="3">
        <v>24</v>
      </c>
      <c r="L20271" s="3">
        <v>0</v>
      </c>
      <c r="M20271" s="3">
        <v>0</v>
      </c>
      <c r="N20271" s="3">
        <v>20</v>
      </c>
      <c r="O20271" s="3" t="s">
        <v>10</v>
      </c>
      <c r="P20271" s="3" t="s">
        <v>9</v>
      </c>
      <c r="Q20271" s="3"/>
    </row>
    <row r="20272" spans="1:17" ht="15" x14ac:dyDescent="0.25">
      <c r="A20272" s="3">
        <f>20265</f>
        <v>20265</v>
      </c>
      <c r="B20272" s="3" t="s">
        <v>20274</v>
      </c>
      <c r="C20272" s="3" t="s">
        <v>10</v>
      </c>
      <c r="D20272" s="3" t="s">
        <v>9</v>
      </c>
      <c r="E20272" s="3">
        <v>21</v>
      </c>
      <c r="F20272" s="3">
        <v>0</v>
      </c>
      <c r="G20272" s="3">
        <v>1</v>
      </c>
      <c r="H20272" s="3">
        <v>0</v>
      </c>
      <c r="I20272" s="3">
        <v>16</v>
      </c>
      <c r="J20272" s="3">
        <v>0</v>
      </c>
      <c r="K20272" s="3">
        <v>24</v>
      </c>
      <c r="L20272" s="3">
        <v>0</v>
      </c>
      <c r="M20272" s="3">
        <v>0</v>
      </c>
      <c r="N20272" s="3">
        <v>20</v>
      </c>
      <c r="O20272" s="3" t="s">
        <v>10</v>
      </c>
      <c r="P20272" s="3" t="s">
        <v>9</v>
      </c>
      <c r="Q20272" s="3"/>
    </row>
    <row r="20273" spans="1:17" ht="15" x14ac:dyDescent="0.25">
      <c r="A20273" s="3">
        <f>20266</f>
        <v>20266</v>
      </c>
      <c r="B20273" s="3" t="s">
        <v>20275</v>
      </c>
      <c r="C20273" s="3" t="s">
        <v>10</v>
      </c>
      <c r="D20273" s="3" t="s">
        <v>9</v>
      </c>
      <c r="E20273" s="3">
        <v>21</v>
      </c>
      <c r="F20273" s="3">
        <v>0</v>
      </c>
      <c r="G20273" s="3">
        <v>1</v>
      </c>
      <c r="H20273" s="3">
        <v>0</v>
      </c>
      <c r="I20273" s="3">
        <v>16</v>
      </c>
      <c r="J20273" s="3">
        <v>0</v>
      </c>
      <c r="K20273" s="3">
        <v>24</v>
      </c>
      <c r="L20273" s="3">
        <v>0</v>
      </c>
      <c r="M20273" s="3">
        <v>0</v>
      </c>
      <c r="N20273" s="3">
        <v>20</v>
      </c>
      <c r="O20273" s="3" t="s">
        <v>10</v>
      </c>
      <c r="P20273" s="3" t="s">
        <v>9</v>
      </c>
      <c r="Q20273" s="3"/>
    </row>
    <row r="20274" spans="1:17" ht="15" x14ac:dyDescent="0.25">
      <c r="A20274" s="3">
        <f>20267</f>
        <v>20267</v>
      </c>
      <c r="B20274" s="3" t="s">
        <v>20276</v>
      </c>
      <c r="C20274" s="3" t="s">
        <v>10</v>
      </c>
      <c r="D20274" s="3" t="s">
        <v>9</v>
      </c>
      <c r="E20274" s="3">
        <v>21</v>
      </c>
      <c r="F20274" s="3">
        <v>0</v>
      </c>
      <c r="G20274" s="3">
        <v>1</v>
      </c>
      <c r="H20274" s="3">
        <v>0</v>
      </c>
      <c r="I20274" s="3">
        <v>16</v>
      </c>
      <c r="J20274" s="3">
        <v>0</v>
      </c>
      <c r="K20274" s="3">
        <v>24</v>
      </c>
      <c r="L20274" s="3">
        <v>0</v>
      </c>
      <c r="M20274" s="3">
        <v>0</v>
      </c>
      <c r="N20274" s="3">
        <v>20</v>
      </c>
      <c r="O20274" s="3" t="s">
        <v>10</v>
      </c>
      <c r="P20274" s="3" t="s">
        <v>9</v>
      </c>
      <c r="Q20274" s="3"/>
    </row>
    <row r="20275" spans="1:17" ht="15" x14ac:dyDescent="0.25">
      <c r="A20275" s="3">
        <f>20268</f>
        <v>20268</v>
      </c>
      <c r="B20275" s="3" t="s">
        <v>20277</v>
      </c>
      <c r="C20275" s="3" t="s">
        <v>10</v>
      </c>
      <c r="D20275" s="3" t="s">
        <v>9</v>
      </c>
      <c r="E20275" s="3">
        <v>21</v>
      </c>
      <c r="F20275" s="3">
        <v>0</v>
      </c>
      <c r="G20275" s="3">
        <v>1</v>
      </c>
      <c r="H20275" s="3">
        <v>0</v>
      </c>
      <c r="I20275" s="3">
        <v>16</v>
      </c>
      <c r="J20275" s="3">
        <v>0</v>
      </c>
      <c r="K20275" s="3">
        <v>24</v>
      </c>
      <c r="L20275" s="3">
        <v>0</v>
      </c>
      <c r="M20275" s="3">
        <v>0</v>
      </c>
      <c r="N20275" s="3">
        <v>20</v>
      </c>
      <c r="O20275" s="3" t="s">
        <v>10</v>
      </c>
      <c r="P20275" s="3" t="s">
        <v>9</v>
      </c>
      <c r="Q20275" s="3"/>
    </row>
    <row r="20276" spans="1:17" ht="15" x14ac:dyDescent="0.25">
      <c r="A20276" s="3">
        <f>20269</f>
        <v>20269</v>
      </c>
      <c r="B20276" s="3" t="s">
        <v>20278</v>
      </c>
      <c r="C20276" s="3" t="s">
        <v>10</v>
      </c>
      <c r="D20276" s="3" t="s">
        <v>9</v>
      </c>
      <c r="E20276" s="3">
        <v>21</v>
      </c>
      <c r="F20276" s="3">
        <v>0</v>
      </c>
      <c r="G20276" s="3">
        <v>1</v>
      </c>
      <c r="H20276" s="3">
        <v>0</v>
      </c>
      <c r="I20276" s="3">
        <v>16</v>
      </c>
      <c r="J20276" s="3">
        <v>0</v>
      </c>
      <c r="K20276" s="3">
        <v>24</v>
      </c>
      <c r="L20276" s="3">
        <v>0</v>
      </c>
      <c r="M20276" s="3">
        <v>0</v>
      </c>
      <c r="N20276" s="3">
        <v>20</v>
      </c>
      <c r="O20276" s="3" t="s">
        <v>10</v>
      </c>
      <c r="P20276" s="3" t="s">
        <v>9</v>
      </c>
      <c r="Q20276" s="3"/>
    </row>
    <row r="20277" spans="1:17" ht="15" x14ac:dyDescent="0.25">
      <c r="A20277" s="3">
        <f>20270</f>
        <v>20270</v>
      </c>
      <c r="B20277" s="3" t="s">
        <v>20279</v>
      </c>
      <c r="C20277" s="3" t="s">
        <v>10</v>
      </c>
      <c r="D20277" s="3" t="s">
        <v>9</v>
      </c>
      <c r="E20277" s="3">
        <v>21</v>
      </c>
      <c r="F20277" s="3">
        <v>0</v>
      </c>
      <c r="G20277" s="3">
        <v>1</v>
      </c>
      <c r="H20277" s="3">
        <v>0</v>
      </c>
      <c r="I20277" s="3">
        <v>16</v>
      </c>
      <c r="J20277" s="3">
        <v>0</v>
      </c>
      <c r="K20277" s="3">
        <v>24</v>
      </c>
      <c r="L20277" s="3">
        <v>0</v>
      </c>
      <c r="M20277" s="3">
        <v>0</v>
      </c>
      <c r="N20277" s="3">
        <v>20</v>
      </c>
      <c r="O20277" s="3" t="s">
        <v>10</v>
      </c>
      <c r="P20277" s="3" t="s">
        <v>9</v>
      </c>
      <c r="Q20277" s="3"/>
    </row>
    <row r="20278" spans="1:17" ht="15" x14ac:dyDescent="0.25">
      <c r="A20278" s="3">
        <f>20271</f>
        <v>20271</v>
      </c>
      <c r="B20278" s="3" t="s">
        <v>20280</v>
      </c>
      <c r="C20278" s="3" t="s">
        <v>10</v>
      </c>
      <c r="D20278" s="3" t="s">
        <v>9</v>
      </c>
      <c r="E20278" s="3">
        <v>21</v>
      </c>
      <c r="F20278" s="3">
        <v>0</v>
      </c>
      <c r="G20278" s="3">
        <v>1</v>
      </c>
      <c r="H20278" s="3">
        <v>0</v>
      </c>
      <c r="I20278" s="3">
        <v>16</v>
      </c>
      <c r="J20278" s="3">
        <v>0</v>
      </c>
      <c r="K20278" s="3">
        <v>24</v>
      </c>
      <c r="L20278" s="3">
        <v>0</v>
      </c>
      <c r="M20278" s="3">
        <v>0</v>
      </c>
      <c r="N20278" s="3">
        <v>20</v>
      </c>
      <c r="O20278" s="3" t="s">
        <v>10</v>
      </c>
      <c r="P20278" s="3" t="s">
        <v>9</v>
      </c>
      <c r="Q20278" s="3"/>
    </row>
    <row r="20279" spans="1:17" ht="15" x14ac:dyDescent="0.25">
      <c r="A20279" s="3">
        <f>20272</f>
        <v>20272</v>
      </c>
      <c r="B20279" s="3" t="s">
        <v>20281</v>
      </c>
      <c r="C20279" s="3" t="s">
        <v>10</v>
      </c>
      <c r="D20279" s="3" t="s">
        <v>9</v>
      </c>
      <c r="E20279" s="3">
        <v>21</v>
      </c>
      <c r="F20279" s="3">
        <v>0</v>
      </c>
      <c r="G20279" s="3">
        <v>1</v>
      </c>
      <c r="H20279" s="3">
        <v>0</v>
      </c>
      <c r="I20279" s="3">
        <v>16</v>
      </c>
      <c r="J20279" s="3">
        <v>0</v>
      </c>
      <c r="K20279" s="3">
        <v>24</v>
      </c>
      <c r="L20279" s="3">
        <v>0</v>
      </c>
      <c r="M20279" s="3">
        <v>0</v>
      </c>
      <c r="N20279" s="3">
        <v>20</v>
      </c>
      <c r="O20279" s="3" t="s">
        <v>10</v>
      </c>
      <c r="P20279" s="3" t="s">
        <v>9</v>
      </c>
      <c r="Q20279" s="3"/>
    </row>
    <row r="20280" spans="1:17" ht="15" x14ac:dyDescent="0.25">
      <c r="A20280" s="3">
        <f>20273</f>
        <v>20273</v>
      </c>
      <c r="B20280" s="3" t="s">
        <v>20282</v>
      </c>
      <c r="C20280" s="3" t="s">
        <v>10</v>
      </c>
      <c r="D20280" s="3" t="s">
        <v>9</v>
      </c>
      <c r="E20280" s="3">
        <v>21</v>
      </c>
      <c r="F20280" s="3">
        <v>0</v>
      </c>
      <c r="G20280" s="3">
        <v>1</v>
      </c>
      <c r="H20280" s="3">
        <v>0</v>
      </c>
      <c r="I20280" s="3">
        <v>16</v>
      </c>
      <c r="J20280" s="3">
        <v>0</v>
      </c>
      <c r="K20280" s="3">
        <v>24</v>
      </c>
      <c r="L20280" s="3">
        <v>0</v>
      </c>
      <c r="M20280" s="3">
        <v>0</v>
      </c>
      <c r="N20280" s="3">
        <v>20</v>
      </c>
      <c r="O20280" s="3" t="s">
        <v>10</v>
      </c>
      <c r="P20280" s="3" t="s">
        <v>9</v>
      </c>
      <c r="Q20280" s="3"/>
    </row>
    <row r="20281" spans="1:17" ht="15" x14ac:dyDescent="0.25">
      <c r="A20281" s="3">
        <f>20274</f>
        <v>20274</v>
      </c>
      <c r="B20281" s="3" t="s">
        <v>20283</v>
      </c>
      <c r="C20281" s="3" t="s">
        <v>10</v>
      </c>
      <c r="D20281" s="3" t="s">
        <v>9</v>
      </c>
      <c r="E20281" s="3">
        <v>21</v>
      </c>
      <c r="F20281" s="3">
        <v>0</v>
      </c>
      <c r="G20281" s="3">
        <v>1</v>
      </c>
      <c r="H20281" s="3">
        <v>0</v>
      </c>
      <c r="I20281" s="3">
        <v>16</v>
      </c>
      <c r="J20281" s="3">
        <v>0</v>
      </c>
      <c r="K20281" s="3">
        <v>24</v>
      </c>
      <c r="L20281" s="3">
        <v>0</v>
      </c>
      <c r="M20281" s="3">
        <v>0</v>
      </c>
      <c r="N20281" s="3">
        <v>20</v>
      </c>
      <c r="O20281" s="3" t="s">
        <v>10</v>
      </c>
      <c r="P20281" s="3" t="s">
        <v>9</v>
      </c>
      <c r="Q20281" s="3"/>
    </row>
    <row r="20282" spans="1:17" ht="15" x14ac:dyDescent="0.25">
      <c r="A20282" s="3">
        <f>20275</f>
        <v>20275</v>
      </c>
      <c r="B20282" s="3" t="s">
        <v>20284</v>
      </c>
      <c r="C20282" s="3" t="s">
        <v>10</v>
      </c>
      <c r="D20282" s="3" t="s">
        <v>9</v>
      </c>
      <c r="E20282" s="3">
        <v>21</v>
      </c>
      <c r="F20282" s="3">
        <v>0</v>
      </c>
      <c r="G20282" s="3">
        <v>1</v>
      </c>
      <c r="H20282" s="3">
        <v>0</v>
      </c>
      <c r="I20282" s="3">
        <v>16</v>
      </c>
      <c r="J20282" s="3">
        <v>0</v>
      </c>
      <c r="K20282" s="3">
        <v>24</v>
      </c>
      <c r="L20282" s="3">
        <v>0</v>
      </c>
      <c r="M20282" s="3">
        <v>0</v>
      </c>
      <c r="N20282" s="3">
        <v>20</v>
      </c>
      <c r="O20282" s="3" t="s">
        <v>10</v>
      </c>
      <c r="P20282" s="3" t="s">
        <v>9</v>
      </c>
      <c r="Q20282" s="3"/>
    </row>
    <row r="20283" spans="1:17" ht="15" x14ac:dyDescent="0.25">
      <c r="A20283" s="3">
        <f>20276</f>
        <v>20276</v>
      </c>
      <c r="B20283" s="3" t="s">
        <v>20285</v>
      </c>
      <c r="C20283" s="3" t="s">
        <v>10</v>
      </c>
      <c r="D20283" s="3" t="s">
        <v>9</v>
      </c>
      <c r="E20283" s="3">
        <v>21</v>
      </c>
      <c r="F20283" s="3">
        <v>0</v>
      </c>
      <c r="G20283" s="3">
        <v>1</v>
      </c>
      <c r="H20283" s="3">
        <v>0</v>
      </c>
      <c r="I20283" s="3">
        <v>16</v>
      </c>
      <c r="J20283" s="3">
        <v>0</v>
      </c>
      <c r="K20283" s="3">
        <v>24</v>
      </c>
      <c r="L20283" s="3">
        <v>0</v>
      </c>
      <c r="M20283" s="3">
        <v>0</v>
      </c>
      <c r="N20283" s="3">
        <v>20</v>
      </c>
      <c r="O20283" s="3" t="s">
        <v>10</v>
      </c>
      <c r="P20283" s="3" t="s">
        <v>9</v>
      </c>
      <c r="Q20283" s="3"/>
    </row>
    <row r="20284" spans="1:17" ht="15" x14ac:dyDescent="0.25">
      <c r="A20284" s="3">
        <f>20277</f>
        <v>20277</v>
      </c>
      <c r="B20284" s="3" t="s">
        <v>20286</v>
      </c>
      <c r="C20284" s="3" t="s">
        <v>10</v>
      </c>
      <c r="D20284" s="3" t="s">
        <v>9</v>
      </c>
      <c r="E20284" s="3">
        <v>21</v>
      </c>
      <c r="F20284" s="3">
        <v>0</v>
      </c>
      <c r="G20284" s="3">
        <v>1</v>
      </c>
      <c r="H20284" s="3">
        <v>0</v>
      </c>
      <c r="I20284" s="3">
        <v>16</v>
      </c>
      <c r="J20284" s="3">
        <v>0</v>
      </c>
      <c r="K20284" s="3">
        <v>24</v>
      </c>
      <c r="L20284" s="3">
        <v>0</v>
      </c>
      <c r="M20284" s="3">
        <v>0</v>
      </c>
      <c r="N20284" s="3">
        <v>20</v>
      </c>
      <c r="O20284" s="3" t="s">
        <v>10</v>
      </c>
      <c r="P20284" s="3" t="s">
        <v>9</v>
      </c>
      <c r="Q20284" s="3"/>
    </row>
    <row r="20285" spans="1:17" ht="15" x14ac:dyDescent="0.25">
      <c r="A20285" s="3">
        <f>20278</f>
        <v>20278</v>
      </c>
      <c r="B20285" s="3" t="s">
        <v>20287</v>
      </c>
      <c r="C20285" s="3" t="s">
        <v>10</v>
      </c>
      <c r="D20285" s="3" t="s">
        <v>9</v>
      </c>
      <c r="E20285" s="3">
        <v>21</v>
      </c>
      <c r="F20285" s="3">
        <v>0</v>
      </c>
      <c r="G20285" s="3">
        <v>1</v>
      </c>
      <c r="H20285" s="3">
        <v>0</v>
      </c>
      <c r="I20285" s="3">
        <v>16</v>
      </c>
      <c r="J20285" s="3">
        <v>0</v>
      </c>
      <c r="K20285" s="3">
        <v>24</v>
      </c>
      <c r="L20285" s="3">
        <v>0</v>
      </c>
      <c r="M20285" s="3">
        <v>0</v>
      </c>
      <c r="N20285" s="3">
        <v>20</v>
      </c>
      <c r="O20285" s="3" t="s">
        <v>10</v>
      </c>
      <c r="P20285" s="3" t="s">
        <v>9</v>
      </c>
      <c r="Q20285" s="3"/>
    </row>
    <row r="20286" spans="1:17" ht="15" x14ac:dyDescent="0.25">
      <c r="A20286" s="3">
        <f>20279</f>
        <v>20279</v>
      </c>
      <c r="B20286" s="3" t="s">
        <v>20288</v>
      </c>
      <c r="C20286" s="3" t="s">
        <v>10</v>
      </c>
      <c r="D20286" s="3" t="s">
        <v>9</v>
      </c>
      <c r="E20286" s="3">
        <v>21</v>
      </c>
      <c r="F20286" s="3">
        <v>0</v>
      </c>
      <c r="G20286" s="3">
        <v>1</v>
      </c>
      <c r="H20286" s="3">
        <v>0</v>
      </c>
      <c r="I20286" s="3">
        <v>16</v>
      </c>
      <c r="J20286" s="3">
        <v>0</v>
      </c>
      <c r="K20286" s="3">
        <v>24</v>
      </c>
      <c r="L20286" s="3">
        <v>0</v>
      </c>
      <c r="M20286" s="3">
        <v>0</v>
      </c>
      <c r="N20286" s="3">
        <v>20</v>
      </c>
      <c r="O20286" s="3" t="s">
        <v>10</v>
      </c>
      <c r="P20286" s="3" t="s">
        <v>9</v>
      </c>
      <c r="Q20286" s="3"/>
    </row>
    <row r="20287" spans="1:17" ht="15" x14ac:dyDescent="0.25">
      <c r="A20287" s="3">
        <f>20280</f>
        <v>20280</v>
      </c>
      <c r="B20287" s="3" t="s">
        <v>20289</v>
      </c>
      <c r="C20287" s="3" t="s">
        <v>10</v>
      </c>
      <c r="D20287" s="3" t="s">
        <v>9</v>
      </c>
      <c r="E20287" s="3">
        <v>21</v>
      </c>
      <c r="F20287" s="3">
        <v>0</v>
      </c>
      <c r="G20287" s="3">
        <v>1</v>
      </c>
      <c r="H20287" s="3">
        <v>0</v>
      </c>
      <c r="I20287" s="3">
        <v>16</v>
      </c>
      <c r="J20287" s="3">
        <v>0</v>
      </c>
      <c r="K20287" s="3">
        <v>24</v>
      </c>
      <c r="L20287" s="3">
        <v>0</v>
      </c>
      <c r="M20287" s="3">
        <v>0</v>
      </c>
      <c r="N20287" s="3">
        <v>20</v>
      </c>
      <c r="O20287" s="3" t="s">
        <v>10</v>
      </c>
      <c r="P20287" s="3" t="s">
        <v>9</v>
      </c>
      <c r="Q20287" s="3"/>
    </row>
    <row r="20288" spans="1:17" ht="15" x14ac:dyDescent="0.25">
      <c r="A20288" s="3">
        <f>20281</f>
        <v>20281</v>
      </c>
      <c r="B20288" s="3" t="s">
        <v>20290</v>
      </c>
      <c r="C20288" s="3" t="s">
        <v>10</v>
      </c>
      <c r="D20288" s="3" t="s">
        <v>9</v>
      </c>
      <c r="E20288" s="3">
        <v>21</v>
      </c>
      <c r="F20288" s="3">
        <v>0</v>
      </c>
      <c r="G20288" s="3">
        <v>1</v>
      </c>
      <c r="H20288" s="3">
        <v>0</v>
      </c>
      <c r="I20288" s="3">
        <v>16</v>
      </c>
      <c r="J20288" s="3">
        <v>0</v>
      </c>
      <c r="K20288" s="3">
        <v>24</v>
      </c>
      <c r="L20288" s="3">
        <v>0</v>
      </c>
      <c r="M20288" s="3">
        <v>0</v>
      </c>
      <c r="N20288" s="3">
        <v>20</v>
      </c>
      <c r="O20288" s="3" t="s">
        <v>10</v>
      </c>
      <c r="P20288" s="3" t="s">
        <v>9</v>
      </c>
      <c r="Q20288" s="3"/>
    </row>
    <row r="20289" spans="1:17" ht="15" x14ac:dyDescent="0.25">
      <c r="A20289" s="3">
        <f>20282</f>
        <v>20282</v>
      </c>
      <c r="B20289" s="3" t="s">
        <v>20291</v>
      </c>
      <c r="C20289" s="3" t="s">
        <v>10</v>
      </c>
      <c r="D20289" s="3" t="s">
        <v>9</v>
      </c>
      <c r="E20289" s="3">
        <v>21</v>
      </c>
      <c r="F20289" s="3">
        <v>0</v>
      </c>
      <c r="G20289" s="3">
        <v>1</v>
      </c>
      <c r="H20289" s="3">
        <v>0</v>
      </c>
      <c r="I20289" s="3">
        <v>16</v>
      </c>
      <c r="J20289" s="3">
        <v>0</v>
      </c>
      <c r="K20289" s="3">
        <v>24</v>
      </c>
      <c r="L20289" s="3">
        <v>0</v>
      </c>
      <c r="M20289" s="3">
        <v>0</v>
      </c>
      <c r="N20289" s="3">
        <v>20</v>
      </c>
      <c r="O20289" s="3" t="s">
        <v>10</v>
      </c>
      <c r="P20289" s="3" t="s">
        <v>9</v>
      </c>
      <c r="Q20289" s="3"/>
    </row>
    <row r="20290" spans="1:17" ht="15" x14ac:dyDescent="0.25">
      <c r="A20290" s="3">
        <f>20283</f>
        <v>20283</v>
      </c>
      <c r="B20290" s="3" t="s">
        <v>20292</v>
      </c>
      <c r="C20290" s="3" t="s">
        <v>10</v>
      </c>
      <c r="D20290" s="3" t="s">
        <v>9</v>
      </c>
      <c r="E20290" s="3">
        <v>21</v>
      </c>
      <c r="F20290" s="3">
        <v>0</v>
      </c>
      <c r="G20290" s="3">
        <v>1</v>
      </c>
      <c r="H20290" s="3">
        <v>0</v>
      </c>
      <c r="I20290" s="3">
        <v>16</v>
      </c>
      <c r="J20290" s="3">
        <v>0</v>
      </c>
      <c r="K20290" s="3">
        <v>24</v>
      </c>
      <c r="L20290" s="3">
        <v>0</v>
      </c>
      <c r="M20290" s="3">
        <v>0</v>
      </c>
      <c r="N20290" s="3">
        <v>20</v>
      </c>
      <c r="O20290" s="3" t="s">
        <v>10</v>
      </c>
      <c r="P20290" s="3" t="s">
        <v>9</v>
      </c>
      <c r="Q20290" s="3"/>
    </row>
    <row r="20291" spans="1:17" ht="15" x14ac:dyDescent="0.25">
      <c r="A20291" s="3">
        <f>20284</f>
        <v>20284</v>
      </c>
      <c r="B20291" s="3" t="s">
        <v>20293</v>
      </c>
      <c r="C20291" s="3" t="s">
        <v>10</v>
      </c>
      <c r="D20291" s="3" t="s">
        <v>9</v>
      </c>
      <c r="E20291" s="3">
        <v>21</v>
      </c>
      <c r="F20291" s="3">
        <v>0</v>
      </c>
      <c r="G20291" s="3">
        <v>1</v>
      </c>
      <c r="H20291" s="3">
        <v>0</v>
      </c>
      <c r="I20291" s="3">
        <v>16</v>
      </c>
      <c r="J20291" s="3">
        <v>0</v>
      </c>
      <c r="K20291" s="3">
        <v>24</v>
      </c>
      <c r="L20291" s="3">
        <v>0</v>
      </c>
      <c r="M20291" s="3">
        <v>0</v>
      </c>
      <c r="N20291" s="3">
        <v>20</v>
      </c>
      <c r="O20291" s="3" t="s">
        <v>10</v>
      </c>
      <c r="P20291" s="3" t="s">
        <v>9</v>
      </c>
      <c r="Q20291" s="3"/>
    </row>
    <row r="20292" spans="1:17" ht="15" x14ac:dyDescent="0.25">
      <c r="A20292" s="3">
        <f>20285</f>
        <v>20285</v>
      </c>
      <c r="B20292" s="3" t="s">
        <v>20294</v>
      </c>
      <c r="C20292" s="3" t="s">
        <v>10</v>
      </c>
      <c r="D20292" s="3" t="s">
        <v>9</v>
      </c>
      <c r="E20292" s="3">
        <v>21</v>
      </c>
      <c r="F20292" s="3">
        <v>0</v>
      </c>
      <c r="G20292" s="3">
        <v>1</v>
      </c>
      <c r="H20292" s="3">
        <v>0</v>
      </c>
      <c r="I20292" s="3">
        <v>16</v>
      </c>
      <c r="J20292" s="3">
        <v>0</v>
      </c>
      <c r="K20292" s="3">
        <v>24</v>
      </c>
      <c r="L20292" s="3">
        <v>0</v>
      </c>
      <c r="M20292" s="3">
        <v>0</v>
      </c>
      <c r="N20292" s="3">
        <v>20</v>
      </c>
      <c r="O20292" s="3" t="s">
        <v>10</v>
      </c>
      <c r="P20292" s="3" t="s">
        <v>9</v>
      </c>
      <c r="Q20292" s="3"/>
    </row>
    <row r="20293" spans="1:17" ht="15" x14ac:dyDescent="0.25">
      <c r="A20293" s="3">
        <f>20286</f>
        <v>20286</v>
      </c>
      <c r="B20293" s="3" t="s">
        <v>20295</v>
      </c>
      <c r="C20293" s="3" t="s">
        <v>10</v>
      </c>
      <c r="D20293" s="3" t="s">
        <v>9</v>
      </c>
      <c r="E20293" s="3">
        <v>21</v>
      </c>
      <c r="F20293" s="3">
        <v>0</v>
      </c>
      <c r="G20293" s="3">
        <v>1</v>
      </c>
      <c r="H20293" s="3">
        <v>0</v>
      </c>
      <c r="I20293" s="3">
        <v>16</v>
      </c>
      <c r="J20293" s="3">
        <v>0</v>
      </c>
      <c r="K20293" s="3">
        <v>24</v>
      </c>
      <c r="L20293" s="3">
        <v>0</v>
      </c>
      <c r="M20293" s="3">
        <v>0</v>
      </c>
      <c r="N20293" s="3">
        <v>20</v>
      </c>
      <c r="O20293" s="3" t="s">
        <v>10</v>
      </c>
      <c r="P20293" s="3" t="s">
        <v>9</v>
      </c>
      <c r="Q20293" s="3"/>
    </row>
    <row r="20294" spans="1:17" ht="15" x14ac:dyDescent="0.25">
      <c r="A20294" s="3">
        <f>20287</f>
        <v>20287</v>
      </c>
      <c r="B20294" s="3" t="s">
        <v>20296</v>
      </c>
      <c r="C20294" s="3" t="s">
        <v>10</v>
      </c>
      <c r="D20294" s="3" t="s">
        <v>9</v>
      </c>
      <c r="E20294" s="3">
        <v>21</v>
      </c>
      <c r="F20294" s="3">
        <v>0</v>
      </c>
      <c r="G20294" s="3">
        <v>1</v>
      </c>
      <c r="H20294" s="3">
        <v>0</v>
      </c>
      <c r="I20294" s="3">
        <v>16</v>
      </c>
      <c r="J20294" s="3">
        <v>0</v>
      </c>
      <c r="K20294" s="3">
        <v>24</v>
      </c>
      <c r="L20294" s="3">
        <v>0</v>
      </c>
      <c r="M20294" s="3">
        <v>0</v>
      </c>
      <c r="N20294" s="3">
        <v>20</v>
      </c>
      <c r="O20294" s="3" t="s">
        <v>10</v>
      </c>
      <c r="P20294" s="3" t="s">
        <v>9</v>
      </c>
      <c r="Q20294" s="3"/>
    </row>
    <row r="20295" spans="1:17" ht="15" x14ac:dyDescent="0.25">
      <c r="A20295" s="3">
        <f>20288</f>
        <v>20288</v>
      </c>
      <c r="B20295" s="3" t="s">
        <v>20297</v>
      </c>
      <c r="C20295" s="3" t="s">
        <v>10</v>
      </c>
      <c r="D20295" s="3" t="s">
        <v>9</v>
      </c>
      <c r="E20295" s="3">
        <v>21</v>
      </c>
      <c r="F20295" s="3">
        <v>0</v>
      </c>
      <c r="G20295" s="3">
        <v>1</v>
      </c>
      <c r="H20295" s="3">
        <v>0</v>
      </c>
      <c r="I20295" s="3">
        <v>16</v>
      </c>
      <c r="J20295" s="3">
        <v>0</v>
      </c>
      <c r="K20295" s="3">
        <v>24</v>
      </c>
      <c r="L20295" s="3">
        <v>0</v>
      </c>
      <c r="M20295" s="3">
        <v>0</v>
      </c>
      <c r="N20295" s="3">
        <v>20</v>
      </c>
      <c r="O20295" s="3" t="s">
        <v>10</v>
      </c>
      <c r="P20295" s="3" t="s">
        <v>9</v>
      </c>
      <c r="Q20295" s="3"/>
    </row>
    <row r="20296" spans="1:17" ht="15" x14ac:dyDescent="0.25">
      <c r="A20296" s="3">
        <f>20289</f>
        <v>20289</v>
      </c>
      <c r="B20296" s="3" t="s">
        <v>20298</v>
      </c>
      <c r="C20296" s="3" t="s">
        <v>10</v>
      </c>
      <c r="D20296" s="3" t="s">
        <v>9</v>
      </c>
      <c r="E20296" s="3">
        <v>21</v>
      </c>
      <c r="F20296" s="3">
        <v>0</v>
      </c>
      <c r="G20296" s="3">
        <v>1</v>
      </c>
      <c r="H20296" s="3">
        <v>0</v>
      </c>
      <c r="I20296" s="3">
        <v>16</v>
      </c>
      <c r="J20296" s="3">
        <v>0</v>
      </c>
      <c r="K20296" s="3">
        <v>24</v>
      </c>
      <c r="L20296" s="3">
        <v>0</v>
      </c>
      <c r="M20296" s="3">
        <v>0</v>
      </c>
      <c r="N20296" s="3">
        <v>20</v>
      </c>
      <c r="O20296" s="3" t="s">
        <v>10</v>
      </c>
      <c r="P20296" s="3" t="s">
        <v>9</v>
      </c>
      <c r="Q20296" s="3"/>
    </row>
    <row r="20297" spans="1:17" ht="15" x14ac:dyDescent="0.25">
      <c r="A20297" s="3">
        <f>20290</f>
        <v>20290</v>
      </c>
      <c r="B20297" s="3" t="s">
        <v>20299</v>
      </c>
      <c r="C20297" s="3" t="s">
        <v>10</v>
      </c>
      <c r="D20297" s="3" t="s">
        <v>9</v>
      </c>
      <c r="E20297" s="3">
        <v>21</v>
      </c>
      <c r="F20297" s="3">
        <v>0</v>
      </c>
      <c r="G20297" s="3">
        <v>1</v>
      </c>
      <c r="H20297" s="3">
        <v>0</v>
      </c>
      <c r="I20297" s="3">
        <v>16</v>
      </c>
      <c r="J20297" s="3">
        <v>0</v>
      </c>
      <c r="K20297" s="3">
        <v>24</v>
      </c>
      <c r="L20297" s="3">
        <v>0</v>
      </c>
      <c r="M20297" s="3">
        <v>0</v>
      </c>
      <c r="N20297" s="3">
        <v>20</v>
      </c>
      <c r="O20297" s="3" t="s">
        <v>10</v>
      </c>
      <c r="P20297" s="3" t="s">
        <v>9</v>
      </c>
      <c r="Q20297" s="3"/>
    </row>
    <row r="20298" spans="1:17" ht="15" x14ac:dyDescent="0.25">
      <c r="A20298" s="3">
        <f>20291</f>
        <v>20291</v>
      </c>
      <c r="B20298" s="3" t="s">
        <v>20300</v>
      </c>
      <c r="C20298" s="3" t="s">
        <v>10</v>
      </c>
      <c r="D20298" s="3" t="s">
        <v>9</v>
      </c>
      <c r="E20298" s="3">
        <v>21</v>
      </c>
      <c r="F20298" s="3">
        <v>0</v>
      </c>
      <c r="G20298" s="3">
        <v>1</v>
      </c>
      <c r="H20298" s="3">
        <v>0</v>
      </c>
      <c r="I20298" s="3">
        <v>16</v>
      </c>
      <c r="J20298" s="3">
        <v>0</v>
      </c>
      <c r="K20298" s="3">
        <v>24</v>
      </c>
      <c r="L20298" s="3">
        <v>0</v>
      </c>
      <c r="M20298" s="3">
        <v>0</v>
      </c>
      <c r="N20298" s="3">
        <v>20</v>
      </c>
      <c r="O20298" s="3" t="s">
        <v>10</v>
      </c>
      <c r="P20298" s="3" t="s">
        <v>9</v>
      </c>
      <c r="Q20298" s="3"/>
    </row>
    <row r="20299" spans="1:17" ht="15" x14ac:dyDescent="0.25">
      <c r="A20299" s="3">
        <f>20292</f>
        <v>20292</v>
      </c>
      <c r="B20299" s="3" t="s">
        <v>20301</v>
      </c>
      <c r="C20299" s="3" t="s">
        <v>10</v>
      </c>
      <c r="D20299" s="3" t="s">
        <v>9</v>
      </c>
      <c r="E20299" s="3">
        <v>21</v>
      </c>
      <c r="F20299" s="3">
        <v>0</v>
      </c>
      <c r="G20299" s="3">
        <v>1</v>
      </c>
      <c r="H20299" s="3">
        <v>0</v>
      </c>
      <c r="I20299" s="3">
        <v>16</v>
      </c>
      <c r="J20299" s="3">
        <v>0</v>
      </c>
      <c r="K20299" s="3">
        <v>24</v>
      </c>
      <c r="L20299" s="3">
        <v>0</v>
      </c>
      <c r="M20299" s="3">
        <v>0</v>
      </c>
      <c r="N20299" s="3">
        <v>20</v>
      </c>
      <c r="O20299" s="3" t="s">
        <v>10</v>
      </c>
      <c r="P20299" s="3" t="s">
        <v>9</v>
      </c>
      <c r="Q20299" s="3"/>
    </row>
    <row r="20300" spans="1:17" ht="15" x14ac:dyDescent="0.25">
      <c r="A20300" s="3">
        <f>20293</f>
        <v>20293</v>
      </c>
      <c r="B20300" s="3" t="s">
        <v>20302</v>
      </c>
      <c r="C20300" s="3" t="s">
        <v>10</v>
      </c>
      <c r="D20300" s="3" t="s">
        <v>9</v>
      </c>
      <c r="E20300" s="3">
        <v>21</v>
      </c>
      <c r="F20300" s="3">
        <v>0</v>
      </c>
      <c r="G20300" s="3">
        <v>1</v>
      </c>
      <c r="H20300" s="3">
        <v>0</v>
      </c>
      <c r="I20300" s="3">
        <v>16</v>
      </c>
      <c r="J20300" s="3">
        <v>0</v>
      </c>
      <c r="K20300" s="3">
        <v>24</v>
      </c>
      <c r="L20300" s="3">
        <v>0</v>
      </c>
      <c r="M20300" s="3">
        <v>0</v>
      </c>
      <c r="N20300" s="3">
        <v>20</v>
      </c>
      <c r="O20300" s="3" t="s">
        <v>10</v>
      </c>
      <c r="P20300" s="3" t="s">
        <v>9</v>
      </c>
      <c r="Q20300" s="3"/>
    </row>
    <row r="20301" spans="1:17" ht="15" x14ac:dyDescent="0.25">
      <c r="A20301" s="3">
        <f>20294</f>
        <v>20294</v>
      </c>
      <c r="B20301" s="3" t="s">
        <v>20303</v>
      </c>
      <c r="C20301" s="3" t="s">
        <v>10</v>
      </c>
      <c r="D20301" s="3" t="s">
        <v>9</v>
      </c>
      <c r="E20301" s="3">
        <v>21</v>
      </c>
      <c r="F20301" s="3">
        <v>0</v>
      </c>
      <c r="G20301" s="3">
        <v>1</v>
      </c>
      <c r="H20301" s="3">
        <v>0</v>
      </c>
      <c r="I20301" s="3">
        <v>16</v>
      </c>
      <c r="J20301" s="3">
        <v>0</v>
      </c>
      <c r="K20301" s="3">
        <v>24</v>
      </c>
      <c r="L20301" s="3">
        <v>0</v>
      </c>
      <c r="M20301" s="3">
        <v>0</v>
      </c>
      <c r="N20301" s="3">
        <v>20</v>
      </c>
      <c r="O20301" s="3" t="s">
        <v>10</v>
      </c>
      <c r="P20301" s="3" t="s">
        <v>9</v>
      </c>
      <c r="Q20301" s="3"/>
    </row>
    <row r="20302" spans="1:17" ht="15" x14ac:dyDescent="0.25">
      <c r="A20302" s="3">
        <f>20295</f>
        <v>20295</v>
      </c>
      <c r="B20302" s="3" t="s">
        <v>20304</v>
      </c>
      <c r="C20302" s="3" t="s">
        <v>10</v>
      </c>
      <c r="D20302" s="3" t="s">
        <v>9</v>
      </c>
      <c r="E20302" s="3">
        <v>21</v>
      </c>
      <c r="F20302" s="3">
        <v>0</v>
      </c>
      <c r="G20302" s="3">
        <v>1</v>
      </c>
      <c r="H20302" s="3">
        <v>0</v>
      </c>
      <c r="I20302" s="3">
        <v>16</v>
      </c>
      <c r="J20302" s="3">
        <v>0</v>
      </c>
      <c r="K20302" s="3">
        <v>24</v>
      </c>
      <c r="L20302" s="3">
        <v>0</v>
      </c>
      <c r="M20302" s="3">
        <v>0</v>
      </c>
      <c r="N20302" s="3">
        <v>20</v>
      </c>
      <c r="O20302" s="3" t="s">
        <v>10</v>
      </c>
      <c r="P20302" s="3" t="s">
        <v>9</v>
      </c>
      <c r="Q20302" s="3"/>
    </row>
    <row r="20303" spans="1:17" ht="15" x14ac:dyDescent="0.25">
      <c r="A20303" s="3">
        <f>20296</f>
        <v>20296</v>
      </c>
      <c r="B20303" s="3" t="s">
        <v>20305</v>
      </c>
      <c r="C20303" s="3" t="s">
        <v>9</v>
      </c>
      <c r="D20303" s="3" t="s">
        <v>10</v>
      </c>
      <c r="E20303" s="3">
        <v>21</v>
      </c>
      <c r="F20303" s="3">
        <v>0</v>
      </c>
      <c r="G20303" s="3">
        <v>1</v>
      </c>
      <c r="H20303" s="3">
        <v>0</v>
      </c>
      <c r="I20303" s="3">
        <v>16</v>
      </c>
      <c r="J20303" s="3">
        <v>0</v>
      </c>
      <c r="K20303" s="3">
        <v>24</v>
      </c>
      <c r="L20303" s="3">
        <v>0</v>
      </c>
      <c r="M20303" s="3">
        <v>0</v>
      </c>
      <c r="N20303" s="3">
        <v>20</v>
      </c>
      <c r="O20303" s="3" t="s">
        <v>10</v>
      </c>
      <c r="P20303" s="3" t="s">
        <v>9</v>
      </c>
      <c r="Q20303" s="3"/>
    </row>
    <row r="20304" spans="1:17" ht="15" x14ac:dyDescent="0.25">
      <c r="A20304" s="3">
        <f>20297</f>
        <v>20297</v>
      </c>
      <c r="B20304" s="3" t="s">
        <v>20306</v>
      </c>
      <c r="C20304" s="3" t="s">
        <v>9</v>
      </c>
      <c r="D20304" s="3" t="s">
        <v>10</v>
      </c>
      <c r="E20304" s="3">
        <v>21</v>
      </c>
      <c r="F20304" s="3">
        <v>0</v>
      </c>
      <c r="G20304" s="3">
        <v>1</v>
      </c>
      <c r="H20304" s="3">
        <v>0</v>
      </c>
      <c r="I20304" s="3">
        <v>16</v>
      </c>
      <c r="J20304" s="3">
        <v>0</v>
      </c>
      <c r="K20304" s="3">
        <v>24</v>
      </c>
      <c r="L20304" s="3">
        <v>0</v>
      </c>
      <c r="M20304" s="3">
        <v>0</v>
      </c>
      <c r="N20304" s="3">
        <v>20</v>
      </c>
      <c r="O20304" s="3" t="s">
        <v>10</v>
      </c>
      <c r="P20304" s="3" t="s">
        <v>9</v>
      </c>
      <c r="Q20304" s="3"/>
    </row>
    <row r="20305" spans="1:17" ht="15" x14ac:dyDescent="0.25">
      <c r="A20305" s="3">
        <f>20298</f>
        <v>20298</v>
      </c>
      <c r="B20305" s="3" t="s">
        <v>20307</v>
      </c>
      <c r="C20305" s="3" t="s">
        <v>9</v>
      </c>
      <c r="D20305" s="3" t="s">
        <v>10</v>
      </c>
      <c r="E20305" s="3">
        <v>21</v>
      </c>
      <c r="F20305" s="3">
        <v>0</v>
      </c>
      <c r="G20305" s="3">
        <v>1</v>
      </c>
      <c r="H20305" s="3">
        <v>0</v>
      </c>
      <c r="I20305" s="3">
        <v>16</v>
      </c>
      <c r="J20305" s="3">
        <v>0</v>
      </c>
      <c r="K20305" s="3">
        <v>24</v>
      </c>
      <c r="L20305" s="3">
        <v>0</v>
      </c>
      <c r="M20305" s="3">
        <v>0</v>
      </c>
      <c r="N20305" s="3">
        <v>20</v>
      </c>
      <c r="O20305" s="3" t="s">
        <v>10</v>
      </c>
      <c r="P20305" s="3" t="s">
        <v>9</v>
      </c>
      <c r="Q20305" s="3"/>
    </row>
    <row r="20306" spans="1:17" ht="15" x14ac:dyDescent="0.25">
      <c r="A20306" s="3">
        <f>20299</f>
        <v>20299</v>
      </c>
      <c r="B20306" s="3" t="s">
        <v>20308</v>
      </c>
      <c r="C20306" s="3" t="s">
        <v>9</v>
      </c>
      <c r="D20306" s="3" t="s">
        <v>10</v>
      </c>
      <c r="E20306" s="3">
        <v>21</v>
      </c>
      <c r="F20306" s="3">
        <v>0</v>
      </c>
      <c r="G20306" s="3">
        <v>1</v>
      </c>
      <c r="H20306" s="3">
        <v>0</v>
      </c>
      <c r="I20306" s="3">
        <v>16</v>
      </c>
      <c r="J20306" s="3">
        <v>0</v>
      </c>
      <c r="K20306" s="3">
        <v>24</v>
      </c>
      <c r="L20306" s="3">
        <v>0</v>
      </c>
      <c r="M20306" s="3">
        <v>0</v>
      </c>
      <c r="N20306" s="3">
        <v>20</v>
      </c>
      <c r="O20306" s="3" t="s">
        <v>10</v>
      </c>
      <c r="P20306" s="3" t="s">
        <v>9</v>
      </c>
      <c r="Q20306" s="3"/>
    </row>
    <row r="20307" spans="1:17" ht="15" x14ac:dyDescent="0.25">
      <c r="A20307" s="3">
        <f>20300</f>
        <v>20300</v>
      </c>
      <c r="B20307" s="3" t="s">
        <v>20309</v>
      </c>
      <c r="C20307" s="3" t="s">
        <v>9</v>
      </c>
      <c r="D20307" s="3" t="s">
        <v>10</v>
      </c>
      <c r="E20307" s="3">
        <v>21</v>
      </c>
      <c r="F20307" s="3">
        <v>0</v>
      </c>
      <c r="G20307" s="3">
        <v>1</v>
      </c>
      <c r="H20307" s="3">
        <v>0</v>
      </c>
      <c r="I20307" s="3">
        <v>16</v>
      </c>
      <c r="J20307" s="3">
        <v>0</v>
      </c>
      <c r="K20307" s="3">
        <v>24</v>
      </c>
      <c r="L20307" s="3">
        <v>0</v>
      </c>
      <c r="M20307" s="3">
        <v>0</v>
      </c>
      <c r="N20307" s="3">
        <v>20</v>
      </c>
      <c r="O20307" s="3" t="s">
        <v>10</v>
      </c>
      <c r="P20307" s="3" t="s">
        <v>9</v>
      </c>
      <c r="Q20307" s="3"/>
    </row>
    <row r="20308" spans="1:17" ht="15" x14ac:dyDescent="0.25">
      <c r="A20308" s="3">
        <f>20301</f>
        <v>20301</v>
      </c>
      <c r="B20308" s="3" t="s">
        <v>20310</v>
      </c>
      <c r="C20308" s="3" t="s">
        <v>9</v>
      </c>
      <c r="D20308" s="3" t="s">
        <v>10</v>
      </c>
      <c r="E20308" s="3">
        <v>21</v>
      </c>
      <c r="F20308" s="3">
        <v>0</v>
      </c>
      <c r="G20308" s="3">
        <v>1</v>
      </c>
      <c r="H20308" s="3">
        <v>0</v>
      </c>
      <c r="I20308" s="3">
        <v>16</v>
      </c>
      <c r="J20308" s="3">
        <v>0</v>
      </c>
      <c r="K20308" s="3">
        <v>24</v>
      </c>
      <c r="L20308" s="3">
        <v>0</v>
      </c>
      <c r="M20308" s="3">
        <v>0</v>
      </c>
      <c r="N20308" s="3">
        <v>20</v>
      </c>
      <c r="O20308" s="3" t="s">
        <v>10</v>
      </c>
      <c r="P20308" s="3" t="s">
        <v>9</v>
      </c>
      <c r="Q20308" s="3"/>
    </row>
    <row r="20309" spans="1:17" ht="15" x14ac:dyDescent="0.25">
      <c r="A20309" s="3">
        <f>20302</f>
        <v>20302</v>
      </c>
      <c r="B20309" s="3" t="s">
        <v>20311</v>
      </c>
      <c r="C20309" s="3" t="s">
        <v>9</v>
      </c>
      <c r="D20309" s="3" t="s">
        <v>10</v>
      </c>
      <c r="E20309" s="3">
        <v>21</v>
      </c>
      <c r="F20309" s="3">
        <v>0</v>
      </c>
      <c r="G20309" s="3">
        <v>1</v>
      </c>
      <c r="H20309" s="3">
        <v>0</v>
      </c>
      <c r="I20309" s="3">
        <v>16</v>
      </c>
      <c r="J20309" s="3">
        <v>0</v>
      </c>
      <c r="K20309" s="3">
        <v>24</v>
      </c>
      <c r="L20309" s="3">
        <v>0</v>
      </c>
      <c r="M20309" s="3">
        <v>0</v>
      </c>
      <c r="N20309" s="3">
        <v>20</v>
      </c>
      <c r="O20309" s="3" t="s">
        <v>10</v>
      </c>
      <c r="P20309" s="3" t="s">
        <v>9</v>
      </c>
      <c r="Q20309" s="3"/>
    </row>
    <row r="20310" spans="1:17" ht="15" x14ac:dyDescent="0.25">
      <c r="A20310" s="3">
        <f>20303</f>
        <v>20303</v>
      </c>
      <c r="B20310" s="3" t="s">
        <v>20312</v>
      </c>
      <c r="C20310" s="3" t="s">
        <v>9</v>
      </c>
      <c r="D20310" s="3" t="s">
        <v>10</v>
      </c>
      <c r="E20310" s="3">
        <v>21</v>
      </c>
      <c r="F20310" s="3">
        <v>0</v>
      </c>
      <c r="G20310" s="3">
        <v>1</v>
      </c>
      <c r="H20310" s="3">
        <v>0</v>
      </c>
      <c r="I20310" s="3">
        <v>16</v>
      </c>
      <c r="J20310" s="3">
        <v>0</v>
      </c>
      <c r="K20310" s="3">
        <v>24</v>
      </c>
      <c r="L20310" s="3">
        <v>0</v>
      </c>
      <c r="M20310" s="3">
        <v>0</v>
      </c>
      <c r="N20310" s="3">
        <v>20</v>
      </c>
      <c r="O20310" s="3" t="s">
        <v>10</v>
      </c>
      <c r="P20310" s="3" t="s">
        <v>9</v>
      </c>
      <c r="Q20310" s="3"/>
    </row>
    <row r="20311" spans="1:17" ht="15" x14ac:dyDescent="0.25">
      <c r="A20311" s="3">
        <f>20304</f>
        <v>20304</v>
      </c>
      <c r="B20311" s="3" t="s">
        <v>20313</v>
      </c>
      <c r="C20311" s="3" t="s">
        <v>9</v>
      </c>
      <c r="D20311" s="3" t="s">
        <v>10</v>
      </c>
      <c r="E20311" s="3">
        <v>21</v>
      </c>
      <c r="F20311" s="3">
        <v>0</v>
      </c>
      <c r="G20311" s="3">
        <v>1</v>
      </c>
      <c r="H20311" s="3">
        <v>0</v>
      </c>
      <c r="I20311" s="3">
        <v>16</v>
      </c>
      <c r="J20311" s="3">
        <v>0</v>
      </c>
      <c r="K20311" s="3">
        <v>24</v>
      </c>
      <c r="L20311" s="3">
        <v>0</v>
      </c>
      <c r="M20311" s="3">
        <v>0</v>
      </c>
      <c r="N20311" s="3">
        <v>20</v>
      </c>
      <c r="O20311" s="3" t="s">
        <v>10</v>
      </c>
      <c r="P20311" s="3" t="s">
        <v>9</v>
      </c>
      <c r="Q20311" s="3"/>
    </row>
    <row r="20312" spans="1:17" ht="15" x14ac:dyDescent="0.25">
      <c r="A20312" s="3">
        <f>20305</f>
        <v>20305</v>
      </c>
      <c r="B20312" s="3" t="s">
        <v>20314</v>
      </c>
      <c r="C20312" s="3" t="s">
        <v>9</v>
      </c>
      <c r="D20312" s="3" t="s">
        <v>10</v>
      </c>
      <c r="E20312" s="3">
        <v>21</v>
      </c>
      <c r="F20312" s="3">
        <v>0</v>
      </c>
      <c r="G20312" s="3">
        <v>1</v>
      </c>
      <c r="H20312" s="3">
        <v>0</v>
      </c>
      <c r="I20312" s="3">
        <v>16</v>
      </c>
      <c r="J20312" s="3">
        <v>0</v>
      </c>
      <c r="K20312" s="3">
        <v>24</v>
      </c>
      <c r="L20312" s="3">
        <v>0</v>
      </c>
      <c r="M20312" s="3">
        <v>0</v>
      </c>
      <c r="N20312" s="3">
        <v>20</v>
      </c>
      <c r="O20312" s="3" t="s">
        <v>10</v>
      </c>
      <c r="P20312" s="3" t="s">
        <v>9</v>
      </c>
      <c r="Q20312" s="3"/>
    </row>
    <row r="20313" spans="1:17" ht="15" x14ac:dyDescent="0.25">
      <c r="A20313" s="3">
        <f>20306</f>
        <v>20306</v>
      </c>
      <c r="B20313" s="3" t="s">
        <v>20315</v>
      </c>
      <c r="C20313" s="3" t="s">
        <v>9</v>
      </c>
      <c r="D20313" s="3" t="s">
        <v>10</v>
      </c>
      <c r="E20313" s="3">
        <v>21</v>
      </c>
      <c r="F20313" s="3">
        <v>0</v>
      </c>
      <c r="G20313" s="3">
        <v>1</v>
      </c>
      <c r="H20313" s="3">
        <v>0</v>
      </c>
      <c r="I20313" s="3">
        <v>16</v>
      </c>
      <c r="J20313" s="3">
        <v>0</v>
      </c>
      <c r="K20313" s="3">
        <v>24</v>
      </c>
      <c r="L20313" s="3">
        <v>0</v>
      </c>
      <c r="M20313" s="3">
        <v>0</v>
      </c>
      <c r="N20313" s="3">
        <v>20</v>
      </c>
      <c r="O20313" s="3" t="s">
        <v>10</v>
      </c>
      <c r="P20313" s="3" t="s">
        <v>9</v>
      </c>
      <c r="Q20313" s="3"/>
    </row>
    <row r="20314" spans="1:17" ht="15" x14ac:dyDescent="0.25">
      <c r="A20314" s="3">
        <f>20307</f>
        <v>20307</v>
      </c>
      <c r="B20314" s="3" t="s">
        <v>20316</v>
      </c>
      <c r="C20314" s="3" t="s">
        <v>9</v>
      </c>
      <c r="D20314" s="3" t="s">
        <v>10</v>
      </c>
      <c r="E20314" s="3">
        <v>21</v>
      </c>
      <c r="F20314" s="3">
        <v>0</v>
      </c>
      <c r="G20314" s="3">
        <v>1</v>
      </c>
      <c r="H20314" s="3">
        <v>0</v>
      </c>
      <c r="I20314" s="3">
        <v>16</v>
      </c>
      <c r="J20314" s="3">
        <v>0</v>
      </c>
      <c r="K20314" s="3">
        <v>24</v>
      </c>
      <c r="L20314" s="3">
        <v>0</v>
      </c>
      <c r="M20314" s="3">
        <v>0</v>
      </c>
      <c r="N20314" s="3">
        <v>20</v>
      </c>
      <c r="O20314" s="3" t="s">
        <v>10</v>
      </c>
      <c r="P20314" s="3" t="s">
        <v>9</v>
      </c>
      <c r="Q20314" s="3"/>
    </row>
    <row r="20315" spans="1:17" ht="15" x14ac:dyDescent="0.25">
      <c r="A20315" s="3">
        <f>20308</f>
        <v>20308</v>
      </c>
      <c r="B20315" s="3" t="s">
        <v>20317</v>
      </c>
      <c r="C20315" s="3" t="s">
        <v>9</v>
      </c>
      <c r="D20315" s="3" t="s">
        <v>10</v>
      </c>
      <c r="E20315" s="3">
        <v>21</v>
      </c>
      <c r="F20315" s="3">
        <v>0</v>
      </c>
      <c r="G20315" s="3">
        <v>1</v>
      </c>
      <c r="H20315" s="3">
        <v>0</v>
      </c>
      <c r="I20315" s="3">
        <v>16</v>
      </c>
      <c r="J20315" s="3">
        <v>0</v>
      </c>
      <c r="K20315" s="3">
        <v>24</v>
      </c>
      <c r="L20315" s="3">
        <v>0</v>
      </c>
      <c r="M20315" s="3">
        <v>0</v>
      </c>
      <c r="N20315" s="3">
        <v>20</v>
      </c>
      <c r="O20315" s="3" t="s">
        <v>10</v>
      </c>
      <c r="P20315" s="3" t="s">
        <v>9</v>
      </c>
      <c r="Q20315" s="3"/>
    </row>
    <row r="20316" spans="1:17" ht="15" x14ac:dyDescent="0.25">
      <c r="A20316" s="3">
        <f>20309</f>
        <v>20309</v>
      </c>
      <c r="B20316" s="3" t="s">
        <v>20318</v>
      </c>
      <c r="C20316" s="3" t="s">
        <v>9</v>
      </c>
      <c r="D20316" s="3" t="s">
        <v>10</v>
      </c>
      <c r="E20316" s="3">
        <v>21</v>
      </c>
      <c r="F20316" s="3">
        <v>0</v>
      </c>
      <c r="G20316" s="3">
        <v>1</v>
      </c>
      <c r="H20316" s="3">
        <v>0</v>
      </c>
      <c r="I20316" s="3">
        <v>16</v>
      </c>
      <c r="J20316" s="3">
        <v>0</v>
      </c>
      <c r="K20316" s="3">
        <v>24</v>
      </c>
      <c r="L20316" s="3">
        <v>0</v>
      </c>
      <c r="M20316" s="3">
        <v>0</v>
      </c>
      <c r="N20316" s="3">
        <v>20</v>
      </c>
      <c r="O20316" s="3" t="s">
        <v>10</v>
      </c>
      <c r="P20316" s="3" t="s">
        <v>9</v>
      </c>
      <c r="Q20316" s="3"/>
    </row>
    <row r="20317" spans="1:17" ht="15" x14ac:dyDescent="0.25">
      <c r="A20317" s="3">
        <f>20310</f>
        <v>20310</v>
      </c>
      <c r="B20317" s="3" t="s">
        <v>20319</v>
      </c>
      <c r="C20317" s="3" t="s">
        <v>9</v>
      </c>
      <c r="D20317" s="3" t="s">
        <v>10</v>
      </c>
      <c r="E20317" s="3">
        <v>21</v>
      </c>
      <c r="F20317" s="3">
        <v>0</v>
      </c>
      <c r="G20317" s="3">
        <v>1</v>
      </c>
      <c r="H20317" s="3">
        <v>0</v>
      </c>
      <c r="I20317" s="3">
        <v>16</v>
      </c>
      <c r="J20317" s="3">
        <v>0</v>
      </c>
      <c r="K20317" s="3">
        <v>24</v>
      </c>
      <c r="L20317" s="3">
        <v>0</v>
      </c>
      <c r="M20317" s="3">
        <v>0</v>
      </c>
      <c r="N20317" s="3">
        <v>20</v>
      </c>
      <c r="O20317" s="3" t="s">
        <v>10</v>
      </c>
      <c r="P20317" s="3" t="s">
        <v>9</v>
      </c>
      <c r="Q20317" s="3"/>
    </row>
    <row r="20318" spans="1:17" ht="15" x14ac:dyDescent="0.25">
      <c r="A20318" s="3">
        <f>20311</f>
        <v>20311</v>
      </c>
      <c r="B20318" s="3" t="s">
        <v>20320</v>
      </c>
      <c r="C20318" s="3" t="s">
        <v>9</v>
      </c>
      <c r="D20318" s="3" t="s">
        <v>10</v>
      </c>
      <c r="E20318" s="3">
        <v>21</v>
      </c>
      <c r="F20318" s="3">
        <v>0</v>
      </c>
      <c r="G20318" s="3">
        <v>1</v>
      </c>
      <c r="H20318" s="3">
        <v>0</v>
      </c>
      <c r="I20318" s="3">
        <v>16</v>
      </c>
      <c r="J20318" s="3">
        <v>0</v>
      </c>
      <c r="K20318" s="3">
        <v>24</v>
      </c>
      <c r="L20318" s="3">
        <v>0</v>
      </c>
      <c r="M20318" s="3">
        <v>0</v>
      </c>
      <c r="N20318" s="3">
        <v>20</v>
      </c>
      <c r="O20318" s="3" t="s">
        <v>10</v>
      </c>
      <c r="P20318" s="3" t="s">
        <v>9</v>
      </c>
      <c r="Q20318" s="3"/>
    </row>
    <row r="20319" spans="1:17" ht="15" x14ac:dyDescent="0.25">
      <c r="A20319" s="3">
        <f>20312</f>
        <v>20312</v>
      </c>
      <c r="B20319" s="3" t="s">
        <v>20321</v>
      </c>
      <c r="C20319" s="3" t="s">
        <v>9</v>
      </c>
      <c r="D20319" s="3" t="s">
        <v>10</v>
      </c>
      <c r="E20319" s="3">
        <v>21</v>
      </c>
      <c r="F20319" s="3">
        <v>0</v>
      </c>
      <c r="G20319" s="3">
        <v>1</v>
      </c>
      <c r="H20319" s="3">
        <v>0</v>
      </c>
      <c r="I20319" s="3">
        <v>16</v>
      </c>
      <c r="J20319" s="3">
        <v>0</v>
      </c>
      <c r="K20319" s="3">
        <v>24</v>
      </c>
      <c r="L20319" s="3">
        <v>0</v>
      </c>
      <c r="M20319" s="3">
        <v>0</v>
      </c>
      <c r="N20319" s="3">
        <v>20</v>
      </c>
      <c r="O20319" s="3" t="s">
        <v>10</v>
      </c>
      <c r="P20319" s="3" t="s">
        <v>9</v>
      </c>
      <c r="Q20319" s="3"/>
    </row>
    <row r="20320" spans="1:17" ht="15" x14ac:dyDescent="0.25">
      <c r="A20320" s="3">
        <f>20313</f>
        <v>20313</v>
      </c>
      <c r="B20320" s="3" t="s">
        <v>20322</v>
      </c>
      <c r="C20320" s="3" t="s">
        <v>9</v>
      </c>
      <c r="D20320" s="3" t="s">
        <v>10</v>
      </c>
      <c r="E20320" s="3">
        <v>21</v>
      </c>
      <c r="F20320" s="3">
        <v>0</v>
      </c>
      <c r="G20320" s="3">
        <v>1</v>
      </c>
      <c r="H20320" s="3">
        <v>0</v>
      </c>
      <c r="I20320" s="3">
        <v>16</v>
      </c>
      <c r="J20320" s="3">
        <v>0</v>
      </c>
      <c r="K20320" s="3">
        <v>24</v>
      </c>
      <c r="L20320" s="3">
        <v>0</v>
      </c>
      <c r="M20320" s="3">
        <v>0</v>
      </c>
      <c r="N20320" s="3">
        <v>20</v>
      </c>
      <c r="O20320" s="3" t="s">
        <v>10</v>
      </c>
      <c r="P20320" s="3" t="s">
        <v>9</v>
      </c>
      <c r="Q20320" s="3"/>
    </row>
    <row r="20321" spans="1:17" ht="15" x14ac:dyDescent="0.25">
      <c r="A20321" s="3">
        <f>20314</f>
        <v>20314</v>
      </c>
      <c r="B20321" s="3" t="s">
        <v>20323</v>
      </c>
      <c r="C20321" s="3" t="s">
        <v>9</v>
      </c>
      <c r="D20321" s="3" t="s">
        <v>10</v>
      </c>
      <c r="E20321" s="3">
        <v>21</v>
      </c>
      <c r="F20321" s="3">
        <v>0</v>
      </c>
      <c r="G20321" s="3">
        <v>1</v>
      </c>
      <c r="H20321" s="3">
        <v>0</v>
      </c>
      <c r="I20321" s="3">
        <v>16</v>
      </c>
      <c r="J20321" s="3">
        <v>0</v>
      </c>
      <c r="K20321" s="3">
        <v>24</v>
      </c>
      <c r="L20321" s="3">
        <v>0</v>
      </c>
      <c r="M20321" s="3">
        <v>0</v>
      </c>
      <c r="N20321" s="3">
        <v>20</v>
      </c>
      <c r="O20321" s="3" t="s">
        <v>10</v>
      </c>
      <c r="P20321" s="3" t="s">
        <v>9</v>
      </c>
      <c r="Q20321" s="3"/>
    </row>
    <row r="20322" spans="1:17" ht="15" x14ac:dyDescent="0.25">
      <c r="A20322" s="3">
        <f>20315</f>
        <v>20315</v>
      </c>
      <c r="B20322" s="3" t="s">
        <v>20324</v>
      </c>
      <c r="C20322" s="3" t="s">
        <v>9</v>
      </c>
      <c r="D20322" s="3" t="s">
        <v>10</v>
      </c>
      <c r="E20322" s="3">
        <v>21</v>
      </c>
      <c r="F20322" s="3">
        <v>0</v>
      </c>
      <c r="G20322" s="3">
        <v>1</v>
      </c>
      <c r="H20322" s="3">
        <v>0</v>
      </c>
      <c r="I20322" s="3">
        <v>16</v>
      </c>
      <c r="J20322" s="3">
        <v>0</v>
      </c>
      <c r="K20322" s="3">
        <v>24</v>
      </c>
      <c r="L20322" s="3">
        <v>0</v>
      </c>
      <c r="M20322" s="3">
        <v>0</v>
      </c>
      <c r="N20322" s="3">
        <v>20</v>
      </c>
      <c r="O20322" s="3" t="s">
        <v>10</v>
      </c>
      <c r="P20322" s="3" t="s">
        <v>9</v>
      </c>
      <c r="Q20322" s="3"/>
    </row>
    <row r="20323" spans="1:17" ht="15" x14ac:dyDescent="0.25">
      <c r="A20323" s="3">
        <f>20316</f>
        <v>20316</v>
      </c>
      <c r="B20323" s="3" t="s">
        <v>20325</v>
      </c>
      <c r="C20323" s="3" t="s">
        <v>9</v>
      </c>
      <c r="D20323" s="3" t="s">
        <v>10</v>
      </c>
      <c r="E20323" s="3">
        <v>21</v>
      </c>
      <c r="F20323" s="3">
        <v>0</v>
      </c>
      <c r="G20323" s="3">
        <v>1</v>
      </c>
      <c r="H20323" s="3">
        <v>0</v>
      </c>
      <c r="I20323" s="3">
        <v>16</v>
      </c>
      <c r="J20323" s="3">
        <v>0</v>
      </c>
      <c r="K20323" s="3">
        <v>24</v>
      </c>
      <c r="L20323" s="3">
        <v>0</v>
      </c>
      <c r="M20323" s="3">
        <v>0</v>
      </c>
      <c r="N20323" s="3">
        <v>20</v>
      </c>
      <c r="O20323" s="3" t="s">
        <v>10</v>
      </c>
      <c r="P20323" s="3" t="s">
        <v>9</v>
      </c>
      <c r="Q20323" s="3"/>
    </row>
    <row r="20324" spans="1:17" ht="15" x14ac:dyDescent="0.25">
      <c r="A20324" s="3">
        <f>20317</f>
        <v>20317</v>
      </c>
      <c r="B20324" s="3" t="s">
        <v>20326</v>
      </c>
      <c r="C20324" s="3" t="s">
        <v>9</v>
      </c>
      <c r="D20324" s="3" t="s">
        <v>10</v>
      </c>
      <c r="E20324" s="3">
        <v>21</v>
      </c>
      <c r="F20324" s="3">
        <v>0</v>
      </c>
      <c r="G20324" s="3">
        <v>1</v>
      </c>
      <c r="H20324" s="3">
        <v>0</v>
      </c>
      <c r="I20324" s="3">
        <v>16</v>
      </c>
      <c r="J20324" s="3">
        <v>0</v>
      </c>
      <c r="K20324" s="3">
        <v>24</v>
      </c>
      <c r="L20324" s="3">
        <v>0</v>
      </c>
      <c r="M20324" s="3">
        <v>0</v>
      </c>
      <c r="N20324" s="3">
        <v>20</v>
      </c>
      <c r="O20324" s="3" t="s">
        <v>10</v>
      </c>
      <c r="P20324" s="3" t="s">
        <v>9</v>
      </c>
      <c r="Q20324" s="3"/>
    </row>
    <row r="20325" spans="1:17" ht="15" x14ac:dyDescent="0.25">
      <c r="A20325" s="3">
        <f>20318</f>
        <v>20318</v>
      </c>
      <c r="B20325" s="3" t="s">
        <v>20327</v>
      </c>
      <c r="C20325" s="3" t="s">
        <v>9</v>
      </c>
      <c r="D20325" s="3" t="s">
        <v>10</v>
      </c>
      <c r="E20325" s="3">
        <v>21</v>
      </c>
      <c r="F20325" s="3">
        <v>0</v>
      </c>
      <c r="G20325" s="3">
        <v>1</v>
      </c>
      <c r="H20325" s="3">
        <v>0</v>
      </c>
      <c r="I20325" s="3">
        <v>16</v>
      </c>
      <c r="J20325" s="3">
        <v>0</v>
      </c>
      <c r="K20325" s="3">
        <v>24</v>
      </c>
      <c r="L20325" s="3">
        <v>0</v>
      </c>
      <c r="M20325" s="3">
        <v>0</v>
      </c>
      <c r="N20325" s="3">
        <v>20</v>
      </c>
      <c r="O20325" s="3" t="s">
        <v>10</v>
      </c>
      <c r="P20325" s="3" t="s">
        <v>9</v>
      </c>
      <c r="Q20325" s="3"/>
    </row>
    <row r="20326" spans="1:17" ht="15" x14ac:dyDescent="0.25">
      <c r="A20326" s="3">
        <f>20319</f>
        <v>20319</v>
      </c>
      <c r="B20326" s="3" t="s">
        <v>20328</v>
      </c>
      <c r="C20326" s="3" t="s">
        <v>9</v>
      </c>
      <c r="D20326" s="3" t="s">
        <v>10</v>
      </c>
      <c r="E20326" s="3">
        <v>21</v>
      </c>
      <c r="F20326" s="3">
        <v>0</v>
      </c>
      <c r="G20326" s="3">
        <v>1</v>
      </c>
      <c r="H20326" s="3">
        <v>0</v>
      </c>
      <c r="I20326" s="3">
        <v>16</v>
      </c>
      <c r="J20326" s="3">
        <v>0</v>
      </c>
      <c r="K20326" s="3">
        <v>24</v>
      </c>
      <c r="L20326" s="3">
        <v>0</v>
      </c>
      <c r="M20326" s="3">
        <v>0</v>
      </c>
      <c r="N20326" s="3">
        <v>20</v>
      </c>
      <c r="O20326" s="3" t="s">
        <v>10</v>
      </c>
      <c r="P20326" s="3" t="s">
        <v>9</v>
      </c>
      <c r="Q20326" s="3"/>
    </row>
    <row r="20327" spans="1:17" ht="15" x14ac:dyDescent="0.25">
      <c r="A20327" s="3">
        <f>20320</f>
        <v>20320</v>
      </c>
      <c r="B20327" s="3" t="s">
        <v>20329</v>
      </c>
      <c r="C20327" s="3" t="s">
        <v>9</v>
      </c>
      <c r="D20327" s="3" t="s">
        <v>10</v>
      </c>
      <c r="E20327" s="3">
        <v>21</v>
      </c>
      <c r="F20327" s="3">
        <v>0</v>
      </c>
      <c r="G20327" s="3">
        <v>1</v>
      </c>
      <c r="H20327" s="3">
        <v>0</v>
      </c>
      <c r="I20327" s="3">
        <v>16</v>
      </c>
      <c r="J20327" s="3">
        <v>0</v>
      </c>
      <c r="K20327" s="3">
        <v>24</v>
      </c>
      <c r="L20327" s="3">
        <v>0</v>
      </c>
      <c r="M20327" s="3">
        <v>0</v>
      </c>
      <c r="N20327" s="3">
        <v>20</v>
      </c>
      <c r="O20327" s="3" t="s">
        <v>10</v>
      </c>
      <c r="P20327" s="3" t="s">
        <v>9</v>
      </c>
      <c r="Q20327" s="3"/>
    </row>
    <row r="20328" spans="1:17" ht="15" x14ac:dyDescent="0.25">
      <c r="A20328" s="3">
        <f>20321</f>
        <v>20321</v>
      </c>
      <c r="B20328" s="3" t="s">
        <v>20330</v>
      </c>
      <c r="C20328" s="3" t="s">
        <v>9</v>
      </c>
      <c r="D20328" s="3" t="s">
        <v>10</v>
      </c>
      <c r="E20328" s="3">
        <v>21</v>
      </c>
      <c r="F20328" s="3">
        <v>0</v>
      </c>
      <c r="G20328" s="3">
        <v>1</v>
      </c>
      <c r="H20328" s="3">
        <v>0</v>
      </c>
      <c r="I20328" s="3">
        <v>16</v>
      </c>
      <c r="J20328" s="3">
        <v>0</v>
      </c>
      <c r="K20328" s="3">
        <v>24</v>
      </c>
      <c r="L20328" s="3">
        <v>0</v>
      </c>
      <c r="M20328" s="3">
        <v>0</v>
      </c>
      <c r="N20328" s="3">
        <v>20</v>
      </c>
      <c r="O20328" s="3" t="s">
        <v>10</v>
      </c>
      <c r="P20328" s="3" t="s">
        <v>9</v>
      </c>
      <c r="Q20328" s="3"/>
    </row>
    <row r="20329" spans="1:17" ht="15" x14ac:dyDescent="0.25">
      <c r="A20329" s="3">
        <f>20322</f>
        <v>20322</v>
      </c>
      <c r="B20329" s="3" t="s">
        <v>20331</v>
      </c>
      <c r="C20329" s="3" t="s">
        <v>9</v>
      </c>
      <c r="D20329" s="3" t="s">
        <v>10</v>
      </c>
      <c r="E20329" s="3">
        <v>21</v>
      </c>
      <c r="F20329" s="3">
        <v>0</v>
      </c>
      <c r="G20329" s="3">
        <v>1</v>
      </c>
      <c r="H20329" s="3">
        <v>0</v>
      </c>
      <c r="I20329" s="3">
        <v>16</v>
      </c>
      <c r="J20329" s="3">
        <v>0</v>
      </c>
      <c r="K20329" s="3">
        <v>24</v>
      </c>
      <c r="L20329" s="3">
        <v>0</v>
      </c>
      <c r="M20329" s="3">
        <v>0</v>
      </c>
      <c r="N20329" s="3">
        <v>20</v>
      </c>
      <c r="O20329" s="3" t="s">
        <v>10</v>
      </c>
      <c r="P20329" s="3" t="s">
        <v>9</v>
      </c>
      <c r="Q20329" s="3"/>
    </row>
    <row r="20330" spans="1:17" ht="15" x14ac:dyDescent="0.25">
      <c r="A20330" s="3">
        <f>20323</f>
        <v>20323</v>
      </c>
      <c r="B20330" s="3" t="s">
        <v>20332</v>
      </c>
      <c r="C20330" s="3" t="s">
        <v>9</v>
      </c>
      <c r="D20330" s="3" t="s">
        <v>10</v>
      </c>
      <c r="E20330" s="3">
        <v>21</v>
      </c>
      <c r="F20330" s="3">
        <v>0</v>
      </c>
      <c r="G20330" s="3">
        <v>1</v>
      </c>
      <c r="H20330" s="3">
        <v>0</v>
      </c>
      <c r="I20330" s="3">
        <v>16</v>
      </c>
      <c r="J20330" s="3">
        <v>0</v>
      </c>
      <c r="K20330" s="3">
        <v>24</v>
      </c>
      <c r="L20330" s="3">
        <v>0</v>
      </c>
      <c r="M20330" s="3">
        <v>0</v>
      </c>
      <c r="N20330" s="3">
        <v>20</v>
      </c>
      <c r="O20330" s="3" t="s">
        <v>10</v>
      </c>
      <c r="P20330" s="3" t="s">
        <v>9</v>
      </c>
      <c r="Q20330" s="3"/>
    </row>
    <row r="20331" spans="1:17" ht="15" x14ac:dyDescent="0.25">
      <c r="A20331" s="3">
        <f>20324</f>
        <v>20324</v>
      </c>
      <c r="B20331" s="3" t="s">
        <v>20333</v>
      </c>
      <c r="C20331" s="3" t="s">
        <v>9</v>
      </c>
      <c r="D20331" s="3" t="s">
        <v>10</v>
      </c>
      <c r="E20331" s="3">
        <v>21</v>
      </c>
      <c r="F20331" s="3">
        <v>0</v>
      </c>
      <c r="G20331" s="3">
        <v>1</v>
      </c>
      <c r="H20331" s="3">
        <v>0</v>
      </c>
      <c r="I20331" s="3">
        <v>16</v>
      </c>
      <c r="J20331" s="3">
        <v>0</v>
      </c>
      <c r="K20331" s="3">
        <v>24</v>
      </c>
      <c r="L20331" s="3">
        <v>0</v>
      </c>
      <c r="M20331" s="3">
        <v>0</v>
      </c>
      <c r="N20331" s="3">
        <v>20</v>
      </c>
      <c r="O20331" s="3" t="s">
        <v>10</v>
      </c>
      <c r="P20331" s="3" t="s">
        <v>9</v>
      </c>
      <c r="Q20331" s="3"/>
    </row>
    <row r="20332" spans="1:17" ht="15" x14ac:dyDescent="0.25">
      <c r="A20332" s="3">
        <f>20325</f>
        <v>20325</v>
      </c>
      <c r="B20332" s="3" t="s">
        <v>20334</v>
      </c>
      <c r="C20332" s="3" t="s">
        <v>9</v>
      </c>
      <c r="D20332" s="3" t="s">
        <v>10</v>
      </c>
      <c r="E20332" s="3">
        <v>21</v>
      </c>
      <c r="F20332" s="3">
        <v>0</v>
      </c>
      <c r="G20332" s="3">
        <v>1</v>
      </c>
      <c r="H20332" s="3">
        <v>0</v>
      </c>
      <c r="I20332" s="3">
        <v>16</v>
      </c>
      <c r="J20332" s="3">
        <v>0</v>
      </c>
      <c r="K20332" s="3">
        <v>24</v>
      </c>
      <c r="L20332" s="3">
        <v>0</v>
      </c>
      <c r="M20332" s="3">
        <v>0</v>
      </c>
      <c r="N20332" s="3">
        <v>20</v>
      </c>
      <c r="O20332" s="3" t="s">
        <v>10</v>
      </c>
      <c r="P20332" s="3" t="s">
        <v>9</v>
      </c>
      <c r="Q20332" s="3"/>
    </row>
    <row r="20333" spans="1:17" ht="15" x14ac:dyDescent="0.25">
      <c r="A20333" s="3">
        <f>20326</f>
        <v>20326</v>
      </c>
      <c r="B20333" s="3" t="s">
        <v>20335</v>
      </c>
      <c r="C20333" s="3" t="s">
        <v>9</v>
      </c>
      <c r="D20333" s="3" t="s">
        <v>10</v>
      </c>
      <c r="E20333" s="3">
        <v>21</v>
      </c>
      <c r="F20333" s="3">
        <v>0</v>
      </c>
      <c r="G20333" s="3">
        <v>1</v>
      </c>
      <c r="H20333" s="3">
        <v>0</v>
      </c>
      <c r="I20333" s="3">
        <v>16</v>
      </c>
      <c r="J20333" s="3">
        <v>0</v>
      </c>
      <c r="K20333" s="3">
        <v>24</v>
      </c>
      <c r="L20333" s="3">
        <v>0</v>
      </c>
      <c r="M20333" s="3">
        <v>0</v>
      </c>
      <c r="N20333" s="3">
        <v>20</v>
      </c>
      <c r="O20333" s="3" t="s">
        <v>10</v>
      </c>
      <c r="P20333" s="3" t="s">
        <v>9</v>
      </c>
      <c r="Q20333" s="3"/>
    </row>
    <row r="20334" spans="1:17" ht="15" x14ac:dyDescent="0.25">
      <c r="A20334" s="3">
        <f>20327</f>
        <v>20327</v>
      </c>
      <c r="B20334" s="3" t="s">
        <v>20336</v>
      </c>
      <c r="C20334" s="3" t="s">
        <v>9</v>
      </c>
      <c r="D20334" s="3" t="s">
        <v>10</v>
      </c>
      <c r="E20334" s="3">
        <v>21</v>
      </c>
      <c r="F20334" s="3">
        <v>0</v>
      </c>
      <c r="G20334" s="3">
        <v>1</v>
      </c>
      <c r="H20334" s="3">
        <v>0</v>
      </c>
      <c r="I20334" s="3">
        <v>16</v>
      </c>
      <c r="J20334" s="3">
        <v>0</v>
      </c>
      <c r="K20334" s="3">
        <v>24</v>
      </c>
      <c r="L20334" s="3">
        <v>0</v>
      </c>
      <c r="M20334" s="3">
        <v>0</v>
      </c>
      <c r="N20334" s="3">
        <v>20</v>
      </c>
      <c r="O20334" s="3" t="s">
        <v>10</v>
      </c>
      <c r="P20334" s="3" t="s">
        <v>9</v>
      </c>
      <c r="Q20334" s="3"/>
    </row>
    <row r="20335" spans="1:17" ht="15" x14ac:dyDescent="0.25">
      <c r="A20335" s="3">
        <f>20328</f>
        <v>20328</v>
      </c>
      <c r="B20335" s="3" t="s">
        <v>20337</v>
      </c>
      <c r="C20335" s="3" t="s">
        <v>9</v>
      </c>
      <c r="D20335" s="3" t="s">
        <v>10</v>
      </c>
      <c r="E20335" s="3">
        <v>21</v>
      </c>
      <c r="F20335" s="3">
        <v>0</v>
      </c>
      <c r="G20335" s="3">
        <v>1</v>
      </c>
      <c r="H20335" s="3">
        <v>0</v>
      </c>
      <c r="I20335" s="3">
        <v>16</v>
      </c>
      <c r="J20335" s="3">
        <v>0</v>
      </c>
      <c r="K20335" s="3">
        <v>24</v>
      </c>
      <c r="L20335" s="3">
        <v>0</v>
      </c>
      <c r="M20335" s="3">
        <v>0</v>
      </c>
      <c r="N20335" s="3">
        <v>20</v>
      </c>
      <c r="O20335" s="3" t="s">
        <v>10</v>
      </c>
      <c r="P20335" s="3" t="s">
        <v>9</v>
      </c>
      <c r="Q20335" s="3"/>
    </row>
    <row r="20336" spans="1:17" ht="15" x14ac:dyDescent="0.25">
      <c r="A20336" s="3">
        <f>20329</f>
        <v>20329</v>
      </c>
      <c r="B20336" s="3" t="s">
        <v>20338</v>
      </c>
      <c r="C20336" s="3" t="s">
        <v>9</v>
      </c>
      <c r="D20336" s="3" t="s">
        <v>10</v>
      </c>
      <c r="E20336" s="3">
        <v>21</v>
      </c>
      <c r="F20336" s="3">
        <v>0</v>
      </c>
      <c r="G20336" s="3">
        <v>1</v>
      </c>
      <c r="H20336" s="3">
        <v>0</v>
      </c>
      <c r="I20336" s="3">
        <v>16</v>
      </c>
      <c r="J20336" s="3">
        <v>0</v>
      </c>
      <c r="K20336" s="3">
        <v>24</v>
      </c>
      <c r="L20336" s="3">
        <v>0</v>
      </c>
      <c r="M20336" s="3">
        <v>0</v>
      </c>
      <c r="N20336" s="3">
        <v>20</v>
      </c>
      <c r="O20336" s="3" t="s">
        <v>10</v>
      </c>
      <c r="P20336" s="3" t="s">
        <v>9</v>
      </c>
      <c r="Q20336" s="3"/>
    </row>
    <row r="20337" spans="1:17" ht="15" x14ac:dyDescent="0.25">
      <c r="A20337" s="3">
        <f>20330</f>
        <v>20330</v>
      </c>
      <c r="B20337" s="3" t="s">
        <v>20339</v>
      </c>
      <c r="C20337" s="3" t="s">
        <v>9</v>
      </c>
      <c r="D20337" s="3" t="s">
        <v>10</v>
      </c>
      <c r="E20337" s="3">
        <v>21</v>
      </c>
      <c r="F20337" s="3">
        <v>0</v>
      </c>
      <c r="G20337" s="3">
        <v>1</v>
      </c>
      <c r="H20337" s="3">
        <v>0</v>
      </c>
      <c r="I20337" s="3">
        <v>16</v>
      </c>
      <c r="J20337" s="3">
        <v>0</v>
      </c>
      <c r="K20337" s="3">
        <v>24</v>
      </c>
      <c r="L20337" s="3">
        <v>0</v>
      </c>
      <c r="M20337" s="3">
        <v>0</v>
      </c>
      <c r="N20337" s="3">
        <v>20</v>
      </c>
      <c r="O20337" s="3" t="s">
        <v>10</v>
      </c>
      <c r="P20337" s="3" t="s">
        <v>9</v>
      </c>
      <c r="Q20337" s="3"/>
    </row>
    <row r="20338" spans="1:17" ht="15" x14ac:dyDescent="0.25">
      <c r="A20338" s="3">
        <f>20331</f>
        <v>20331</v>
      </c>
      <c r="B20338" s="3" t="s">
        <v>20340</v>
      </c>
      <c r="C20338" s="3" t="s">
        <v>9</v>
      </c>
      <c r="D20338" s="3" t="s">
        <v>10</v>
      </c>
      <c r="E20338" s="3">
        <v>21</v>
      </c>
      <c r="F20338" s="3">
        <v>0</v>
      </c>
      <c r="G20338" s="3">
        <v>1</v>
      </c>
      <c r="H20338" s="3">
        <v>0</v>
      </c>
      <c r="I20338" s="3">
        <v>16</v>
      </c>
      <c r="J20338" s="3">
        <v>0</v>
      </c>
      <c r="K20338" s="3">
        <v>24</v>
      </c>
      <c r="L20338" s="3">
        <v>0</v>
      </c>
      <c r="M20338" s="3">
        <v>0</v>
      </c>
      <c r="N20338" s="3">
        <v>20</v>
      </c>
      <c r="O20338" s="3" t="s">
        <v>10</v>
      </c>
      <c r="P20338" s="3" t="s">
        <v>9</v>
      </c>
      <c r="Q20338" s="3"/>
    </row>
    <row r="20339" spans="1:17" ht="15" x14ac:dyDescent="0.25">
      <c r="A20339" s="3">
        <f>20332</f>
        <v>20332</v>
      </c>
      <c r="B20339" s="3" t="s">
        <v>20341</v>
      </c>
      <c r="C20339" s="3" t="s">
        <v>9</v>
      </c>
      <c r="D20339" s="3" t="s">
        <v>10</v>
      </c>
      <c r="E20339" s="3">
        <v>21</v>
      </c>
      <c r="F20339" s="3">
        <v>0</v>
      </c>
      <c r="G20339" s="3">
        <v>1</v>
      </c>
      <c r="H20339" s="3">
        <v>0</v>
      </c>
      <c r="I20339" s="3">
        <v>16</v>
      </c>
      <c r="J20339" s="3">
        <v>0</v>
      </c>
      <c r="K20339" s="3">
        <v>24</v>
      </c>
      <c r="L20339" s="3">
        <v>0</v>
      </c>
      <c r="M20339" s="3">
        <v>0</v>
      </c>
      <c r="N20339" s="3">
        <v>20</v>
      </c>
      <c r="O20339" s="3" t="s">
        <v>10</v>
      </c>
      <c r="P20339" s="3" t="s">
        <v>9</v>
      </c>
      <c r="Q20339" s="3"/>
    </row>
    <row r="20340" spans="1:17" ht="15" x14ac:dyDescent="0.25">
      <c r="A20340" s="3">
        <f>20333</f>
        <v>20333</v>
      </c>
      <c r="B20340" s="3" t="s">
        <v>20342</v>
      </c>
      <c r="C20340" s="3" t="s">
        <v>9</v>
      </c>
      <c r="D20340" s="3" t="s">
        <v>10</v>
      </c>
      <c r="E20340" s="3">
        <v>21</v>
      </c>
      <c r="F20340" s="3">
        <v>0</v>
      </c>
      <c r="G20340" s="3">
        <v>1</v>
      </c>
      <c r="H20340" s="3">
        <v>0</v>
      </c>
      <c r="I20340" s="3">
        <v>16</v>
      </c>
      <c r="J20340" s="3">
        <v>0</v>
      </c>
      <c r="K20340" s="3">
        <v>24</v>
      </c>
      <c r="L20340" s="3">
        <v>0</v>
      </c>
      <c r="M20340" s="3">
        <v>0</v>
      </c>
      <c r="N20340" s="3">
        <v>20</v>
      </c>
      <c r="O20340" s="3" t="s">
        <v>10</v>
      </c>
      <c r="P20340" s="3" t="s">
        <v>9</v>
      </c>
      <c r="Q20340" s="3"/>
    </row>
    <row r="20341" spans="1:17" ht="15" x14ac:dyDescent="0.25">
      <c r="A20341" s="3">
        <f>20334</f>
        <v>20334</v>
      </c>
      <c r="B20341" s="3" t="s">
        <v>20343</v>
      </c>
      <c r="C20341" s="3" t="s">
        <v>9</v>
      </c>
      <c r="D20341" s="3" t="s">
        <v>10</v>
      </c>
      <c r="E20341" s="3">
        <v>21</v>
      </c>
      <c r="F20341" s="3">
        <v>0</v>
      </c>
      <c r="G20341" s="3">
        <v>1</v>
      </c>
      <c r="H20341" s="3">
        <v>0</v>
      </c>
      <c r="I20341" s="3">
        <v>16</v>
      </c>
      <c r="J20341" s="3">
        <v>0</v>
      </c>
      <c r="K20341" s="3">
        <v>24</v>
      </c>
      <c r="L20341" s="3">
        <v>0</v>
      </c>
      <c r="M20341" s="3">
        <v>0</v>
      </c>
      <c r="N20341" s="3">
        <v>20</v>
      </c>
      <c r="O20341" s="3" t="s">
        <v>10</v>
      </c>
      <c r="P20341" s="3" t="s">
        <v>9</v>
      </c>
      <c r="Q20341" s="3"/>
    </row>
    <row r="20342" spans="1:17" ht="15" x14ac:dyDescent="0.25">
      <c r="A20342" s="3">
        <f>20335</f>
        <v>20335</v>
      </c>
      <c r="B20342" s="3" t="s">
        <v>20344</v>
      </c>
      <c r="C20342" s="3" t="s">
        <v>9</v>
      </c>
      <c r="D20342" s="3" t="s">
        <v>10</v>
      </c>
      <c r="E20342" s="3">
        <v>21</v>
      </c>
      <c r="F20342" s="3">
        <v>0</v>
      </c>
      <c r="G20342" s="3">
        <v>1</v>
      </c>
      <c r="H20342" s="3">
        <v>0</v>
      </c>
      <c r="I20342" s="3">
        <v>16</v>
      </c>
      <c r="J20342" s="3">
        <v>0</v>
      </c>
      <c r="K20342" s="3">
        <v>24</v>
      </c>
      <c r="L20342" s="3">
        <v>0</v>
      </c>
      <c r="M20342" s="3">
        <v>0</v>
      </c>
      <c r="N20342" s="3">
        <v>20</v>
      </c>
      <c r="O20342" s="3" t="s">
        <v>10</v>
      </c>
      <c r="P20342" s="3" t="s">
        <v>9</v>
      </c>
      <c r="Q20342" s="3"/>
    </row>
    <row r="20343" spans="1:17" ht="15" x14ac:dyDescent="0.25">
      <c r="A20343" s="3">
        <f>20336</f>
        <v>20336</v>
      </c>
      <c r="B20343" s="3" t="s">
        <v>20345</v>
      </c>
      <c r="C20343" s="3" t="s">
        <v>9</v>
      </c>
      <c r="D20343" s="3" t="s">
        <v>10</v>
      </c>
      <c r="E20343" s="3">
        <v>21</v>
      </c>
      <c r="F20343" s="3">
        <v>0</v>
      </c>
      <c r="G20343" s="3">
        <v>1</v>
      </c>
      <c r="H20343" s="3">
        <v>0</v>
      </c>
      <c r="I20343" s="3">
        <v>16</v>
      </c>
      <c r="J20343" s="3">
        <v>0</v>
      </c>
      <c r="K20343" s="3">
        <v>24</v>
      </c>
      <c r="L20343" s="3">
        <v>0</v>
      </c>
      <c r="M20343" s="3">
        <v>0</v>
      </c>
      <c r="N20343" s="3">
        <v>20</v>
      </c>
      <c r="O20343" s="3" t="s">
        <v>10</v>
      </c>
      <c r="P20343" s="3" t="s">
        <v>9</v>
      </c>
      <c r="Q20343" s="3"/>
    </row>
    <row r="20344" spans="1:17" ht="15" x14ac:dyDescent="0.25">
      <c r="A20344" s="3">
        <f>20337</f>
        <v>20337</v>
      </c>
      <c r="B20344" s="3" t="s">
        <v>20346</v>
      </c>
      <c r="C20344" s="3" t="s">
        <v>9</v>
      </c>
      <c r="D20344" s="3" t="s">
        <v>10</v>
      </c>
      <c r="E20344" s="3">
        <v>21</v>
      </c>
      <c r="F20344" s="3">
        <v>0</v>
      </c>
      <c r="G20344" s="3">
        <v>1</v>
      </c>
      <c r="H20344" s="3">
        <v>0</v>
      </c>
      <c r="I20344" s="3">
        <v>16</v>
      </c>
      <c r="J20344" s="3">
        <v>0</v>
      </c>
      <c r="K20344" s="3">
        <v>24</v>
      </c>
      <c r="L20344" s="3">
        <v>0</v>
      </c>
      <c r="M20344" s="3">
        <v>0</v>
      </c>
      <c r="N20344" s="3">
        <v>20</v>
      </c>
      <c r="O20344" s="3" t="s">
        <v>10</v>
      </c>
      <c r="P20344" s="3" t="s">
        <v>9</v>
      </c>
      <c r="Q20344" s="3"/>
    </row>
    <row r="20345" spans="1:17" ht="15" x14ac:dyDescent="0.25">
      <c r="A20345" s="3">
        <f>20338</f>
        <v>20338</v>
      </c>
      <c r="B20345" s="3" t="s">
        <v>20347</v>
      </c>
      <c r="C20345" s="3" t="s">
        <v>9</v>
      </c>
      <c r="D20345" s="3" t="s">
        <v>10</v>
      </c>
      <c r="E20345" s="3">
        <v>21</v>
      </c>
      <c r="F20345" s="3">
        <v>0</v>
      </c>
      <c r="G20345" s="3">
        <v>1</v>
      </c>
      <c r="H20345" s="3">
        <v>0</v>
      </c>
      <c r="I20345" s="3">
        <v>16</v>
      </c>
      <c r="J20345" s="3">
        <v>0</v>
      </c>
      <c r="K20345" s="3">
        <v>24</v>
      </c>
      <c r="L20345" s="3">
        <v>0</v>
      </c>
      <c r="M20345" s="3">
        <v>0</v>
      </c>
      <c r="N20345" s="3">
        <v>20</v>
      </c>
      <c r="O20345" s="3" t="s">
        <v>10</v>
      </c>
      <c r="P20345" s="3" t="s">
        <v>9</v>
      </c>
      <c r="Q20345" s="3"/>
    </row>
    <row r="20346" spans="1:17" ht="15" x14ac:dyDescent="0.25">
      <c r="A20346" s="3">
        <f>20339</f>
        <v>20339</v>
      </c>
      <c r="B20346" s="3" t="s">
        <v>20348</v>
      </c>
      <c r="C20346" s="3" t="s">
        <v>9</v>
      </c>
      <c r="D20346" s="3" t="s">
        <v>10</v>
      </c>
      <c r="E20346" s="3">
        <v>21</v>
      </c>
      <c r="F20346" s="3">
        <v>0</v>
      </c>
      <c r="G20346" s="3">
        <v>1</v>
      </c>
      <c r="H20346" s="3">
        <v>0</v>
      </c>
      <c r="I20346" s="3">
        <v>16</v>
      </c>
      <c r="J20346" s="3">
        <v>0</v>
      </c>
      <c r="K20346" s="3">
        <v>24</v>
      </c>
      <c r="L20346" s="3">
        <v>0</v>
      </c>
      <c r="M20346" s="3">
        <v>0</v>
      </c>
      <c r="N20346" s="3">
        <v>20</v>
      </c>
      <c r="O20346" s="3" t="s">
        <v>10</v>
      </c>
      <c r="P20346" s="3" t="s">
        <v>9</v>
      </c>
      <c r="Q20346" s="3"/>
    </row>
    <row r="20347" spans="1:17" ht="15" x14ac:dyDescent="0.25">
      <c r="A20347" s="3">
        <f>20340</f>
        <v>20340</v>
      </c>
      <c r="B20347" s="3" t="s">
        <v>20349</v>
      </c>
      <c r="C20347" s="3" t="s">
        <v>9</v>
      </c>
      <c r="D20347" s="3" t="s">
        <v>10</v>
      </c>
      <c r="E20347" s="3">
        <v>21</v>
      </c>
      <c r="F20347" s="3">
        <v>0</v>
      </c>
      <c r="G20347" s="3">
        <v>1</v>
      </c>
      <c r="H20347" s="3">
        <v>0</v>
      </c>
      <c r="I20347" s="3">
        <v>16</v>
      </c>
      <c r="J20347" s="3">
        <v>0</v>
      </c>
      <c r="K20347" s="3">
        <v>24</v>
      </c>
      <c r="L20347" s="3">
        <v>0</v>
      </c>
      <c r="M20347" s="3">
        <v>0</v>
      </c>
      <c r="N20347" s="3">
        <v>20</v>
      </c>
      <c r="O20347" s="3" t="s">
        <v>10</v>
      </c>
      <c r="P20347" s="3" t="s">
        <v>9</v>
      </c>
      <c r="Q20347" s="3"/>
    </row>
    <row r="20348" spans="1:17" ht="15" x14ac:dyDescent="0.25">
      <c r="A20348" s="3">
        <f>20341</f>
        <v>20341</v>
      </c>
      <c r="B20348" s="3" t="s">
        <v>20350</v>
      </c>
      <c r="C20348" s="3" t="s">
        <v>9</v>
      </c>
      <c r="D20348" s="3" t="s">
        <v>10</v>
      </c>
      <c r="E20348" s="3">
        <v>21</v>
      </c>
      <c r="F20348" s="3">
        <v>0</v>
      </c>
      <c r="G20348" s="3">
        <v>1</v>
      </c>
      <c r="H20348" s="3">
        <v>0</v>
      </c>
      <c r="I20348" s="3">
        <v>16</v>
      </c>
      <c r="J20348" s="3">
        <v>0</v>
      </c>
      <c r="K20348" s="3">
        <v>24</v>
      </c>
      <c r="L20348" s="3">
        <v>0</v>
      </c>
      <c r="M20348" s="3">
        <v>0</v>
      </c>
      <c r="N20348" s="3">
        <v>20</v>
      </c>
      <c r="O20348" s="3" t="s">
        <v>10</v>
      </c>
      <c r="P20348" s="3" t="s">
        <v>9</v>
      </c>
      <c r="Q20348" s="3"/>
    </row>
    <row r="20349" spans="1:17" ht="15" x14ac:dyDescent="0.25">
      <c r="A20349" s="3">
        <f>20342</f>
        <v>20342</v>
      </c>
      <c r="B20349" s="3" t="s">
        <v>20351</v>
      </c>
      <c r="C20349" s="3" t="s">
        <v>9</v>
      </c>
      <c r="D20349" s="3" t="s">
        <v>10</v>
      </c>
      <c r="E20349" s="3">
        <v>21</v>
      </c>
      <c r="F20349" s="3">
        <v>0</v>
      </c>
      <c r="G20349" s="3">
        <v>1</v>
      </c>
      <c r="H20349" s="3">
        <v>0</v>
      </c>
      <c r="I20349" s="3">
        <v>16</v>
      </c>
      <c r="J20349" s="3">
        <v>0</v>
      </c>
      <c r="K20349" s="3">
        <v>24</v>
      </c>
      <c r="L20349" s="3">
        <v>0</v>
      </c>
      <c r="M20349" s="3">
        <v>0</v>
      </c>
      <c r="N20349" s="3">
        <v>20</v>
      </c>
      <c r="O20349" s="3" t="s">
        <v>10</v>
      </c>
      <c r="P20349" s="3" t="s">
        <v>9</v>
      </c>
      <c r="Q20349" s="3"/>
    </row>
    <row r="20350" spans="1:17" ht="15" x14ac:dyDescent="0.25">
      <c r="A20350" s="3">
        <f>20343</f>
        <v>20343</v>
      </c>
      <c r="B20350" s="3" t="s">
        <v>20352</v>
      </c>
      <c r="C20350" s="3" t="s">
        <v>9</v>
      </c>
      <c r="D20350" s="3" t="s">
        <v>10</v>
      </c>
      <c r="E20350" s="3">
        <v>21</v>
      </c>
      <c r="F20350" s="3">
        <v>0</v>
      </c>
      <c r="G20350" s="3">
        <v>1</v>
      </c>
      <c r="H20350" s="3">
        <v>0</v>
      </c>
      <c r="I20350" s="3">
        <v>16</v>
      </c>
      <c r="J20350" s="3">
        <v>0</v>
      </c>
      <c r="K20350" s="3">
        <v>24</v>
      </c>
      <c r="L20350" s="3">
        <v>0</v>
      </c>
      <c r="M20350" s="3">
        <v>0</v>
      </c>
      <c r="N20350" s="3">
        <v>20</v>
      </c>
      <c r="O20350" s="3" t="s">
        <v>10</v>
      </c>
      <c r="P20350" s="3" t="s">
        <v>9</v>
      </c>
      <c r="Q20350" s="3"/>
    </row>
    <row r="20351" spans="1:17" ht="15" x14ac:dyDescent="0.25">
      <c r="A20351" s="3">
        <f>20344</f>
        <v>20344</v>
      </c>
      <c r="B20351" s="3" t="s">
        <v>20353</v>
      </c>
      <c r="C20351" s="3" t="s">
        <v>9</v>
      </c>
      <c r="D20351" s="3" t="s">
        <v>10</v>
      </c>
      <c r="E20351" s="3">
        <v>21</v>
      </c>
      <c r="F20351" s="3">
        <v>0</v>
      </c>
      <c r="G20351" s="3">
        <v>1</v>
      </c>
      <c r="H20351" s="3">
        <v>0</v>
      </c>
      <c r="I20351" s="3">
        <v>16</v>
      </c>
      <c r="J20351" s="3">
        <v>0</v>
      </c>
      <c r="K20351" s="3">
        <v>24</v>
      </c>
      <c r="L20351" s="3">
        <v>0</v>
      </c>
      <c r="M20351" s="3">
        <v>0</v>
      </c>
      <c r="N20351" s="3">
        <v>20</v>
      </c>
      <c r="O20351" s="3" t="s">
        <v>10</v>
      </c>
      <c r="P20351" s="3" t="s">
        <v>9</v>
      </c>
      <c r="Q20351" s="3"/>
    </row>
    <row r="20352" spans="1:17" ht="15" x14ac:dyDescent="0.25">
      <c r="A20352" s="3">
        <f>20345</f>
        <v>20345</v>
      </c>
      <c r="B20352" s="3" t="s">
        <v>20354</v>
      </c>
      <c r="C20352" s="3" t="s">
        <v>9</v>
      </c>
      <c r="D20352" s="3" t="s">
        <v>10</v>
      </c>
      <c r="E20352" s="3">
        <v>21</v>
      </c>
      <c r="F20352" s="3">
        <v>0</v>
      </c>
      <c r="G20352" s="3">
        <v>1</v>
      </c>
      <c r="H20352" s="3">
        <v>0</v>
      </c>
      <c r="I20352" s="3">
        <v>16</v>
      </c>
      <c r="J20352" s="3">
        <v>0</v>
      </c>
      <c r="K20352" s="3">
        <v>24</v>
      </c>
      <c r="L20352" s="3">
        <v>0</v>
      </c>
      <c r="M20352" s="3">
        <v>0</v>
      </c>
      <c r="N20352" s="3">
        <v>20</v>
      </c>
      <c r="O20352" s="3" t="s">
        <v>10</v>
      </c>
      <c r="P20352" s="3" t="s">
        <v>9</v>
      </c>
      <c r="Q20352" s="3"/>
    </row>
    <row r="20353" spans="1:17" ht="15" x14ac:dyDescent="0.25">
      <c r="A20353" s="3">
        <f>20346</f>
        <v>20346</v>
      </c>
      <c r="B20353" s="3" t="s">
        <v>20355</v>
      </c>
      <c r="C20353" s="3" t="s">
        <v>9</v>
      </c>
      <c r="D20353" s="3" t="s">
        <v>10</v>
      </c>
      <c r="E20353" s="3">
        <v>21</v>
      </c>
      <c r="F20353" s="3">
        <v>0</v>
      </c>
      <c r="G20353" s="3">
        <v>1</v>
      </c>
      <c r="H20353" s="3">
        <v>0</v>
      </c>
      <c r="I20353" s="3">
        <v>16</v>
      </c>
      <c r="J20353" s="3">
        <v>0</v>
      </c>
      <c r="K20353" s="3">
        <v>24</v>
      </c>
      <c r="L20353" s="3">
        <v>0</v>
      </c>
      <c r="M20353" s="3">
        <v>0</v>
      </c>
      <c r="N20353" s="3">
        <v>20</v>
      </c>
      <c r="O20353" s="3" t="s">
        <v>10</v>
      </c>
      <c r="P20353" s="3" t="s">
        <v>9</v>
      </c>
      <c r="Q20353" s="3"/>
    </row>
    <row r="20354" spans="1:17" ht="15" x14ac:dyDescent="0.25">
      <c r="A20354" s="3">
        <f>20347</f>
        <v>20347</v>
      </c>
      <c r="B20354" s="3" t="s">
        <v>20356</v>
      </c>
      <c r="C20354" s="3" t="s">
        <v>9</v>
      </c>
      <c r="D20354" s="3" t="s">
        <v>10</v>
      </c>
      <c r="E20354" s="3">
        <v>21</v>
      </c>
      <c r="F20354" s="3">
        <v>0</v>
      </c>
      <c r="G20354" s="3">
        <v>1</v>
      </c>
      <c r="H20354" s="3">
        <v>0</v>
      </c>
      <c r="I20354" s="3">
        <v>16</v>
      </c>
      <c r="J20354" s="3">
        <v>0</v>
      </c>
      <c r="K20354" s="3">
        <v>24</v>
      </c>
      <c r="L20354" s="3">
        <v>0</v>
      </c>
      <c r="M20354" s="3">
        <v>0</v>
      </c>
      <c r="N20354" s="3">
        <v>20</v>
      </c>
      <c r="O20354" s="3" t="s">
        <v>10</v>
      </c>
      <c r="P20354" s="3" t="s">
        <v>9</v>
      </c>
      <c r="Q20354" s="3"/>
    </row>
    <row r="20355" spans="1:17" ht="15" x14ac:dyDescent="0.25">
      <c r="A20355" s="3">
        <f>20348</f>
        <v>20348</v>
      </c>
      <c r="B20355" s="3" t="s">
        <v>20357</v>
      </c>
      <c r="C20355" s="3" t="s">
        <v>9</v>
      </c>
      <c r="D20355" s="3" t="s">
        <v>10</v>
      </c>
      <c r="E20355" s="3">
        <v>21</v>
      </c>
      <c r="F20355" s="3">
        <v>0</v>
      </c>
      <c r="G20355" s="3">
        <v>1</v>
      </c>
      <c r="H20355" s="3">
        <v>0</v>
      </c>
      <c r="I20355" s="3">
        <v>16</v>
      </c>
      <c r="J20355" s="3">
        <v>0</v>
      </c>
      <c r="K20355" s="3">
        <v>24</v>
      </c>
      <c r="L20355" s="3">
        <v>0</v>
      </c>
      <c r="M20355" s="3">
        <v>0</v>
      </c>
      <c r="N20355" s="3">
        <v>20</v>
      </c>
      <c r="O20355" s="3" t="s">
        <v>10</v>
      </c>
      <c r="P20355" s="3" t="s">
        <v>9</v>
      </c>
      <c r="Q20355" s="3"/>
    </row>
    <row r="20356" spans="1:17" ht="15" x14ac:dyDescent="0.25">
      <c r="A20356" s="3">
        <f>20349</f>
        <v>20349</v>
      </c>
      <c r="B20356" s="3" t="s">
        <v>20358</v>
      </c>
      <c r="C20356" s="3" t="s">
        <v>9</v>
      </c>
      <c r="D20356" s="3" t="s">
        <v>10</v>
      </c>
      <c r="E20356" s="3">
        <v>21</v>
      </c>
      <c r="F20356" s="3">
        <v>0</v>
      </c>
      <c r="G20356" s="3">
        <v>1</v>
      </c>
      <c r="H20356" s="3">
        <v>0</v>
      </c>
      <c r="I20356" s="3">
        <v>16</v>
      </c>
      <c r="J20356" s="3">
        <v>0</v>
      </c>
      <c r="K20356" s="3">
        <v>24</v>
      </c>
      <c r="L20356" s="3">
        <v>0</v>
      </c>
      <c r="M20356" s="3">
        <v>0</v>
      </c>
      <c r="N20356" s="3">
        <v>20</v>
      </c>
      <c r="O20356" s="3" t="s">
        <v>10</v>
      </c>
      <c r="P20356" s="3" t="s">
        <v>9</v>
      </c>
      <c r="Q20356" s="3"/>
    </row>
    <row r="20357" spans="1:17" ht="15" x14ac:dyDescent="0.25">
      <c r="A20357" s="3">
        <f>20350</f>
        <v>20350</v>
      </c>
      <c r="B20357" s="3" t="s">
        <v>20359</v>
      </c>
      <c r="C20357" s="3" t="s">
        <v>9</v>
      </c>
      <c r="D20357" s="3" t="s">
        <v>10</v>
      </c>
      <c r="E20357" s="3">
        <v>21</v>
      </c>
      <c r="F20357" s="3">
        <v>0</v>
      </c>
      <c r="G20357" s="3">
        <v>1</v>
      </c>
      <c r="H20357" s="3">
        <v>0</v>
      </c>
      <c r="I20357" s="3">
        <v>16</v>
      </c>
      <c r="J20357" s="3">
        <v>0</v>
      </c>
      <c r="K20357" s="3">
        <v>24</v>
      </c>
      <c r="L20357" s="3">
        <v>0</v>
      </c>
      <c r="M20357" s="3">
        <v>0</v>
      </c>
      <c r="N20357" s="3">
        <v>20</v>
      </c>
      <c r="O20357" s="3" t="s">
        <v>10</v>
      </c>
      <c r="P20357" s="3" t="s">
        <v>9</v>
      </c>
      <c r="Q20357" s="3"/>
    </row>
    <row r="20358" spans="1:17" ht="15" x14ac:dyDescent="0.25">
      <c r="A20358" s="3">
        <f>20351</f>
        <v>20351</v>
      </c>
      <c r="B20358" s="3" t="s">
        <v>20360</v>
      </c>
      <c r="C20358" s="3" t="s">
        <v>9</v>
      </c>
      <c r="D20358" s="3" t="s">
        <v>10</v>
      </c>
      <c r="E20358" s="3">
        <v>21</v>
      </c>
      <c r="F20358" s="3">
        <v>0</v>
      </c>
      <c r="G20358" s="3">
        <v>1</v>
      </c>
      <c r="H20358" s="3">
        <v>0</v>
      </c>
      <c r="I20358" s="3">
        <v>16</v>
      </c>
      <c r="J20358" s="3">
        <v>0</v>
      </c>
      <c r="K20358" s="3">
        <v>24</v>
      </c>
      <c r="L20358" s="3">
        <v>0</v>
      </c>
      <c r="M20358" s="3">
        <v>0</v>
      </c>
      <c r="N20358" s="3">
        <v>20</v>
      </c>
      <c r="O20358" s="3" t="s">
        <v>10</v>
      </c>
      <c r="P20358" s="3" t="s">
        <v>9</v>
      </c>
      <c r="Q20358" s="3"/>
    </row>
    <row r="20359" spans="1:17" ht="15" x14ac:dyDescent="0.25">
      <c r="A20359" s="3">
        <f>20352</f>
        <v>20352</v>
      </c>
      <c r="B20359" s="3" t="s">
        <v>20361</v>
      </c>
      <c r="C20359" s="3" t="s">
        <v>9</v>
      </c>
      <c r="D20359" s="3" t="s">
        <v>10</v>
      </c>
      <c r="E20359" s="3">
        <v>21</v>
      </c>
      <c r="F20359" s="3">
        <v>0</v>
      </c>
      <c r="G20359" s="3">
        <v>1</v>
      </c>
      <c r="H20359" s="3">
        <v>0</v>
      </c>
      <c r="I20359" s="3">
        <v>16</v>
      </c>
      <c r="J20359" s="3">
        <v>0</v>
      </c>
      <c r="K20359" s="3">
        <v>24</v>
      </c>
      <c r="L20359" s="3">
        <v>0</v>
      </c>
      <c r="M20359" s="3">
        <v>0</v>
      </c>
      <c r="N20359" s="3">
        <v>20</v>
      </c>
      <c r="O20359" s="3" t="s">
        <v>10</v>
      </c>
      <c r="P20359" s="3" t="s">
        <v>9</v>
      </c>
      <c r="Q20359" s="3"/>
    </row>
    <row r="20360" spans="1:17" ht="15" x14ac:dyDescent="0.25">
      <c r="A20360" s="3">
        <f>20353</f>
        <v>20353</v>
      </c>
      <c r="B20360" s="3" t="s">
        <v>20362</v>
      </c>
      <c r="C20360" s="3" t="s">
        <v>9</v>
      </c>
      <c r="D20360" s="3" t="s">
        <v>10</v>
      </c>
      <c r="E20360" s="3">
        <v>21</v>
      </c>
      <c r="F20360" s="3">
        <v>0</v>
      </c>
      <c r="G20360" s="3">
        <v>1</v>
      </c>
      <c r="H20360" s="3">
        <v>0</v>
      </c>
      <c r="I20360" s="3">
        <v>16</v>
      </c>
      <c r="J20360" s="3">
        <v>0</v>
      </c>
      <c r="K20360" s="3">
        <v>24</v>
      </c>
      <c r="L20360" s="3">
        <v>0</v>
      </c>
      <c r="M20360" s="3">
        <v>0</v>
      </c>
      <c r="N20360" s="3">
        <v>20</v>
      </c>
      <c r="O20360" s="3" t="s">
        <v>10</v>
      </c>
      <c r="P20360" s="3" t="s">
        <v>9</v>
      </c>
      <c r="Q20360" s="3"/>
    </row>
    <row r="20361" spans="1:17" ht="15" x14ac:dyDescent="0.25">
      <c r="A20361" s="3">
        <f>20354</f>
        <v>20354</v>
      </c>
      <c r="B20361" s="3" t="s">
        <v>20363</v>
      </c>
      <c r="C20361" s="3" t="s">
        <v>9</v>
      </c>
      <c r="D20361" s="3" t="s">
        <v>10</v>
      </c>
      <c r="E20361" s="3">
        <v>21</v>
      </c>
      <c r="F20361" s="3">
        <v>0</v>
      </c>
      <c r="G20361" s="3">
        <v>1</v>
      </c>
      <c r="H20361" s="3">
        <v>0</v>
      </c>
      <c r="I20361" s="3">
        <v>16</v>
      </c>
      <c r="J20361" s="3">
        <v>0</v>
      </c>
      <c r="K20361" s="3">
        <v>24</v>
      </c>
      <c r="L20361" s="3">
        <v>0</v>
      </c>
      <c r="M20361" s="3">
        <v>0</v>
      </c>
      <c r="N20361" s="3">
        <v>20</v>
      </c>
      <c r="O20361" s="3" t="s">
        <v>10</v>
      </c>
      <c r="P20361" s="3" t="s">
        <v>9</v>
      </c>
      <c r="Q20361" s="3"/>
    </row>
    <row r="20362" spans="1:17" ht="15" x14ac:dyDescent="0.25">
      <c r="A20362" s="3">
        <f>20355</f>
        <v>20355</v>
      </c>
      <c r="B20362" s="3" t="s">
        <v>20364</v>
      </c>
      <c r="C20362" s="3" t="s">
        <v>9</v>
      </c>
      <c r="D20362" s="3" t="s">
        <v>10</v>
      </c>
      <c r="E20362" s="3">
        <v>21</v>
      </c>
      <c r="F20362" s="3">
        <v>0</v>
      </c>
      <c r="G20362" s="3">
        <v>1</v>
      </c>
      <c r="H20362" s="3">
        <v>0</v>
      </c>
      <c r="I20362" s="3">
        <v>16</v>
      </c>
      <c r="J20362" s="3">
        <v>0</v>
      </c>
      <c r="K20362" s="3">
        <v>24</v>
      </c>
      <c r="L20362" s="3">
        <v>0</v>
      </c>
      <c r="M20362" s="3">
        <v>0</v>
      </c>
      <c r="N20362" s="3">
        <v>20</v>
      </c>
      <c r="O20362" s="3" t="s">
        <v>10</v>
      </c>
      <c r="P20362" s="3" t="s">
        <v>9</v>
      </c>
      <c r="Q20362" s="3"/>
    </row>
    <row r="20363" spans="1:17" ht="15" x14ac:dyDescent="0.25">
      <c r="A20363" s="3">
        <f>20356</f>
        <v>20356</v>
      </c>
      <c r="B20363" s="3" t="s">
        <v>20365</v>
      </c>
      <c r="C20363" s="3" t="s">
        <v>9</v>
      </c>
      <c r="D20363" s="3" t="s">
        <v>10</v>
      </c>
      <c r="E20363" s="3">
        <v>21</v>
      </c>
      <c r="F20363" s="3">
        <v>0</v>
      </c>
      <c r="G20363" s="3">
        <v>1</v>
      </c>
      <c r="H20363" s="3">
        <v>0</v>
      </c>
      <c r="I20363" s="3">
        <v>16</v>
      </c>
      <c r="J20363" s="3">
        <v>0</v>
      </c>
      <c r="K20363" s="3">
        <v>24</v>
      </c>
      <c r="L20363" s="3">
        <v>0</v>
      </c>
      <c r="M20363" s="3">
        <v>0</v>
      </c>
      <c r="N20363" s="3">
        <v>20</v>
      </c>
      <c r="O20363" s="3" t="s">
        <v>10</v>
      </c>
      <c r="P20363" s="3" t="s">
        <v>9</v>
      </c>
      <c r="Q20363" s="3"/>
    </row>
    <row r="20364" spans="1:17" ht="15" x14ac:dyDescent="0.25">
      <c r="A20364" s="3">
        <f>20357</f>
        <v>20357</v>
      </c>
      <c r="B20364" s="3" t="s">
        <v>20366</v>
      </c>
      <c r="C20364" s="3" t="s">
        <v>9</v>
      </c>
      <c r="D20364" s="3" t="s">
        <v>10</v>
      </c>
      <c r="E20364" s="3">
        <v>21</v>
      </c>
      <c r="F20364" s="3">
        <v>0</v>
      </c>
      <c r="G20364" s="3">
        <v>1</v>
      </c>
      <c r="H20364" s="3">
        <v>0</v>
      </c>
      <c r="I20364" s="3">
        <v>16</v>
      </c>
      <c r="J20364" s="3">
        <v>0</v>
      </c>
      <c r="K20364" s="3">
        <v>24</v>
      </c>
      <c r="L20364" s="3">
        <v>0</v>
      </c>
      <c r="M20364" s="3">
        <v>0</v>
      </c>
      <c r="N20364" s="3">
        <v>20</v>
      </c>
      <c r="O20364" s="3" t="s">
        <v>10</v>
      </c>
      <c r="P20364" s="3" t="s">
        <v>9</v>
      </c>
      <c r="Q20364" s="3"/>
    </row>
    <row r="20365" spans="1:17" ht="15" x14ac:dyDescent="0.25">
      <c r="A20365" s="3">
        <f>20358</f>
        <v>20358</v>
      </c>
      <c r="B20365" s="3" t="s">
        <v>20367</v>
      </c>
      <c r="C20365" s="3" t="s">
        <v>9</v>
      </c>
      <c r="D20365" s="3" t="s">
        <v>10</v>
      </c>
      <c r="E20365" s="3">
        <v>21</v>
      </c>
      <c r="F20365" s="3">
        <v>0</v>
      </c>
      <c r="G20365" s="3">
        <v>1</v>
      </c>
      <c r="H20365" s="3">
        <v>0</v>
      </c>
      <c r="I20365" s="3">
        <v>16</v>
      </c>
      <c r="J20365" s="3">
        <v>0</v>
      </c>
      <c r="K20365" s="3">
        <v>24</v>
      </c>
      <c r="L20365" s="3">
        <v>0</v>
      </c>
      <c r="M20365" s="3">
        <v>0</v>
      </c>
      <c r="N20365" s="3">
        <v>20</v>
      </c>
      <c r="O20365" s="3" t="s">
        <v>10</v>
      </c>
      <c r="P20365" s="3" t="s">
        <v>9</v>
      </c>
      <c r="Q20365" s="3"/>
    </row>
    <row r="20366" spans="1:17" ht="15" x14ac:dyDescent="0.25">
      <c r="A20366" s="3">
        <f>20359</f>
        <v>20359</v>
      </c>
      <c r="B20366" s="3" t="s">
        <v>20368</v>
      </c>
      <c r="C20366" s="3" t="s">
        <v>9</v>
      </c>
      <c r="D20366" s="3" t="s">
        <v>10</v>
      </c>
      <c r="E20366" s="3">
        <v>21</v>
      </c>
      <c r="F20366" s="3">
        <v>0</v>
      </c>
      <c r="G20366" s="3">
        <v>1</v>
      </c>
      <c r="H20366" s="3">
        <v>0</v>
      </c>
      <c r="I20366" s="3">
        <v>16</v>
      </c>
      <c r="J20366" s="3">
        <v>0</v>
      </c>
      <c r="K20366" s="3">
        <v>24</v>
      </c>
      <c r="L20366" s="3">
        <v>0</v>
      </c>
      <c r="M20366" s="3">
        <v>0</v>
      </c>
      <c r="N20366" s="3">
        <v>20</v>
      </c>
      <c r="O20366" s="3" t="s">
        <v>10</v>
      </c>
      <c r="P20366" s="3" t="s">
        <v>9</v>
      </c>
      <c r="Q20366" s="3"/>
    </row>
    <row r="20367" spans="1:17" ht="15" x14ac:dyDescent="0.25">
      <c r="A20367" s="3">
        <f>20360</f>
        <v>20360</v>
      </c>
      <c r="B20367" s="3" t="s">
        <v>20369</v>
      </c>
      <c r="C20367" s="3" t="s">
        <v>9</v>
      </c>
      <c r="D20367" s="3" t="s">
        <v>10</v>
      </c>
      <c r="E20367" s="3">
        <v>21</v>
      </c>
      <c r="F20367" s="3">
        <v>0</v>
      </c>
      <c r="G20367" s="3">
        <v>1</v>
      </c>
      <c r="H20367" s="3">
        <v>0</v>
      </c>
      <c r="I20367" s="3">
        <v>16</v>
      </c>
      <c r="J20367" s="3">
        <v>0</v>
      </c>
      <c r="K20367" s="3">
        <v>24</v>
      </c>
      <c r="L20367" s="3">
        <v>0</v>
      </c>
      <c r="M20367" s="3">
        <v>0</v>
      </c>
      <c r="N20367" s="3">
        <v>20</v>
      </c>
      <c r="O20367" s="3" t="s">
        <v>10</v>
      </c>
      <c r="P20367" s="3" t="s">
        <v>9</v>
      </c>
      <c r="Q20367" s="3"/>
    </row>
    <row r="20368" spans="1:17" ht="15" x14ac:dyDescent="0.25">
      <c r="A20368" s="3">
        <f>20361</f>
        <v>20361</v>
      </c>
      <c r="B20368" s="3" t="s">
        <v>20370</v>
      </c>
      <c r="C20368" s="3" t="s">
        <v>9</v>
      </c>
      <c r="D20368" s="3" t="s">
        <v>10</v>
      </c>
      <c r="E20368" s="3">
        <v>21</v>
      </c>
      <c r="F20368" s="3">
        <v>0</v>
      </c>
      <c r="G20368" s="3">
        <v>1</v>
      </c>
      <c r="H20368" s="3">
        <v>0</v>
      </c>
      <c r="I20368" s="3">
        <v>16</v>
      </c>
      <c r="J20368" s="3">
        <v>0</v>
      </c>
      <c r="K20368" s="3">
        <v>24</v>
      </c>
      <c r="L20368" s="3">
        <v>0</v>
      </c>
      <c r="M20368" s="3">
        <v>0</v>
      </c>
      <c r="N20368" s="3">
        <v>20</v>
      </c>
      <c r="O20368" s="3" t="s">
        <v>10</v>
      </c>
      <c r="P20368" s="3" t="s">
        <v>9</v>
      </c>
      <c r="Q20368" s="3"/>
    </row>
    <row r="20369" spans="1:17" ht="15" x14ac:dyDescent="0.25">
      <c r="A20369" s="3">
        <f>20362</f>
        <v>20362</v>
      </c>
      <c r="B20369" s="3" t="s">
        <v>20371</v>
      </c>
      <c r="C20369" s="3" t="s">
        <v>9</v>
      </c>
      <c r="D20369" s="3" t="s">
        <v>10</v>
      </c>
      <c r="E20369" s="3">
        <v>21</v>
      </c>
      <c r="F20369" s="3">
        <v>0</v>
      </c>
      <c r="G20369" s="3">
        <v>1</v>
      </c>
      <c r="H20369" s="3">
        <v>0</v>
      </c>
      <c r="I20369" s="3">
        <v>16</v>
      </c>
      <c r="J20369" s="3">
        <v>0</v>
      </c>
      <c r="K20369" s="3">
        <v>24</v>
      </c>
      <c r="L20369" s="3">
        <v>0</v>
      </c>
      <c r="M20369" s="3">
        <v>0</v>
      </c>
      <c r="N20369" s="3">
        <v>20</v>
      </c>
      <c r="O20369" s="3" t="s">
        <v>10</v>
      </c>
      <c r="P20369" s="3" t="s">
        <v>9</v>
      </c>
      <c r="Q20369" s="3"/>
    </row>
    <row r="20370" spans="1:17" ht="15" x14ac:dyDescent="0.25">
      <c r="A20370" s="3">
        <f>20363</f>
        <v>20363</v>
      </c>
      <c r="B20370" s="3" t="s">
        <v>20372</v>
      </c>
      <c r="C20370" s="3" t="s">
        <v>9</v>
      </c>
      <c r="D20370" s="3" t="s">
        <v>10</v>
      </c>
      <c r="E20370" s="3">
        <v>21</v>
      </c>
      <c r="F20370" s="3">
        <v>0</v>
      </c>
      <c r="G20370" s="3">
        <v>1</v>
      </c>
      <c r="H20370" s="3">
        <v>0</v>
      </c>
      <c r="I20370" s="3">
        <v>16</v>
      </c>
      <c r="J20370" s="3">
        <v>0</v>
      </c>
      <c r="K20370" s="3">
        <v>24</v>
      </c>
      <c r="L20370" s="3">
        <v>0</v>
      </c>
      <c r="M20370" s="3">
        <v>0</v>
      </c>
      <c r="N20370" s="3">
        <v>20</v>
      </c>
      <c r="O20370" s="3" t="s">
        <v>10</v>
      </c>
      <c r="P20370" s="3" t="s">
        <v>9</v>
      </c>
      <c r="Q20370" s="3"/>
    </row>
    <row r="20371" spans="1:17" ht="15" x14ac:dyDescent="0.25">
      <c r="A20371" s="3">
        <f>20364</f>
        <v>20364</v>
      </c>
      <c r="B20371" s="3" t="s">
        <v>20373</v>
      </c>
      <c r="C20371" s="3" t="s">
        <v>9</v>
      </c>
      <c r="D20371" s="3" t="s">
        <v>10</v>
      </c>
      <c r="E20371" s="3">
        <v>21</v>
      </c>
      <c r="F20371" s="3">
        <v>0</v>
      </c>
      <c r="G20371" s="3">
        <v>1</v>
      </c>
      <c r="H20371" s="3">
        <v>0</v>
      </c>
      <c r="I20371" s="3">
        <v>16</v>
      </c>
      <c r="J20371" s="3">
        <v>0</v>
      </c>
      <c r="K20371" s="3">
        <v>24</v>
      </c>
      <c r="L20371" s="3">
        <v>0</v>
      </c>
      <c r="M20371" s="3">
        <v>0</v>
      </c>
      <c r="N20371" s="3">
        <v>20</v>
      </c>
      <c r="O20371" s="3" t="s">
        <v>10</v>
      </c>
      <c r="P20371" s="3" t="s">
        <v>9</v>
      </c>
      <c r="Q20371" s="3"/>
    </row>
    <row r="20372" spans="1:17" ht="15" x14ac:dyDescent="0.25">
      <c r="A20372" s="3">
        <f>20365</f>
        <v>20365</v>
      </c>
      <c r="B20372" s="3" t="s">
        <v>20374</v>
      </c>
      <c r="C20372" s="3" t="s">
        <v>9</v>
      </c>
      <c r="D20372" s="3" t="s">
        <v>10</v>
      </c>
      <c r="E20372" s="3">
        <v>21</v>
      </c>
      <c r="F20372" s="3">
        <v>0</v>
      </c>
      <c r="G20372" s="3">
        <v>1</v>
      </c>
      <c r="H20372" s="3">
        <v>0</v>
      </c>
      <c r="I20372" s="3">
        <v>16</v>
      </c>
      <c r="J20372" s="3">
        <v>0</v>
      </c>
      <c r="K20372" s="3">
        <v>24</v>
      </c>
      <c r="L20372" s="3">
        <v>0</v>
      </c>
      <c r="M20372" s="3">
        <v>0</v>
      </c>
      <c r="N20372" s="3">
        <v>20</v>
      </c>
      <c r="O20372" s="3" t="s">
        <v>10</v>
      </c>
      <c r="P20372" s="3" t="s">
        <v>9</v>
      </c>
      <c r="Q20372" s="3"/>
    </row>
    <row r="20373" spans="1:17" ht="15" x14ac:dyDescent="0.25">
      <c r="A20373" s="3">
        <f>20366</f>
        <v>20366</v>
      </c>
      <c r="B20373" s="3" t="s">
        <v>20375</v>
      </c>
      <c r="C20373" s="3" t="s">
        <v>9</v>
      </c>
      <c r="D20373" s="3" t="s">
        <v>10</v>
      </c>
      <c r="E20373" s="3">
        <v>21</v>
      </c>
      <c r="F20373" s="3">
        <v>0</v>
      </c>
      <c r="G20373" s="3">
        <v>1</v>
      </c>
      <c r="H20373" s="3">
        <v>0</v>
      </c>
      <c r="I20373" s="3">
        <v>16</v>
      </c>
      <c r="J20373" s="3">
        <v>0</v>
      </c>
      <c r="K20373" s="3">
        <v>24</v>
      </c>
      <c r="L20373" s="3">
        <v>0</v>
      </c>
      <c r="M20373" s="3">
        <v>0</v>
      </c>
      <c r="N20373" s="3">
        <v>20</v>
      </c>
      <c r="O20373" s="3" t="s">
        <v>10</v>
      </c>
      <c r="P20373" s="3" t="s">
        <v>9</v>
      </c>
      <c r="Q20373" s="3"/>
    </row>
    <row r="20374" spans="1:17" ht="15" x14ac:dyDescent="0.25">
      <c r="A20374" s="3">
        <f>20367</f>
        <v>20367</v>
      </c>
      <c r="B20374" s="3" t="s">
        <v>20376</v>
      </c>
      <c r="C20374" s="3" t="s">
        <v>9</v>
      </c>
      <c r="D20374" s="3" t="s">
        <v>10</v>
      </c>
      <c r="E20374" s="3">
        <v>21</v>
      </c>
      <c r="F20374" s="3">
        <v>0</v>
      </c>
      <c r="G20374" s="3">
        <v>1</v>
      </c>
      <c r="H20374" s="3">
        <v>0</v>
      </c>
      <c r="I20374" s="3">
        <v>16</v>
      </c>
      <c r="J20374" s="3">
        <v>0</v>
      </c>
      <c r="K20374" s="3">
        <v>24</v>
      </c>
      <c r="L20374" s="3">
        <v>0</v>
      </c>
      <c r="M20374" s="3">
        <v>0</v>
      </c>
      <c r="N20374" s="3">
        <v>20</v>
      </c>
      <c r="O20374" s="3" t="s">
        <v>10</v>
      </c>
      <c r="P20374" s="3" t="s">
        <v>9</v>
      </c>
      <c r="Q20374" s="3"/>
    </row>
    <row r="20375" spans="1:17" ht="15" x14ac:dyDescent="0.25">
      <c r="A20375" s="3">
        <f>20368</f>
        <v>20368</v>
      </c>
      <c r="B20375" s="3" t="s">
        <v>20377</v>
      </c>
      <c r="C20375" s="3" t="s">
        <v>9</v>
      </c>
      <c r="D20375" s="3" t="s">
        <v>10</v>
      </c>
      <c r="E20375" s="3">
        <v>21</v>
      </c>
      <c r="F20375" s="3">
        <v>0</v>
      </c>
      <c r="G20375" s="3">
        <v>1</v>
      </c>
      <c r="H20375" s="3">
        <v>0</v>
      </c>
      <c r="I20375" s="3">
        <v>16</v>
      </c>
      <c r="J20375" s="3">
        <v>0</v>
      </c>
      <c r="K20375" s="3">
        <v>24</v>
      </c>
      <c r="L20375" s="3">
        <v>0</v>
      </c>
      <c r="M20375" s="3">
        <v>0</v>
      </c>
      <c r="N20375" s="3">
        <v>20</v>
      </c>
      <c r="O20375" s="3" t="s">
        <v>10</v>
      </c>
      <c r="P20375" s="3" t="s">
        <v>9</v>
      </c>
      <c r="Q20375" s="3"/>
    </row>
    <row r="20376" spans="1:17" ht="15" x14ac:dyDescent="0.25">
      <c r="A20376" s="3">
        <f>20369</f>
        <v>20369</v>
      </c>
      <c r="B20376" s="3" t="s">
        <v>20378</v>
      </c>
      <c r="C20376" s="3" t="s">
        <v>9</v>
      </c>
      <c r="D20376" s="3" t="s">
        <v>10</v>
      </c>
      <c r="E20376" s="3">
        <v>21</v>
      </c>
      <c r="F20376" s="3">
        <v>0</v>
      </c>
      <c r="G20376" s="3">
        <v>1</v>
      </c>
      <c r="H20376" s="3">
        <v>0</v>
      </c>
      <c r="I20376" s="3">
        <v>16</v>
      </c>
      <c r="J20376" s="3">
        <v>0</v>
      </c>
      <c r="K20376" s="3">
        <v>24</v>
      </c>
      <c r="L20376" s="3">
        <v>0</v>
      </c>
      <c r="M20376" s="3">
        <v>0</v>
      </c>
      <c r="N20376" s="3">
        <v>20</v>
      </c>
      <c r="O20376" s="3" t="s">
        <v>10</v>
      </c>
      <c r="P20376" s="3" t="s">
        <v>9</v>
      </c>
      <c r="Q20376" s="3"/>
    </row>
    <row r="20377" spans="1:17" ht="15" x14ac:dyDescent="0.25">
      <c r="A20377" s="3">
        <f>20370</f>
        <v>20370</v>
      </c>
      <c r="B20377" s="3" t="s">
        <v>20379</v>
      </c>
      <c r="C20377" s="3" t="s">
        <v>9</v>
      </c>
      <c r="D20377" s="3" t="s">
        <v>10</v>
      </c>
      <c r="E20377" s="3">
        <v>21</v>
      </c>
      <c r="F20377" s="3">
        <v>0</v>
      </c>
      <c r="G20377" s="3">
        <v>1</v>
      </c>
      <c r="H20377" s="3">
        <v>0</v>
      </c>
      <c r="I20377" s="3">
        <v>16</v>
      </c>
      <c r="J20377" s="3">
        <v>0</v>
      </c>
      <c r="K20377" s="3">
        <v>24</v>
      </c>
      <c r="L20377" s="3">
        <v>0</v>
      </c>
      <c r="M20377" s="3">
        <v>0</v>
      </c>
      <c r="N20377" s="3">
        <v>20</v>
      </c>
      <c r="O20377" s="3" t="s">
        <v>10</v>
      </c>
      <c r="P20377" s="3" t="s">
        <v>9</v>
      </c>
      <c r="Q20377" s="3"/>
    </row>
    <row r="20378" spans="1:17" ht="15" x14ac:dyDescent="0.25">
      <c r="A20378" s="3">
        <f>20371</f>
        <v>20371</v>
      </c>
      <c r="B20378" s="3" t="s">
        <v>20380</v>
      </c>
      <c r="C20378" s="3" t="s">
        <v>9</v>
      </c>
      <c r="D20378" s="3" t="s">
        <v>10</v>
      </c>
      <c r="E20378" s="3">
        <v>21</v>
      </c>
      <c r="F20378" s="3">
        <v>0</v>
      </c>
      <c r="G20378" s="3">
        <v>1</v>
      </c>
      <c r="H20378" s="3">
        <v>0</v>
      </c>
      <c r="I20378" s="3">
        <v>16</v>
      </c>
      <c r="J20378" s="3">
        <v>0</v>
      </c>
      <c r="K20378" s="3">
        <v>24</v>
      </c>
      <c r="L20378" s="3">
        <v>0</v>
      </c>
      <c r="M20378" s="3">
        <v>0</v>
      </c>
      <c r="N20378" s="3">
        <v>20</v>
      </c>
      <c r="O20378" s="3" t="s">
        <v>10</v>
      </c>
      <c r="P20378" s="3" t="s">
        <v>9</v>
      </c>
      <c r="Q20378" s="3"/>
    </row>
    <row r="20379" spans="1:17" ht="15" x14ac:dyDescent="0.25">
      <c r="A20379" s="3">
        <f>20372</f>
        <v>20372</v>
      </c>
      <c r="B20379" s="3" t="s">
        <v>20381</v>
      </c>
      <c r="C20379" s="3" t="s">
        <v>9</v>
      </c>
      <c r="D20379" s="3" t="s">
        <v>10</v>
      </c>
      <c r="E20379" s="3">
        <v>21</v>
      </c>
      <c r="F20379" s="3">
        <v>0</v>
      </c>
      <c r="G20379" s="3">
        <v>1</v>
      </c>
      <c r="H20379" s="3">
        <v>0</v>
      </c>
      <c r="I20379" s="3">
        <v>16</v>
      </c>
      <c r="J20379" s="3">
        <v>0</v>
      </c>
      <c r="K20379" s="3">
        <v>24</v>
      </c>
      <c r="L20379" s="3">
        <v>0</v>
      </c>
      <c r="M20379" s="3">
        <v>0</v>
      </c>
      <c r="N20379" s="3">
        <v>20</v>
      </c>
      <c r="O20379" s="3" t="s">
        <v>10</v>
      </c>
      <c r="P20379" s="3" t="s">
        <v>9</v>
      </c>
      <c r="Q20379" s="3"/>
    </row>
    <row r="20380" spans="1:17" ht="15" x14ac:dyDescent="0.25">
      <c r="A20380" s="3">
        <f>20373</f>
        <v>20373</v>
      </c>
      <c r="B20380" s="3" t="s">
        <v>20382</v>
      </c>
      <c r="C20380" s="3" t="s">
        <v>9</v>
      </c>
      <c r="D20380" s="3" t="s">
        <v>10</v>
      </c>
      <c r="E20380" s="3">
        <v>21</v>
      </c>
      <c r="F20380" s="3">
        <v>0</v>
      </c>
      <c r="G20380" s="3">
        <v>1</v>
      </c>
      <c r="H20380" s="3">
        <v>0</v>
      </c>
      <c r="I20380" s="3">
        <v>16</v>
      </c>
      <c r="J20380" s="3">
        <v>0</v>
      </c>
      <c r="K20380" s="3">
        <v>24</v>
      </c>
      <c r="L20380" s="3">
        <v>0</v>
      </c>
      <c r="M20380" s="3">
        <v>0</v>
      </c>
      <c r="N20380" s="3">
        <v>20</v>
      </c>
      <c r="O20380" s="3" t="s">
        <v>10</v>
      </c>
      <c r="P20380" s="3" t="s">
        <v>9</v>
      </c>
      <c r="Q20380" s="3"/>
    </row>
    <row r="20381" spans="1:17" ht="15" x14ac:dyDescent="0.25">
      <c r="A20381" s="3">
        <f>20374</f>
        <v>20374</v>
      </c>
      <c r="B20381" s="3" t="s">
        <v>20383</v>
      </c>
      <c r="C20381" s="3" t="s">
        <v>9</v>
      </c>
      <c r="D20381" s="3" t="s">
        <v>10</v>
      </c>
      <c r="E20381" s="3">
        <v>21</v>
      </c>
      <c r="F20381" s="3">
        <v>0</v>
      </c>
      <c r="G20381" s="3">
        <v>1</v>
      </c>
      <c r="H20381" s="3">
        <v>0</v>
      </c>
      <c r="I20381" s="3">
        <v>16</v>
      </c>
      <c r="J20381" s="3">
        <v>0</v>
      </c>
      <c r="K20381" s="3">
        <v>24</v>
      </c>
      <c r="L20381" s="3">
        <v>0</v>
      </c>
      <c r="M20381" s="3">
        <v>0</v>
      </c>
      <c r="N20381" s="3">
        <v>20</v>
      </c>
      <c r="O20381" s="3" t="s">
        <v>10</v>
      </c>
      <c r="P20381" s="3" t="s">
        <v>9</v>
      </c>
      <c r="Q20381" s="3"/>
    </row>
    <row r="20382" spans="1:17" ht="15" x14ac:dyDescent="0.25">
      <c r="A20382" s="3">
        <f>20375</f>
        <v>20375</v>
      </c>
      <c r="B20382" s="3" t="s">
        <v>20384</v>
      </c>
      <c r="C20382" s="3" t="s">
        <v>9</v>
      </c>
      <c r="D20382" s="3" t="s">
        <v>10</v>
      </c>
      <c r="E20382" s="3">
        <v>21</v>
      </c>
      <c r="F20382" s="3">
        <v>0</v>
      </c>
      <c r="G20382" s="3">
        <v>1</v>
      </c>
      <c r="H20382" s="3">
        <v>0</v>
      </c>
      <c r="I20382" s="3">
        <v>16</v>
      </c>
      <c r="J20382" s="3">
        <v>0</v>
      </c>
      <c r="K20382" s="3">
        <v>24</v>
      </c>
      <c r="L20382" s="3">
        <v>0</v>
      </c>
      <c r="M20382" s="3">
        <v>0</v>
      </c>
      <c r="N20382" s="3">
        <v>20</v>
      </c>
      <c r="O20382" s="3" t="s">
        <v>10</v>
      </c>
      <c r="P20382" s="3" t="s">
        <v>9</v>
      </c>
      <c r="Q20382" s="3"/>
    </row>
    <row r="20383" spans="1:17" ht="15" x14ac:dyDescent="0.25">
      <c r="A20383" s="3">
        <f>20376</f>
        <v>20376</v>
      </c>
      <c r="B20383" s="3" t="s">
        <v>20385</v>
      </c>
      <c r="C20383" s="3" t="s">
        <v>9</v>
      </c>
      <c r="D20383" s="3" t="s">
        <v>10</v>
      </c>
      <c r="E20383" s="3">
        <v>21</v>
      </c>
      <c r="F20383" s="3">
        <v>0</v>
      </c>
      <c r="G20383" s="3">
        <v>1</v>
      </c>
      <c r="H20383" s="3">
        <v>0</v>
      </c>
      <c r="I20383" s="3">
        <v>16</v>
      </c>
      <c r="J20383" s="3">
        <v>0</v>
      </c>
      <c r="K20383" s="3">
        <v>24</v>
      </c>
      <c r="L20383" s="3">
        <v>0</v>
      </c>
      <c r="M20383" s="3">
        <v>0</v>
      </c>
      <c r="N20383" s="3">
        <v>20</v>
      </c>
      <c r="O20383" s="3" t="s">
        <v>10</v>
      </c>
      <c r="P20383" s="3" t="s">
        <v>9</v>
      </c>
      <c r="Q20383" s="3"/>
    </row>
    <row r="20384" spans="1:17" ht="15" x14ac:dyDescent="0.25">
      <c r="A20384" s="3">
        <f>20377</f>
        <v>20377</v>
      </c>
      <c r="B20384" s="3" t="s">
        <v>20386</v>
      </c>
      <c r="C20384" s="3" t="s">
        <v>9</v>
      </c>
      <c r="D20384" s="3" t="s">
        <v>10</v>
      </c>
      <c r="E20384" s="3">
        <v>21</v>
      </c>
      <c r="F20384" s="3">
        <v>0</v>
      </c>
      <c r="G20384" s="3">
        <v>1</v>
      </c>
      <c r="H20384" s="3">
        <v>0</v>
      </c>
      <c r="I20384" s="3">
        <v>16</v>
      </c>
      <c r="J20384" s="3">
        <v>0</v>
      </c>
      <c r="K20384" s="3">
        <v>24</v>
      </c>
      <c r="L20384" s="3">
        <v>0</v>
      </c>
      <c r="M20384" s="3">
        <v>0</v>
      </c>
      <c r="N20384" s="3">
        <v>20</v>
      </c>
      <c r="O20384" s="3" t="s">
        <v>10</v>
      </c>
      <c r="P20384" s="3" t="s">
        <v>9</v>
      </c>
      <c r="Q20384" s="3"/>
    </row>
    <row r="20385" spans="1:17" ht="15" x14ac:dyDescent="0.25">
      <c r="A20385" s="3">
        <f>20378</f>
        <v>20378</v>
      </c>
      <c r="B20385" s="3" t="s">
        <v>20387</v>
      </c>
      <c r="C20385" s="3" t="s">
        <v>9</v>
      </c>
      <c r="D20385" s="3" t="s">
        <v>10</v>
      </c>
      <c r="E20385" s="3">
        <v>21</v>
      </c>
      <c r="F20385" s="3">
        <v>0</v>
      </c>
      <c r="G20385" s="3">
        <v>1</v>
      </c>
      <c r="H20385" s="3">
        <v>0</v>
      </c>
      <c r="I20385" s="3">
        <v>16</v>
      </c>
      <c r="J20385" s="3">
        <v>0</v>
      </c>
      <c r="K20385" s="3">
        <v>24</v>
      </c>
      <c r="L20385" s="3">
        <v>0</v>
      </c>
      <c r="M20385" s="3">
        <v>0</v>
      </c>
      <c r="N20385" s="3">
        <v>20</v>
      </c>
      <c r="O20385" s="3" t="s">
        <v>10</v>
      </c>
      <c r="P20385" s="3" t="s">
        <v>9</v>
      </c>
      <c r="Q20385" s="3"/>
    </row>
    <row r="20386" spans="1:17" ht="15" x14ac:dyDescent="0.25">
      <c r="A20386" s="3">
        <f>20379</f>
        <v>20379</v>
      </c>
      <c r="B20386" s="3" t="s">
        <v>20388</v>
      </c>
      <c r="C20386" s="3" t="s">
        <v>9</v>
      </c>
      <c r="D20386" s="3" t="s">
        <v>10</v>
      </c>
      <c r="E20386" s="3">
        <v>21</v>
      </c>
      <c r="F20386" s="3">
        <v>0</v>
      </c>
      <c r="G20386" s="3">
        <v>1</v>
      </c>
      <c r="H20386" s="3">
        <v>0</v>
      </c>
      <c r="I20386" s="3">
        <v>16</v>
      </c>
      <c r="J20386" s="3">
        <v>0</v>
      </c>
      <c r="K20386" s="3">
        <v>24</v>
      </c>
      <c r="L20386" s="3">
        <v>0</v>
      </c>
      <c r="M20386" s="3">
        <v>0</v>
      </c>
      <c r="N20386" s="3">
        <v>20</v>
      </c>
      <c r="O20386" s="3" t="s">
        <v>10</v>
      </c>
      <c r="P20386" s="3" t="s">
        <v>9</v>
      </c>
      <c r="Q20386" s="3"/>
    </row>
    <row r="20387" spans="1:17" ht="15" x14ac:dyDescent="0.25">
      <c r="A20387" s="3">
        <f>20380</f>
        <v>20380</v>
      </c>
      <c r="B20387" s="3" t="s">
        <v>20389</v>
      </c>
      <c r="C20387" s="3" t="s">
        <v>9</v>
      </c>
      <c r="D20387" s="3" t="s">
        <v>10</v>
      </c>
      <c r="E20387" s="3">
        <v>21</v>
      </c>
      <c r="F20387" s="3">
        <v>0</v>
      </c>
      <c r="G20387" s="3">
        <v>1</v>
      </c>
      <c r="H20387" s="3">
        <v>0</v>
      </c>
      <c r="I20387" s="3">
        <v>16</v>
      </c>
      <c r="J20387" s="3">
        <v>0</v>
      </c>
      <c r="K20387" s="3">
        <v>24</v>
      </c>
      <c r="L20387" s="3">
        <v>0</v>
      </c>
      <c r="M20387" s="3">
        <v>0</v>
      </c>
      <c r="N20387" s="3">
        <v>20</v>
      </c>
      <c r="O20387" s="3" t="s">
        <v>10</v>
      </c>
      <c r="P20387" s="3" t="s">
        <v>9</v>
      </c>
      <c r="Q20387" s="3"/>
    </row>
    <row r="20388" spans="1:17" ht="15" x14ac:dyDescent="0.25">
      <c r="A20388" s="3">
        <f>20381</f>
        <v>20381</v>
      </c>
      <c r="B20388" s="3" t="s">
        <v>20390</v>
      </c>
      <c r="C20388" s="3" t="s">
        <v>9</v>
      </c>
      <c r="D20388" s="3" t="s">
        <v>10</v>
      </c>
      <c r="E20388" s="3">
        <v>21</v>
      </c>
      <c r="F20388" s="3">
        <v>0</v>
      </c>
      <c r="G20388" s="3">
        <v>1</v>
      </c>
      <c r="H20388" s="3">
        <v>0</v>
      </c>
      <c r="I20388" s="3">
        <v>16</v>
      </c>
      <c r="J20388" s="3">
        <v>0</v>
      </c>
      <c r="K20388" s="3">
        <v>24</v>
      </c>
      <c r="L20388" s="3">
        <v>0</v>
      </c>
      <c r="M20388" s="3">
        <v>0</v>
      </c>
      <c r="N20388" s="3">
        <v>20</v>
      </c>
      <c r="O20388" s="3" t="s">
        <v>10</v>
      </c>
      <c r="P20388" s="3" t="s">
        <v>9</v>
      </c>
      <c r="Q20388" s="3"/>
    </row>
    <row r="20389" spans="1:17" ht="15" x14ac:dyDescent="0.25">
      <c r="A20389" s="3">
        <f>20382</f>
        <v>20382</v>
      </c>
      <c r="B20389" s="3" t="s">
        <v>20391</v>
      </c>
      <c r="C20389" s="3" t="s">
        <v>9</v>
      </c>
      <c r="D20389" s="3" t="s">
        <v>10</v>
      </c>
      <c r="E20389" s="3">
        <v>21</v>
      </c>
      <c r="F20389" s="3">
        <v>0</v>
      </c>
      <c r="G20389" s="3">
        <v>1</v>
      </c>
      <c r="H20389" s="3">
        <v>0</v>
      </c>
      <c r="I20389" s="3">
        <v>16</v>
      </c>
      <c r="J20389" s="3">
        <v>0</v>
      </c>
      <c r="K20389" s="3">
        <v>24</v>
      </c>
      <c r="L20389" s="3">
        <v>0</v>
      </c>
      <c r="M20389" s="3">
        <v>0</v>
      </c>
      <c r="N20389" s="3">
        <v>20</v>
      </c>
      <c r="O20389" s="3" t="s">
        <v>10</v>
      </c>
      <c r="P20389" s="3" t="s">
        <v>9</v>
      </c>
      <c r="Q20389" s="3"/>
    </row>
    <row r="20390" spans="1:17" ht="15" x14ac:dyDescent="0.25">
      <c r="A20390" s="3">
        <f>20383</f>
        <v>20383</v>
      </c>
      <c r="B20390" s="3" t="s">
        <v>20392</v>
      </c>
      <c r="C20390" s="3" t="s">
        <v>9</v>
      </c>
      <c r="D20390" s="3" t="s">
        <v>10</v>
      </c>
      <c r="E20390" s="3">
        <v>21</v>
      </c>
      <c r="F20390" s="3">
        <v>0</v>
      </c>
      <c r="G20390" s="3">
        <v>1</v>
      </c>
      <c r="H20390" s="3">
        <v>0</v>
      </c>
      <c r="I20390" s="3">
        <v>16</v>
      </c>
      <c r="J20390" s="3">
        <v>0</v>
      </c>
      <c r="K20390" s="3">
        <v>24</v>
      </c>
      <c r="L20390" s="3">
        <v>0</v>
      </c>
      <c r="M20390" s="3">
        <v>0</v>
      </c>
      <c r="N20390" s="3">
        <v>20</v>
      </c>
      <c r="O20390" s="3" t="s">
        <v>10</v>
      </c>
      <c r="P20390" s="3" t="s">
        <v>9</v>
      </c>
      <c r="Q20390" s="3"/>
    </row>
    <row r="20391" spans="1:17" ht="15" x14ac:dyDescent="0.25">
      <c r="A20391" s="3">
        <f>20384</f>
        <v>20384</v>
      </c>
      <c r="B20391" s="3" t="s">
        <v>20393</v>
      </c>
      <c r="C20391" s="3" t="s">
        <v>9</v>
      </c>
      <c r="D20391" s="3" t="s">
        <v>10</v>
      </c>
      <c r="E20391" s="3">
        <v>21</v>
      </c>
      <c r="F20391" s="3">
        <v>0</v>
      </c>
      <c r="G20391" s="3">
        <v>1</v>
      </c>
      <c r="H20391" s="3">
        <v>0</v>
      </c>
      <c r="I20391" s="3">
        <v>16</v>
      </c>
      <c r="J20391" s="3">
        <v>0</v>
      </c>
      <c r="K20391" s="3">
        <v>24</v>
      </c>
      <c r="L20391" s="3">
        <v>0</v>
      </c>
      <c r="M20391" s="3">
        <v>0</v>
      </c>
      <c r="N20391" s="3">
        <v>20</v>
      </c>
      <c r="O20391" s="3" t="s">
        <v>10</v>
      </c>
      <c r="P20391" s="3" t="s">
        <v>9</v>
      </c>
      <c r="Q20391" s="3"/>
    </row>
    <row r="20392" spans="1:17" ht="15" x14ac:dyDescent="0.25">
      <c r="A20392" s="3">
        <f>20385</f>
        <v>20385</v>
      </c>
      <c r="B20392" s="3" t="s">
        <v>20394</v>
      </c>
      <c r="C20392" s="3" t="s">
        <v>9</v>
      </c>
      <c r="D20392" s="3" t="s">
        <v>10</v>
      </c>
      <c r="E20392" s="3">
        <v>21</v>
      </c>
      <c r="F20392" s="3">
        <v>0</v>
      </c>
      <c r="G20392" s="3">
        <v>1</v>
      </c>
      <c r="H20392" s="3">
        <v>0</v>
      </c>
      <c r="I20392" s="3">
        <v>16</v>
      </c>
      <c r="J20392" s="3">
        <v>0</v>
      </c>
      <c r="K20392" s="3">
        <v>24</v>
      </c>
      <c r="L20392" s="3">
        <v>0</v>
      </c>
      <c r="M20392" s="3">
        <v>0</v>
      </c>
      <c r="N20392" s="3">
        <v>20</v>
      </c>
      <c r="O20392" s="3" t="s">
        <v>10</v>
      </c>
      <c r="P20392" s="3" t="s">
        <v>9</v>
      </c>
      <c r="Q20392" s="3"/>
    </row>
    <row r="20393" spans="1:17" ht="15" x14ac:dyDescent="0.25">
      <c r="A20393" s="3">
        <f>20386</f>
        <v>20386</v>
      </c>
      <c r="B20393" s="3" t="s">
        <v>20395</v>
      </c>
      <c r="C20393" s="3" t="s">
        <v>9</v>
      </c>
      <c r="D20393" s="3" t="s">
        <v>10</v>
      </c>
      <c r="E20393" s="3">
        <v>21</v>
      </c>
      <c r="F20393" s="3">
        <v>0</v>
      </c>
      <c r="G20393" s="3">
        <v>1</v>
      </c>
      <c r="H20393" s="3">
        <v>0</v>
      </c>
      <c r="I20393" s="3">
        <v>16</v>
      </c>
      <c r="J20393" s="3">
        <v>0</v>
      </c>
      <c r="K20393" s="3">
        <v>24</v>
      </c>
      <c r="L20393" s="3">
        <v>0</v>
      </c>
      <c r="M20393" s="3">
        <v>0</v>
      </c>
      <c r="N20393" s="3">
        <v>20</v>
      </c>
      <c r="O20393" s="3" t="s">
        <v>10</v>
      </c>
      <c r="P20393" s="3" t="s">
        <v>9</v>
      </c>
      <c r="Q20393" s="3"/>
    </row>
    <row r="20394" spans="1:17" ht="15" x14ac:dyDescent="0.25">
      <c r="A20394" s="3">
        <f>20387</f>
        <v>20387</v>
      </c>
      <c r="B20394" s="3" t="s">
        <v>20396</v>
      </c>
      <c r="C20394" s="3" t="s">
        <v>9</v>
      </c>
      <c r="D20394" s="3" t="s">
        <v>10</v>
      </c>
      <c r="E20394" s="3">
        <v>21</v>
      </c>
      <c r="F20394" s="3">
        <v>0</v>
      </c>
      <c r="G20394" s="3">
        <v>1</v>
      </c>
      <c r="H20394" s="3">
        <v>0</v>
      </c>
      <c r="I20394" s="3">
        <v>16</v>
      </c>
      <c r="J20394" s="3">
        <v>0</v>
      </c>
      <c r="K20394" s="3">
        <v>24</v>
      </c>
      <c r="L20394" s="3">
        <v>0</v>
      </c>
      <c r="M20394" s="3">
        <v>0</v>
      </c>
      <c r="N20394" s="3">
        <v>20</v>
      </c>
      <c r="O20394" s="3" t="s">
        <v>10</v>
      </c>
      <c r="P20394" s="3" t="s">
        <v>9</v>
      </c>
      <c r="Q20394" s="3"/>
    </row>
    <row r="20395" spans="1:17" ht="15" x14ac:dyDescent="0.25">
      <c r="A20395" s="3">
        <f>20388</f>
        <v>20388</v>
      </c>
      <c r="B20395" s="3" t="s">
        <v>20397</v>
      </c>
      <c r="C20395" s="3" t="s">
        <v>9</v>
      </c>
      <c r="D20395" s="3" t="s">
        <v>10</v>
      </c>
      <c r="E20395" s="3">
        <v>21</v>
      </c>
      <c r="F20395" s="3">
        <v>0</v>
      </c>
      <c r="G20395" s="3">
        <v>1</v>
      </c>
      <c r="H20395" s="3">
        <v>0</v>
      </c>
      <c r="I20395" s="3">
        <v>16</v>
      </c>
      <c r="J20395" s="3">
        <v>0</v>
      </c>
      <c r="K20395" s="3">
        <v>24</v>
      </c>
      <c r="L20395" s="3">
        <v>0</v>
      </c>
      <c r="M20395" s="3">
        <v>0</v>
      </c>
      <c r="N20395" s="3">
        <v>20</v>
      </c>
      <c r="O20395" s="3" t="s">
        <v>10</v>
      </c>
      <c r="P20395" s="3" t="s">
        <v>9</v>
      </c>
      <c r="Q20395" s="3"/>
    </row>
    <row r="20396" spans="1:17" ht="15" x14ac:dyDescent="0.25">
      <c r="A20396" s="3">
        <f>20389</f>
        <v>20389</v>
      </c>
      <c r="B20396" s="3" t="s">
        <v>20398</v>
      </c>
      <c r="C20396" s="3" t="s">
        <v>9</v>
      </c>
      <c r="D20396" s="3" t="s">
        <v>10</v>
      </c>
      <c r="E20396" s="3">
        <v>21</v>
      </c>
      <c r="F20396" s="3">
        <v>0</v>
      </c>
      <c r="G20396" s="3">
        <v>1</v>
      </c>
      <c r="H20396" s="3">
        <v>0</v>
      </c>
      <c r="I20396" s="3">
        <v>16</v>
      </c>
      <c r="J20396" s="3">
        <v>0</v>
      </c>
      <c r="K20396" s="3">
        <v>24</v>
      </c>
      <c r="L20396" s="3">
        <v>0</v>
      </c>
      <c r="M20396" s="3">
        <v>0</v>
      </c>
      <c r="N20396" s="3">
        <v>20</v>
      </c>
      <c r="O20396" s="3" t="s">
        <v>10</v>
      </c>
      <c r="P20396" s="3" t="s">
        <v>9</v>
      </c>
      <c r="Q20396" s="3"/>
    </row>
    <row r="20397" spans="1:17" ht="15" x14ac:dyDescent="0.25">
      <c r="A20397" s="3">
        <f>20390</f>
        <v>20390</v>
      </c>
      <c r="B20397" s="3" t="s">
        <v>20399</v>
      </c>
      <c r="C20397" s="3" t="s">
        <v>9</v>
      </c>
      <c r="D20397" s="3" t="s">
        <v>10</v>
      </c>
      <c r="E20397" s="3">
        <v>21</v>
      </c>
      <c r="F20397" s="3">
        <v>0</v>
      </c>
      <c r="G20397" s="3">
        <v>1</v>
      </c>
      <c r="H20397" s="3">
        <v>0</v>
      </c>
      <c r="I20397" s="3">
        <v>16</v>
      </c>
      <c r="J20397" s="3">
        <v>0</v>
      </c>
      <c r="K20397" s="3">
        <v>24</v>
      </c>
      <c r="L20397" s="3">
        <v>0</v>
      </c>
      <c r="M20397" s="3">
        <v>0</v>
      </c>
      <c r="N20397" s="3">
        <v>20</v>
      </c>
      <c r="O20397" s="3" t="s">
        <v>10</v>
      </c>
      <c r="P20397" s="3" t="s">
        <v>9</v>
      </c>
      <c r="Q20397" s="3"/>
    </row>
    <row r="20398" spans="1:17" ht="15" x14ac:dyDescent="0.25">
      <c r="A20398" s="3">
        <f>20391</f>
        <v>20391</v>
      </c>
      <c r="B20398" s="3" t="s">
        <v>20400</v>
      </c>
      <c r="C20398" s="3" t="s">
        <v>9</v>
      </c>
      <c r="D20398" s="3" t="s">
        <v>10</v>
      </c>
      <c r="E20398" s="3">
        <v>21</v>
      </c>
      <c r="F20398" s="3">
        <v>0</v>
      </c>
      <c r="G20398" s="3">
        <v>1</v>
      </c>
      <c r="H20398" s="3">
        <v>0</v>
      </c>
      <c r="I20398" s="3">
        <v>16</v>
      </c>
      <c r="J20398" s="3">
        <v>0</v>
      </c>
      <c r="K20398" s="3">
        <v>24</v>
      </c>
      <c r="L20398" s="3">
        <v>0</v>
      </c>
      <c r="M20398" s="3">
        <v>0</v>
      </c>
      <c r="N20398" s="3">
        <v>20</v>
      </c>
      <c r="O20398" s="3" t="s">
        <v>10</v>
      </c>
      <c r="P20398" s="3" t="s">
        <v>9</v>
      </c>
      <c r="Q20398" s="3"/>
    </row>
    <row r="20399" spans="1:17" ht="15" x14ac:dyDescent="0.25">
      <c r="A20399" s="3">
        <f>20392</f>
        <v>20392</v>
      </c>
      <c r="B20399" s="3" t="s">
        <v>20401</v>
      </c>
      <c r="C20399" s="3" t="s">
        <v>9</v>
      </c>
      <c r="D20399" s="3" t="s">
        <v>10</v>
      </c>
      <c r="E20399" s="3">
        <v>21</v>
      </c>
      <c r="F20399" s="3">
        <v>0</v>
      </c>
      <c r="G20399" s="3">
        <v>1</v>
      </c>
      <c r="H20399" s="3">
        <v>0</v>
      </c>
      <c r="I20399" s="3">
        <v>16</v>
      </c>
      <c r="J20399" s="3">
        <v>0</v>
      </c>
      <c r="K20399" s="3">
        <v>24</v>
      </c>
      <c r="L20399" s="3">
        <v>0</v>
      </c>
      <c r="M20399" s="3">
        <v>0</v>
      </c>
      <c r="N20399" s="3">
        <v>20</v>
      </c>
      <c r="O20399" s="3" t="s">
        <v>10</v>
      </c>
      <c r="P20399" s="3" t="s">
        <v>9</v>
      </c>
      <c r="Q20399" s="3"/>
    </row>
    <row r="20400" spans="1:17" ht="15" x14ac:dyDescent="0.25">
      <c r="A20400" s="3">
        <f>20393</f>
        <v>20393</v>
      </c>
      <c r="B20400" s="3" t="s">
        <v>20402</v>
      </c>
      <c r="C20400" s="3" t="s">
        <v>9</v>
      </c>
      <c r="D20400" s="3" t="s">
        <v>10</v>
      </c>
      <c r="E20400" s="3">
        <v>21</v>
      </c>
      <c r="F20400" s="3">
        <v>0</v>
      </c>
      <c r="G20400" s="3">
        <v>1</v>
      </c>
      <c r="H20400" s="3">
        <v>0</v>
      </c>
      <c r="I20400" s="3">
        <v>16</v>
      </c>
      <c r="J20400" s="3">
        <v>0</v>
      </c>
      <c r="K20400" s="3">
        <v>24</v>
      </c>
      <c r="L20400" s="3">
        <v>0</v>
      </c>
      <c r="M20400" s="3">
        <v>0</v>
      </c>
      <c r="N20400" s="3">
        <v>20</v>
      </c>
      <c r="O20400" s="3" t="s">
        <v>10</v>
      </c>
      <c r="P20400" s="3" t="s">
        <v>9</v>
      </c>
      <c r="Q20400" s="3"/>
    </row>
    <row r="20401" spans="1:17" ht="15" x14ac:dyDescent="0.25">
      <c r="A20401" s="3">
        <f>20394</f>
        <v>20394</v>
      </c>
      <c r="B20401" s="3" t="s">
        <v>20403</v>
      </c>
      <c r="C20401" s="3" t="s">
        <v>9</v>
      </c>
      <c r="D20401" s="3" t="s">
        <v>10</v>
      </c>
      <c r="E20401" s="3">
        <v>21</v>
      </c>
      <c r="F20401" s="3">
        <v>0</v>
      </c>
      <c r="G20401" s="3">
        <v>1</v>
      </c>
      <c r="H20401" s="3">
        <v>0</v>
      </c>
      <c r="I20401" s="3">
        <v>16</v>
      </c>
      <c r="J20401" s="3">
        <v>0</v>
      </c>
      <c r="K20401" s="3">
        <v>24</v>
      </c>
      <c r="L20401" s="3">
        <v>0</v>
      </c>
      <c r="M20401" s="3">
        <v>0</v>
      </c>
      <c r="N20401" s="3">
        <v>20</v>
      </c>
      <c r="O20401" s="3" t="s">
        <v>10</v>
      </c>
      <c r="P20401" s="3" t="s">
        <v>9</v>
      </c>
      <c r="Q20401" s="3"/>
    </row>
    <row r="20402" spans="1:17" ht="15" x14ac:dyDescent="0.25">
      <c r="A20402" s="3">
        <f>20395</f>
        <v>20395</v>
      </c>
      <c r="B20402" s="3" t="s">
        <v>20404</v>
      </c>
      <c r="C20402" s="3" t="s">
        <v>9</v>
      </c>
      <c r="D20402" s="3" t="s">
        <v>10</v>
      </c>
      <c r="E20402" s="3">
        <v>21</v>
      </c>
      <c r="F20402" s="3">
        <v>0</v>
      </c>
      <c r="G20402" s="3">
        <v>1</v>
      </c>
      <c r="H20402" s="3">
        <v>0</v>
      </c>
      <c r="I20402" s="3">
        <v>16</v>
      </c>
      <c r="J20402" s="3">
        <v>0</v>
      </c>
      <c r="K20402" s="3">
        <v>24</v>
      </c>
      <c r="L20402" s="3">
        <v>0</v>
      </c>
      <c r="M20402" s="3">
        <v>0</v>
      </c>
      <c r="N20402" s="3">
        <v>20</v>
      </c>
      <c r="O20402" s="3" t="s">
        <v>10</v>
      </c>
      <c r="P20402" s="3" t="s">
        <v>9</v>
      </c>
      <c r="Q20402" s="3"/>
    </row>
    <row r="20403" spans="1:17" ht="15" x14ac:dyDescent="0.25">
      <c r="A20403" s="3">
        <f>20396</f>
        <v>20396</v>
      </c>
      <c r="B20403" s="3" t="s">
        <v>20405</v>
      </c>
      <c r="C20403" s="3" t="s">
        <v>9</v>
      </c>
      <c r="D20403" s="3" t="s">
        <v>10</v>
      </c>
      <c r="E20403" s="3">
        <v>21</v>
      </c>
      <c r="F20403" s="3">
        <v>0</v>
      </c>
      <c r="G20403" s="3">
        <v>1</v>
      </c>
      <c r="H20403" s="3">
        <v>0</v>
      </c>
      <c r="I20403" s="3">
        <v>16</v>
      </c>
      <c r="J20403" s="3">
        <v>0</v>
      </c>
      <c r="K20403" s="3">
        <v>24</v>
      </c>
      <c r="L20403" s="3">
        <v>0</v>
      </c>
      <c r="M20403" s="3">
        <v>0</v>
      </c>
      <c r="N20403" s="3">
        <v>20</v>
      </c>
      <c r="O20403" s="3" t="s">
        <v>10</v>
      </c>
      <c r="P20403" s="3" t="s">
        <v>9</v>
      </c>
      <c r="Q20403" s="3"/>
    </row>
    <row r="20404" spans="1:17" ht="15" x14ac:dyDescent="0.25">
      <c r="A20404" s="3">
        <f>20397</f>
        <v>20397</v>
      </c>
      <c r="B20404" s="3" t="s">
        <v>20406</v>
      </c>
      <c r="C20404" s="3" t="s">
        <v>9</v>
      </c>
      <c r="D20404" s="3" t="s">
        <v>10</v>
      </c>
      <c r="E20404" s="3">
        <v>21</v>
      </c>
      <c r="F20404" s="3">
        <v>0</v>
      </c>
      <c r="G20404" s="3">
        <v>1</v>
      </c>
      <c r="H20404" s="3">
        <v>0</v>
      </c>
      <c r="I20404" s="3">
        <v>16</v>
      </c>
      <c r="J20404" s="3">
        <v>0</v>
      </c>
      <c r="K20404" s="3">
        <v>24</v>
      </c>
      <c r="L20404" s="3">
        <v>0</v>
      </c>
      <c r="M20404" s="3">
        <v>0</v>
      </c>
      <c r="N20404" s="3">
        <v>20</v>
      </c>
      <c r="O20404" s="3" t="s">
        <v>10</v>
      </c>
      <c r="P20404" s="3" t="s">
        <v>9</v>
      </c>
      <c r="Q20404" s="3"/>
    </row>
    <row r="20405" spans="1:17" ht="15" x14ac:dyDescent="0.25">
      <c r="A20405" s="3">
        <f>20398</f>
        <v>20398</v>
      </c>
      <c r="B20405" s="3" t="s">
        <v>20407</v>
      </c>
      <c r="C20405" s="3" t="s">
        <v>9</v>
      </c>
      <c r="D20405" s="3" t="s">
        <v>10</v>
      </c>
      <c r="E20405" s="3">
        <v>21</v>
      </c>
      <c r="F20405" s="3">
        <v>0</v>
      </c>
      <c r="G20405" s="3">
        <v>1</v>
      </c>
      <c r="H20405" s="3">
        <v>0</v>
      </c>
      <c r="I20405" s="3">
        <v>16</v>
      </c>
      <c r="J20405" s="3">
        <v>0</v>
      </c>
      <c r="K20405" s="3">
        <v>24</v>
      </c>
      <c r="L20405" s="3">
        <v>0</v>
      </c>
      <c r="M20405" s="3">
        <v>0</v>
      </c>
      <c r="N20405" s="3">
        <v>20</v>
      </c>
      <c r="O20405" s="3" t="s">
        <v>10</v>
      </c>
      <c r="P20405" s="3" t="s">
        <v>9</v>
      </c>
      <c r="Q20405" s="3"/>
    </row>
    <row r="20406" spans="1:17" ht="15" x14ac:dyDescent="0.25">
      <c r="A20406" s="3">
        <f>20399</f>
        <v>20399</v>
      </c>
      <c r="B20406" s="3" t="s">
        <v>20408</v>
      </c>
      <c r="C20406" s="3" t="s">
        <v>9</v>
      </c>
      <c r="D20406" s="3" t="s">
        <v>10</v>
      </c>
      <c r="E20406" s="3">
        <v>21</v>
      </c>
      <c r="F20406" s="3">
        <v>0</v>
      </c>
      <c r="G20406" s="3">
        <v>1</v>
      </c>
      <c r="H20406" s="3">
        <v>0</v>
      </c>
      <c r="I20406" s="3">
        <v>16</v>
      </c>
      <c r="J20406" s="3">
        <v>0</v>
      </c>
      <c r="K20406" s="3">
        <v>24</v>
      </c>
      <c r="L20406" s="3">
        <v>0</v>
      </c>
      <c r="M20406" s="3">
        <v>0</v>
      </c>
      <c r="N20406" s="3">
        <v>20</v>
      </c>
      <c r="O20406" s="3" t="s">
        <v>10</v>
      </c>
      <c r="P20406" s="3" t="s">
        <v>9</v>
      </c>
      <c r="Q20406" s="3"/>
    </row>
    <row r="20407" spans="1:17" ht="15" x14ac:dyDescent="0.25">
      <c r="A20407" s="3">
        <f>20400</f>
        <v>20400</v>
      </c>
      <c r="B20407" s="3" t="s">
        <v>20409</v>
      </c>
      <c r="C20407" s="3" t="s">
        <v>9</v>
      </c>
      <c r="D20407" s="3" t="s">
        <v>10</v>
      </c>
      <c r="E20407" s="3">
        <v>21</v>
      </c>
      <c r="F20407" s="3">
        <v>0</v>
      </c>
      <c r="G20407" s="3">
        <v>1</v>
      </c>
      <c r="H20407" s="3">
        <v>0</v>
      </c>
      <c r="I20407" s="3">
        <v>16</v>
      </c>
      <c r="J20407" s="3">
        <v>0</v>
      </c>
      <c r="K20407" s="3">
        <v>24</v>
      </c>
      <c r="L20407" s="3">
        <v>0</v>
      </c>
      <c r="M20407" s="3">
        <v>0</v>
      </c>
      <c r="N20407" s="3">
        <v>20</v>
      </c>
      <c r="O20407" s="3" t="s">
        <v>10</v>
      </c>
      <c r="P20407" s="3" t="s">
        <v>9</v>
      </c>
      <c r="Q20407" s="3"/>
    </row>
    <row r="20408" spans="1:17" ht="15" x14ac:dyDescent="0.25">
      <c r="A20408" s="3">
        <f>20401</f>
        <v>20401</v>
      </c>
      <c r="B20408" s="3" t="s">
        <v>20410</v>
      </c>
      <c r="C20408" s="3" t="s">
        <v>9</v>
      </c>
      <c r="D20408" s="3" t="s">
        <v>10</v>
      </c>
      <c r="E20408" s="3">
        <v>21</v>
      </c>
      <c r="F20408" s="3">
        <v>0</v>
      </c>
      <c r="G20408" s="3">
        <v>1</v>
      </c>
      <c r="H20408" s="3">
        <v>0</v>
      </c>
      <c r="I20408" s="3">
        <v>16</v>
      </c>
      <c r="J20408" s="3">
        <v>0</v>
      </c>
      <c r="K20408" s="3">
        <v>24</v>
      </c>
      <c r="L20408" s="3">
        <v>0</v>
      </c>
      <c r="M20408" s="3">
        <v>0</v>
      </c>
      <c r="N20408" s="3">
        <v>20</v>
      </c>
      <c r="O20408" s="3" t="s">
        <v>10</v>
      </c>
      <c r="P20408" s="3" t="s">
        <v>9</v>
      </c>
      <c r="Q20408" s="3"/>
    </row>
    <row r="20409" spans="1:17" ht="15" x14ac:dyDescent="0.25">
      <c r="A20409" s="3">
        <f>20402</f>
        <v>20402</v>
      </c>
      <c r="B20409" s="3" t="s">
        <v>20411</v>
      </c>
      <c r="C20409" s="3" t="s">
        <v>9</v>
      </c>
      <c r="D20409" s="3" t="s">
        <v>10</v>
      </c>
      <c r="E20409" s="3">
        <v>21</v>
      </c>
      <c r="F20409" s="3">
        <v>0</v>
      </c>
      <c r="G20409" s="3">
        <v>1</v>
      </c>
      <c r="H20409" s="3">
        <v>0</v>
      </c>
      <c r="I20409" s="3">
        <v>16</v>
      </c>
      <c r="J20409" s="3">
        <v>0</v>
      </c>
      <c r="K20409" s="3">
        <v>24</v>
      </c>
      <c r="L20409" s="3">
        <v>0</v>
      </c>
      <c r="M20409" s="3">
        <v>0</v>
      </c>
      <c r="N20409" s="3">
        <v>20</v>
      </c>
      <c r="O20409" s="3" t="s">
        <v>10</v>
      </c>
      <c r="P20409" s="3" t="s">
        <v>9</v>
      </c>
      <c r="Q20409" s="3"/>
    </row>
    <row r="20410" spans="1:17" ht="15" x14ac:dyDescent="0.25">
      <c r="A20410" s="3">
        <f>20403</f>
        <v>20403</v>
      </c>
      <c r="B20410" s="3" t="s">
        <v>20412</v>
      </c>
      <c r="C20410" s="3" t="s">
        <v>9</v>
      </c>
      <c r="D20410" s="3" t="s">
        <v>10</v>
      </c>
      <c r="E20410" s="3">
        <v>21</v>
      </c>
      <c r="F20410" s="3">
        <v>0</v>
      </c>
      <c r="G20410" s="3">
        <v>1</v>
      </c>
      <c r="H20410" s="3">
        <v>0</v>
      </c>
      <c r="I20410" s="3">
        <v>16</v>
      </c>
      <c r="J20410" s="3">
        <v>0</v>
      </c>
      <c r="K20410" s="3">
        <v>24</v>
      </c>
      <c r="L20410" s="3">
        <v>0</v>
      </c>
      <c r="M20410" s="3">
        <v>0</v>
      </c>
      <c r="N20410" s="3">
        <v>20</v>
      </c>
      <c r="O20410" s="3" t="s">
        <v>10</v>
      </c>
      <c r="P20410" s="3" t="s">
        <v>9</v>
      </c>
      <c r="Q20410" s="3"/>
    </row>
    <row r="20411" spans="1:17" ht="15" x14ac:dyDescent="0.25">
      <c r="A20411" s="3">
        <f>20404</f>
        <v>20404</v>
      </c>
      <c r="B20411" s="3" t="s">
        <v>20413</v>
      </c>
      <c r="C20411" s="3" t="s">
        <v>9</v>
      </c>
      <c r="D20411" s="3" t="s">
        <v>10</v>
      </c>
      <c r="E20411" s="3">
        <v>21</v>
      </c>
      <c r="F20411" s="3">
        <v>0</v>
      </c>
      <c r="G20411" s="3">
        <v>1</v>
      </c>
      <c r="H20411" s="3">
        <v>0</v>
      </c>
      <c r="I20411" s="3">
        <v>16</v>
      </c>
      <c r="J20411" s="3">
        <v>0</v>
      </c>
      <c r="K20411" s="3">
        <v>24</v>
      </c>
      <c r="L20411" s="3">
        <v>0</v>
      </c>
      <c r="M20411" s="3">
        <v>0</v>
      </c>
      <c r="N20411" s="3">
        <v>20</v>
      </c>
      <c r="O20411" s="3" t="s">
        <v>10</v>
      </c>
      <c r="P20411" s="3" t="s">
        <v>9</v>
      </c>
      <c r="Q20411" s="3"/>
    </row>
    <row r="20412" spans="1:17" ht="15" x14ac:dyDescent="0.25">
      <c r="A20412" s="3">
        <f>20405</f>
        <v>20405</v>
      </c>
      <c r="B20412" s="3" t="s">
        <v>20414</v>
      </c>
      <c r="C20412" s="3" t="s">
        <v>9</v>
      </c>
      <c r="D20412" s="3" t="s">
        <v>10</v>
      </c>
      <c r="E20412" s="3">
        <v>21</v>
      </c>
      <c r="F20412" s="3">
        <v>0</v>
      </c>
      <c r="G20412" s="3">
        <v>1</v>
      </c>
      <c r="H20412" s="3">
        <v>0</v>
      </c>
      <c r="I20412" s="3">
        <v>16</v>
      </c>
      <c r="J20412" s="3">
        <v>0</v>
      </c>
      <c r="K20412" s="3">
        <v>24</v>
      </c>
      <c r="L20412" s="3">
        <v>0</v>
      </c>
      <c r="M20412" s="3">
        <v>0</v>
      </c>
      <c r="N20412" s="3">
        <v>20</v>
      </c>
      <c r="O20412" s="3" t="s">
        <v>10</v>
      </c>
      <c r="P20412" s="3" t="s">
        <v>9</v>
      </c>
      <c r="Q20412" s="3"/>
    </row>
    <row r="20413" spans="1:17" ht="15" x14ac:dyDescent="0.25">
      <c r="A20413" s="3">
        <f>20406</f>
        <v>20406</v>
      </c>
      <c r="B20413" s="3" t="s">
        <v>20415</v>
      </c>
      <c r="C20413" s="3" t="s">
        <v>9</v>
      </c>
      <c r="D20413" s="3" t="s">
        <v>10</v>
      </c>
      <c r="E20413" s="3">
        <v>21</v>
      </c>
      <c r="F20413" s="3">
        <v>0</v>
      </c>
      <c r="G20413" s="3">
        <v>1</v>
      </c>
      <c r="H20413" s="3">
        <v>0</v>
      </c>
      <c r="I20413" s="3">
        <v>16</v>
      </c>
      <c r="J20413" s="3">
        <v>0</v>
      </c>
      <c r="K20413" s="3">
        <v>24</v>
      </c>
      <c r="L20413" s="3">
        <v>0</v>
      </c>
      <c r="M20413" s="3">
        <v>0</v>
      </c>
      <c r="N20413" s="3">
        <v>20</v>
      </c>
      <c r="O20413" s="3" t="s">
        <v>10</v>
      </c>
      <c r="P20413" s="3" t="s">
        <v>9</v>
      </c>
      <c r="Q20413" s="3"/>
    </row>
    <row r="20414" spans="1:17" ht="15" x14ac:dyDescent="0.25">
      <c r="A20414" s="3">
        <f>20407</f>
        <v>20407</v>
      </c>
      <c r="B20414" s="3" t="s">
        <v>20416</v>
      </c>
      <c r="C20414" s="3" t="s">
        <v>9</v>
      </c>
      <c r="D20414" s="3" t="s">
        <v>10</v>
      </c>
      <c r="E20414" s="3">
        <v>21</v>
      </c>
      <c r="F20414" s="3">
        <v>0</v>
      </c>
      <c r="G20414" s="3">
        <v>1</v>
      </c>
      <c r="H20414" s="3">
        <v>0</v>
      </c>
      <c r="I20414" s="3">
        <v>16</v>
      </c>
      <c r="J20414" s="3">
        <v>0</v>
      </c>
      <c r="K20414" s="3">
        <v>24</v>
      </c>
      <c r="L20414" s="3">
        <v>0</v>
      </c>
      <c r="M20414" s="3">
        <v>0</v>
      </c>
      <c r="N20414" s="3">
        <v>20</v>
      </c>
      <c r="O20414" s="3" t="s">
        <v>10</v>
      </c>
      <c r="P20414" s="3" t="s">
        <v>9</v>
      </c>
      <c r="Q20414" s="3"/>
    </row>
    <row r="20415" spans="1:17" ht="15" x14ac:dyDescent="0.25">
      <c r="A20415" s="3">
        <f>20408</f>
        <v>20408</v>
      </c>
      <c r="B20415" s="3" t="s">
        <v>20417</v>
      </c>
      <c r="C20415" s="3" t="s">
        <v>9</v>
      </c>
      <c r="D20415" s="3" t="s">
        <v>10</v>
      </c>
      <c r="E20415" s="3">
        <v>21</v>
      </c>
      <c r="F20415" s="3">
        <v>0</v>
      </c>
      <c r="G20415" s="3">
        <v>1</v>
      </c>
      <c r="H20415" s="3">
        <v>0</v>
      </c>
      <c r="I20415" s="3">
        <v>16</v>
      </c>
      <c r="J20415" s="3">
        <v>0</v>
      </c>
      <c r="K20415" s="3">
        <v>24</v>
      </c>
      <c r="L20415" s="3">
        <v>0</v>
      </c>
      <c r="M20415" s="3">
        <v>0</v>
      </c>
      <c r="N20415" s="3">
        <v>20</v>
      </c>
      <c r="O20415" s="3" t="s">
        <v>10</v>
      </c>
      <c r="P20415" s="3" t="s">
        <v>9</v>
      </c>
      <c r="Q20415" s="3"/>
    </row>
    <row r="20416" spans="1:17" ht="15" x14ac:dyDescent="0.25">
      <c r="A20416" s="3">
        <f>20409</f>
        <v>20409</v>
      </c>
      <c r="B20416" s="3" t="s">
        <v>20418</v>
      </c>
      <c r="C20416" s="3" t="s">
        <v>9</v>
      </c>
      <c r="D20416" s="3" t="s">
        <v>10</v>
      </c>
      <c r="E20416" s="3">
        <v>21</v>
      </c>
      <c r="F20416" s="3">
        <v>0</v>
      </c>
      <c r="G20416" s="3">
        <v>1</v>
      </c>
      <c r="H20416" s="3">
        <v>0</v>
      </c>
      <c r="I20416" s="3">
        <v>16</v>
      </c>
      <c r="J20416" s="3">
        <v>0</v>
      </c>
      <c r="K20416" s="3">
        <v>24</v>
      </c>
      <c r="L20416" s="3">
        <v>0</v>
      </c>
      <c r="M20416" s="3">
        <v>0</v>
      </c>
      <c r="N20416" s="3">
        <v>20</v>
      </c>
      <c r="O20416" s="3" t="s">
        <v>10</v>
      </c>
      <c r="P20416" s="3" t="s">
        <v>9</v>
      </c>
      <c r="Q20416" s="3"/>
    </row>
    <row r="20417" spans="1:17" ht="15" x14ac:dyDescent="0.25">
      <c r="A20417" s="3">
        <f>20410</f>
        <v>20410</v>
      </c>
      <c r="B20417" s="3" t="s">
        <v>20419</v>
      </c>
      <c r="C20417" s="3" t="s">
        <v>9</v>
      </c>
      <c r="D20417" s="3" t="s">
        <v>10</v>
      </c>
      <c r="E20417" s="3">
        <v>21</v>
      </c>
      <c r="F20417" s="3">
        <v>0</v>
      </c>
      <c r="G20417" s="3">
        <v>1</v>
      </c>
      <c r="H20417" s="3">
        <v>0</v>
      </c>
      <c r="I20417" s="3">
        <v>16</v>
      </c>
      <c r="J20417" s="3">
        <v>0</v>
      </c>
      <c r="K20417" s="3">
        <v>24</v>
      </c>
      <c r="L20417" s="3">
        <v>0</v>
      </c>
      <c r="M20417" s="3">
        <v>0</v>
      </c>
      <c r="N20417" s="3">
        <v>20</v>
      </c>
      <c r="O20417" s="3" t="s">
        <v>10</v>
      </c>
      <c r="P20417" s="3" t="s">
        <v>9</v>
      </c>
      <c r="Q20417" s="3"/>
    </row>
    <row r="20418" spans="1:17" ht="15" x14ac:dyDescent="0.25">
      <c r="A20418" s="3">
        <f>20411</f>
        <v>20411</v>
      </c>
      <c r="B20418" s="3" t="s">
        <v>20420</v>
      </c>
      <c r="C20418" s="3" t="s">
        <v>9</v>
      </c>
      <c r="D20418" s="3" t="s">
        <v>10</v>
      </c>
      <c r="E20418" s="3">
        <v>21</v>
      </c>
      <c r="F20418" s="3">
        <v>0</v>
      </c>
      <c r="G20418" s="3">
        <v>1</v>
      </c>
      <c r="H20418" s="3">
        <v>0</v>
      </c>
      <c r="I20418" s="3">
        <v>16</v>
      </c>
      <c r="J20418" s="3">
        <v>0</v>
      </c>
      <c r="K20418" s="3">
        <v>24</v>
      </c>
      <c r="L20418" s="3">
        <v>0</v>
      </c>
      <c r="M20418" s="3">
        <v>0</v>
      </c>
      <c r="N20418" s="3">
        <v>20</v>
      </c>
      <c r="O20418" s="3" t="s">
        <v>10</v>
      </c>
      <c r="P20418" s="3" t="s">
        <v>9</v>
      </c>
      <c r="Q20418" s="3"/>
    </row>
    <row r="20419" spans="1:17" ht="15" x14ac:dyDescent="0.25">
      <c r="A20419" s="3">
        <f>20412</f>
        <v>20412</v>
      </c>
      <c r="B20419" s="3" t="s">
        <v>20421</v>
      </c>
      <c r="C20419" s="3" t="s">
        <v>9</v>
      </c>
      <c r="D20419" s="3" t="s">
        <v>10</v>
      </c>
      <c r="E20419" s="3">
        <v>21</v>
      </c>
      <c r="F20419" s="3">
        <v>0</v>
      </c>
      <c r="G20419" s="3">
        <v>1</v>
      </c>
      <c r="H20419" s="3">
        <v>0</v>
      </c>
      <c r="I20419" s="3">
        <v>16</v>
      </c>
      <c r="J20419" s="3">
        <v>0</v>
      </c>
      <c r="K20419" s="3">
        <v>24</v>
      </c>
      <c r="L20419" s="3">
        <v>0</v>
      </c>
      <c r="M20419" s="3">
        <v>0</v>
      </c>
      <c r="N20419" s="3">
        <v>20</v>
      </c>
      <c r="O20419" s="3" t="s">
        <v>10</v>
      </c>
      <c r="P20419" s="3" t="s">
        <v>9</v>
      </c>
      <c r="Q20419" s="3"/>
    </row>
    <row r="20420" spans="1:17" ht="15" x14ac:dyDescent="0.25">
      <c r="A20420" s="3">
        <f>20413</f>
        <v>20413</v>
      </c>
      <c r="B20420" s="3" t="s">
        <v>20422</v>
      </c>
      <c r="C20420" s="3" t="s">
        <v>9</v>
      </c>
      <c r="D20420" s="3" t="s">
        <v>10</v>
      </c>
      <c r="E20420" s="3">
        <v>21</v>
      </c>
      <c r="F20420" s="3">
        <v>0</v>
      </c>
      <c r="G20420" s="3">
        <v>1</v>
      </c>
      <c r="H20420" s="3">
        <v>0</v>
      </c>
      <c r="I20420" s="3">
        <v>16</v>
      </c>
      <c r="J20420" s="3">
        <v>0</v>
      </c>
      <c r="K20420" s="3">
        <v>24</v>
      </c>
      <c r="L20420" s="3">
        <v>0</v>
      </c>
      <c r="M20420" s="3">
        <v>0</v>
      </c>
      <c r="N20420" s="3">
        <v>20</v>
      </c>
      <c r="O20420" s="3" t="s">
        <v>10</v>
      </c>
      <c r="P20420" s="3" t="s">
        <v>9</v>
      </c>
      <c r="Q20420" s="3"/>
    </row>
    <row r="20421" spans="1:17" ht="15" x14ac:dyDescent="0.25">
      <c r="A20421" s="3">
        <f>20414</f>
        <v>20414</v>
      </c>
      <c r="B20421" s="3" t="s">
        <v>20423</v>
      </c>
      <c r="C20421" s="3" t="s">
        <v>9</v>
      </c>
      <c r="D20421" s="3" t="s">
        <v>10</v>
      </c>
      <c r="E20421" s="3">
        <v>21</v>
      </c>
      <c r="F20421" s="3">
        <v>0</v>
      </c>
      <c r="G20421" s="3">
        <v>1</v>
      </c>
      <c r="H20421" s="3">
        <v>0</v>
      </c>
      <c r="I20421" s="3">
        <v>16</v>
      </c>
      <c r="J20421" s="3">
        <v>0</v>
      </c>
      <c r="K20421" s="3">
        <v>24</v>
      </c>
      <c r="L20421" s="3">
        <v>0</v>
      </c>
      <c r="M20421" s="3">
        <v>0</v>
      </c>
      <c r="N20421" s="3">
        <v>20</v>
      </c>
      <c r="O20421" s="3" t="s">
        <v>10</v>
      </c>
      <c r="P20421" s="3" t="s">
        <v>9</v>
      </c>
      <c r="Q20421" s="3"/>
    </row>
    <row r="20422" spans="1:17" ht="15" x14ac:dyDescent="0.25">
      <c r="A20422" s="3">
        <f>20415</f>
        <v>20415</v>
      </c>
      <c r="B20422" s="3" t="s">
        <v>20424</v>
      </c>
      <c r="C20422" s="3" t="s">
        <v>9</v>
      </c>
      <c r="D20422" s="3" t="s">
        <v>10</v>
      </c>
      <c r="E20422" s="3">
        <v>21</v>
      </c>
      <c r="F20422" s="3">
        <v>0</v>
      </c>
      <c r="G20422" s="3">
        <v>1</v>
      </c>
      <c r="H20422" s="3">
        <v>0</v>
      </c>
      <c r="I20422" s="3">
        <v>16</v>
      </c>
      <c r="J20422" s="3">
        <v>0</v>
      </c>
      <c r="K20422" s="3">
        <v>24</v>
      </c>
      <c r="L20422" s="3">
        <v>0</v>
      </c>
      <c r="M20422" s="3">
        <v>0</v>
      </c>
      <c r="N20422" s="3">
        <v>20</v>
      </c>
      <c r="O20422" s="3" t="s">
        <v>10</v>
      </c>
      <c r="P20422" s="3" t="s">
        <v>9</v>
      </c>
      <c r="Q20422" s="3"/>
    </row>
    <row r="20423" spans="1:17" ht="15" x14ac:dyDescent="0.25">
      <c r="A20423" s="3">
        <f>20416</f>
        <v>20416</v>
      </c>
      <c r="B20423" s="3" t="s">
        <v>20425</v>
      </c>
      <c r="C20423" s="3" t="s">
        <v>9</v>
      </c>
      <c r="D20423" s="3" t="s">
        <v>10</v>
      </c>
      <c r="E20423" s="3">
        <v>21</v>
      </c>
      <c r="F20423" s="3">
        <v>0</v>
      </c>
      <c r="G20423" s="3">
        <v>1</v>
      </c>
      <c r="H20423" s="3">
        <v>0</v>
      </c>
      <c r="I20423" s="3">
        <v>16</v>
      </c>
      <c r="J20423" s="3">
        <v>0</v>
      </c>
      <c r="K20423" s="3">
        <v>24</v>
      </c>
      <c r="L20423" s="3">
        <v>0</v>
      </c>
      <c r="M20423" s="3">
        <v>0</v>
      </c>
      <c r="N20423" s="3">
        <v>20</v>
      </c>
      <c r="O20423" s="3" t="s">
        <v>10</v>
      </c>
      <c r="P20423" s="3" t="s">
        <v>9</v>
      </c>
      <c r="Q20423" s="3"/>
    </row>
    <row r="20424" spans="1:17" ht="15" x14ac:dyDescent="0.25">
      <c r="A20424" s="3">
        <f>20417</f>
        <v>20417</v>
      </c>
      <c r="B20424" s="3" t="s">
        <v>20426</v>
      </c>
      <c r="C20424" s="3" t="s">
        <v>9</v>
      </c>
      <c r="D20424" s="3" t="s">
        <v>10</v>
      </c>
      <c r="E20424" s="3">
        <v>21</v>
      </c>
      <c r="F20424" s="3">
        <v>0</v>
      </c>
      <c r="G20424" s="3">
        <v>1</v>
      </c>
      <c r="H20424" s="3">
        <v>0</v>
      </c>
      <c r="I20424" s="3">
        <v>16</v>
      </c>
      <c r="J20424" s="3">
        <v>0</v>
      </c>
      <c r="K20424" s="3">
        <v>24</v>
      </c>
      <c r="L20424" s="3">
        <v>0</v>
      </c>
      <c r="M20424" s="3">
        <v>0</v>
      </c>
      <c r="N20424" s="3">
        <v>20</v>
      </c>
      <c r="O20424" s="3" t="s">
        <v>10</v>
      </c>
      <c r="P20424" s="3" t="s">
        <v>9</v>
      </c>
      <c r="Q20424" s="3"/>
    </row>
    <row r="20425" spans="1:17" ht="15" x14ac:dyDescent="0.25">
      <c r="A20425" s="3">
        <f>20418</f>
        <v>20418</v>
      </c>
      <c r="B20425" s="3" t="s">
        <v>20427</v>
      </c>
      <c r="C20425" s="3" t="s">
        <v>9</v>
      </c>
      <c r="D20425" s="3" t="s">
        <v>10</v>
      </c>
      <c r="E20425" s="3">
        <v>21</v>
      </c>
      <c r="F20425" s="3">
        <v>0</v>
      </c>
      <c r="G20425" s="3">
        <v>1</v>
      </c>
      <c r="H20425" s="3">
        <v>0</v>
      </c>
      <c r="I20425" s="3">
        <v>16</v>
      </c>
      <c r="J20425" s="3">
        <v>0</v>
      </c>
      <c r="K20425" s="3">
        <v>24</v>
      </c>
      <c r="L20425" s="3">
        <v>0</v>
      </c>
      <c r="M20425" s="3">
        <v>0</v>
      </c>
      <c r="N20425" s="3">
        <v>20</v>
      </c>
      <c r="O20425" s="3" t="s">
        <v>10</v>
      </c>
      <c r="P20425" s="3" t="s">
        <v>9</v>
      </c>
      <c r="Q20425" s="3"/>
    </row>
    <row r="20426" spans="1:17" ht="15" x14ac:dyDescent="0.25">
      <c r="A20426" s="3">
        <f>20419</f>
        <v>20419</v>
      </c>
      <c r="B20426" s="3" t="s">
        <v>20428</v>
      </c>
      <c r="C20426" s="3" t="s">
        <v>9</v>
      </c>
      <c r="D20426" s="3" t="s">
        <v>10</v>
      </c>
      <c r="E20426" s="3">
        <v>21</v>
      </c>
      <c r="F20426" s="3">
        <v>0</v>
      </c>
      <c r="G20426" s="3">
        <v>1</v>
      </c>
      <c r="H20426" s="3">
        <v>0</v>
      </c>
      <c r="I20426" s="3">
        <v>16</v>
      </c>
      <c r="J20426" s="3">
        <v>0</v>
      </c>
      <c r="K20426" s="3">
        <v>24</v>
      </c>
      <c r="L20426" s="3">
        <v>0</v>
      </c>
      <c r="M20426" s="3">
        <v>0</v>
      </c>
      <c r="N20426" s="3">
        <v>20</v>
      </c>
      <c r="O20426" s="3" t="s">
        <v>10</v>
      </c>
      <c r="P20426" s="3" t="s">
        <v>9</v>
      </c>
      <c r="Q20426" s="3"/>
    </row>
    <row r="20427" spans="1:17" ht="15" x14ac:dyDescent="0.25">
      <c r="A20427" s="3">
        <f>20420</f>
        <v>20420</v>
      </c>
      <c r="B20427" s="3" t="s">
        <v>20429</v>
      </c>
      <c r="C20427" s="3" t="s">
        <v>9</v>
      </c>
      <c r="D20427" s="3" t="s">
        <v>10</v>
      </c>
      <c r="E20427" s="3">
        <v>21</v>
      </c>
      <c r="F20427" s="3">
        <v>0</v>
      </c>
      <c r="G20427" s="3">
        <v>1</v>
      </c>
      <c r="H20427" s="3">
        <v>0</v>
      </c>
      <c r="I20427" s="3">
        <v>16</v>
      </c>
      <c r="J20427" s="3">
        <v>0</v>
      </c>
      <c r="K20427" s="3">
        <v>24</v>
      </c>
      <c r="L20427" s="3">
        <v>0</v>
      </c>
      <c r="M20427" s="3">
        <v>0</v>
      </c>
      <c r="N20427" s="3">
        <v>20</v>
      </c>
      <c r="O20427" s="3" t="s">
        <v>10</v>
      </c>
      <c r="P20427" s="3" t="s">
        <v>9</v>
      </c>
      <c r="Q20427" s="3"/>
    </row>
    <row r="20428" spans="1:17" ht="15" x14ac:dyDescent="0.25">
      <c r="A20428" s="3">
        <f>20421</f>
        <v>20421</v>
      </c>
      <c r="B20428" s="3" t="s">
        <v>20430</v>
      </c>
      <c r="C20428" s="3" t="s">
        <v>9</v>
      </c>
      <c r="D20428" s="3" t="s">
        <v>10</v>
      </c>
      <c r="E20428" s="3">
        <v>21</v>
      </c>
      <c r="F20428" s="3">
        <v>0</v>
      </c>
      <c r="G20428" s="3">
        <v>1</v>
      </c>
      <c r="H20428" s="3">
        <v>0</v>
      </c>
      <c r="I20428" s="3">
        <v>16</v>
      </c>
      <c r="J20428" s="3">
        <v>0</v>
      </c>
      <c r="K20428" s="3">
        <v>24</v>
      </c>
      <c r="L20428" s="3">
        <v>0</v>
      </c>
      <c r="M20428" s="3">
        <v>0</v>
      </c>
      <c r="N20428" s="3">
        <v>20</v>
      </c>
      <c r="O20428" s="3" t="s">
        <v>10</v>
      </c>
      <c r="P20428" s="3" t="s">
        <v>9</v>
      </c>
      <c r="Q20428" s="3"/>
    </row>
    <row r="20429" spans="1:17" ht="15" x14ac:dyDescent="0.25">
      <c r="A20429" s="3">
        <f>20422</f>
        <v>20422</v>
      </c>
      <c r="B20429" s="3" t="s">
        <v>20431</v>
      </c>
      <c r="C20429" s="3" t="s">
        <v>9</v>
      </c>
      <c r="D20429" s="3" t="s">
        <v>10</v>
      </c>
      <c r="E20429" s="3">
        <v>21</v>
      </c>
      <c r="F20429" s="3">
        <v>0</v>
      </c>
      <c r="G20429" s="3">
        <v>1</v>
      </c>
      <c r="H20429" s="3">
        <v>0</v>
      </c>
      <c r="I20429" s="3">
        <v>16</v>
      </c>
      <c r="J20429" s="3">
        <v>0</v>
      </c>
      <c r="K20429" s="3">
        <v>24</v>
      </c>
      <c r="L20429" s="3">
        <v>0</v>
      </c>
      <c r="M20429" s="3">
        <v>0</v>
      </c>
      <c r="N20429" s="3">
        <v>20</v>
      </c>
      <c r="O20429" s="3" t="s">
        <v>10</v>
      </c>
      <c r="P20429" s="3" t="s">
        <v>9</v>
      </c>
      <c r="Q20429" s="3"/>
    </row>
    <row r="20430" spans="1:17" ht="15" x14ac:dyDescent="0.25">
      <c r="A20430" s="3">
        <f>20423</f>
        <v>20423</v>
      </c>
      <c r="B20430" s="3" t="s">
        <v>20432</v>
      </c>
      <c r="C20430" s="3" t="s">
        <v>9</v>
      </c>
      <c r="D20430" s="3" t="s">
        <v>10</v>
      </c>
      <c r="E20430" s="3">
        <v>21</v>
      </c>
      <c r="F20430" s="3">
        <v>0</v>
      </c>
      <c r="G20430" s="3">
        <v>1</v>
      </c>
      <c r="H20430" s="3">
        <v>0</v>
      </c>
      <c r="I20430" s="3">
        <v>16</v>
      </c>
      <c r="J20430" s="3">
        <v>0</v>
      </c>
      <c r="K20430" s="3">
        <v>24</v>
      </c>
      <c r="L20430" s="3">
        <v>0</v>
      </c>
      <c r="M20430" s="3">
        <v>0</v>
      </c>
      <c r="N20430" s="3">
        <v>20</v>
      </c>
      <c r="O20430" s="3" t="s">
        <v>10</v>
      </c>
      <c r="P20430" s="3" t="s">
        <v>9</v>
      </c>
      <c r="Q20430" s="3"/>
    </row>
    <row r="20431" spans="1:17" ht="15" x14ac:dyDescent="0.25">
      <c r="A20431" s="3">
        <f>20424</f>
        <v>20424</v>
      </c>
      <c r="B20431" s="3" t="s">
        <v>20433</v>
      </c>
      <c r="C20431" s="3" t="s">
        <v>9</v>
      </c>
      <c r="D20431" s="3" t="s">
        <v>10</v>
      </c>
      <c r="E20431" s="3">
        <v>21</v>
      </c>
      <c r="F20431" s="3">
        <v>0</v>
      </c>
      <c r="G20431" s="3">
        <v>1</v>
      </c>
      <c r="H20431" s="3">
        <v>0</v>
      </c>
      <c r="I20431" s="3">
        <v>16</v>
      </c>
      <c r="J20431" s="3">
        <v>0</v>
      </c>
      <c r="K20431" s="3">
        <v>24</v>
      </c>
      <c r="L20431" s="3">
        <v>0</v>
      </c>
      <c r="M20431" s="3">
        <v>0</v>
      </c>
      <c r="N20431" s="3">
        <v>20</v>
      </c>
      <c r="O20431" s="3" t="s">
        <v>10</v>
      </c>
      <c r="P20431" s="3" t="s">
        <v>9</v>
      </c>
      <c r="Q20431" s="3"/>
    </row>
    <row r="20432" spans="1:17" ht="15" x14ac:dyDescent="0.25">
      <c r="A20432" s="3">
        <f>20425</f>
        <v>20425</v>
      </c>
      <c r="B20432" s="3" t="s">
        <v>20434</v>
      </c>
      <c r="C20432" s="3" t="s">
        <v>9</v>
      </c>
      <c r="D20432" s="3" t="s">
        <v>10</v>
      </c>
      <c r="E20432" s="3">
        <v>21</v>
      </c>
      <c r="F20432" s="3">
        <v>0</v>
      </c>
      <c r="G20432" s="3">
        <v>1</v>
      </c>
      <c r="H20432" s="3">
        <v>0</v>
      </c>
      <c r="I20432" s="3">
        <v>16</v>
      </c>
      <c r="J20432" s="3">
        <v>0</v>
      </c>
      <c r="K20432" s="3">
        <v>24</v>
      </c>
      <c r="L20432" s="3">
        <v>0</v>
      </c>
      <c r="M20432" s="3">
        <v>0</v>
      </c>
      <c r="N20432" s="3">
        <v>20</v>
      </c>
      <c r="O20432" s="3" t="s">
        <v>10</v>
      </c>
      <c r="P20432" s="3" t="s">
        <v>9</v>
      </c>
      <c r="Q20432" s="3"/>
    </row>
    <row r="20433" spans="1:17" ht="15" x14ac:dyDescent="0.25">
      <c r="A20433" s="3">
        <f>20426</f>
        <v>20426</v>
      </c>
      <c r="B20433" s="3" t="s">
        <v>20435</v>
      </c>
      <c r="C20433" s="3" t="s">
        <v>9</v>
      </c>
      <c r="D20433" s="3" t="s">
        <v>10</v>
      </c>
      <c r="E20433" s="3">
        <v>21</v>
      </c>
      <c r="F20433" s="3">
        <v>0</v>
      </c>
      <c r="G20433" s="3">
        <v>1</v>
      </c>
      <c r="H20433" s="3">
        <v>0</v>
      </c>
      <c r="I20433" s="3">
        <v>16</v>
      </c>
      <c r="J20433" s="3">
        <v>0</v>
      </c>
      <c r="K20433" s="3">
        <v>24</v>
      </c>
      <c r="L20433" s="3">
        <v>0</v>
      </c>
      <c r="M20433" s="3">
        <v>0</v>
      </c>
      <c r="N20433" s="3">
        <v>20</v>
      </c>
      <c r="O20433" s="3" t="s">
        <v>10</v>
      </c>
      <c r="P20433" s="3" t="s">
        <v>9</v>
      </c>
      <c r="Q20433" s="3"/>
    </row>
    <row r="20434" spans="1:17" ht="15" x14ac:dyDescent="0.25">
      <c r="A20434" s="3">
        <f>20427</f>
        <v>20427</v>
      </c>
      <c r="B20434" s="3" t="s">
        <v>20436</v>
      </c>
      <c r="C20434" s="3" t="s">
        <v>9</v>
      </c>
      <c r="D20434" s="3" t="s">
        <v>10</v>
      </c>
      <c r="E20434" s="3">
        <v>21</v>
      </c>
      <c r="F20434" s="3">
        <v>0</v>
      </c>
      <c r="G20434" s="3">
        <v>1</v>
      </c>
      <c r="H20434" s="3">
        <v>0</v>
      </c>
      <c r="I20434" s="3">
        <v>16</v>
      </c>
      <c r="J20434" s="3">
        <v>0</v>
      </c>
      <c r="K20434" s="3">
        <v>24</v>
      </c>
      <c r="L20434" s="3">
        <v>0</v>
      </c>
      <c r="M20434" s="3">
        <v>0</v>
      </c>
      <c r="N20434" s="3">
        <v>20</v>
      </c>
      <c r="O20434" s="3" t="s">
        <v>10</v>
      </c>
      <c r="P20434" s="3" t="s">
        <v>9</v>
      </c>
      <c r="Q20434" s="3"/>
    </row>
    <row r="20435" spans="1:17" ht="15" x14ac:dyDescent="0.25">
      <c r="A20435" s="3">
        <f>20428</f>
        <v>20428</v>
      </c>
      <c r="B20435" s="3" t="s">
        <v>20437</v>
      </c>
      <c r="C20435" s="3" t="s">
        <v>9</v>
      </c>
      <c r="D20435" s="3" t="s">
        <v>10</v>
      </c>
      <c r="E20435" s="3">
        <v>21</v>
      </c>
      <c r="F20435" s="3">
        <v>0</v>
      </c>
      <c r="G20435" s="3">
        <v>1</v>
      </c>
      <c r="H20435" s="3">
        <v>0</v>
      </c>
      <c r="I20435" s="3">
        <v>16</v>
      </c>
      <c r="J20435" s="3">
        <v>0</v>
      </c>
      <c r="K20435" s="3">
        <v>24</v>
      </c>
      <c r="L20435" s="3">
        <v>0</v>
      </c>
      <c r="M20435" s="3">
        <v>0</v>
      </c>
      <c r="N20435" s="3">
        <v>20</v>
      </c>
      <c r="O20435" s="3" t="s">
        <v>10</v>
      </c>
      <c r="P20435" s="3" t="s">
        <v>9</v>
      </c>
      <c r="Q20435" s="3"/>
    </row>
    <row r="20436" spans="1:17" ht="15" x14ac:dyDescent="0.25">
      <c r="A20436" s="3">
        <f>20429</f>
        <v>20429</v>
      </c>
      <c r="B20436" s="3" t="s">
        <v>20438</v>
      </c>
      <c r="C20436" s="3" t="s">
        <v>9</v>
      </c>
      <c r="D20436" s="3" t="s">
        <v>10</v>
      </c>
      <c r="E20436" s="3">
        <v>21</v>
      </c>
      <c r="F20436" s="3">
        <v>0</v>
      </c>
      <c r="G20436" s="3">
        <v>1</v>
      </c>
      <c r="H20436" s="3">
        <v>0</v>
      </c>
      <c r="I20436" s="3">
        <v>16</v>
      </c>
      <c r="J20436" s="3">
        <v>0</v>
      </c>
      <c r="K20436" s="3">
        <v>24</v>
      </c>
      <c r="L20436" s="3">
        <v>0</v>
      </c>
      <c r="M20436" s="3">
        <v>0</v>
      </c>
      <c r="N20436" s="3">
        <v>20</v>
      </c>
      <c r="O20436" s="3" t="s">
        <v>10</v>
      </c>
      <c r="P20436" s="3" t="s">
        <v>9</v>
      </c>
      <c r="Q20436" s="3"/>
    </row>
    <row r="20437" spans="1:17" ht="15" x14ac:dyDescent="0.25">
      <c r="A20437" s="3">
        <f>20430</f>
        <v>20430</v>
      </c>
      <c r="B20437" s="3" t="s">
        <v>20439</v>
      </c>
      <c r="C20437" s="3" t="s">
        <v>9</v>
      </c>
      <c r="D20437" s="3" t="s">
        <v>10</v>
      </c>
      <c r="E20437" s="3">
        <v>21</v>
      </c>
      <c r="F20437" s="3">
        <v>0</v>
      </c>
      <c r="G20437" s="3">
        <v>1</v>
      </c>
      <c r="H20437" s="3">
        <v>0</v>
      </c>
      <c r="I20437" s="3">
        <v>16</v>
      </c>
      <c r="J20437" s="3">
        <v>0</v>
      </c>
      <c r="K20437" s="3">
        <v>24</v>
      </c>
      <c r="L20437" s="3">
        <v>0</v>
      </c>
      <c r="M20437" s="3">
        <v>0</v>
      </c>
      <c r="N20437" s="3">
        <v>20</v>
      </c>
      <c r="O20437" s="3" t="s">
        <v>10</v>
      </c>
      <c r="P20437" s="3" t="s">
        <v>9</v>
      </c>
      <c r="Q20437" s="3"/>
    </row>
    <row r="20438" spans="1:17" ht="15" x14ac:dyDescent="0.25">
      <c r="A20438" s="3">
        <f>20431</f>
        <v>20431</v>
      </c>
      <c r="B20438" s="3" t="s">
        <v>20440</v>
      </c>
      <c r="C20438" s="3" t="s">
        <v>9</v>
      </c>
      <c r="D20438" s="3" t="s">
        <v>10</v>
      </c>
      <c r="E20438" s="3">
        <v>21</v>
      </c>
      <c r="F20438" s="3">
        <v>0</v>
      </c>
      <c r="G20438" s="3">
        <v>1</v>
      </c>
      <c r="H20438" s="3">
        <v>0</v>
      </c>
      <c r="I20438" s="3">
        <v>16</v>
      </c>
      <c r="J20438" s="3">
        <v>0</v>
      </c>
      <c r="K20438" s="3">
        <v>24</v>
      </c>
      <c r="L20438" s="3">
        <v>0</v>
      </c>
      <c r="M20438" s="3">
        <v>0</v>
      </c>
      <c r="N20438" s="3">
        <v>20</v>
      </c>
      <c r="O20438" s="3" t="s">
        <v>10</v>
      </c>
      <c r="P20438" s="3" t="s">
        <v>9</v>
      </c>
      <c r="Q20438" s="3"/>
    </row>
    <row r="20439" spans="1:17" ht="15" x14ac:dyDescent="0.25">
      <c r="A20439" s="3">
        <f>20432</f>
        <v>20432</v>
      </c>
      <c r="B20439" s="3" t="s">
        <v>20441</v>
      </c>
      <c r="C20439" s="3" t="s">
        <v>9</v>
      </c>
      <c r="D20439" s="3" t="s">
        <v>10</v>
      </c>
      <c r="E20439" s="3">
        <v>21</v>
      </c>
      <c r="F20439" s="3">
        <v>0</v>
      </c>
      <c r="G20439" s="3">
        <v>1</v>
      </c>
      <c r="H20439" s="3">
        <v>0</v>
      </c>
      <c r="I20439" s="3">
        <v>16</v>
      </c>
      <c r="J20439" s="3">
        <v>0</v>
      </c>
      <c r="K20439" s="3">
        <v>24</v>
      </c>
      <c r="L20439" s="3">
        <v>0</v>
      </c>
      <c r="M20439" s="3">
        <v>0</v>
      </c>
      <c r="N20439" s="3">
        <v>20</v>
      </c>
      <c r="O20439" s="3" t="s">
        <v>10</v>
      </c>
      <c r="P20439" s="3" t="s">
        <v>9</v>
      </c>
      <c r="Q20439" s="3"/>
    </row>
    <row r="20440" spans="1:17" ht="15" x14ac:dyDescent="0.25">
      <c r="A20440" s="3">
        <f>20433</f>
        <v>20433</v>
      </c>
      <c r="B20440" s="3" t="s">
        <v>20442</v>
      </c>
      <c r="C20440" s="3" t="s">
        <v>9</v>
      </c>
      <c r="D20440" s="3" t="s">
        <v>10</v>
      </c>
      <c r="E20440" s="3">
        <v>21</v>
      </c>
      <c r="F20440" s="3">
        <v>0</v>
      </c>
      <c r="G20440" s="3">
        <v>1</v>
      </c>
      <c r="H20440" s="3">
        <v>0</v>
      </c>
      <c r="I20440" s="3">
        <v>16</v>
      </c>
      <c r="J20440" s="3">
        <v>0</v>
      </c>
      <c r="K20440" s="3">
        <v>24</v>
      </c>
      <c r="L20440" s="3">
        <v>0</v>
      </c>
      <c r="M20440" s="3">
        <v>0</v>
      </c>
      <c r="N20440" s="3">
        <v>20</v>
      </c>
      <c r="O20440" s="3" t="s">
        <v>10</v>
      </c>
      <c r="P20440" s="3" t="s">
        <v>9</v>
      </c>
      <c r="Q20440" s="3"/>
    </row>
    <row r="20441" spans="1:17" ht="15" x14ac:dyDescent="0.25">
      <c r="A20441" s="3">
        <f>20434</f>
        <v>20434</v>
      </c>
      <c r="B20441" s="3" t="s">
        <v>20443</v>
      </c>
      <c r="C20441" s="3" t="s">
        <v>9</v>
      </c>
      <c r="D20441" s="3" t="s">
        <v>10</v>
      </c>
      <c r="E20441" s="3">
        <v>21</v>
      </c>
      <c r="F20441" s="3">
        <v>0</v>
      </c>
      <c r="G20441" s="3">
        <v>1</v>
      </c>
      <c r="H20441" s="3">
        <v>0</v>
      </c>
      <c r="I20441" s="3">
        <v>16</v>
      </c>
      <c r="J20441" s="3">
        <v>0</v>
      </c>
      <c r="K20441" s="3">
        <v>24</v>
      </c>
      <c r="L20441" s="3">
        <v>0</v>
      </c>
      <c r="M20441" s="3">
        <v>0</v>
      </c>
      <c r="N20441" s="3">
        <v>20</v>
      </c>
      <c r="O20441" s="3" t="s">
        <v>10</v>
      </c>
      <c r="P20441" s="3" t="s">
        <v>9</v>
      </c>
      <c r="Q20441" s="3"/>
    </row>
    <row r="20442" spans="1:17" ht="15" x14ac:dyDescent="0.25">
      <c r="A20442" s="3">
        <f>20435</f>
        <v>20435</v>
      </c>
      <c r="B20442" s="3" t="s">
        <v>20444</v>
      </c>
      <c r="C20442" s="3" t="s">
        <v>9</v>
      </c>
      <c r="D20442" s="3" t="s">
        <v>10</v>
      </c>
      <c r="E20442" s="3">
        <v>21</v>
      </c>
      <c r="F20442" s="3">
        <v>0</v>
      </c>
      <c r="G20442" s="3">
        <v>1</v>
      </c>
      <c r="H20442" s="3">
        <v>0</v>
      </c>
      <c r="I20442" s="3">
        <v>16</v>
      </c>
      <c r="J20442" s="3">
        <v>0</v>
      </c>
      <c r="K20442" s="3">
        <v>24</v>
      </c>
      <c r="L20442" s="3">
        <v>0</v>
      </c>
      <c r="M20442" s="3">
        <v>0</v>
      </c>
      <c r="N20442" s="3">
        <v>20</v>
      </c>
      <c r="O20442" s="3" t="s">
        <v>10</v>
      </c>
      <c r="P20442" s="3" t="s">
        <v>9</v>
      </c>
      <c r="Q20442" s="3"/>
    </row>
    <row r="20443" spans="1:17" ht="15" x14ac:dyDescent="0.25">
      <c r="A20443" s="3">
        <f>20436</f>
        <v>20436</v>
      </c>
      <c r="B20443" s="3" t="s">
        <v>20445</v>
      </c>
      <c r="C20443" s="3" t="s">
        <v>9</v>
      </c>
      <c r="D20443" s="3" t="s">
        <v>10</v>
      </c>
      <c r="E20443" s="3">
        <v>21</v>
      </c>
      <c r="F20443" s="3">
        <v>0</v>
      </c>
      <c r="G20443" s="3">
        <v>1</v>
      </c>
      <c r="H20443" s="3">
        <v>0</v>
      </c>
      <c r="I20443" s="3">
        <v>16</v>
      </c>
      <c r="J20443" s="3">
        <v>0</v>
      </c>
      <c r="K20443" s="3">
        <v>24</v>
      </c>
      <c r="L20443" s="3">
        <v>0</v>
      </c>
      <c r="M20443" s="3">
        <v>0</v>
      </c>
      <c r="N20443" s="3">
        <v>20</v>
      </c>
      <c r="O20443" s="3" t="s">
        <v>10</v>
      </c>
      <c r="P20443" s="3" t="s">
        <v>9</v>
      </c>
      <c r="Q20443" s="3"/>
    </row>
    <row r="20444" spans="1:17" ht="15" x14ac:dyDescent="0.25">
      <c r="A20444" s="3">
        <f>20437</f>
        <v>20437</v>
      </c>
      <c r="B20444" s="3" t="s">
        <v>20446</v>
      </c>
      <c r="C20444" s="3" t="s">
        <v>9</v>
      </c>
      <c r="D20444" s="3" t="s">
        <v>10</v>
      </c>
      <c r="E20444" s="3">
        <v>21</v>
      </c>
      <c r="F20444" s="3">
        <v>0</v>
      </c>
      <c r="G20444" s="3">
        <v>1</v>
      </c>
      <c r="H20444" s="3">
        <v>0</v>
      </c>
      <c r="I20444" s="3">
        <v>16</v>
      </c>
      <c r="J20444" s="3">
        <v>0</v>
      </c>
      <c r="K20444" s="3">
        <v>24</v>
      </c>
      <c r="L20444" s="3">
        <v>0</v>
      </c>
      <c r="M20444" s="3">
        <v>0</v>
      </c>
      <c r="N20444" s="3">
        <v>20</v>
      </c>
      <c r="O20444" s="3" t="s">
        <v>10</v>
      </c>
      <c r="P20444" s="3" t="s">
        <v>9</v>
      </c>
      <c r="Q20444" s="3"/>
    </row>
    <row r="20445" spans="1:17" ht="15" x14ac:dyDescent="0.25">
      <c r="A20445" s="3">
        <f>20438</f>
        <v>20438</v>
      </c>
      <c r="B20445" s="3" t="s">
        <v>20447</v>
      </c>
      <c r="C20445" s="3" t="s">
        <v>9</v>
      </c>
      <c r="D20445" s="3" t="s">
        <v>10</v>
      </c>
      <c r="E20445" s="3">
        <v>21</v>
      </c>
      <c r="F20445" s="3">
        <v>0</v>
      </c>
      <c r="G20445" s="3">
        <v>1</v>
      </c>
      <c r="H20445" s="3">
        <v>0</v>
      </c>
      <c r="I20445" s="3">
        <v>16</v>
      </c>
      <c r="J20445" s="3">
        <v>0</v>
      </c>
      <c r="K20445" s="3">
        <v>24</v>
      </c>
      <c r="L20445" s="3">
        <v>0</v>
      </c>
      <c r="M20445" s="3">
        <v>0</v>
      </c>
      <c r="N20445" s="3">
        <v>20</v>
      </c>
      <c r="O20445" s="3" t="s">
        <v>10</v>
      </c>
      <c r="P20445" s="3" t="s">
        <v>9</v>
      </c>
      <c r="Q20445" s="3"/>
    </row>
    <row r="20446" spans="1:17" ht="15" x14ac:dyDescent="0.25">
      <c r="A20446" s="3">
        <f>20439</f>
        <v>20439</v>
      </c>
      <c r="B20446" s="3" t="s">
        <v>20448</v>
      </c>
      <c r="C20446" s="3" t="s">
        <v>9</v>
      </c>
      <c r="D20446" s="3" t="s">
        <v>10</v>
      </c>
      <c r="E20446" s="3">
        <v>21</v>
      </c>
      <c r="F20446" s="3">
        <v>0</v>
      </c>
      <c r="G20446" s="3">
        <v>1</v>
      </c>
      <c r="H20446" s="3">
        <v>0</v>
      </c>
      <c r="I20446" s="3">
        <v>16</v>
      </c>
      <c r="J20446" s="3">
        <v>0</v>
      </c>
      <c r="K20446" s="3">
        <v>24</v>
      </c>
      <c r="L20446" s="3">
        <v>0</v>
      </c>
      <c r="M20446" s="3">
        <v>0</v>
      </c>
      <c r="N20446" s="3">
        <v>20</v>
      </c>
      <c r="O20446" s="3" t="s">
        <v>10</v>
      </c>
      <c r="P20446" s="3" t="s">
        <v>9</v>
      </c>
      <c r="Q20446" s="3"/>
    </row>
    <row r="20447" spans="1:17" ht="15" x14ac:dyDescent="0.25">
      <c r="A20447" s="3">
        <f>20440</f>
        <v>20440</v>
      </c>
      <c r="B20447" s="3" t="s">
        <v>20449</v>
      </c>
      <c r="C20447" s="3" t="s">
        <v>9</v>
      </c>
      <c r="D20447" s="3" t="s">
        <v>10</v>
      </c>
      <c r="E20447" s="3">
        <v>21</v>
      </c>
      <c r="F20447" s="3">
        <v>0</v>
      </c>
      <c r="G20447" s="3">
        <v>1</v>
      </c>
      <c r="H20447" s="3">
        <v>0</v>
      </c>
      <c r="I20447" s="3">
        <v>16</v>
      </c>
      <c r="J20447" s="3">
        <v>0</v>
      </c>
      <c r="K20447" s="3">
        <v>24</v>
      </c>
      <c r="L20447" s="3">
        <v>0</v>
      </c>
      <c r="M20447" s="3">
        <v>0</v>
      </c>
      <c r="N20447" s="3">
        <v>20</v>
      </c>
      <c r="O20447" s="3" t="s">
        <v>10</v>
      </c>
      <c r="P20447" s="3" t="s">
        <v>9</v>
      </c>
      <c r="Q20447" s="3"/>
    </row>
    <row r="20448" spans="1:17" ht="15" x14ac:dyDescent="0.25">
      <c r="A20448" s="3">
        <f>20441</f>
        <v>20441</v>
      </c>
      <c r="B20448" s="3" t="s">
        <v>20450</v>
      </c>
      <c r="C20448" s="3" t="s">
        <v>9</v>
      </c>
      <c r="D20448" s="3" t="s">
        <v>10</v>
      </c>
      <c r="E20448" s="3">
        <v>21</v>
      </c>
      <c r="F20448" s="3">
        <v>0</v>
      </c>
      <c r="G20448" s="3">
        <v>1</v>
      </c>
      <c r="H20448" s="3">
        <v>0</v>
      </c>
      <c r="I20448" s="3">
        <v>16</v>
      </c>
      <c r="J20448" s="3">
        <v>0</v>
      </c>
      <c r="K20448" s="3">
        <v>24</v>
      </c>
      <c r="L20448" s="3">
        <v>0</v>
      </c>
      <c r="M20448" s="3">
        <v>0</v>
      </c>
      <c r="N20448" s="3">
        <v>20</v>
      </c>
      <c r="O20448" s="3" t="s">
        <v>10</v>
      </c>
      <c r="P20448" s="3" t="s">
        <v>9</v>
      </c>
      <c r="Q20448" s="3"/>
    </row>
    <row r="20449" spans="1:17" ht="15" x14ac:dyDescent="0.25">
      <c r="A20449" s="3">
        <f>20442</f>
        <v>20442</v>
      </c>
      <c r="B20449" s="3" t="s">
        <v>20451</v>
      </c>
      <c r="C20449" s="3" t="s">
        <v>9</v>
      </c>
      <c r="D20449" s="3" t="s">
        <v>10</v>
      </c>
      <c r="E20449" s="3">
        <v>21</v>
      </c>
      <c r="F20449" s="3">
        <v>0</v>
      </c>
      <c r="G20449" s="3">
        <v>1</v>
      </c>
      <c r="H20449" s="3">
        <v>0</v>
      </c>
      <c r="I20449" s="3">
        <v>16</v>
      </c>
      <c r="J20449" s="3">
        <v>0</v>
      </c>
      <c r="K20449" s="3">
        <v>24</v>
      </c>
      <c r="L20449" s="3">
        <v>0</v>
      </c>
      <c r="M20449" s="3">
        <v>0</v>
      </c>
      <c r="N20449" s="3">
        <v>20</v>
      </c>
      <c r="O20449" s="3" t="s">
        <v>10</v>
      </c>
      <c r="P20449" s="3" t="s">
        <v>9</v>
      </c>
      <c r="Q20449" s="3"/>
    </row>
    <row r="20450" spans="1:17" ht="15" x14ac:dyDescent="0.25">
      <c r="A20450" s="3">
        <f>20443</f>
        <v>20443</v>
      </c>
      <c r="B20450" s="3" t="s">
        <v>20452</v>
      </c>
      <c r="C20450" s="3" t="s">
        <v>9</v>
      </c>
      <c r="D20450" s="3" t="s">
        <v>10</v>
      </c>
      <c r="E20450" s="3">
        <v>21</v>
      </c>
      <c r="F20450" s="3">
        <v>0</v>
      </c>
      <c r="G20450" s="3">
        <v>1</v>
      </c>
      <c r="H20450" s="3">
        <v>0</v>
      </c>
      <c r="I20450" s="3">
        <v>16</v>
      </c>
      <c r="J20450" s="3">
        <v>0</v>
      </c>
      <c r="K20450" s="3">
        <v>24</v>
      </c>
      <c r="L20450" s="3">
        <v>0</v>
      </c>
      <c r="M20450" s="3">
        <v>0</v>
      </c>
      <c r="N20450" s="3">
        <v>20</v>
      </c>
      <c r="O20450" s="3" t="s">
        <v>10</v>
      </c>
      <c r="P20450" s="3" t="s">
        <v>9</v>
      </c>
      <c r="Q20450" s="3"/>
    </row>
    <row r="20451" spans="1:17" ht="15" x14ac:dyDescent="0.25">
      <c r="A20451" s="3">
        <f>20444</f>
        <v>20444</v>
      </c>
      <c r="B20451" s="3" t="s">
        <v>20453</v>
      </c>
      <c r="C20451" s="3" t="s">
        <v>9</v>
      </c>
      <c r="D20451" s="3" t="s">
        <v>10</v>
      </c>
      <c r="E20451" s="3">
        <v>21</v>
      </c>
      <c r="F20451" s="3">
        <v>0</v>
      </c>
      <c r="G20451" s="3">
        <v>1</v>
      </c>
      <c r="H20451" s="3">
        <v>0</v>
      </c>
      <c r="I20451" s="3">
        <v>16</v>
      </c>
      <c r="J20451" s="3">
        <v>0</v>
      </c>
      <c r="K20451" s="3">
        <v>24</v>
      </c>
      <c r="L20451" s="3">
        <v>0</v>
      </c>
      <c r="M20451" s="3">
        <v>0</v>
      </c>
      <c r="N20451" s="3">
        <v>20</v>
      </c>
      <c r="O20451" s="3" t="s">
        <v>10</v>
      </c>
      <c r="P20451" s="3" t="s">
        <v>9</v>
      </c>
      <c r="Q20451" s="3"/>
    </row>
    <row r="20452" spans="1:17" ht="15" x14ac:dyDescent="0.25">
      <c r="A20452" s="3">
        <f>20445</f>
        <v>20445</v>
      </c>
      <c r="B20452" s="3" t="s">
        <v>20454</v>
      </c>
      <c r="C20452" s="3" t="s">
        <v>9</v>
      </c>
      <c r="D20452" s="3" t="s">
        <v>10</v>
      </c>
      <c r="E20452" s="3">
        <v>21</v>
      </c>
      <c r="F20452" s="3">
        <v>0</v>
      </c>
      <c r="G20452" s="3">
        <v>1</v>
      </c>
      <c r="H20452" s="3">
        <v>0</v>
      </c>
      <c r="I20452" s="3">
        <v>16</v>
      </c>
      <c r="J20452" s="3">
        <v>0</v>
      </c>
      <c r="K20452" s="3">
        <v>24</v>
      </c>
      <c r="L20452" s="3">
        <v>0</v>
      </c>
      <c r="M20452" s="3">
        <v>0</v>
      </c>
      <c r="N20452" s="3">
        <v>20</v>
      </c>
      <c r="O20452" s="3" t="s">
        <v>10</v>
      </c>
      <c r="P20452" s="3" t="s">
        <v>9</v>
      </c>
      <c r="Q20452" s="3"/>
    </row>
    <row r="20453" spans="1:17" ht="15" x14ac:dyDescent="0.25">
      <c r="A20453" s="3">
        <f>20446</f>
        <v>20446</v>
      </c>
      <c r="B20453" s="3" t="s">
        <v>20455</v>
      </c>
      <c r="C20453" s="3" t="s">
        <v>9</v>
      </c>
      <c r="D20453" s="3" t="s">
        <v>10</v>
      </c>
      <c r="E20453" s="3">
        <v>21</v>
      </c>
      <c r="F20453" s="3">
        <v>0</v>
      </c>
      <c r="G20453" s="3">
        <v>1</v>
      </c>
      <c r="H20453" s="3">
        <v>0</v>
      </c>
      <c r="I20453" s="3">
        <v>16</v>
      </c>
      <c r="J20453" s="3">
        <v>0</v>
      </c>
      <c r="K20453" s="3">
        <v>24</v>
      </c>
      <c r="L20453" s="3">
        <v>0</v>
      </c>
      <c r="M20453" s="3">
        <v>0</v>
      </c>
      <c r="N20453" s="3">
        <v>20</v>
      </c>
      <c r="O20453" s="3" t="s">
        <v>10</v>
      </c>
      <c r="P20453" s="3" t="s">
        <v>9</v>
      </c>
      <c r="Q20453" s="3"/>
    </row>
    <row r="20454" spans="1:17" ht="15" x14ac:dyDescent="0.25">
      <c r="A20454" s="3">
        <f>20447</f>
        <v>20447</v>
      </c>
      <c r="B20454" s="3" t="s">
        <v>20456</v>
      </c>
      <c r="C20454" s="3" t="s">
        <v>9</v>
      </c>
      <c r="D20454" s="3" t="s">
        <v>10</v>
      </c>
      <c r="E20454" s="3">
        <v>21</v>
      </c>
      <c r="F20454" s="3">
        <v>0</v>
      </c>
      <c r="G20454" s="3">
        <v>1</v>
      </c>
      <c r="H20454" s="3">
        <v>0</v>
      </c>
      <c r="I20454" s="3">
        <v>16</v>
      </c>
      <c r="J20454" s="3">
        <v>0</v>
      </c>
      <c r="K20454" s="3">
        <v>24</v>
      </c>
      <c r="L20454" s="3">
        <v>0</v>
      </c>
      <c r="M20454" s="3">
        <v>0</v>
      </c>
      <c r="N20454" s="3">
        <v>20</v>
      </c>
      <c r="O20454" s="3" t="s">
        <v>10</v>
      </c>
      <c r="P20454" s="3" t="s">
        <v>9</v>
      </c>
      <c r="Q20454" s="3"/>
    </row>
    <row r="20455" spans="1:17" ht="15" x14ac:dyDescent="0.25">
      <c r="A20455" s="3">
        <f>20448</f>
        <v>20448</v>
      </c>
      <c r="B20455" s="3" t="s">
        <v>20457</v>
      </c>
      <c r="C20455" s="3" t="s">
        <v>9</v>
      </c>
      <c r="D20455" s="3" t="s">
        <v>10</v>
      </c>
      <c r="E20455" s="3">
        <v>21</v>
      </c>
      <c r="F20455" s="3">
        <v>0</v>
      </c>
      <c r="G20455" s="3">
        <v>1</v>
      </c>
      <c r="H20455" s="3">
        <v>0</v>
      </c>
      <c r="I20455" s="3">
        <v>16</v>
      </c>
      <c r="J20455" s="3">
        <v>0</v>
      </c>
      <c r="K20455" s="3">
        <v>24</v>
      </c>
      <c r="L20455" s="3">
        <v>0</v>
      </c>
      <c r="M20455" s="3">
        <v>0</v>
      </c>
      <c r="N20455" s="3">
        <v>20</v>
      </c>
      <c r="O20455" s="3" t="s">
        <v>10</v>
      </c>
      <c r="P20455" s="3" t="s">
        <v>9</v>
      </c>
      <c r="Q20455" s="3"/>
    </row>
    <row r="20456" spans="1:17" ht="15" x14ac:dyDescent="0.25">
      <c r="A20456" s="3">
        <f>20449</f>
        <v>20449</v>
      </c>
      <c r="B20456" s="3" t="s">
        <v>20458</v>
      </c>
      <c r="C20456" s="3" t="s">
        <v>9</v>
      </c>
      <c r="D20456" s="3" t="s">
        <v>10</v>
      </c>
      <c r="E20456" s="3">
        <v>21</v>
      </c>
      <c r="F20456" s="3">
        <v>0</v>
      </c>
      <c r="G20456" s="3">
        <v>1</v>
      </c>
      <c r="H20456" s="3">
        <v>0</v>
      </c>
      <c r="I20456" s="3">
        <v>16</v>
      </c>
      <c r="J20456" s="3">
        <v>0</v>
      </c>
      <c r="K20456" s="3">
        <v>24</v>
      </c>
      <c r="L20456" s="3">
        <v>0</v>
      </c>
      <c r="M20456" s="3">
        <v>0</v>
      </c>
      <c r="N20456" s="3">
        <v>20</v>
      </c>
      <c r="O20456" s="3" t="s">
        <v>10</v>
      </c>
      <c r="P20456" s="3" t="s">
        <v>9</v>
      </c>
      <c r="Q20456" s="3"/>
    </row>
    <row r="20457" spans="1:17" ht="15" x14ac:dyDescent="0.25">
      <c r="A20457" s="3">
        <f>20450</f>
        <v>20450</v>
      </c>
      <c r="B20457" s="3" t="s">
        <v>20459</v>
      </c>
      <c r="C20457" s="3" t="s">
        <v>9</v>
      </c>
      <c r="D20457" s="3" t="s">
        <v>10</v>
      </c>
      <c r="E20457" s="3">
        <v>21</v>
      </c>
      <c r="F20457" s="3">
        <v>0</v>
      </c>
      <c r="G20457" s="3">
        <v>1</v>
      </c>
      <c r="H20457" s="3">
        <v>0</v>
      </c>
      <c r="I20457" s="3">
        <v>16</v>
      </c>
      <c r="J20457" s="3">
        <v>0</v>
      </c>
      <c r="K20457" s="3">
        <v>24</v>
      </c>
      <c r="L20457" s="3">
        <v>0</v>
      </c>
      <c r="M20457" s="3">
        <v>0</v>
      </c>
      <c r="N20457" s="3">
        <v>20</v>
      </c>
      <c r="O20457" s="3" t="s">
        <v>10</v>
      </c>
      <c r="P20457" s="3" t="s">
        <v>9</v>
      </c>
      <c r="Q20457" s="3"/>
    </row>
    <row r="20458" spans="1:17" ht="15" x14ac:dyDescent="0.25">
      <c r="A20458" s="3">
        <f>20451</f>
        <v>20451</v>
      </c>
      <c r="B20458" s="3" t="s">
        <v>20460</v>
      </c>
      <c r="C20458" s="3" t="s">
        <v>9</v>
      </c>
      <c r="D20458" s="3" t="s">
        <v>10</v>
      </c>
      <c r="E20458" s="3">
        <v>21</v>
      </c>
      <c r="F20458" s="3">
        <v>0</v>
      </c>
      <c r="G20458" s="3">
        <v>1</v>
      </c>
      <c r="H20458" s="3">
        <v>0</v>
      </c>
      <c r="I20458" s="3">
        <v>16</v>
      </c>
      <c r="J20458" s="3">
        <v>0</v>
      </c>
      <c r="K20458" s="3">
        <v>24</v>
      </c>
      <c r="L20458" s="3">
        <v>0</v>
      </c>
      <c r="M20458" s="3">
        <v>0</v>
      </c>
      <c r="N20458" s="3">
        <v>20</v>
      </c>
      <c r="O20458" s="3" t="s">
        <v>10</v>
      </c>
      <c r="P20458" s="3" t="s">
        <v>9</v>
      </c>
      <c r="Q20458" s="3"/>
    </row>
    <row r="20459" spans="1:17" ht="15" x14ac:dyDescent="0.25">
      <c r="A20459" s="3">
        <f>20452</f>
        <v>20452</v>
      </c>
      <c r="B20459" s="3" t="s">
        <v>20461</v>
      </c>
      <c r="C20459" s="3" t="s">
        <v>9</v>
      </c>
      <c r="D20459" s="3" t="s">
        <v>10</v>
      </c>
      <c r="E20459" s="3">
        <v>21</v>
      </c>
      <c r="F20459" s="3">
        <v>0</v>
      </c>
      <c r="G20459" s="3">
        <v>1</v>
      </c>
      <c r="H20459" s="3">
        <v>0</v>
      </c>
      <c r="I20459" s="3">
        <v>16</v>
      </c>
      <c r="J20459" s="3">
        <v>0</v>
      </c>
      <c r="K20459" s="3">
        <v>24</v>
      </c>
      <c r="L20459" s="3">
        <v>0</v>
      </c>
      <c r="M20459" s="3">
        <v>0</v>
      </c>
      <c r="N20459" s="3">
        <v>20</v>
      </c>
      <c r="O20459" s="3" t="s">
        <v>10</v>
      </c>
      <c r="P20459" s="3" t="s">
        <v>9</v>
      </c>
      <c r="Q20459" s="3"/>
    </row>
    <row r="20460" spans="1:17" ht="15" x14ac:dyDescent="0.25">
      <c r="A20460" s="3">
        <f>20453</f>
        <v>20453</v>
      </c>
      <c r="B20460" s="3" t="s">
        <v>20462</v>
      </c>
      <c r="C20460" s="3" t="s">
        <v>9</v>
      </c>
      <c r="D20460" s="3" t="s">
        <v>10</v>
      </c>
      <c r="E20460" s="3">
        <v>21</v>
      </c>
      <c r="F20460" s="3">
        <v>0</v>
      </c>
      <c r="G20460" s="3">
        <v>1</v>
      </c>
      <c r="H20460" s="3">
        <v>0</v>
      </c>
      <c r="I20460" s="3">
        <v>16</v>
      </c>
      <c r="J20460" s="3">
        <v>0</v>
      </c>
      <c r="K20460" s="3">
        <v>24</v>
      </c>
      <c r="L20460" s="3">
        <v>0</v>
      </c>
      <c r="M20460" s="3">
        <v>0</v>
      </c>
      <c r="N20460" s="3">
        <v>20</v>
      </c>
      <c r="O20460" s="3" t="s">
        <v>10</v>
      </c>
      <c r="P20460" s="3" t="s">
        <v>9</v>
      </c>
      <c r="Q20460" s="3"/>
    </row>
    <row r="20461" spans="1:17" ht="15" x14ac:dyDescent="0.25">
      <c r="A20461" s="3">
        <f>20454</f>
        <v>20454</v>
      </c>
      <c r="B20461" s="3" t="s">
        <v>20463</v>
      </c>
      <c r="C20461" s="3" t="s">
        <v>9</v>
      </c>
      <c r="D20461" s="3" t="s">
        <v>10</v>
      </c>
      <c r="E20461" s="3">
        <v>21</v>
      </c>
      <c r="F20461" s="3">
        <v>0</v>
      </c>
      <c r="G20461" s="3">
        <v>1</v>
      </c>
      <c r="H20461" s="3">
        <v>0</v>
      </c>
      <c r="I20461" s="3">
        <v>16</v>
      </c>
      <c r="J20461" s="3">
        <v>0</v>
      </c>
      <c r="K20461" s="3">
        <v>24</v>
      </c>
      <c r="L20461" s="3">
        <v>0</v>
      </c>
      <c r="M20461" s="3">
        <v>0</v>
      </c>
      <c r="N20461" s="3">
        <v>20</v>
      </c>
      <c r="O20461" s="3" t="s">
        <v>10</v>
      </c>
      <c r="P20461" s="3" t="s">
        <v>9</v>
      </c>
      <c r="Q20461" s="3"/>
    </row>
    <row r="20462" spans="1:17" ht="15" x14ac:dyDescent="0.25">
      <c r="A20462" s="3">
        <f>20455</f>
        <v>20455</v>
      </c>
      <c r="B20462" s="3" t="s">
        <v>20464</v>
      </c>
      <c r="C20462" s="3" t="s">
        <v>9</v>
      </c>
      <c r="D20462" s="3" t="s">
        <v>10</v>
      </c>
      <c r="E20462" s="3">
        <v>21</v>
      </c>
      <c r="F20462" s="3">
        <v>0</v>
      </c>
      <c r="G20462" s="3">
        <v>1</v>
      </c>
      <c r="H20462" s="3">
        <v>0</v>
      </c>
      <c r="I20462" s="3">
        <v>16</v>
      </c>
      <c r="J20462" s="3">
        <v>0</v>
      </c>
      <c r="K20462" s="3">
        <v>24</v>
      </c>
      <c r="L20462" s="3">
        <v>0</v>
      </c>
      <c r="M20462" s="3">
        <v>0</v>
      </c>
      <c r="N20462" s="3">
        <v>20</v>
      </c>
      <c r="O20462" s="3" t="s">
        <v>10</v>
      </c>
      <c r="P20462" s="3" t="s">
        <v>9</v>
      </c>
      <c r="Q20462" s="3"/>
    </row>
    <row r="20463" spans="1:17" ht="15" x14ac:dyDescent="0.25">
      <c r="A20463" s="3">
        <f>20456</f>
        <v>20456</v>
      </c>
      <c r="B20463" s="3" t="s">
        <v>20465</v>
      </c>
      <c r="C20463" s="3" t="s">
        <v>9</v>
      </c>
      <c r="D20463" s="3" t="s">
        <v>10</v>
      </c>
      <c r="E20463" s="3">
        <v>21</v>
      </c>
      <c r="F20463" s="3">
        <v>0</v>
      </c>
      <c r="G20463" s="3">
        <v>1</v>
      </c>
      <c r="H20463" s="3">
        <v>0</v>
      </c>
      <c r="I20463" s="3">
        <v>16</v>
      </c>
      <c r="J20463" s="3">
        <v>0</v>
      </c>
      <c r="K20463" s="3">
        <v>24</v>
      </c>
      <c r="L20463" s="3">
        <v>0</v>
      </c>
      <c r="M20463" s="3">
        <v>0</v>
      </c>
      <c r="N20463" s="3">
        <v>20</v>
      </c>
      <c r="O20463" s="3" t="s">
        <v>10</v>
      </c>
      <c r="P20463" s="3" t="s">
        <v>9</v>
      </c>
      <c r="Q20463" s="3"/>
    </row>
    <row r="20464" spans="1:17" ht="15" x14ac:dyDescent="0.25">
      <c r="A20464" s="3">
        <f>20457</f>
        <v>20457</v>
      </c>
      <c r="B20464" s="3" t="s">
        <v>20466</v>
      </c>
      <c r="C20464" s="3" t="s">
        <v>9</v>
      </c>
      <c r="D20464" s="3" t="s">
        <v>10</v>
      </c>
      <c r="E20464" s="3">
        <v>21</v>
      </c>
      <c r="F20464" s="3">
        <v>0</v>
      </c>
      <c r="G20464" s="3">
        <v>1</v>
      </c>
      <c r="H20464" s="3">
        <v>0</v>
      </c>
      <c r="I20464" s="3">
        <v>16</v>
      </c>
      <c r="J20464" s="3">
        <v>0</v>
      </c>
      <c r="K20464" s="3">
        <v>24</v>
      </c>
      <c r="L20464" s="3">
        <v>0</v>
      </c>
      <c r="M20464" s="3">
        <v>0</v>
      </c>
      <c r="N20464" s="3">
        <v>20</v>
      </c>
      <c r="O20464" s="3" t="s">
        <v>10</v>
      </c>
      <c r="P20464" s="3" t="s">
        <v>9</v>
      </c>
      <c r="Q20464" s="3"/>
    </row>
    <row r="20465" spans="1:17" ht="15" x14ac:dyDescent="0.25">
      <c r="A20465" s="3">
        <f>20458</f>
        <v>20458</v>
      </c>
      <c r="B20465" s="3" t="s">
        <v>20467</v>
      </c>
      <c r="C20465" s="3" t="s">
        <v>9</v>
      </c>
      <c r="D20465" s="3" t="s">
        <v>10</v>
      </c>
      <c r="E20465" s="3">
        <v>21</v>
      </c>
      <c r="F20465" s="3">
        <v>0</v>
      </c>
      <c r="G20465" s="3">
        <v>1</v>
      </c>
      <c r="H20465" s="3">
        <v>0</v>
      </c>
      <c r="I20465" s="3">
        <v>16</v>
      </c>
      <c r="J20465" s="3">
        <v>0</v>
      </c>
      <c r="K20465" s="3">
        <v>24</v>
      </c>
      <c r="L20465" s="3">
        <v>0</v>
      </c>
      <c r="M20465" s="3">
        <v>0</v>
      </c>
      <c r="N20465" s="3">
        <v>20</v>
      </c>
      <c r="O20465" s="3" t="s">
        <v>10</v>
      </c>
      <c r="P20465" s="3" t="s">
        <v>9</v>
      </c>
      <c r="Q20465" s="3"/>
    </row>
    <row r="20466" spans="1:17" ht="15" x14ac:dyDescent="0.25">
      <c r="A20466" s="3">
        <f>20459</f>
        <v>20459</v>
      </c>
      <c r="B20466" s="3" t="s">
        <v>20468</v>
      </c>
      <c r="C20466" s="3" t="s">
        <v>9</v>
      </c>
      <c r="D20466" s="3" t="s">
        <v>10</v>
      </c>
      <c r="E20466" s="3">
        <v>21</v>
      </c>
      <c r="F20466" s="3">
        <v>0</v>
      </c>
      <c r="G20466" s="3">
        <v>1</v>
      </c>
      <c r="H20466" s="3">
        <v>0</v>
      </c>
      <c r="I20466" s="3">
        <v>16</v>
      </c>
      <c r="J20466" s="3">
        <v>0</v>
      </c>
      <c r="K20466" s="3">
        <v>24</v>
      </c>
      <c r="L20466" s="3">
        <v>0</v>
      </c>
      <c r="M20466" s="3">
        <v>0</v>
      </c>
      <c r="N20466" s="3">
        <v>20</v>
      </c>
      <c r="O20466" s="3" t="s">
        <v>10</v>
      </c>
      <c r="P20466" s="3" t="s">
        <v>9</v>
      </c>
      <c r="Q20466" s="3"/>
    </row>
    <row r="20467" spans="1:17" ht="15" x14ac:dyDescent="0.25">
      <c r="A20467" s="3">
        <f>20460</f>
        <v>20460</v>
      </c>
      <c r="B20467" s="3" t="s">
        <v>20469</v>
      </c>
      <c r="C20467" s="3" t="s">
        <v>9</v>
      </c>
      <c r="D20467" s="3" t="s">
        <v>10</v>
      </c>
      <c r="E20467" s="3">
        <v>21</v>
      </c>
      <c r="F20467" s="3">
        <v>0</v>
      </c>
      <c r="G20467" s="3">
        <v>1</v>
      </c>
      <c r="H20467" s="3">
        <v>0</v>
      </c>
      <c r="I20467" s="3">
        <v>16</v>
      </c>
      <c r="J20467" s="3">
        <v>0</v>
      </c>
      <c r="K20467" s="3">
        <v>24</v>
      </c>
      <c r="L20467" s="3">
        <v>0</v>
      </c>
      <c r="M20467" s="3">
        <v>0</v>
      </c>
      <c r="N20467" s="3">
        <v>20</v>
      </c>
      <c r="O20467" s="3" t="s">
        <v>10</v>
      </c>
      <c r="P20467" s="3" t="s">
        <v>9</v>
      </c>
      <c r="Q20467" s="3"/>
    </row>
    <row r="20468" spans="1:17" ht="15" x14ac:dyDescent="0.25">
      <c r="A20468" s="3">
        <f>20461</f>
        <v>20461</v>
      </c>
      <c r="B20468" s="3" t="s">
        <v>20470</v>
      </c>
      <c r="C20468" s="3" t="s">
        <v>9</v>
      </c>
      <c r="D20468" s="3" t="s">
        <v>10</v>
      </c>
      <c r="E20468" s="3">
        <v>21</v>
      </c>
      <c r="F20468" s="3">
        <v>0</v>
      </c>
      <c r="G20468" s="3">
        <v>1</v>
      </c>
      <c r="H20468" s="3">
        <v>0</v>
      </c>
      <c r="I20468" s="3">
        <v>16</v>
      </c>
      <c r="J20468" s="3">
        <v>0</v>
      </c>
      <c r="K20468" s="3">
        <v>24</v>
      </c>
      <c r="L20468" s="3">
        <v>0</v>
      </c>
      <c r="M20468" s="3">
        <v>0</v>
      </c>
      <c r="N20468" s="3">
        <v>20</v>
      </c>
      <c r="O20468" s="3" t="s">
        <v>10</v>
      </c>
      <c r="P20468" s="3" t="s">
        <v>9</v>
      </c>
      <c r="Q20468" s="3"/>
    </row>
    <row r="20469" spans="1:17" ht="15" x14ac:dyDescent="0.25">
      <c r="A20469" s="3">
        <f>20462</f>
        <v>20462</v>
      </c>
      <c r="B20469" s="3" t="s">
        <v>20471</v>
      </c>
      <c r="C20469" s="3" t="s">
        <v>9</v>
      </c>
      <c r="D20469" s="3" t="s">
        <v>10</v>
      </c>
      <c r="E20469" s="3">
        <v>21</v>
      </c>
      <c r="F20469" s="3">
        <v>0</v>
      </c>
      <c r="G20469" s="3">
        <v>1</v>
      </c>
      <c r="H20469" s="3">
        <v>0</v>
      </c>
      <c r="I20469" s="3">
        <v>16</v>
      </c>
      <c r="J20469" s="3">
        <v>0</v>
      </c>
      <c r="K20469" s="3">
        <v>24</v>
      </c>
      <c r="L20469" s="3">
        <v>0</v>
      </c>
      <c r="M20469" s="3">
        <v>0</v>
      </c>
      <c r="N20469" s="3">
        <v>20</v>
      </c>
      <c r="O20469" s="3" t="s">
        <v>10</v>
      </c>
      <c r="P20469" s="3" t="s">
        <v>9</v>
      </c>
      <c r="Q20469" s="3"/>
    </row>
    <row r="20470" spans="1:17" ht="15" x14ac:dyDescent="0.25">
      <c r="A20470" s="3">
        <f>20463</f>
        <v>20463</v>
      </c>
      <c r="B20470" s="3" t="s">
        <v>20472</v>
      </c>
      <c r="C20470" s="3" t="s">
        <v>9</v>
      </c>
      <c r="D20470" s="3" t="s">
        <v>10</v>
      </c>
      <c r="E20470" s="3">
        <v>21</v>
      </c>
      <c r="F20470" s="3">
        <v>0</v>
      </c>
      <c r="G20470" s="3">
        <v>1</v>
      </c>
      <c r="H20470" s="3">
        <v>0</v>
      </c>
      <c r="I20470" s="3">
        <v>16</v>
      </c>
      <c r="J20470" s="3">
        <v>0</v>
      </c>
      <c r="K20470" s="3">
        <v>24</v>
      </c>
      <c r="L20470" s="3">
        <v>0</v>
      </c>
      <c r="M20470" s="3">
        <v>0</v>
      </c>
      <c r="N20470" s="3">
        <v>20</v>
      </c>
      <c r="O20470" s="3" t="s">
        <v>10</v>
      </c>
      <c r="P20470" s="3" t="s">
        <v>9</v>
      </c>
      <c r="Q20470" s="3"/>
    </row>
    <row r="20471" spans="1:17" ht="15" x14ac:dyDescent="0.25">
      <c r="A20471" s="3">
        <f>20464</f>
        <v>20464</v>
      </c>
      <c r="B20471" s="3" t="s">
        <v>20473</v>
      </c>
      <c r="C20471" s="3" t="s">
        <v>9</v>
      </c>
      <c r="D20471" s="3" t="s">
        <v>10</v>
      </c>
      <c r="E20471" s="3">
        <v>21</v>
      </c>
      <c r="F20471" s="3">
        <v>0</v>
      </c>
      <c r="G20471" s="3">
        <v>1</v>
      </c>
      <c r="H20471" s="3">
        <v>0</v>
      </c>
      <c r="I20471" s="3">
        <v>16</v>
      </c>
      <c r="J20471" s="3">
        <v>0</v>
      </c>
      <c r="K20471" s="3">
        <v>24</v>
      </c>
      <c r="L20471" s="3">
        <v>0</v>
      </c>
      <c r="M20471" s="3">
        <v>0</v>
      </c>
      <c r="N20471" s="3">
        <v>20</v>
      </c>
      <c r="O20471" s="3" t="s">
        <v>10</v>
      </c>
      <c r="P20471" s="3" t="s">
        <v>9</v>
      </c>
      <c r="Q20471" s="3"/>
    </row>
    <row r="20472" spans="1:17" ht="15" x14ac:dyDescent="0.25">
      <c r="A20472" s="3">
        <f>20465</f>
        <v>20465</v>
      </c>
      <c r="B20472" s="3" t="s">
        <v>20474</v>
      </c>
      <c r="C20472" s="3" t="s">
        <v>9</v>
      </c>
      <c r="D20472" s="3" t="s">
        <v>10</v>
      </c>
      <c r="E20472" s="3">
        <v>21</v>
      </c>
      <c r="F20472" s="3">
        <v>0</v>
      </c>
      <c r="G20472" s="3">
        <v>1</v>
      </c>
      <c r="H20472" s="3">
        <v>0</v>
      </c>
      <c r="I20472" s="3">
        <v>16</v>
      </c>
      <c r="J20472" s="3">
        <v>0</v>
      </c>
      <c r="K20472" s="3">
        <v>24</v>
      </c>
      <c r="L20472" s="3">
        <v>0</v>
      </c>
      <c r="M20472" s="3">
        <v>0</v>
      </c>
      <c r="N20472" s="3">
        <v>20</v>
      </c>
      <c r="O20472" s="3" t="s">
        <v>10</v>
      </c>
      <c r="P20472" s="3" t="s">
        <v>9</v>
      </c>
      <c r="Q20472" s="3"/>
    </row>
    <row r="20473" spans="1:17" ht="15" x14ac:dyDescent="0.25">
      <c r="A20473" s="3">
        <f>20466</f>
        <v>20466</v>
      </c>
      <c r="B20473" s="3" t="s">
        <v>20475</v>
      </c>
      <c r="C20473" s="3" t="s">
        <v>9</v>
      </c>
      <c r="D20473" s="3" t="s">
        <v>10</v>
      </c>
      <c r="E20473" s="3">
        <v>21</v>
      </c>
      <c r="F20473" s="3">
        <v>0</v>
      </c>
      <c r="G20473" s="3">
        <v>1</v>
      </c>
      <c r="H20473" s="3">
        <v>0</v>
      </c>
      <c r="I20473" s="3">
        <v>16</v>
      </c>
      <c r="J20473" s="3">
        <v>0</v>
      </c>
      <c r="K20473" s="3">
        <v>24</v>
      </c>
      <c r="L20473" s="3">
        <v>0</v>
      </c>
      <c r="M20473" s="3">
        <v>0</v>
      </c>
      <c r="N20473" s="3">
        <v>20</v>
      </c>
      <c r="O20473" s="3" t="s">
        <v>10</v>
      </c>
      <c r="P20473" s="3" t="s">
        <v>9</v>
      </c>
      <c r="Q20473" s="3"/>
    </row>
    <row r="20474" spans="1:17" ht="15" x14ac:dyDescent="0.25">
      <c r="A20474" s="3">
        <f>20467</f>
        <v>20467</v>
      </c>
      <c r="B20474" s="3" t="s">
        <v>20476</v>
      </c>
      <c r="C20474" s="3" t="s">
        <v>9</v>
      </c>
      <c r="D20474" s="3" t="s">
        <v>10</v>
      </c>
      <c r="E20474" s="3">
        <v>21</v>
      </c>
      <c r="F20474" s="3">
        <v>0</v>
      </c>
      <c r="G20474" s="3">
        <v>1</v>
      </c>
      <c r="H20474" s="3">
        <v>0</v>
      </c>
      <c r="I20474" s="3">
        <v>16</v>
      </c>
      <c r="J20474" s="3">
        <v>0</v>
      </c>
      <c r="K20474" s="3">
        <v>24</v>
      </c>
      <c r="L20474" s="3">
        <v>0</v>
      </c>
      <c r="M20474" s="3">
        <v>0</v>
      </c>
      <c r="N20474" s="3">
        <v>20</v>
      </c>
      <c r="O20474" s="3" t="s">
        <v>10</v>
      </c>
      <c r="P20474" s="3" t="s">
        <v>9</v>
      </c>
      <c r="Q20474" s="3"/>
    </row>
    <row r="20475" spans="1:17" ht="15" x14ac:dyDescent="0.25">
      <c r="A20475" s="3">
        <f>20468</f>
        <v>20468</v>
      </c>
      <c r="B20475" s="3" t="s">
        <v>20477</v>
      </c>
      <c r="C20475" s="3" t="s">
        <v>9</v>
      </c>
      <c r="D20475" s="3" t="s">
        <v>10</v>
      </c>
      <c r="E20475" s="3">
        <v>21</v>
      </c>
      <c r="F20475" s="3">
        <v>0</v>
      </c>
      <c r="G20475" s="3">
        <v>1</v>
      </c>
      <c r="H20475" s="3">
        <v>0</v>
      </c>
      <c r="I20475" s="3">
        <v>16</v>
      </c>
      <c r="J20475" s="3">
        <v>0</v>
      </c>
      <c r="K20475" s="3">
        <v>24</v>
      </c>
      <c r="L20475" s="3">
        <v>0</v>
      </c>
      <c r="M20475" s="3">
        <v>0</v>
      </c>
      <c r="N20475" s="3">
        <v>20</v>
      </c>
      <c r="O20475" s="3" t="s">
        <v>10</v>
      </c>
      <c r="P20475" s="3" t="s">
        <v>9</v>
      </c>
      <c r="Q20475" s="3"/>
    </row>
    <row r="20476" spans="1:17" ht="15" x14ac:dyDescent="0.25">
      <c r="A20476" s="3">
        <f>20469</f>
        <v>20469</v>
      </c>
      <c r="B20476" s="3" t="s">
        <v>20478</v>
      </c>
      <c r="C20476" s="3" t="s">
        <v>9</v>
      </c>
      <c r="D20476" s="3" t="s">
        <v>10</v>
      </c>
      <c r="E20476" s="3">
        <v>21</v>
      </c>
      <c r="F20476" s="3">
        <v>0</v>
      </c>
      <c r="G20476" s="3">
        <v>1</v>
      </c>
      <c r="H20476" s="3">
        <v>0</v>
      </c>
      <c r="I20476" s="3">
        <v>16</v>
      </c>
      <c r="J20476" s="3">
        <v>0</v>
      </c>
      <c r="K20476" s="3">
        <v>24</v>
      </c>
      <c r="L20476" s="3">
        <v>0</v>
      </c>
      <c r="M20476" s="3">
        <v>0</v>
      </c>
      <c r="N20476" s="3">
        <v>20</v>
      </c>
      <c r="O20476" s="3" t="s">
        <v>10</v>
      </c>
      <c r="P20476" s="3" t="s">
        <v>9</v>
      </c>
      <c r="Q20476" s="3"/>
    </row>
    <row r="20477" spans="1:17" ht="15" x14ac:dyDescent="0.25">
      <c r="A20477" s="3">
        <f>20470</f>
        <v>20470</v>
      </c>
      <c r="B20477" s="3" t="s">
        <v>20479</v>
      </c>
      <c r="C20477" s="3" t="s">
        <v>9</v>
      </c>
      <c r="D20477" s="3" t="s">
        <v>10</v>
      </c>
      <c r="E20477" s="3">
        <v>21</v>
      </c>
      <c r="F20477" s="3">
        <v>0</v>
      </c>
      <c r="G20477" s="3">
        <v>1</v>
      </c>
      <c r="H20477" s="3">
        <v>0</v>
      </c>
      <c r="I20477" s="3">
        <v>16</v>
      </c>
      <c r="J20477" s="3">
        <v>0</v>
      </c>
      <c r="K20477" s="3">
        <v>24</v>
      </c>
      <c r="L20477" s="3">
        <v>0</v>
      </c>
      <c r="M20477" s="3">
        <v>0</v>
      </c>
      <c r="N20477" s="3">
        <v>20</v>
      </c>
      <c r="O20477" s="3" t="s">
        <v>10</v>
      </c>
      <c r="P20477" s="3" t="s">
        <v>9</v>
      </c>
      <c r="Q20477" s="3"/>
    </row>
    <row r="20478" spans="1:17" ht="15" x14ac:dyDescent="0.25">
      <c r="A20478" s="3">
        <f>20471</f>
        <v>20471</v>
      </c>
      <c r="B20478" s="3" t="s">
        <v>20480</v>
      </c>
      <c r="C20478" s="3" t="s">
        <v>9</v>
      </c>
      <c r="D20478" s="3" t="s">
        <v>10</v>
      </c>
      <c r="E20478" s="3">
        <v>21</v>
      </c>
      <c r="F20478" s="3">
        <v>0</v>
      </c>
      <c r="G20478" s="3">
        <v>1</v>
      </c>
      <c r="H20478" s="3">
        <v>0</v>
      </c>
      <c r="I20478" s="3">
        <v>16</v>
      </c>
      <c r="J20478" s="3">
        <v>0</v>
      </c>
      <c r="K20478" s="3">
        <v>24</v>
      </c>
      <c r="L20478" s="3">
        <v>0</v>
      </c>
      <c r="M20478" s="3">
        <v>0</v>
      </c>
      <c r="N20478" s="3">
        <v>20</v>
      </c>
      <c r="O20478" s="3" t="s">
        <v>10</v>
      </c>
      <c r="P20478" s="3" t="s">
        <v>9</v>
      </c>
      <c r="Q20478" s="3"/>
    </row>
    <row r="20479" spans="1:17" ht="15" x14ac:dyDescent="0.25">
      <c r="A20479" s="3">
        <f>20472</f>
        <v>20472</v>
      </c>
      <c r="B20479" s="3" t="s">
        <v>20481</v>
      </c>
      <c r="C20479" s="3" t="s">
        <v>9</v>
      </c>
      <c r="D20479" s="3" t="s">
        <v>10</v>
      </c>
      <c r="E20479" s="3">
        <v>21</v>
      </c>
      <c r="F20479" s="3">
        <v>0</v>
      </c>
      <c r="G20479" s="3">
        <v>1</v>
      </c>
      <c r="H20479" s="3">
        <v>0</v>
      </c>
      <c r="I20479" s="3">
        <v>16</v>
      </c>
      <c r="J20479" s="3">
        <v>0</v>
      </c>
      <c r="K20479" s="3">
        <v>24</v>
      </c>
      <c r="L20479" s="3">
        <v>0</v>
      </c>
      <c r="M20479" s="3">
        <v>0</v>
      </c>
      <c r="N20479" s="3">
        <v>20</v>
      </c>
      <c r="O20479" s="3" t="s">
        <v>10</v>
      </c>
      <c r="P20479" s="3" t="s">
        <v>9</v>
      </c>
      <c r="Q20479" s="3"/>
    </row>
    <row r="20480" spans="1:17" ht="15" x14ac:dyDescent="0.25">
      <c r="A20480" s="3">
        <f>20473</f>
        <v>20473</v>
      </c>
      <c r="B20480" s="3" t="s">
        <v>20482</v>
      </c>
      <c r="C20480" s="3" t="s">
        <v>9</v>
      </c>
      <c r="D20480" s="3" t="s">
        <v>10</v>
      </c>
      <c r="E20480" s="3">
        <v>21</v>
      </c>
      <c r="F20480" s="3">
        <v>0</v>
      </c>
      <c r="G20480" s="3">
        <v>1</v>
      </c>
      <c r="H20480" s="3">
        <v>0</v>
      </c>
      <c r="I20480" s="3">
        <v>16</v>
      </c>
      <c r="J20480" s="3">
        <v>0</v>
      </c>
      <c r="K20480" s="3">
        <v>24</v>
      </c>
      <c r="L20480" s="3">
        <v>0</v>
      </c>
      <c r="M20480" s="3">
        <v>0</v>
      </c>
      <c r="N20480" s="3">
        <v>20</v>
      </c>
      <c r="O20480" s="3" t="s">
        <v>10</v>
      </c>
      <c r="P20480" s="3" t="s">
        <v>9</v>
      </c>
      <c r="Q20480" s="3"/>
    </row>
    <row r="20481" spans="1:17" ht="15" x14ac:dyDescent="0.25">
      <c r="A20481" s="3">
        <f>20474</f>
        <v>20474</v>
      </c>
      <c r="B20481" s="3" t="s">
        <v>20483</v>
      </c>
      <c r="C20481" s="3" t="s">
        <v>9</v>
      </c>
      <c r="D20481" s="3" t="s">
        <v>10</v>
      </c>
      <c r="E20481" s="3">
        <v>21</v>
      </c>
      <c r="F20481" s="3">
        <v>0</v>
      </c>
      <c r="G20481" s="3">
        <v>1</v>
      </c>
      <c r="H20481" s="3">
        <v>0</v>
      </c>
      <c r="I20481" s="3">
        <v>16</v>
      </c>
      <c r="J20481" s="3">
        <v>0</v>
      </c>
      <c r="K20481" s="3">
        <v>24</v>
      </c>
      <c r="L20481" s="3">
        <v>0</v>
      </c>
      <c r="M20481" s="3">
        <v>0</v>
      </c>
      <c r="N20481" s="3">
        <v>20</v>
      </c>
      <c r="O20481" s="3" t="s">
        <v>10</v>
      </c>
      <c r="P20481" s="3" t="s">
        <v>9</v>
      </c>
      <c r="Q20481" s="3"/>
    </row>
    <row r="20482" spans="1:17" ht="15" x14ac:dyDescent="0.25">
      <c r="A20482" s="3">
        <f>20475</f>
        <v>20475</v>
      </c>
      <c r="B20482" s="3" t="s">
        <v>20484</v>
      </c>
      <c r="C20482" s="3" t="s">
        <v>9</v>
      </c>
      <c r="D20482" s="3" t="s">
        <v>10</v>
      </c>
      <c r="E20482" s="3">
        <v>21</v>
      </c>
      <c r="F20482" s="3">
        <v>0</v>
      </c>
      <c r="G20482" s="3">
        <v>1</v>
      </c>
      <c r="H20482" s="3">
        <v>0</v>
      </c>
      <c r="I20482" s="3">
        <v>16</v>
      </c>
      <c r="J20482" s="3">
        <v>0</v>
      </c>
      <c r="K20482" s="3">
        <v>24</v>
      </c>
      <c r="L20482" s="3">
        <v>0</v>
      </c>
      <c r="M20482" s="3">
        <v>0</v>
      </c>
      <c r="N20482" s="3">
        <v>20</v>
      </c>
      <c r="O20482" s="3" t="s">
        <v>10</v>
      </c>
      <c r="P20482" s="3" t="s">
        <v>9</v>
      </c>
      <c r="Q20482" s="3"/>
    </row>
    <row r="20483" spans="1:17" ht="15" x14ac:dyDescent="0.25">
      <c r="A20483" s="3">
        <f>20476</f>
        <v>20476</v>
      </c>
      <c r="B20483" s="3" t="s">
        <v>20485</v>
      </c>
      <c r="C20483" s="3" t="s">
        <v>9</v>
      </c>
      <c r="D20483" s="3" t="s">
        <v>10</v>
      </c>
      <c r="E20483" s="3">
        <v>21</v>
      </c>
      <c r="F20483" s="3">
        <v>0</v>
      </c>
      <c r="G20483" s="3">
        <v>1</v>
      </c>
      <c r="H20483" s="3">
        <v>0</v>
      </c>
      <c r="I20483" s="3">
        <v>16</v>
      </c>
      <c r="J20483" s="3">
        <v>0</v>
      </c>
      <c r="K20483" s="3">
        <v>24</v>
      </c>
      <c r="L20483" s="3">
        <v>0</v>
      </c>
      <c r="M20483" s="3">
        <v>0</v>
      </c>
      <c r="N20483" s="3">
        <v>20</v>
      </c>
      <c r="O20483" s="3" t="s">
        <v>10</v>
      </c>
      <c r="P20483" s="3" t="s">
        <v>9</v>
      </c>
      <c r="Q20483" s="3"/>
    </row>
    <row r="20484" spans="1:17" ht="15" x14ac:dyDescent="0.25">
      <c r="A20484" s="3">
        <f>20477</f>
        <v>20477</v>
      </c>
      <c r="B20484" s="3" t="s">
        <v>20486</v>
      </c>
      <c r="C20484" s="3" t="s">
        <v>9</v>
      </c>
      <c r="D20484" s="3" t="s">
        <v>10</v>
      </c>
      <c r="E20484" s="3">
        <v>21</v>
      </c>
      <c r="F20484" s="3">
        <v>0</v>
      </c>
      <c r="G20484" s="3">
        <v>1</v>
      </c>
      <c r="H20484" s="3">
        <v>0</v>
      </c>
      <c r="I20484" s="3">
        <v>16</v>
      </c>
      <c r="J20484" s="3">
        <v>0</v>
      </c>
      <c r="K20484" s="3">
        <v>24</v>
      </c>
      <c r="L20484" s="3">
        <v>0</v>
      </c>
      <c r="M20484" s="3">
        <v>0</v>
      </c>
      <c r="N20484" s="3">
        <v>20</v>
      </c>
      <c r="O20484" s="3" t="s">
        <v>10</v>
      </c>
      <c r="P20484" s="3" t="s">
        <v>9</v>
      </c>
      <c r="Q20484" s="3"/>
    </row>
    <row r="20485" spans="1:17" ht="15" x14ac:dyDescent="0.25">
      <c r="A20485" s="3">
        <f>20478</f>
        <v>20478</v>
      </c>
      <c r="B20485" s="3" t="s">
        <v>20487</v>
      </c>
      <c r="C20485" s="3" t="s">
        <v>9</v>
      </c>
      <c r="D20485" s="3" t="s">
        <v>10</v>
      </c>
      <c r="E20485" s="3">
        <v>21</v>
      </c>
      <c r="F20485" s="3">
        <v>0</v>
      </c>
      <c r="G20485" s="3">
        <v>1</v>
      </c>
      <c r="H20485" s="3">
        <v>0</v>
      </c>
      <c r="I20485" s="3">
        <v>16</v>
      </c>
      <c r="J20485" s="3">
        <v>0</v>
      </c>
      <c r="K20485" s="3">
        <v>24</v>
      </c>
      <c r="L20485" s="3">
        <v>0</v>
      </c>
      <c r="M20485" s="3">
        <v>0</v>
      </c>
      <c r="N20485" s="3">
        <v>20</v>
      </c>
      <c r="O20485" s="3" t="s">
        <v>10</v>
      </c>
      <c r="P20485" s="3" t="s">
        <v>9</v>
      </c>
      <c r="Q20485" s="3"/>
    </row>
    <row r="20486" spans="1:17" ht="15" x14ac:dyDescent="0.25">
      <c r="A20486" s="3">
        <f>20479</f>
        <v>20479</v>
      </c>
      <c r="B20486" s="3" t="s">
        <v>20488</v>
      </c>
      <c r="C20486" s="3" t="s">
        <v>9</v>
      </c>
      <c r="D20486" s="3" t="s">
        <v>10</v>
      </c>
      <c r="E20486" s="3">
        <v>21</v>
      </c>
      <c r="F20486" s="3">
        <v>0</v>
      </c>
      <c r="G20486" s="3">
        <v>1</v>
      </c>
      <c r="H20486" s="3">
        <v>0</v>
      </c>
      <c r="I20486" s="3">
        <v>16</v>
      </c>
      <c r="J20486" s="3">
        <v>0</v>
      </c>
      <c r="K20486" s="3">
        <v>24</v>
      </c>
      <c r="L20486" s="3">
        <v>0</v>
      </c>
      <c r="M20486" s="3">
        <v>0</v>
      </c>
      <c r="N20486" s="3">
        <v>20</v>
      </c>
      <c r="O20486" s="3" t="s">
        <v>10</v>
      </c>
      <c r="P20486" s="3" t="s">
        <v>9</v>
      </c>
      <c r="Q20486" s="3"/>
    </row>
    <row r="20487" spans="1:17" ht="15" x14ac:dyDescent="0.25">
      <c r="A20487" s="3">
        <f>20480</f>
        <v>20480</v>
      </c>
      <c r="B20487" s="3" t="s">
        <v>20489</v>
      </c>
      <c r="C20487" s="3" t="s">
        <v>9</v>
      </c>
      <c r="D20487" s="3" t="s">
        <v>10</v>
      </c>
      <c r="E20487" s="3">
        <v>21</v>
      </c>
      <c r="F20487" s="3">
        <v>0</v>
      </c>
      <c r="G20487" s="3">
        <v>1</v>
      </c>
      <c r="H20487" s="3">
        <v>0</v>
      </c>
      <c r="I20487" s="3">
        <v>16</v>
      </c>
      <c r="J20487" s="3">
        <v>0</v>
      </c>
      <c r="K20487" s="3">
        <v>24</v>
      </c>
      <c r="L20487" s="3">
        <v>0</v>
      </c>
      <c r="M20487" s="3">
        <v>0</v>
      </c>
      <c r="N20487" s="3">
        <v>20</v>
      </c>
      <c r="O20487" s="3" t="s">
        <v>10</v>
      </c>
      <c r="P20487" s="3" t="s">
        <v>9</v>
      </c>
      <c r="Q20487" s="3"/>
    </row>
    <row r="20488" spans="1:17" ht="15" x14ac:dyDescent="0.25">
      <c r="A20488" s="3">
        <f>20481</f>
        <v>20481</v>
      </c>
      <c r="B20488" s="3" t="s">
        <v>20490</v>
      </c>
      <c r="C20488" s="3" t="s">
        <v>9</v>
      </c>
      <c r="D20488" s="3" t="s">
        <v>10</v>
      </c>
      <c r="E20488" s="3">
        <v>21</v>
      </c>
      <c r="F20488" s="3">
        <v>0</v>
      </c>
      <c r="G20488" s="3">
        <v>1</v>
      </c>
      <c r="H20488" s="3">
        <v>0</v>
      </c>
      <c r="I20488" s="3">
        <v>16</v>
      </c>
      <c r="J20488" s="3">
        <v>0</v>
      </c>
      <c r="K20488" s="3">
        <v>24</v>
      </c>
      <c r="L20488" s="3">
        <v>0</v>
      </c>
      <c r="M20488" s="3">
        <v>0</v>
      </c>
      <c r="N20488" s="3">
        <v>20</v>
      </c>
      <c r="O20488" s="3" t="s">
        <v>10</v>
      </c>
      <c r="P20488" s="3" t="s">
        <v>9</v>
      </c>
      <c r="Q20488" s="3"/>
    </row>
    <row r="20489" spans="1:17" ht="15" x14ac:dyDescent="0.25">
      <c r="A20489" s="3">
        <f>20482</f>
        <v>20482</v>
      </c>
      <c r="B20489" s="3" t="s">
        <v>20491</v>
      </c>
      <c r="C20489" s="3" t="s">
        <v>9</v>
      </c>
      <c r="D20489" s="3" t="s">
        <v>10</v>
      </c>
      <c r="E20489" s="3">
        <v>21</v>
      </c>
      <c r="F20489" s="3">
        <v>0</v>
      </c>
      <c r="G20489" s="3">
        <v>1</v>
      </c>
      <c r="H20489" s="3">
        <v>0</v>
      </c>
      <c r="I20489" s="3">
        <v>16</v>
      </c>
      <c r="J20489" s="3">
        <v>0</v>
      </c>
      <c r="K20489" s="3">
        <v>24</v>
      </c>
      <c r="L20489" s="3">
        <v>0</v>
      </c>
      <c r="M20489" s="3">
        <v>0</v>
      </c>
      <c r="N20489" s="3">
        <v>20</v>
      </c>
      <c r="O20489" s="3" t="s">
        <v>10</v>
      </c>
      <c r="P20489" s="3" t="s">
        <v>9</v>
      </c>
      <c r="Q20489" s="3"/>
    </row>
    <row r="20490" spans="1:17" ht="15" x14ac:dyDescent="0.25">
      <c r="A20490" s="3">
        <f>20483</f>
        <v>20483</v>
      </c>
      <c r="B20490" s="3" t="s">
        <v>20492</v>
      </c>
      <c r="C20490" s="3" t="s">
        <v>9</v>
      </c>
      <c r="D20490" s="3" t="s">
        <v>10</v>
      </c>
      <c r="E20490" s="3">
        <v>21</v>
      </c>
      <c r="F20490" s="3">
        <v>0</v>
      </c>
      <c r="G20490" s="3">
        <v>1</v>
      </c>
      <c r="H20490" s="3">
        <v>0</v>
      </c>
      <c r="I20490" s="3">
        <v>16</v>
      </c>
      <c r="J20490" s="3">
        <v>0</v>
      </c>
      <c r="K20490" s="3">
        <v>24</v>
      </c>
      <c r="L20490" s="3">
        <v>0</v>
      </c>
      <c r="M20490" s="3">
        <v>0</v>
      </c>
      <c r="N20490" s="3">
        <v>20</v>
      </c>
      <c r="O20490" s="3" t="s">
        <v>10</v>
      </c>
      <c r="P20490" s="3" t="s">
        <v>9</v>
      </c>
      <c r="Q20490" s="3"/>
    </row>
    <row r="20491" spans="1:17" ht="15" x14ac:dyDescent="0.25">
      <c r="A20491" s="3">
        <f>20484</f>
        <v>20484</v>
      </c>
      <c r="B20491" s="3" t="s">
        <v>20493</v>
      </c>
      <c r="C20491" s="3" t="s">
        <v>9</v>
      </c>
      <c r="D20491" s="3" t="s">
        <v>10</v>
      </c>
      <c r="E20491" s="3">
        <v>21</v>
      </c>
      <c r="F20491" s="3">
        <v>0</v>
      </c>
      <c r="G20491" s="3">
        <v>1</v>
      </c>
      <c r="H20491" s="3">
        <v>0</v>
      </c>
      <c r="I20491" s="3">
        <v>16</v>
      </c>
      <c r="J20491" s="3">
        <v>0</v>
      </c>
      <c r="K20491" s="3">
        <v>24</v>
      </c>
      <c r="L20491" s="3">
        <v>0</v>
      </c>
      <c r="M20491" s="3">
        <v>0</v>
      </c>
      <c r="N20491" s="3">
        <v>20</v>
      </c>
      <c r="O20491" s="3" t="s">
        <v>10</v>
      </c>
      <c r="P20491" s="3" t="s">
        <v>9</v>
      </c>
      <c r="Q20491" s="3"/>
    </row>
    <row r="20492" spans="1:17" ht="15" x14ac:dyDescent="0.25">
      <c r="A20492" s="3">
        <f>20485</f>
        <v>20485</v>
      </c>
      <c r="B20492" s="3" t="s">
        <v>20494</v>
      </c>
      <c r="C20492" s="3" t="s">
        <v>9</v>
      </c>
      <c r="D20492" s="3" t="s">
        <v>10</v>
      </c>
      <c r="E20492" s="3">
        <v>21</v>
      </c>
      <c r="F20492" s="3">
        <v>0</v>
      </c>
      <c r="G20492" s="3">
        <v>1</v>
      </c>
      <c r="H20492" s="3">
        <v>0</v>
      </c>
      <c r="I20492" s="3">
        <v>16</v>
      </c>
      <c r="J20492" s="3">
        <v>0</v>
      </c>
      <c r="K20492" s="3">
        <v>24</v>
      </c>
      <c r="L20492" s="3">
        <v>0</v>
      </c>
      <c r="M20492" s="3">
        <v>0</v>
      </c>
      <c r="N20492" s="3">
        <v>20</v>
      </c>
      <c r="O20492" s="3" t="s">
        <v>10</v>
      </c>
      <c r="P20492" s="3" t="s">
        <v>9</v>
      </c>
      <c r="Q20492" s="3"/>
    </row>
    <row r="20493" spans="1:17" ht="15" x14ac:dyDescent="0.25">
      <c r="A20493" s="3">
        <f>20486</f>
        <v>20486</v>
      </c>
      <c r="B20493" s="3" t="s">
        <v>20495</v>
      </c>
      <c r="C20493" s="3" t="s">
        <v>9</v>
      </c>
      <c r="D20493" s="3" t="s">
        <v>10</v>
      </c>
      <c r="E20493" s="3">
        <v>21</v>
      </c>
      <c r="F20493" s="3">
        <v>0</v>
      </c>
      <c r="G20493" s="3">
        <v>1</v>
      </c>
      <c r="H20493" s="3">
        <v>0</v>
      </c>
      <c r="I20493" s="3">
        <v>16</v>
      </c>
      <c r="J20493" s="3">
        <v>0</v>
      </c>
      <c r="K20493" s="3">
        <v>24</v>
      </c>
      <c r="L20493" s="3">
        <v>0</v>
      </c>
      <c r="M20493" s="3">
        <v>0</v>
      </c>
      <c r="N20493" s="3">
        <v>20</v>
      </c>
      <c r="O20493" s="3" t="s">
        <v>10</v>
      </c>
      <c r="P20493" s="3" t="s">
        <v>9</v>
      </c>
      <c r="Q20493" s="3"/>
    </row>
    <row r="20494" spans="1:17" ht="15" x14ac:dyDescent="0.25">
      <c r="A20494" s="3">
        <f>20487</f>
        <v>20487</v>
      </c>
      <c r="B20494" s="3" t="s">
        <v>20496</v>
      </c>
      <c r="C20494" s="3" t="s">
        <v>9</v>
      </c>
      <c r="D20494" s="3" t="s">
        <v>10</v>
      </c>
      <c r="E20494" s="3">
        <v>21</v>
      </c>
      <c r="F20494" s="3">
        <v>0</v>
      </c>
      <c r="G20494" s="3">
        <v>1</v>
      </c>
      <c r="H20494" s="3">
        <v>0</v>
      </c>
      <c r="I20494" s="3">
        <v>16</v>
      </c>
      <c r="J20494" s="3">
        <v>0</v>
      </c>
      <c r="K20494" s="3">
        <v>24</v>
      </c>
      <c r="L20494" s="3">
        <v>0</v>
      </c>
      <c r="M20494" s="3">
        <v>0</v>
      </c>
      <c r="N20494" s="3">
        <v>20</v>
      </c>
      <c r="O20494" s="3" t="s">
        <v>10</v>
      </c>
      <c r="P20494" s="3" t="s">
        <v>9</v>
      </c>
      <c r="Q20494" s="3"/>
    </row>
    <row r="20495" spans="1:17" ht="15" x14ac:dyDescent="0.25">
      <c r="A20495" s="3">
        <f>20488</f>
        <v>20488</v>
      </c>
      <c r="B20495" s="3" t="s">
        <v>20497</v>
      </c>
      <c r="C20495" s="3" t="s">
        <v>9</v>
      </c>
      <c r="D20495" s="3" t="s">
        <v>10</v>
      </c>
      <c r="E20495" s="3">
        <v>21</v>
      </c>
      <c r="F20495" s="3">
        <v>0</v>
      </c>
      <c r="G20495" s="3">
        <v>1</v>
      </c>
      <c r="H20495" s="3">
        <v>0</v>
      </c>
      <c r="I20495" s="3">
        <v>16</v>
      </c>
      <c r="J20495" s="3">
        <v>0</v>
      </c>
      <c r="K20495" s="3">
        <v>24</v>
      </c>
      <c r="L20495" s="3">
        <v>0</v>
      </c>
      <c r="M20495" s="3">
        <v>0</v>
      </c>
      <c r="N20495" s="3">
        <v>20</v>
      </c>
      <c r="O20495" s="3" t="s">
        <v>10</v>
      </c>
      <c r="P20495" s="3" t="s">
        <v>9</v>
      </c>
      <c r="Q20495" s="3"/>
    </row>
    <row r="20496" spans="1:17" ht="15" x14ac:dyDescent="0.25">
      <c r="A20496" s="3">
        <f>20489</f>
        <v>20489</v>
      </c>
      <c r="B20496" s="3" t="s">
        <v>20498</v>
      </c>
      <c r="C20496" s="3" t="s">
        <v>9</v>
      </c>
      <c r="D20496" s="3" t="s">
        <v>10</v>
      </c>
      <c r="E20496" s="3">
        <v>21</v>
      </c>
      <c r="F20496" s="3">
        <v>0</v>
      </c>
      <c r="G20496" s="3">
        <v>1</v>
      </c>
      <c r="H20496" s="3">
        <v>0</v>
      </c>
      <c r="I20496" s="3">
        <v>16</v>
      </c>
      <c r="J20496" s="3">
        <v>0</v>
      </c>
      <c r="K20496" s="3">
        <v>24</v>
      </c>
      <c r="L20496" s="3">
        <v>0</v>
      </c>
      <c r="M20496" s="3">
        <v>0</v>
      </c>
      <c r="N20496" s="3">
        <v>20</v>
      </c>
      <c r="O20496" s="3" t="s">
        <v>10</v>
      </c>
      <c r="P20496" s="3" t="s">
        <v>9</v>
      </c>
      <c r="Q20496" s="3"/>
    </row>
    <row r="20497" spans="1:17" ht="15" x14ac:dyDescent="0.25">
      <c r="A20497" s="3">
        <f>20490</f>
        <v>20490</v>
      </c>
      <c r="B20497" s="3" t="s">
        <v>20499</v>
      </c>
      <c r="C20497" s="3" t="s">
        <v>9</v>
      </c>
      <c r="D20497" s="3" t="s">
        <v>10</v>
      </c>
      <c r="E20497" s="3">
        <v>21</v>
      </c>
      <c r="F20497" s="3">
        <v>0</v>
      </c>
      <c r="G20497" s="3">
        <v>1</v>
      </c>
      <c r="H20497" s="3">
        <v>0</v>
      </c>
      <c r="I20497" s="3">
        <v>16</v>
      </c>
      <c r="J20497" s="3">
        <v>0</v>
      </c>
      <c r="K20497" s="3">
        <v>24</v>
      </c>
      <c r="L20497" s="3">
        <v>0</v>
      </c>
      <c r="M20497" s="3">
        <v>0</v>
      </c>
      <c r="N20497" s="3">
        <v>20</v>
      </c>
      <c r="O20497" s="3" t="s">
        <v>10</v>
      </c>
      <c r="P20497" s="3" t="s">
        <v>9</v>
      </c>
      <c r="Q20497" s="3"/>
    </row>
    <row r="20498" spans="1:17" ht="15" x14ac:dyDescent="0.25">
      <c r="A20498" s="3">
        <f>20491</f>
        <v>20491</v>
      </c>
      <c r="B20498" s="3" t="s">
        <v>20500</v>
      </c>
      <c r="C20498" s="3" t="s">
        <v>9</v>
      </c>
      <c r="D20498" s="3" t="s">
        <v>10</v>
      </c>
      <c r="E20498" s="3">
        <v>21</v>
      </c>
      <c r="F20498" s="3">
        <v>0</v>
      </c>
      <c r="G20498" s="3">
        <v>1</v>
      </c>
      <c r="H20498" s="3">
        <v>0</v>
      </c>
      <c r="I20498" s="3">
        <v>16</v>
      </c>
      <c r="J20498" s="3">
        <v>0</v>
      </c>
      <c r="K20498" s="3">
        <v>24</v>
      </c>
      <c r="L20498" s="3">
        <v>0</v>
      </c>
      <c r="M20498" s="3">
        <v>0</v>
      </c>
      <c r="N20498" s="3">
        <v>20</v>
      </c>
      <c r="O20498" s="3" t="s">
        <v>10</v>
      </c>
      <c r="P20498" s="3" t="s">
        <v>9</v>
      </c>
      <c r="Q20498" s="3"/>
    </row>
    <row r="20499" spans="1:17" ht="15" x14ac:dyDescent="0.25">
      <c r="A20499" s="3">
        <f>20492</f>
        <v>20492</v>
      </c>
      <c r="B20499" s="3" t="s">
        <v>20501</v>
      </c>
      <c r="C20499" s="3" t="s">
        <v>9</v>
      </c>
      <c r="D20499" s="3" t="s">
        <v>10</v>
      </c>
      <c r="E20499" s="3">
        <v>21</v>
      </c>
      <c r="F20499" s="3">
        <v>0</v>
      </c>
      <c r="G20499" s="3">
        <v>1</v>
      </c>
      <c r="H20499" s="3">
        <v>0</v>
      </c>
      <c r="I20499" s="3">
        <v>16</v>
      </c>
      <c r="J20499" s="3">
        <v>0</v>
      </c>
      <c r="K20499" s="3">
        <v>24</v>
      </c>
      <c r="L20499" s="3">
        <v>0</v>
      </c>
      <c r="M20499" s="3">
        <v>0</v>
      </c>
      <c r="N20499" s="3">
        <v>20</v>
      </c>
      <c r="O20499" s="3" t="s">
        <v>10</v>
      </c>
      <c r="P20499" s="3" t="s">
        <v>9</v>
      </c>
      <c r="Q20499" s="3"/>
    </row>
    <row r="20500" spans="1:17" ht="15" x14ac:dyDescent="0.25">
      <c r="A20500" s="3">
        <f>20493</f>
        <v>20493</v>
      </c>
      <c r="B20500" s="3" t="s">
        <v>20502</v>
      </c>
      <c r="C20500" s="3" t="s">
        <v>9</v>
      </c>
      <c r="D20500" s="3" t="s">
        <v>10</v>
      </c>
      <c r="E20500" s="3">
        <v>21</v>
      </c>
      <c r="F20500" s="3">
        <v>0</v>
      </c>
      <c r="G20500" s="3">
        <v>1</v>
      </c>
      <c r="H20500" s="3">
        <v>0</v>
      </c>
      <c r="I20500" s="3">
        <v>16</v>
      </c>
      <c r="J20500" s="3">
        <v>0</v>
      </c>
      <c r="K20500" s="3">
        <v>24</v>
      </c>
      <c r="L20500" s="3">
        <v>0</v>
      </c>
      <c r="M20500" s="3">
        <v>0</v>
      </c>
      <c r="N20500" s="3">
        <v>20</v>
      </c>
      <c r="O20500" s="3" t="s">
        <v>10</v>
      </c>
      <c r="P20500" s="3" t="s">
        <v>9</v>
      </c>
      <c r="Q20500" s="3"/>
    </row>
    <row r="20501" spans="1:17" ht="15" x14ac:dyDescent="0.25">
      <c r="A20501" s="3">
        <f>20494</f>
        <v>20494</v>
      </c>
      <c r="B20501" s="3" t="s">
        <v>20503</v>
      </c>
      <c r="C20501" s="3" t="s">
        <v>9</v>
      </c>
      <c r="D20501" s="3" t="s">
        <v>10</v>
      </c>
      <c r="E20501" s="3">
        <v>21</v>
      </c>
      <c r="F20501" s="3">
        <v>0</v>
      </c>
      <c r="G20501" s="3">
        <v>1</v>
      </c>
      <c r="H20501" s="3">
        <v>0</v>
      </c>
      <c r="I20501" s="3">
        <v>16</v>
      </c>
      <c r="J20501" s="3">
        <v>0</v>
      </c>
      <c r="K20501" s="3">
        <v>24</v>
      </c>
      <c r="L20501" s="3">
        <v>0</v>
      </c>
      <c r="M20501" s="3">
        <v>0</v>
      </c>
      <c r="N20501" s="3">
        <v>20</v>
      </c>
      <c r="O20501" s="3" t="s">
        <v>10</v>
      </c>
      <c r="P20501" s="3" t="s">
        <v>9</v>
      </c>
      <c r="Q20501" s="3"/>
    </row>
    <row r="20502" spans="1:17" ht="15" x14ac:dyDescent="0.25">
      <c r="A20502" s="3">
        <f>20495</f>
        <v>20495</v>
      </c>
      <c r="B20502" s="3" t="s">
        <v>20504</v>
      </c>
      <c r="C20502" s="3" t="s">
        <v>9</v>
      </c>
      <c r="D20502" s="3" t="s">
        <v>10</v>
      </c>
      <c r="E20502" s="3">
        <v>21</v>
      </c>
      <c r="F20502" s="3">
        <v>0</v>
      </c>
      <c r="G20502" s="3">
        <v>1</v>
      </c>
      <c r="H20502" s="3">
        <v>0</v>
      </c>
      <c r="I20502" s="3">
        <v>16</v>
      </c>
      <c r="J20502" s="3">
        <v>0</v>
      </c>
      <c r="K20502" s="3">
        <v>24</v>
      </c>
      <c r="L20502" s="3">
        <v>0</v>
      </c>
      <c r="M20502" s="3">
        <v>0</v>
      </c>
      <c r="N20502" s="3">
        <v>20</v>
      </c>
      <c r="O20502" s="3" t="s">
        <v>10</v>
      </c>
      <c r="P20502" s="3" t="s">
        <v>9</v>
      </c>
      <c r="Q20502" s="3"/>
    </row>
    <row r="20503" spans="1:17" ht="15" x14ac:dyDescent="0.25">
      <c r="A20503" s="3">
        <f>20496</f>
        <v>20496</v>
      </c>
      <c r="B20503" s="3" t="s">
        <v>20505</v>
      </c>
      <c r="C20503" s="3" t="s">
        <v>9</v>
      </c>
      <c r="D20503" s="3" t="s">
        <v>10</v>
      </c>
      <c r="E20503" s="3">
        <v>21</v>
      </c>
      <c r="F20503" s="3">
        <v>0</v>
      </c>
      <c r="G20503" s="3">
        <v>1</v>
      </c>
      <c r="H20503" s="3">
        <v>0</v>
      </c>
      <c r="I20503" s="3">
        <v>16</v>
      </c>
      <c r="J20503" s="3">
        <v>0</v>
      </c>
      <c r="K20503" s="3">
        <v>24</v>
      </c>
      <c r="L20503" s="3">
        <v>0</v>
      </c>
      <c r="M20503" s="3">
        <v>0</v>
      </c>
      <c r="N20503" s="3">
        <v>20</v>
      </c>
      <c r="O20503" s="3" t="s">
        <v>10</v>
      </c>
      <c r="P20503" s="3" t="s">
        <v>9</v>
      </c>
      <c r="Q20503" s="3"/>
    </row>
    <row r="20504" spans="1:17" ht="15" x14ac:dyDescent="0.25">
      <c r="A20504" s="3">
        <f>20497</f>
        <v>20497</v>
      </c>
      <c r="B20504" s="3" t="s">
        <v>20506</v>
      </c>
      <c r="C20504" s="3" t="s">
        <v>9</v>
      </c>
      <c r="D20504" s="3" t="s">
        <v>10</v>
      </c>
      <c r="E20504" s="3">
        <v>21</v>
      </c>
      <c r="F20504" s="3">
        <v>0</v>
      </c>
      <c r="G20504" s="3">
        <v>1</v>
      </c>
      <c r="H20504" s="3">
        <v>0</v>
      </c>
      <c r="I20504" s="3">
        <v>16</v>
      </c>
      <c r="J20504" s="3">
        <v>0</v>
      </c>
      <c r="K20504" s="3">
        <v>24</v>
      </c>
      <c r="L20504" s="3">
        <v>0</v>
      </c>
      <c r="M20504" s="3">
        <v>0</v>
      </c>
      <c r="N20504" s="3">
        <v>20</v>
      </c>
      <c r="O20504" s="3" t="s">
        <v>10</v>
      </c>
      <c r="P20504" s="3" t="s">
        <v>9</v>
      </c>
      <c r="Q20504" s="3"/>
    </row>
    <row r="20505" spans="1:17" ht="15" x14ac:dyDescent="0.25">
      <c r="A20505" s="3">
        <f>20498</f>
        <v>20498</v>
      </c>
      <c r="B20505" s="3" t="s">
        <v>20507</v>
      </c>
      <c r="C20505" s="3" t="s">
        <v>9</v>
      </c>
      <c r="D20505" s="3" t="s">
        <v>10</v>
      </c>
      <c r="E20505" s="3">
        <v>21</v>
      </c>
      <c r="F20505" s="3">
        <v>0</v>
      </c>
      <c r="G20505" s="3">
        <v>1</v>
      </c>
      <c r="H20505" s="3">
        <v>0</v>
      </c>
      <c r="I20505" s="3">
        <v>16</v>
      </c>
      <c r="J20505" s="3">
        <v>0</v>
      </c>
      <c r="K20505" s="3">
        <v>24</v>
      </c>
      <c r="L20505" s="3">
        <v>0</v>
      </c>
      <c r="M20505" s="3">
        <v>0</v>
      </c>
      <c r="N20505" s="3">
        <v>20</v>
      </c>
      <c r="O20505" s="3" t="s">
        <v>10</v>
      </c>
      <c r="P20505" s="3" t="s">
        <v>9</v>
      </c>
      <c r="Q20505" s="3"/>
    </row>
    <row r="20506" spans="1:17" ht="15" x14ac:dyDescent="0.25">
      <c r="A20506" s="3">
        <f>20499</f>
        <v>20499</v>
      </c>
      <c r="B20506" s="3" t="s">
        <v>20508</v>
      </c>
      <c r="C20506" s="3" t="s">
        <v>9</v>
      </c>
      <c r="D20506" s="3" t="s">
        <v>10</v>
      </c>
      <c r="E20506" s="3">
        <v>21</v>
      </c>
      <c r="F20506" s="3">
        <v>0</v>
      </c>
      <c r="G20506" s="3">
        <v>1</v>
      </c>
      <c r="H20506" s="3">
        <v>0</v>
      </c>
      <c r="I20506" s="3">
        <v>16</v>
      </c>
      <c r="J20506" s="3">
        <v>0</v>
      </c>
      <c r="K20506" s="3">
        <v>24</v>
      </c>
      <c r="L20506" s="3">
        <v>0</v>
      </c>
      <c r="M20506" s="3">
        <v>0</v>
      </c>
      <c r="N20506" s="3">
        <v>20</v>
      </c>
      <c r="O20506" s="3" t="s">
        <v>10</v>
      </c>
      <c r="P20506" s="3" t="s">
        <v>9</v>
      </c>
      <c r="Q20506" s="3"/>
    </row>
    <row r="20507" spans="1:17" ht="15" x14ac:dyDescent="0.25">
      <c r="A20507" s="3">
        <f>20500</f>
        <v>20500</v>
      </c>
      <c r="B20507" s="3" t="s">
        <v>20509</v>
      </c>
      <c r="C20507" s="3" t="s">
        <v>20548</v>
      </c>
      <c r="D20507" s="3" t="s">
        <v>20547</v>
      </c>
      <c r="E20507" s="3" t="s">
        <v>20546</v>
      </c>
      <c r="F20507" s="3">
        <v>0</v>
      </c>
      <c r="G20507" s="3">
        <v>1</v>
      </c>
      <c r="H20507" s="3">
        <v>0</v>
      </c>
      <c r="I20507" s="3">
        <v>16</v>
      </c>
      <c r="J20507" s="3">
        <v>0</v>
      </c>
      <c r="K20507" s="3">
        <v>24</v>
      </c>
      <c r="L20507" s="3">
        <v>0</v>
      </c>
      <c r="M20507" s="3">
        <v>0</v>
      </c>
      <c r="N20507" s="3">
        <v>20</v>
      </c>
      <c r="O20507" s="3" t="s">
        <v>20547</v>
      </c>
      <c r="P20507" s="3" t="s">
        <v>20548</v>
      </c>
      <c r="Q20507" s="3"/>
    </row>
    <row r="20508" spans="1:17" ht="15" x14ac:dyDescent="0.25">
      <c r="A20508" s="3">
        <f>20501</f>
        <v>20501</v>
      </c>
      <c r="B20508" s="3" t="s">
        <v>20510</v>
      </c>
      <c r="C20508" s="3" t="s">
        <v>20548</v>
      </c>
      <c r="D20508" s="3" t="s">
        <v>20547</v>
      </c>
      <c r="E20508" s="3" t="s">
        <v>20546</v>
      </c>
      <c r="F20508" s="3">
        <v>0</v>
      </c>
      <c r="G20508" s="3">
        <v>1</v>
      </c>
      <c r="H20508" s="3">
        <v>0</v>
      </c>
      <c r="I20508" s="3">
        <v>16</v>
      </c>
      <c r="J20508" s="3">
        <v>0</v>
      </c>
      <c r="K20508" s="3">
        <v>24</v>
      </c>
      <c r="L20508" s="3">
        <v>0</v>
      </c>
      <c r="M20508" s="3">
        <v>0</v>
      </c>
      <c r="N20508" s="3">
        <v>20</v>
      </c>
      <c r="O20508" s="3" t="s">
        <v>20547</v>
      </c>
      <c r="P20508" s="3" t="s">
        <v>20548</v>
      </c>
      <c r="Q20508" s="3"/>
    </row>
    <row r="20509" spans="1:17" ht="15" x14ac:dyDescent="0.25">
      <c r="A20509" s="3">
        <f>20502</f>
        <v>20502</v>
      </c>
      <c r="B20509" s="3" t="s">
        <v>20511</v>
      </c>
      <c r="C20509" s="3" t="s">
        <v>20548</v>
      </c>
      <c r="D20509" s="3" t="s">
        <v>20547</v>
      </c>
      <c r="E20509" s="3" t="s">
        <v>20546</v>
      </c>
      <c r="F20509" s="3">
        <v>0</v>
      </c>
      <c r="G20509" s="3">
        <v>1</v>
      </c>
      <c r="H20509" s="3">
        <v>0</v>
      </c>
      <c r="I20509" s="3">
        <v>16</v>
      </c>
      <c r="J20509" s="3">
        <v>0</v>
      </c>
      <c r="K20509" s="3">
        <v>24</v>
      </c>
      <c r="L20509" s="3">
        <v>0</v>
      </c>
      <c r="M20509" s="3">
        <v>0</v>
      </c>
      <c r="N20509" s="3">
        <v>20</v>
      </c>
      <c r="O20509" s="3" t="s">
        <v>20547</v>
      </c>
      <c r="P20509" s="3" t="s">
        <v>20548</v>
      </c>
      <c r="Q20509" s="3"/>
    </row>
    <row r="20510" spans="1:17" ht="15" x14ac:dyDescent="0.25">
      <c r="A20510" s="3">
        <f>20503</f>
        <v>20503</v>
      </c>
      <c r="B20510" s="3" t="s">
        <v>20512</v>
      </c>
      <c r="C20510" s="3" t="s">
        <v>20548</v>
      </c>
      <c r="D20510" s="3" t="s">
        <v>20547</v>
      </c>
      <c r="E20510" s="3" t="s">
        <v>20546</v>
      </c>
      <c r="F20510" s="3">
        <v>0</v>
      </c>
      <c r="G20510" s="3">
        <v>1</v>
      </c>
      <c r="H20510" s="3">
        <v>0</v>
      </c>
      <c r="I20510" s="3">
        <v>16</v>
      </c>
      <c r="J20510" s="3">
        <v>0</v>
      </c>
      <c r="K20510" s="3">
        <v>24</v>
      </c>
      <c r="L20510" s="3">
        <v>0</v>
      </c>
      <c r="M20510" s="3">
        <v>0</v>
      </c>
      <c r="N20510" s="3">
        <v>20</v>
      </c>
      <c r="O20510" s="3" t="s">
        <v>20547</v>
      </c>
      <c r="P20510" s="3" t="s">
        <v>20548</v>
      </c>
      <c r="Q20510" s="3"/>
    </row>
    <row r="20511" spans="1:17" ht="15" x14ac:dyDescent="0.25">
      <c r="A20511" s="3">
        <f>20504</f>
        <v>20504</v>
      </c>
      <c r="B20511" s="3" t="s">
        <v>20513</v>
      </c>
      <c r="C20511" s="3" t="s">
        <v>20548</v>
      </c>
      <c r="D20511" s="3" t="s">
        <v>20547</v>
      </c>
      <c r="E20511" s="3" t="s">
        <v>20546</v>
      </c>
      <c r="F20511" s="3">
        <v>0</v>
      </c>
      <c r="G20511" s="3">
        <v>1</v>
      </c>
      <c r="H20511" s="3">
        <v>0</v>
      </c>
      <c r="I20511" s="3">
        <v>16</v>
      </c>
      <c r="J20511" s="3">
        <v>0</v>
      </c>
      <c r="K20511" s="3">
        <v>24</v>
      </c>
      <c r="L20511" s="3">
        <v>0</v>
      </c>
      <c r="M20511" s="3">
        <v>0</v>
      </c>
      <c r="N20511" s="3">
        <v>20</v>
      </c>
      <c r="O20511" s="3" t="s">
        <v>20547</v>
      </c>
      <c r="P20511" s="3" t="s">
        <v>20548</v>
      </c>
      <c r="Q20511" s="3"/>
    </row>
    <row r="20512" spans="1:17" ht="15" x14ac:dyDescent="0.25">
      <c r="A20512" s="3">
        <f>20505</f>
        <v>20505</v>
      </c>
      <c r="B20512" s="3" t="s">
        <v>20514</v>
      </c>
      <c r="C20512" s="3" t="s">
        <v>20548</v>
      </c>
      <c r="D20512" s="3" t="s">
        <v>20547</v>
      </c>
      <c r="E20512" s="3" t="s">
        <v>20546</v>
      </c>
      <c r="F20512" s="3">
        <v>0</v>
      </c>
      <c r="G20512" s="3">
        <v>1</v>
      </c>
      <c r="H20512" s="3">
        <v>0</v>
      </c>
      <c r="I20512" s="3">
        <v>16</v>
      </c>
      <c r="J20512" s="3">
        <v>0</v>
      </c>
      <c r="K20512" s="3">
        <v>24</v>
      </c>
      <c r="L20512" s="3">
        <v>0</v>
      </c>
      <c r="M20512" s="3">
        <v>0</v>
      </c>
      <c r="N20512" s="3">
        <v>20</v>
      </c>
      <c r="O20512" s="3" t="s">
        <v>20547</v>
      </c>
      <c r="P20512" s="3" t="s">
        <v>20548</v>
      </c>
      <c r="Q20512" s="3"/>
    </row>
    <row r="20513" spans="1:17" ht="15" x14ac:dyDescent="0.25">
      <c r="A20513" s="3">
        <f>20506</f>
        <v>20506</v>
      </c>
      <c r="B20513" s="3" t="s">
        <v>20515</v>
      </c>
      <c r="C20513" s="3" t="s">
        <v>20548</v>
      </c>
      <c r="D20513" s="3" t="s">
        <v>20547</v>
      </c>
      <c r="E20513" s="3" t="s">
        <v>20546</v>
      </c>
      <c r="F20513" s="3">
        <v>0</v>
      </c>
      <c r="G20513" s="3">
        <v>1</v>
      </c>
      <c r="H20513" s="3">
        <v>0</v>
      </c>
      <c r="I20513" s="3">
        <v>16</v>
      </c>
      <c r="J20513" s="3">
        <v>0</v>
      </c>
      <c r="K20513" s="3">
        <v>24</v>
      </c>
      <c r="L20513" s="3">
        <v>0</v>
      </c>
      <c r="M20513" s="3">
        <v>0</v>
      </c>
      <c r="N20513" s="3">
        <v>20</v>
      </c>
      <c r="O20513" s="3" t="s">
        <v>20547</v>
      </c>
      <c r="P20513" s="3" t="s">
        <v>20548</v>
      </c>
      <c r="Q20513" s="3"/>
    </row>
    <row r="20514" spans="1:17" ht="15" x14ac:dyDescent="0.25">
      <c r="A20514" s="3">
        <f>20507</f>
        <v>20507</v>
      </c>
      <c r="B20514" s="3" t="s">
        <v>20516</v>
      </c>
      <c r="C20514" s="3" t="s">
        <v>20548</v>
      </c>
      <c r="D20514" s="3" t="s">
        <v>20547</v>
      </c>
      <c r="E20514" s="3" t="s">
        <v>20546</v>
      </c>
      <c r="F20514" s="3">
        <v>0</v>
      </c>
      <c r="G20514" s="3">
        <v>1</v>
      </c>
      <c r="H20514" s="3">
        <v>0</v>
      </c>
      <c r="I20514" s="3">
        <v>16</v>
      </c>
      <c r="J20514" s="3">
        <v>0</v>
      </c>
      <c r="K20514" s="3">
        <v>24</v>
      </c>
      <c r="L20514" s="3">
        <v>0</v>
      </c>
      <c r="M20514" s="3">
        <v>0</v>
      </c>
      <c r="N20514" s="3">
        <v>20</v>
      </c>
      <c r="O20514" s="3" t="s">
        <v>20547</v>
      </c>
      <c r="P20514" s="3" t="s">
        <v>20548</v>
      </c>
      <c r="Q20514" s="3"/>
    </row>
    <row r="20515" spans="1:17" ht="15" x14ac:dyDescent="0.25">
      <c r="A20515" s="3">
        <f>20508</f>
        <v>20508</v>
      </c>
      <c r="B20515" s="3" t="s">
        <v>20517</v>
      </c>
      <c r="C20515" s="3" t="s">
        <v>20548</v>
      </c>
      <c r="D20515" s="3" t="s">
        <v>20547</v>
      </c>
      <c r="E20515" s="3" t="s">
        <v>20546</v>
      </c>
      <c r="F20515" s="3">
        <v>0</v>
      </c>
      <c r="G20515" s="3">
        <v>1</v>
      </c>
      <c r="H20515" s="3">
        <v>0</v>
      </c>
      <c r="I20515" s="3">
        <v>16</v>
      </c>
      <c r="J20515" s="3">
        <v>0</v>
      </c>
      <c r="K20515" s="3">
        <v>24</v>
      </c>
      <c r="L20515" s="3">
        <v>0</v>
      </c>
      <c r="M20515" s="3">
        <v>0</v>
      </c>
      <c r="N20515" s="3">
        <v>20</v>
      </c>
      <c r="O20515" s="3" t="s">
        <v>20547</v>
      </c>
      <c r="P20515" s="3" t="s">
        <v>20548</v>
      </c>
      <c r="Q20515" s="3"/>
    </row>
    <row r="20516" spans="1:17" ht="15" x14ac:dyDescent="0.25">
      <c r="A20516" s="3">
        <f>20509</f>
        <v>20509</v>
      </c>
      <c r="B20516" s="3" t="s">
        <v>20518</v>
      </c>
      <c r="C20516" s="3" t="s">
        <v>20548</v>
      </c>
      <c r="D20516" s="3" t="s">
        <v>20547</v>
      </c>
      <c r="E20516" s="3" t="s">
        <v>20546</v>
      </c>
      <c r="F20516" s="3">
        <v>0</v>
      </c>
      <c r="G20516" s="3">
        <v>1</v>
      </c>
      <c r="H20516" s="3">
        <v>0</v>
      </c>
      <c r="I20516" s="3">
        <v>16</v>
      </c>
      <c r="J20516" s="3">
        <v>0</v>
      </c>
      <c r="K20516" s="3">
        <v>24</v>
      </c>
      <c r="L20516" s="3">
        <v>0</v>
      </c>
      <c r="M20516" s="3">
        <v>0</v>
      </c>
      <c r="N20516" s="3">
        <v>20</v>
      </c>
      <c r="O20516" s="3" t="s">
        <v>20547</v>
      </c>
      <c r="P20516" s="3" t="s">
        <v>20548</v>
      </c>
      <c r="Q20516" s="3"/>
    </row>
    <row r="20517" spans="1:17" ht="15" x14ac:dyDescent="0.25">
      <c r="A20517" s="3">
        <f>20510</f>
        <v>20510</v>
      </c>
      <c r="B20517" s="3" t="s">
        <v>20519</v>
      </c>
      <c r="C20517" s="3" t="s">
        <v>20548</v>
      </c>
      <c r="D20517" s="3" t="s">
        <v>20547</v>
      </c>
      <c r="E20517" s="3" t="s">
        <v>20546</v>
      </c>
      <c r="F20517" s="3">
        <v>0</v>
      </c>
      <c r="G20517" s="3">
        <v>1</v>
      </c>
      <c r="H20517" s="3">
        <v>0</v>
      </c>
      <c r="I20517" s="3">
        <v>16</v>
      </c>
      <c r="J20517" s="3">
        <v>0</v>
      </c>
      <c r="K20517" s="3">
        <v>24</v>
      </c>
      <c r="L20517" s="3">
        <v>0</v>
      </c>
      <c r="M20517" s="3">
        <v>0</v>
      </c>
      <c r="N20517" s="3">
        <v>20</v>
      </c>
      <c r="O20517" s="3" t="s">
        <v>20547</v>
      </c>
      <c r="P20517" s="3" t="s">
        <v>20548</v>
      </c>
      <c r="Q20517" s="3"/>
    </row>
    <row r="20518" spans="1:17" ht="15" x14ac:dyDescent="0.25">
      <c r="A20518" s="3">
        <f>20511</f>
        <v>20511</v>
      </c>
      <c r="B20518" s="3" t="s">
        <v>20520</v>
      </c>
      <c r="C20518" s="3" t="s">
        <v>20548</v>
      </c>
      <c r="D20518" s="3" t="s">
        <v>20547</v>
      </c>
      <c r="E20518" s="3" t="s">
        <v>20546</v>
      </c>
      <c r="F20518" s="3">
        <v>0</v>
      </c>
      <c r="G20518" s="3">
        <v>1</v>
      </c>
      <c r="H20518" s="3">
        <v>0</v>
      </c>
      <c r="I20518" s="3">
        <v>16</v>
      </c>
      <c r="J20518" s="3">
        <v>0</v>
      </c>
      <c r="K20518" s="3">
        <v>24</v>
      </c>
      <c r="L20518" s="3">
        <v>0</v>
      </c>
      <c r="M20518" s="3">
        <v>0</v>
      </c>
      <c r="N20518" s="3">
        <v>20</v>
      </c>
      <c r="O20518" s="3" t="s">
        <v>20547</v>
      </c>
      <c r="P20518" s="3" t="s">
        <v>20548</v>
      </c>
      <c r="Q20518" s="3"/>
    </row>
    <row r="20519" spans="1:17" ht="15" x14ac:dyDescent="0.25">
      <c r="A20519" s="3">
        <f>20512</f>
        <v>20512</v>
      </c>
      <c r="B20519" s="3" t="s">
        <v>20521</v>
      </c>
      <c r="C20519" s="3" t="s">
        <v>20548</v>
      </c>
      <c r="D20519" s="3" t="s">
        <v>20547</v>
      </c>
      <c r="E20519" s="3" t="s">
        <v>20546</v>
      </c>
      <c r="F20519" s="3">
        <v>0</v>
      </c>
      <c r="G20519" s="3">
        <v>1</v>
      </c>
      <c r="H20519" s="3">
        <v>0</v>
      </c>
      <c r="I20519" s="3">
        <v>16</v>
      </c>
      <c r="J20519" s="3">
        <v>0</v>
      </c>
      <c r="K20519" s="3">
        <v>24</v>
      </c>
      <c r="L20519" s="3">
        <v>0</v>
      </c>
      <c r="M20519" s="3">
        <v>0</v>
      </c>
      <c r="N20519" s="3">
        <v>20</v>
      </c>
      <c r="O20519" s="3" t="s">
        <v>20547</v>
      </c>
      <c r="P20519" s="3" t="s">
        <v>20548</v>
      </c>
      <c r="Q20519" s="3"/>
    </row>
    <row r="20520" spans="1:17" ht="15" x14ac:dyDescent="0.25">
      <c r="A20520" s="3">
        <f>20513</f>
        <v>20513</v>
      </c>
      <c r="B20520" s="3" t="s">
        <v>20522</v>
      </c>
      <c r="C20520" s="3" t="s">
        <v>20548</v>
      </c>
      <c r="D20520" s="3" t="s">
        <v>20547</v>
      </c>
      <c r="E20520" s="3" t="s">
        <v>20546</v>
      </c>
      <c r="F20520" s="3">
        <v>0</v>
      </c>
      <c r="G20520" s="3">
        <v>1</v>
      </c>
      <c r="H20520" s="3">
        <v>0</v>
      </c>
      <c r="I20520" s="3">
        <v>16</v>
      </c>
      <c r="J20520" s="3">
        <v>0</v>
      </c>
      <c r="K20520" s="3">
        <v>24</v>
      </c>
      <c r="L20520" s="3">
        <v>0</v>
      </c>
      <c r="M20520" s="3">
        <v>0</v>
      </c>
      <c r="N20520" s="3">
        <v>20</v>
      </c>
      <c r="O20520" s="3" t="s">
        <v>20547</v>
      </c>
      <c r="P20520" s="3" t="s">
        <v>20548</v>
      </c>
      <c r="Q20520" s="3"/>
    </row>
    <row r="20521" spans="1:17" ht="15" x14ac:dyDescent="0.25">
      <c r="A20521" s="3">
        <f>20514</f>
        <v>20514</v>
      </c>
      <c r="B20521" s="3" t="s">
        <v>20523</v>
      </c>
      <c r="C20521" s="3" t="s">
        <v>20548</v>
      </c>
      <c r="D20521" s="3" t="s">
        <v>20547</v>
      </c>
      <c r="E20521" s="3" t="s">
        <v>20546</v>
      </c>
      <c r="F20521" s="3">
        <v>0</v>
      </c>
      <c r="G20521" s="3">
        <v>1</v>
      </c>
      <c r="H20521" s="3">
        <v>0</v>
      </c>
      <c r="I20521" s="3">
        <v>16</v>
      </c>
      <c r="J20521" s="3">
        <v>0</v>
      </c>
      <c r="K20521" s="3">
        <v>24</v>
      </c>
      <c r="L20521" s="3">
        <v>0</v>
      </c>
      <c r="M20521" s="3">
        <v>0</v>
      </c>
      <c r="N20521" s="3">
        <v>20</v>
      </c>
      <c r="O20521" s="3" t="s">
        <v>20547</v>
      </c>
      <c r="P20521" s="3" t="s">
        <v>20548</v>
      </c>
      <c r="Q20521" s="3"/>
    </row>
    <row r="20522" spans="1:17" ht="15" x14ac:dyDescent="0.25">
      <c r="A20522" s="3">
        <f>20515</f>
        <v>20515</v>
      </c>
      <c r="B20522" s="3" t="s">
        <v>20524</v>
      </c>
      <c r="C20522" s="3" t="s">
        <v>20548</v>
      </c>
      <c r="D20522" s="3" t="s">
        <v>20547</v>
      </c>
      <c r="E20522" s="3" t="s">
        <v>20546</v>
      </c>
      <c r="F20522" s="3">
        <v>0</v>
      </c>
      <c r="G20522" s="3">
        <v>1</v>
      </c>
      <c r="H20522" s="3">
        <v>0</v>
      </c>
      <c r="I20522" s="3">
        <v>16</v>
      </c>
      <c r="J20522" s="3">
        <v>0</v>
      </c>
      <c r="K20522" s="3">
        <v>24</v>
      </c>
      <c r="L20522" s="3">
        <v>0</v>
      </c>
      <c r="M20522" s="3">
        <v>0</v>
      </c>
      <c r="N20522" s="3">
        <v>20</v>
      </c>
      <c r="O20522" s="3" t="s">
        <v>20547</v>
      </c>
      <c r="P20522" s="3" t="s">
        <v>20548</v>
      </c>
      <c r="Q20522" s="3"/>
    </row>
    <row r="20523" spans="1:17" ht="15" x14ac:dyDescent="0.25">
      <c r="A20523" s="3">
        <f>20516</f>
        <v>20516</v>
      </c>
      <c r="B20523" s="3" t="s">
        <v>20525</v>
      </c>
      <c r="C20523" s="3" t="s">
        <v>20548</v>
      </c>
      <c r="D20523" s="3" t="s">
        <v>20547</v>
      </c>
      <c r="E20523" s="3" t="s">
        <v>20546</v>
      </c>
      <c r="F20523" s="3">
        <v>0</v>
      </c>
      <c r="G20523" s="3">
        <v>1</v>
      </c>
      <c r="H20523" s="3">
        <v>0</v>
      </c>
      <c r="I20523" s="3">
        <v>16</v>
      </c>
      <c r="J20523" s="3">
        <v>0</v>
      </c>
      <c r="K20523" s="3">
        <v>24</v>
      </c>
      <c r="L20523" s="3">
        <v>0</v>
      </c>
      <c r="M20523" s="3">
        <v>0</v>
      </c>
      <c r="N20523" s="3">
        <v>20</v>
      </c>
      <c r="O20523" s="3" t="s">
        <v>20547</v>
      </c>
      <c r="P20523" s="3" t="s">
        <v>20548</v>
      </c>
      <c r="Q20523" s="3"/>
    </row>
    <row r="20524" spans="1:17" ht="15" x14ac:dyDescent="0.25">
      <c r="A20524" s="3">
        <f>20517</f>
        <v>20517</v>
      </c>
      <c r="B20524" s="3" t="s">
        <v>20526</v>
      </c>
      <c r="C20524" s="3" t="s">
        <v>20548</v>
      </c>
      <c r="D20524" s="3" t="s">
        <v>20547</v>
      </c>
      <c r="E20524" s="3" t="s">
        <v>20546</v>
      </c>
      <c r="F20524" s="3">
        <v>0</v>
      </c>
      <c r="G20524" s="3">
        <v>1</v>
      </c>
      <c r="H20524" s="3">
        <v>0</v>
      </c>
      <c r="I20524" s="3">
        <v>16</v>
      </c>
      <c r="J20524" s="3">
        <v>0</v>
      </c>
      <c r="K20524" s="3">
        <v>24</v>
      </c>
      <c r="L20524" s="3">
        <v>0</v>
      </c>
      <c r="M20524" s="3">
        <v>0</v>
      </c>
      <c r="N20524" s="3">
        <v>20</v>
      </c>
      <c r="O20524" s="3" t="s">
        <v>20547</v>
      </c>
      <c r="P20524" s="3" t="s">
        <v>20548</v>
      </c>
      <c r="Q20524" s="3"/>
    </row>
    <row r="20525" spans="1:17" ht="15" x14ac:dyDescent="0.25">
      <c r="A20525" s="3">
        <f>20518</f>
        <v>20518</v>
      </c>
      <c r="B20525" s="3" t="s">
        <v>20527</v>
      </c>
      <c r="C20525" s="3" t="s">
        <v>20548</v>
      </c>
      <c r="D20525" s="3" t="s">
        <v>20547</v>
      </c>
      <c r="E20525" s="3" t="s">
        <v>20546</v>
      </c>
      <c r="F20525" s="3">
        <v>0</v>
      </c>
      <c r="G20525" s="3">
        <v>1</v>
      </c>
      <c r="H20525" s="3">
        <v>0</v>
      </c>
      <c r="I20525" s="3">
        <v>16</v>
      </c>
      <c r="J20525" s="3">
        <v>0</v>
      </c>
      <c r="K20525" s="3">
        <v>24</v>
      </c>
      <c r="L20525" s="3">
        <v>0</v>
      </c>
      <c r="M20525" s="3">
        <v>0</v>
      </c>
      <c r="N20525" s="3">
        <v>20</v>
      </c>
      <c r="O20525" s="3" t="s">
        <v>20547</v>
      </c>
      <c r="P20525" s="3" t="s">
        <v>20548</v>
      </c>
      <c r="Q20525" s="3"/>
    </row>
    <row r="20526" spans="1:17" ht="15.75" x14ac:dyDescent="0.25">
      <c r="A20526" s="4" t="s">
        <v>20528</v>
      </c>
      <c r="B20526" s="5" t="s">
        <v>20529</v>
      </c>
      <c r="C20526" s="5" t="s">
        <v>20529</v>
      </c>
      <c r="D20526" s="5" t="s">
        <v>20529</v>
      </c>
      <c r="E20526" s="5"/>
      <c r="F20526" s="5"/>
      <c r="G20526" s="5" t="s">
        <v>20529</v>
      </c>
      <c r="H20526" s="5"/>
      <c r="I20526" s="5"/>
      <c r="J20526" s="5" t="s">
        <v>20529</v>
      </c>
      <c r="K20526" s="5"/>
      <c r="L20526" s="5" t="s">
        <v>20529</v>
      </c>
      <c r="M20526" s="5"/>
      <c r="N20526" s="5"/>
      <c r="O20526" s="5" t="s">
        <v>20529</v>
      </c>
      <c r="P20526" s="5" t="s">
        <v>20529</v>
      </c>
      <c r="Q20526" s="5" t="s">
        <v>20529</v>
      </c>
    </row>
    <row r="20527" spans="1:17" ht="15" x14ac:dyDescent="0.25">
      <c r="Q20527" s="6" t="s">
        <v>20530</v>
      </c>
    </row>
    <row r="20528" spans="1:17" ht="15" x14ac:dyDescent="0.25">
      <c r="B20528" s="7" t="s">
        <v>20531</v>
      </c>
      <c r="J20528" s="7" t="s">
        <v>20532</v>
      </c>
      <c r="Q20528" s="7" t="s">
        <v>20533</v>
      </c>
    </row>
    <row r="20529" spans="2:17" ht="15" x14ac:dyDescent="0.25">
      <c r="B20529" s="8" t="s">
        <v>20534</v>
      </c>
      <c r="J20529" s="8" t="s">
        <v>20534</v>
      </c>
      <c r="Q20529" s="8" t="s">
        <v>20534</v>
      </c>
    </row>
  </sheetData>
  <mergeCells count="3">
    <mergeCell ref="A1:A3"/>
    <mergeCell ref="N4:Q4"/>
    <mergeCell ref="A5:Q5"/>
  </mergeCells>
  <phoneticPr fontId="6" type="noConversion"/>
  <pageMargins left="0.3" right="0.25" top="0.75" bottom="0.75" header="0.3" footer="0.3"/>
  <pageSetup paperSize="9" orientation="landscape" horizontalDpi="4294967295" verticalDpi="42949672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2023-11-30T01:14:06Z</dcterms:created>
  <dcterms:modified xsi:type="dcterms:W3CDTF">2023-12-18T08:18:32Z</dcterms:modified>
  <cp:category/>
</cp:coreProperties>
</file>